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threadedComments/threadedComment1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uckeyemailosu-my.sharepoint.com/personal/wedding_10_buckeyemail_osu_edu/Documents/ULI 2022/Submission/One Pro Forma in Excel/"/>
    </mc:Choice>
  </mc:AlternateContent>
  <xr:revisionPtr revIDLastSave="0" documentId="8_{DF48A48D-A79D-4E03-82A3-2C6D5010775B}" xr6:coauthVersionLast="47" xr6:coauthVersionMax="47" xr10:uidLastSave="{00000000-0000-0000-0000-000000000000}"/>
  <bookViews>
    <workbookView xWindow="-120" yWindow="-120" windowWidth="29040" windowHeight="15840" tabRatio="893" firstSheet="2" activeTab="2" xr2:uid="{6B627531-6788-4254-AE8E-1F827AB44B13}"/>
  </bookViews>
  <sheets>
    <sheet name="To Do" sheetId="7" state="hidden" r:id="rId1"/>
    <sheet name="Excel Shortcuts" sheetId="8" state="hidden" r:id="rId2"/>
    <sheet name="Official Summary" sheetId="2" r:id="rId3"/>
    <sheet name="Summary II" sheetId="27" r:id="rId4"/>
    <sheet name="Info for Charts" sheetId="29" state="hidden" r:id="rId5"/>
    <sheet name="Updates" sheetId="30" state="hidden" r:id="rId6"/>
    <sheet name="Parcel List" sheetId="25" state="hidden" r:id="rId7"/>
    <sheet name="Assumptions" sheetId="1" r:id="rId8"/>
    <sheet name="SF by Building" sheetId="32" state="hidden" r:id="rId9"/>
    <sheet name="Parcel Breakdown" sheetId="3" r:id="rId10"/>
    <sheet name="Budget" sheetId="5" r:id="rId11"/>
    <sheet name="S&amp;U" sheetId="4" r:id="rId12"/>
    <sheet name="Infra" sheetId="6" r:id="rId13"/>
    <sheet name="Acquisition" sheetId="11" r:id="rId14"/>
    <sheet name="Taxes and TIF" sheetId="20" r:id="rId15"/>
    <sheet name="Loan Sizing" sheetId="19" r:id="rId16"/>
    <sheet name="Phase 1 Pro Forma" sheetId="18" r:id="rId17"/>
    <sheet name="Phase 2 Pro Forma" sheetId="22" r:id="rId18"/>
    <sheet name="Phase 3 Pro Forma" sheetId="23" r:id="rId19"/>
    <sheet name="Cash Flow Roll-Up" sheetId="24" r:id="rId20"/>
  </sheets>
  <definedNames>
    <definedName name="_xlnm._FilterDatabase" localSheetId="15" hidden="1">'Loan Sizing'!$T$4:$U$14</definedName>
    <definedName name="_xlnm._FilterDatabase" localSheetId="9" hidden="1">'Parcel List'!$C$4:$O$4</definedName>
    <definedName name="_xlnm._FilterDatabase" localSheetId="6" hidden="1">'Parcel List'!$C$4:$O$4</definedName>
    <definedName name="Hold_Period">Assumptions!$E$34</definedName>
    <definedName name="P1_Const_Close">Assumptions!$F$29</definedName>
    <definedName name="P1_Const_Completion">Assumptions!$F$31</definedName>
    <definedName name="P1_Const_Period">Assumptions!$F$30</definedName>
    <definedName name="P1_LeaseUp">Assumptions!$F$32</definedName>
    <definedName name="P1_Predev_Close">Assumptions!$F$27</definedName>
    <definedName name="P1_Stab_Refin">Assumptions!$F$33</definedName>
    <definedName name="P2_Const_Close">Assumptions!$G$29</definedName>
    <definedName name="P2_Const_Completion">Assumptions!$G$31</definedName>
    <definedName name="P2_Const_Period">Assumptions!$G$30</definedName>
    <definedName name="P2_LeaseUp">Assumptions!$G$32</definedName>
    <definedName name="P2_Predev_Close">Assumptions!$G$27</definedName>
    <definedName name="P2_Stab_Refin">Assumptions!$G$33</definedName>
    <definedName name="P3_Const_Close">Assumptions!$H$29</definedName>
    <definedName name="P3_Const_Completion">Assumptions!$H$31</definedName>
    <definedName name="P3_Const_Period">Assumptions!$H$30</definedName>
    <definedName name="P3_LeaseUp">Assumptions!$H$32</definedName>
    <definedName name="P3_Predev_Close">Assumptions!$H$27</definedName>
    <definedName name="P3_Stab_Refin">Assumptions!$H$33</definedName>
    <definedName name="_xlnm.Print_Area" localSheetId="7">Assumptions!$A$1:$V$522</definedName>
    <definedName name="_xlnm.Print_Area" localSheetId="2">'Official Summary'!$B$1:$N$125</definedName>
    <definedName name="_xlnm.Print_Area" localSheetId="3">'Summary II'!$A$1:$V$125</definedName>
    <definedName name="Sale_Date">Assumptions!$F$35</definedName>
  </definedNames>
  <calcPr calcId="191028" iterate="1" calcCompleted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11" i="2" l="1"/>
  <c r="F10" i="11" l="1"/>
  <c r="E4" i="11"/>
  <c r="F109" i="2" l="1"/>
  <c r="F108" i="2"/>
  <c r="F107" i="2"/>
  <c r="F106" i="2"/>
  <c r="D17" i="6"/>
  <c r="R52" i="1" l="1"/>
  <c r="I41" i="5"/>
  <c r="J41" i="5"/>
  <c r="H41" i="5"/>
  <c r="I40" i="5"/>
  <c r="J40" i="5"/>
  <c r="H40" i="5"/>
  <c r="I39" i="5"/>
  <c r="J39" i="5"/>
  <c r="H39" i="5"/>
  <c r="I38" i="5"/>
  <c r="J38" i="5"/>
  <c r="H38" i="5"/>
  <c r="G20" i="6"/>
  <c r="H20" i="6"/>
  <c r="I20" i="6"/>
  <c r="J20" i="6"/>
  <c r="H19" i="6"/>
  <c r="I19" i="6"/>
  <c r="G19" i="6"/>
  <c r="H17" i="6"/>
  <c r="I17" i="6"/>
  <c r="G17" i="6"/>
  <c r="H16" i="6"/>
  <c r="I16" i="6"/>
  <c r="G16" i="6"/>
  <c r="G15" i="6"/>
  <c r="G10" i="6"/>
  <c r="G9" i="6"/>
  <c r="G7" i="6"/>
  <c r="G6" i="6"/>
  <c r="H15" i="6"/>
  <c r="I15" i="6"/>
  <c r="G13" i="6"/>
  <c r="H13" i="6"/>
  <c r="I13" i="6"/>
  <c r="H12" i="6"/>
  <c r="I12" i="6"/>
  <c r="G12" i="6"/>
  <c r="H10" i="6"/>
  <c r="I10" i="6"/>
  <c r="H9" i="6"/>
  <c r="I9" i="6"/>
  <c r="J34" i="6"/>
  <c r="J35" i="6"/>
  <c r="J36" i="6"/>
  <c r="J32" i="6"/>
  <c r="S5" i="6"/>
  <c r="S7" i="6" s="1"/>
  <c r="S6" i="6"/>
  <c r="S8" i="6" s="1"/>
  <c r="H7" i="6"/>
  <c r="I7" i="6"/>
  <c r="Y31" i="6"/>
  <c r="Y32" i="6"/>
  <c r="Y33" i="6"/>
  <c r="J29" i="6"/>
  <c r="Y28" i="6"/>
  <c r="Y29" i="6"/>
  <c r="J26" i="6"/>
  <c r="J25" i="6"/>
  <c r="AN80" i="3"/>
  <c r="AH88" i="3"/>
  <c r="AH89" i="3"/>
  <c r="AH87" i="3"/>
  <c r="AH81" i="3"/>
  <c r="AH82" i="3"/>
  <c r="AH80" i="3"/>
  <c r="H49" i="5"/>
  <c r="R53" i="1"/>
  <c r="R34" i="1"/>
  <c r="R33" i="1"/>
  <c r="R32" i="1"/>
  <c r="R31" i="1"/>
  <c r="R29" i="1"/>
  <c r="E104" i="1"/>
  <c r="M109" i="1" s="1"/>
  <c r="D102" i="5" s="1"/>
  <c r="J9" i="5"/>
  <c r="I9" i="5"/>
  <c r="H9" i="5"/>
  <c r="F20" i="3"/>
  <c r="F21" i="3"/>
  <c r="F22" i="3"/>
  <c r="F23" i="3"/>
  <c r="F24" i="3"/>
  <c r="F25" i="3"/>
  <c r="F26" i="3"/>
  <c r="F27" i="3"/>
  <c r="F28" i="3"/>
  <c r="F19" i="3"/>
  <c r="L26" i="11"/>
  <c r="L25" i="11"/>
  <c r="L24" i="11"/>
  <c r="L23" i="11"/>
  <c r="L22" i="11"/>
  <c r="L20" i="11"/>
  <c r="L19" i="11"/>
  <c r="L18" i="11"/>
  <c r="L17" i="11"/>
  <c r="AR26" i="3"/>
  <c r="AR27" i="3"/>
  <c r="AR28" i="3"/>
  <c r="AR25" i="3"/>
  <c r="AR24" i="3"/>
  <c r="AH24" i="3"/>
  <c r="AR20" i="3"/>
  <c r="AR19" i="3"/>
  <c r="F31" i="11"/>
  <c r="F32" i="11"/>
  <c r="F33" i="11"/>
  <c r="F34" i="11"/>
  <c r="F35" i="11"/>
  <c r="F36" i="11"/>
  <c r="F43" i="11"/>
  <c r="F44" i="11"/>
  <c r="F45" i="11"/>
  <c r="E8" i="11" s="1"/>
  <c r="F46" i="11"/>
  <c r="E7" i="11" s="1"/>
  <c r="F47" i="11"/>
  <c r="F48" i="11"/>
  <c r="F49" i="11"/>
  <c r="F50" i="11"/>
  <c r="F51" i="11"/>
  <c r="F52" i="11"/>
  <c r="F53" i="11"/>
  <c r="F55" i="11"/>
  <c r="F56" i="11"/>
  <c r="F57" i="11"/>
  <c r="E6" i="11"/>
  <c r="E5" i="11"/>
  <c r="F17" i="11"/>
  <c r="F18" i="11"/>
  <c r="F19" i="11"/>
  <c r="F23" i="11"/>
  <c r="F25" i="11"/>
  <c r="F26" i="11"/>
  <c r="F27" i="11"/>
  <c r="F28" i="11"/>
  <c r="F29" i="11"/>
  <c r="F30" i="11"/>
  <c r="F21" i="11"/>
  <c r="F22" i="11"/>
  <c r="F20" i="11"/>
  <c r="E9" i="11" s="1"/>
  <c r="F166" i="1"/>
  <c r="F121" i="1"/>
  <c r="N112" i="1"/>
  <c r="O112" i="1" s="1"/>
  <c r="P112" i="1" s="1"/>
  <c r="N111" i="1"/>
  <c r="O111" i="1" s="1"/>
  <c r="P111" i="1" s="1"/>
  <c r="F206" i="1"/>
  <c r="G206" i="1"/>
  <c r="H206" i="1"/>
  <c r="F208" i="1"/>
  <c r="G208" i="1"/>
  <c r="H208" i="1"/>
  <c r="I23" i="3"/>
  <c r="I21" i="3"/>
  <c r="F196" i="1"/>
  <c r="F175" i="1"/>
  <c r="F172" i="1"/>
  <c r="F91" i="1"/>
  <c r="U21" i="3"/>
  <c r="U22" i="3"/>
  <c r="U23" i="3"/>
  <c r="U24" i="3"/>
  <c r="U25" i="3"/>
  <c r="U26" i="3"/>
  <c r="U27" i="3"/>
  <c r="U20" i="3"/>
  <c r="V20" i="3"/>
  <c r="V21" i="3"/>
  <c r="V22" i="3"/>
  <c r="V23" i="3"/>
  <c r="V24" i="3"/>
  <c r="V25" i="3"/>
  <c r="V26" i="3"/>
  <c r="V27" i="3"/>
  <c r="AE158" i="1"/>
  <c r="I26" i="3"/>
  <c r="Z25" i="3"/>
  <c r="I25" i="3"/>
  <c r="I24" i="3"/>
  <c r="BP218" i="3"/>
  <c r="BO218" i="3"/>
  <c r="BO216" i="3"/>
  <c r="I22" i="3"/>
  <c r="M110" i="1"/>
  <c r="E102" i="5" s="1"/>
  <c r="J19" i="6" l="1"/>
  <c r="J9" i="6"/>
  <c r="J15" i="6"/>
  <c r="J17" i="6"/>
  <c r="J28" i="6"/>
  <c r="J16" i="6"/>
  <c r="E108" i="1"/>
  <c r="E10" i="11"/>
  <c r="F108" i="1"/>
  <c r="F104" i="1"/>
  <c r="N109" i="1" s="1"/>
  <c r="I27" i="3" l="1"/>
  <c r="F117" i="1"/>
  <c r="N110" i="1" s="1"/>
  <c r="G46" i="1"/>
  <c r="H46" i="1"/>
  <c r="G47" i="1"/>
  <c r="H47" i="1"/>
  <c r="F46" i="1"/>
  <c r="F47" i="1"/>
  <c r="CR6" i="5"/>
  <c r="F87" i="1"/>
  <c r="F83" i="1"/>
  <c r="F79" i="1"/>
  <c r="F68" i="1"/>
  <c r="F64" i="1"/>
  <c r="P59" i="1" l="1"/>
  <c r="O59" i="1"/>
  <c r="N59" i="1"/>
  <c r="P60" i="1"/>
  <c r="O60" i="1"/>
  <c r="N60" i="1"/>
  <c r="Z27" i="3"/>
  <c r="BC24" i="3"/>
  <c r="C58" i="1"/>
  <c r="L19" i="3"/>
  <c r="O97" i="1"/>
  <c r="P97" i="1" s="1"/>
  <c r="O98" i="1"/>
  <c r="P98" i="1" s="1"/>
  <c r="O99" i="1"/>
  <c r="P99" i="1" s="1"/>
  <c r="AF261" i="1"/>
  <c r="AG261" i="1" s="1"/>
  <c r="AF262" i="1"/>
  <c r="AG262" i="1" s="1"/>
  <c r="AF263" i="1"/>
  <c r="AG263" i="1" s="1"/>
  <c r="AF264" i="1"/>
  <c r="AG264" i="1" s="1"/>
  <c r="O100" i="1"/>
  <c r="P100" i="1" s="1"/>
  <c r="I62" i="2"/>
  <c r="C29" i="29" l="1"/>
  <c r="D29" i="29"/>
  <c r="E29" i="29"/>
  <c r="B29" i="29"/>
  <c r="C28" i="29"/>
  <c r="D28" i="29"/>
  <c r="E28" i="29"/>
  <c r="B28" i="29"/>
  <c r="B26" i="29"/>
  <c r="B27" i="29"/>
  <c r="C27" i="29"/>
  <c r="D27" i="29"/>
  <c r="E27" i="29"/>
  <c r="C26" i="29"/>
  <c r="D26" i="29"/>
  <c r="E26" i="29"/>
  <c r="G45" i="1"/>
  <c r="H45" i="1"/>
  <c r="F45" i="1"/>
  <c r="AF36" i="1"/>
  <c r="AG36" i="1"/>
  <c r="AE36" i="1"/>
  <c r="G51" i="1"/>
  <c r="H51" i="1"/>
  <c r="F51" i="1"/>
  <c r="AF35" i="1"/>
  <c r="AG35" i="1"/>
  <c r="AE35" i="1"/>
  <c r="G50" i="1"/>
  <c r="H50" i="1"/>
  <c r="F50" i="1"/>
  <c r="G49" i="1"/>
  <c r="H49" i="1"/>
  <c r="F49" i="1"/>
  <c r="AF212" i="1"/>
  <c r="AG212" i="1"/>
  <c r="AE212" i="1"/>
  <c r="AF33" i="1"/>
  <c r="AG33" i="1"/>
  <c r="AE33" i="1"/>
  <c r="G48" i="1"/>
  <c r="H48" i="1"/>
  <c r="F48" i="1"/>
  <c r="Z448" i="23"/>
  <c r="Y448" i="23"/>
  <c r="X448" i="23"/>
  <c r="W448" i="23"/>
  <c r="V448" i="23"/>
  <c r="U448" i="23"/>
  <c r="T448" i="23"/>
  <c r="S448" i="23"/>
  <c r="R448" i="23"/>
  <c r="Q448" i="23"/>
  <c r="P448" i="23"/>
  <c r="O448" i="23"/>
  <c r="N448" i="23"/>
  <c r="M448" i="23"/>
  <c r="L448" i="23"/>
  <c r="K448" i="23"/>
  <c r="J448" i="23"/>
  <c r="I448" i="23"/>
  <c r="H448" i="23"/>
  <c r="G448" i="23"/>
  <c r="F448" i="23"/>
  <c r="F290" i="23"/>
  <c r="AF267" i="1"/>
  <c r="AG267" i="1"/>
  <c r="AE267" i="1"/>
  <c r="AF180" i="1"/>
  <c r="AG180" i="1"/>
  <c r="AE180" i="1"/>
  <c r="BU171" i="1"/>
  <c r="G290" i="23" l="1"/>
  <c r="H290" i="23" l="1"/>
  <c r="I290" i="23" l="1"/>
  <c r="J290" i="23" l="1"/>
  <c r="K290" i="23" l="1"/>
  <c r="L290" i="23" l="1"/>
  <c r="M290" i="23" l="1"/>
  <c r="N290" i="23" l="1"/>
  <c r="O290" i="23" l="1"/>
  <c r="P290" i="23" l="1"/>
  <c r="Q290" i="23" l="1"/>
  <c r="R290" i="23" l="1"/>
  <c r="S290" i="23" l="1"/>
  <c r="T290" i="23" l="1"/>
  <c r="U290" i="23" l="1"/>
  <c r="V290" i="23" l="1"/>
  <c r="W290" i="23" l="1"/>
  <c r="X290" i="23" l="1"/>
  <c r="Y290" i="23" l="1"/>
  <c r="Z290" i="23" l="1"/>
  <c r="M81" i="32" l="1"/>
  <c r="N98" i="32" l="1"/>
  <c r="N94" i="32"/>
  <c r="N96" i="32" s="1"/>
  <c r="N99" i="32" s="1"/>
  <c r="N100" i="32" l="1"/>
  <c r="N102" i="32" s="1"/>
  <c r="V10" i="6" l="1"/>
  <c r="AR43" i="3"/>
  <c r="N33" i="25"/>
  <c r="O46" i="25"/>
  <c r="O44" i="25"/>
  <c r="W10" i="6"/>
  <c r="X10" i="6"/>
  <c r="J62" i="6"/>
  <c r="W8" i="6"/>
  <c r="X8" i="6"/>
  <c r="V16" i="6"/>
  <c r="V8" i="6"/>
  <c r="W6" i="6"/>
  <c r="X6" i="6"/>
  <c r="V6" i="6"/>
  <c r="Y38" i="6"/>
  <c r="W5" i="6"/>
  <c r="X5" i="6"/>
  <c r="V5" i="6"/>
  <c r="P77" i="6"/>
  <c r="Q77" i="6" s="1"/>
  <c r="P78" i="6"/>
  <c r="Q78" i="6" s="1"/>
  <c r="P79" i="6"/>
  <c r="Q79" i="6" s="1"/>
  <c r="P80" i="6"/>
  <c r="Q80" i="6" s="1"/>
  <c r="P81" i="6"/>
  <c r="Q81" i="6" s="1"/>
  <c r="P82" i="6"/>
  <c r="Q82" i="6" s="1"/>
  <c r="P83" i="6"/>
  <c r="Q83" i="6" s="1"/>
  <c r="P76" i="6"/>
  <c r="Q76" i="6" s="1"/>
  <c r="P67" i="6"/>
  <c r="Q67" i="6" s="1"/>
  <c r="P68" i="6"/>
  <c r="Q68" i="6" s="1"/>
  <c r="P69" i="6"/>
  <c r="Q69" i="6" s="1"/>
  <c r="P70" i="6"/>
  <c r="Q70" i="6" s="1"/>
  <c r="P71" i="6"/>
  <c r="Q71" i="6" s="1"/>
  <c r="P72" i="6"/>
  <c r="Q72" i="6" s="1"/>
  <c r="P73" i="6"/>
  <c r="Q73" i="6" s="1"/>
  <c r="P66" i="6"/>
  <c r="Q66" i="6" s="1"/>
  <c r="P58" i="6"/>
  <c r="S60" i="6" s="1"/>
  <c r="P48" i="6"/>
  <c r="M49" i="6"/>
  <c r="M50" i="6"/>
  <c r="M51" i="6"/>
  <c r="M52" i="6"/>
  <c r="M53" i="6"/>
  <c r="M54" i="6"/>
  <c r="M55" i="6"/>
  <c r="M48" i="6"/>
  <c r="P52" i="6"/>
  <c r="P53" i="6"/>
  <c r="P54" i="6"/>
  <c r="P55" i="6"/>
  <c r="P51" i="6"/>
  <c r="P50" i="6"/>
  <c r="P49" i="6"/>
  <c r="J30" i="6"/>
  <c r="J31" i="6"/>
  <c r="P26" i="6"/>
  <c r="Q26" i="6"/>
  <c r="O26" i="6"/>
  <c r="N28" i="6"/>
  <c r="N29" i="6"/>
  <c r="N30" i="6"/>
  <c r="N27" i="6"/>
  <c r="Y8" i="6" l="1"/>
  <c r="Y6" i="6"/>
  <c r="Y10" i="6"/>
  <c r="Y5" i="6"/>
  <c r="Q74" i="6"/>
  <c r="S61" i="6" s="1"/>
  <c r="Q84" i="6"/>
  <c r="S62" i="6" s="1"/>
  <c r="S63" i="6" l="1"/>
  <c r="N84" i="32" l="1"/>
  <c r="BU27" i="3"/>
  <c r="AN26" i="3"/>
  <c r="AN25" i="3"/>
  <c r="AN24" i="3"/>
  <c r="AN23" i="3"/>
  <c r="M84" i="32"/>
  <c r="AE44" i="3"/>
  <c r="AE43" i="3"/>
  <c r="AD46" i="3"/>
  <c r="AD45" i="3"/>
  <c r="AD44" i="3"/>
  <c r="AD43" i="3"/>
  <c r="G19" i="3"/>
  <c r="U84" i="32"/>
  <c r="S84" i="32"/>
  <c r="R84" i="32"/>
  <c r="Q84" i="32"/>
  <c r="P84" i="32"/>
  <c r="O84" i="32"/>
  <c r="L84" i="32"/>
  <c r="K84" i="32"/>
  <c r="J84" i="32"/>
  <c r="I84" i="32"/>
  <c r="H84" i="32"/>
  <c r="G84" i="32"/>
  <c r="F84" i="32"/>
  <c r="D84" i="32"/>
  <c r="C84" i="32"/>
  <c r="V84" i="32" s="1"/>
  <c r="V83" i="32"/>
  <c r="V82" i="32"/>
  <c r="V81" i="32"/>
  <c r="T79" i="32"/>
  <c r="T84" i="32" s="1"/>
  <c r="E79" i="32"/>
  <c r="E84" i="32" s="1"/>
  <c r="U75" i="32"/>
  <c r="T75" i="32"/>
  <c r="S75" i="32"/>
  <c r="S90" i="32" s="1"/>
  <c r="Q30" i="6" s="1"/>
  <c r="R75" i="32"/>
  <c r="R90" i="32" s="1"/>
  <c r="P30" i="6" s="1"/>
  <c r="Q34" i="6" s="1"/>
  <c r="Q75" i="32"/>
  <c r="Q90" i="32" s="1"/>
  <c r="O30" i="6" s="1"/>
  <c r="O34" i="6" s="1"/>
  <c r="P75" i="32"/>
  <c r="O75" i="32"/>
  <c r="L75" i="32"/>
  <c r="K75" i="32"/>
  <c r="J75" i="32"/>
  <c r="I75" i="32"/>
  <c r="H75" i="32"/>
  <c r="G75" i="32"/>
  <c r="H76" i="32" s="1"/>
  <c r="F75" i="32"/>
  <c r="C75" i="32"/>
  <c r="V74" i="32"/>
  <c r="E73" i="32"/>
  <c r="V73" i="32" s="1"/>
  <c r="M72" i="32"/>
  <c r="M75" i="32" s="1"/>
  <c r="E72" i="32"/>
  <c r="E75" i="32" s="1"/>
  <c r="M71" i="32"/>
  <c r="V71" i="32" s="1"/>
  <c r="N70" i="32"/>
  <c r="V70" i="32" s="1"/>
  <c r="D69" i="32"/>
  <c r="D75" i="32" s="1"/>
  <c r="T65" i="32"/>
  <c r="S65" i="32"/>
  <c r="R65" i="32"/>
  <c r="Q65" i="32"/>
  <c r="P65" i="32"/>
  <c r="O65" i="32"/>
  <c r="K65" i="32"/>
  <c r="J65" i="32"/>
  <c r="I65" i="32"/>
  <c r="H65" i="32"/>
  <c r="G65" i="32"/>
  <c r="F65" i="32"/>
  <c r="E65" i="32"/>
  <c r="D65" i="32"/>
  <c r="C65" i="32"/>
  <c r="V64" i="32"/>
  <c r="T63" i="32"/>
  <c r="M63" i="32"/>
  <c r="M65" i="32" s="1"/>
  <c r="L63" i="32"/>
  <c r="L65" i="32" s="1"/>
  <c r="M66" i="32" s="1"/>
  <c r="S59" i="32"/>
  <c r="R59" i="32"/>
  <c r="Q59" i="32"/>
  <c r="P59" i="32"/>
  <c r="O59" i="32"/>
  <c r="L59" i="32"/>
  <c r="M60" i="32" s="1"/>
  <c r="K59" i="32"/>
  <c r="J59" i="32"/>
  <c r="I59" i="32"/>
  <c r="H59" i="32"/>
  <c r="G59" i="32"/>
  <c r="G60" i="32" s="1"/>
  <c r="F59" i="32"/>
  <c r="D59" i="32"/>
  <c r="C59" i="32"/>
  <c r="V58" i="32"/>
  <c r="V57" i="32"/>
  <c r="E56" i="32"/>
  <c r="V56" i="32" s="1"/>
  <c r="M55" i="32"/>
  <c r="V55" i="32" s="1"/>
  <c r="E54" i="32"/>
  <c r="V54" i="32" s="1"/>
  <c r="M53" i="32"/>
  <c r="M59" i="32" s="1"/>
  <c r="E52" i="32"/>
  <c r="V52" i="32" s="1"/>
  <c r="S48" i="32"/>
  <c r="R48" i="32"/>
  <c r="Q48" i="32"/>
  <c r="P48" i="32"/>
  <c r="O48" i="32"/>
  <c r="J48" i="32"/>
  <c r="I48" i="32"/>
  <c r="H48" i="32"/>
  <c r="G48" i="32"/>
  <c r="F48" i="32"/>
  <c r="C48" i="32"/>
  <c r="V47" i="32"/>
  <c r="E46" i="32"/>
  <c r="E48" i="32" s="1"/>
  <c r="K45" i="32"/>
  <c r="V45" i="32" s="1"/>
  <c r="D44" i="32"/>
  <c r="V44" i="32" s="1"/>
  <c r="M43" i="32"/>
  <c r="V43" i="32" s="1"/>
  <c r="K42" i="32"/>
  <c r="K48" i="32" s="1"/>
  <c r="M41" i="32"/>
  <c r="M48" i="32" s="1"/>
  <c r="I38" i="32"/>
  <c r="S37" i="32"/>
  <c r="R37" i="32"/>
  <c r="Q37" i="32"/>
  <c r="P37" i="32"/>
  <c r="O37" i="32"/>
  <c r="M37" i="32"/>
  <c r="J37" i="32"/>
  <c r="I37" i="32"/>
  <c r="G37" i="32"/>
  <c r="F37" i="32"/>
  <c r="E37" i="32"/>
  <c r="C37" i="32"/>
  <c r="V37" i="32" s="1"/>
  <c r="V36" i="32"/>
  <c r="V35" i="32"/>
  <c r="E35" i="32"/>
  <c r="E34" i="32"/>
  <c r="V34" i="32" s="1"/>
  <c r="V33" i="32"/>
  <c r="E32" i="32"/>
  <c r="V32" i="32" s="1"/>
  <c r="T28" i="32"/>
  <c r="S28" i="32"/>
  <c r="R28" i="32"/>
  <c r="Q28" i="32"/>
  <c r="P28" i="32"/>
  <c r="O28" i="32"/>
  <c r="M28" i="32"/>
  <c r="G28" i="32"/>
  <c r="F28" i="32"/>
  <c r="E28" i="32"/>
  <c r="C28" i="32"/>
  <c r="V27" i="32"/>
  <c r="S23" i="32"/>
  <c r="R23" i="32"/>
  <c r="Q23" i="32"/>
  <c r="P23" i="32"/>
  <c r="O23" i="32"/>
  <c r="M23" i="32"/>
  <c r="C23" i="32"/>
  <c r="V22" i="32"/>
  <c r="E21" i="32"/>
  <c r="V21" i="32" s="1"/>
  <c r="V20" i="32"/>
  <c r="E20" i="32"/>
  <c r="V19" i="32"/>
  <c r="M19" i="32"/>
  <c r="G18" i="32"/>
  <c r="G23" i="32" s="1"/>
  <c r="E18" i="32"/>
  <c r="V18" i="32" s="1"/>
  <c r="F17" i="32"/>
  <c r="F23" i="32" s="1"/>
  <c r="V14" i="32"/>
  <c r="P14" i="32"/>
  <c r="C14" i="32"/>
  <c r="V13" i="32"/>
  <c r="S10" i="32"/>
  <c r="R10" i="32"/>
  <c r="Q10" i="32"/>
  <c r="P10" i="32"/>
  <c r="M10" i="32"/>
  <c r="G10" i="32"/>
  <c r="E10" i="32"/>
  <c r="C10" i="32"/>
  <c r="V9" i="32"/>
  <c r="F8" i="32"/>
  <c r="V8" i="32" s="1"/>
  <c r="V7" i="32"/>
  <c r="E6" i="32"/>
  <c r="V6" i="32" s="1"/>
  <c r="E5" i="32"/>
  <c r="V5" i="32" s="1"/>
  <c r="O4" i="32"/>
  <c r="V4" i="32" s="1"/>
  <c r="V3" i="32"/>
  <c r="A3" i="30"/>
  <c r="A4" i="30" s="1"/>
  <c r="A5" i="30" s="1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V65" i="32" l="1"/>
  <c r="F10" i="32"/>
  <c r="V28" i="32"/>
  <c r="Q89" i="32"/>
  <c r="O29" i="6" s="1"/>
  <c r="O33" i="6" s="1"/>
  <c r="R89" i="32"/>
  <c r="P29" i="6" s="1"/>
  <c r="L89" i="32"/>
  <c r="L95" i="32" s="1"/>
  <c r="Q88" i="32"/>
  <c r="O28" i="6" s="1"/>
  <c r="O32" i="6" s="1"/>
  <c r="V46" i="32"/>
  <c r="S89" i="32"/>
  <c r="R88" i="32"/>
  <c r="P28" i="6" s="1"/>
  <c r="V72" i="32"/>
  <c r="N75" i="32"/>
  <c r="V75" i="32" s="1"/>
  <c r="S88" i="32"/>
  <c r="Q87" i="32"/>
  <c r="O27" i="6" s="1"/>
  <c r="L88" i="32"/>
  <c r="L100" i="32"/>
  <c r="D48" i="32"/>
  <c r="V48" i="32" s="1"/>
  <c r="V63" i="32"/>
  <c r="R87" i="32"/>
  <c r="P27" i="6" s="1"/>
  <c r="S87" i="32"/>
  <c r="Q27" i="6" s="1"/>
  <c r="H49" i="32"/>
  <c r="V53" i="32"/>
  <c r="D49" i="32"/>
  <c r="V17" i="32"/>
  <c r="E23" i="32"/>
  <c r="V23" i="32" s="1"/>
  <c r="V42" i="32"/>
  <c r="V69" i="32"/>
  <c r="V80" i="32"/>
  <c r="O10" i="32"/>
  <c r="V10" i="32" s="1"/>
  <c r="V41" i="32"/>
  <c r="V79" i="32"/>
  <c r="E59" i="32"/>
  <c r="V59" i="32" s="1"/>
  <c r="L93" i="32" l="1"/>
  <c r="L94" i="32" s="1"/>
  <c r="L96" i="32" s="1"/>
  <c r="L90" i="32"/>
  <c r="V88" i="32"/>
  <c r="Y46" i="3" l="1"/>
  <c r="AN27" i="3"/>
  <c r="Y43" i="3" l="1"/>
  <c r="AH28" i="3"/>
  <c r="G55" i="25"/>
  <c r="D57" i="25"/>
  <c r="D55" i="25"/>
  <c r="D50" i="25"/>
  <c r="D49" i="25"/>
  <c r="D48" i="25"/>
  <c r="A105" i="7" l="1"/>
  <c r="D27" i="27" l="1"/>
  <c r="D26" i="27"/>
  <c r="D25" i="27"/>
  <c r="F48" i="27"/>
  <c r="E48" i="27"/>
  <c r="A76" i="7" l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75" i="7"/>
  <c r="I56" i="27"/>
  <c r="H57" i="27"/>
  <c r="I57" i="27"/>
  <c r="G56" i="27"/>
  <c r="D57" i="27"/>
  <c r="D56" i="27"/>
  <c r="D55" i="27"/>
  <c r="B57" i="27"/>
  <c r="B56" i="27"/>
  <c r="B55" i="27"/>
  <c r="D42" i="27"/>
  <c r="D41" i="27"/>
  <c r="D38" i="27"/>
  <c r="D37" i="27"/>
  <c r="C22" i="27" l="1"/>
  <c r="C21" i="27"/>
  <c r="C18" i="27"/>
  <c r="C17" i="27"/>
  <c r="C16" i="27"/>
  <c r="C15" i="27"/>
  <c r="M76" i="27"/>
  <c r="M77" i="27"/>
  <c r="M78" i="27"/>
  <c r="M79" i="27"/>
  <c r="M80" i="27"/>
  <c r="M81" i="27"/>
  <c r="M75" i="27"/>
  <c r="M68" i="27"/>
  <c r="M58" i="27"/>
  <c r="M59" i="27"/>
  <c r="M60" i="27"/>
  <c r="M61" i="27"/>
  <c r="M62" i="27"/>
  <c r="M63" i="27"/>
  <c r="M57" i="27"/>
  <c r="U43" i="27"/>
  <c r="U44" i="27"/>
  <c r="S43" i="27"/>
  <c r="S44" i="27"/>
  <c r="Q43" i="27"/>
  <c r="Q44" i="27"/>
  <c r="M45" i="27"/>
  <c r="M40" i="27"/>
  <c r="M41" i="27"/>
  <c r="M42" i="27"/>
  <c r="M43" i="27"/>
  <c r="M44" i="27"/>
  <c r="M39" i="27"/>
  <c r="E17" i="27"/>
  <c r="M14" i="27"/>
  <c r="M16" i="27"/>
  <c r="M13" i="27"/>
  <c r="M7" i="27"/>
  <c r="M8" i="27"/>
  <c r="M9" i="27"/>
  <c r="M10" i="27"/>
  <c r="M11" i="27"/>
  <c r="M12" i="27"/>
  <c r="M6" i="27"/>
  <c r="P43" i="27" l="1"/>
  <c r="P44" i="27"/>
  <c r="E27" i="27"/>
  <c r="E26" i="27"/>
  <c r="E25" i="27"/>
  <c r="BI182" i="3" l="1"/>
  <c r="BK182" i="3"/>
  <c r="BM182" i="3"/>
  <c r="AD51" i="1"/>
  <c r="E18" i="27"/>
  <c r="E16" i="27"/>
  <c r="E15" i="27"/>
  <c r="H13" i="27" l="1"/>
  <c r="I13" i="27"/>
  <c r="G13" i="27"/>
  <c r="BQ53" i="22" l="1"/>
  <c r="BP53" i="22"/>
  <c r="BO53" i="22"/>
  <c r="BN53" i="22"/>
  <c r="BM53" i="22"/>
  <c r="BL53" i="22"/>
  <c r="BK53" i="22"/>
  <c r="BJ53" i="22"/>
  <c r="BI53" i="22"/>
  <c r="BH53" i="22"/>
  <c r="BG53" i="22"/>
  <c r="BF53" i="22"/>
  <c r="BE53" i="22"/>
  <c r="BD53" i="22"/>
  <c r="BC53" i="22"/>
  <c r="BB53" i="22"/>
  <c r="BA53" i="22"/>
  <c r="AZ53" i="22"/>
  <c r="AY53" i="22"/>
  <c r="AX53" i="22"/>
  <c r="AW53" i="22"/>
  <c r="F142" i="23"/>
  <c r="G142" i="23" s="1"/>
  <c r="F115" i="23"/>
  <c r="G115" i="23" s="1"/>
  <c r="AX104" i="22"/>
  <c r="AW96" i="22"/>
  <c r="AX96" i="22" s="1"/>
  <c r="AW69" i="22"/>
  <c r="AX69" i="22" s="1"/>
  <c r="AA33" i="1"/>
  <c r="AP98" i="1"/>
  <c r="AR79" i="18" s="1"/>
  <c r="AS79" i="18" s="1"/>
  <c r="AT79" i="18" s="1"/>
  <c r="AU79" i="18" s="1"/>
  <c r="AV79" i="18" s="1"/>
  <c r="AW79" i="18" s="1"/>
  <c r="AX79" i="18" s="1"/>
  <c r="AY79" i="18" s="1"/>
  <c r="AZ79" i="18" s="1"/>
  <c r="BA79" i="18" s="1"/>
  <c r="BB79" i="18" s="1"/>
  <c r="BC79" i="18" s="1"/>
  <c r="BD79" i="18" s="1"/>
  <c r="BE79" i="18" s="1"/>
  <c r="BF79" i="18" s="1"/>
  <c r="BG79" i="18" s="1"/>
  <c r="BH79" i="18" s="1"/>
  <c r="BI79" i="18" s="1"/>
  <c r="BJ79" i="18" s="1"/>
  <c r="BK79" i="18" s="1"/>
  <c r="AQ98" i="1"/>
  <c r="AR98" i="1"/>
  <c r="G150" i="23" s="1"/>
  <c r="H150" i="23" s="1"/>
  <c r="I150" i="23" s="1"/>
  <c r="J150" i="23" s="1"/>
  <c r="K150" i="23" s="1"/>
  <c r="L150" i="23" s="1"/>
  <c r="M150" i="23" s="1"/>
  <c r="N150" i="23" s="1"/>
  <c r="O150" i="23" s="1"/>
  <c r="P150" i="23" s="1"/>
  <c r="Q150" i="23" s="1"/>
  <c r="R150" i="23" s="1"/>
  <c r="S150" i="23" s="1"/>
  <c r="T150" i="23" s="1"/>
  <c r="U150" i="23" s="1"/>
  <c r="V150" i="23" s="1"/>
  <c r="W150" i="23" s="1"/>
  <c r="X150" i="23" s="1"/>
  <c r="Y150" i="23" s="1"/>
  <c r="Z150" i="23" s="1"/>
  <c r="AP97" i="1"/>
  <c r="AR56" i="18" s="1"/>
  <c r="AS56" i="18" s="1"/>
  <c r="AQ97" i="1"/>
  <c r="AX77" i="22" s="1"/>
  <c r="AY77" i="22" s="1"/>
  <c r="AR97" i="1"/>
  <c r="G123" i="23" s="1"/>
  <c r="H123" i="23" s="1"/>
  <c r="I123" i="23" s="1"/>
  <c r="J123" i="23" s="1"/>
  <c r="K123" i="23" s="1"/>
  <c r="L123" i="23" s="1"/>
  <c r="M123" i="23" s="1"/>
  <c r="N123" i="23" s="1"/>
  <c r="O123" i="23" s="1"/>
  <c r="P123" i="23" s="1"/>
  <c r="Q123" i="23" s="1"/>
  <c r="R123" i="23" s="1"/>
  <c r="S123" i="23" s="1"/>
  <c r="T123" i="23" s="1"/>
  <c r="U123" i="23" s="1"/>
  <c r="V123" i="23" s="1"/>
  <c r="W123" i="23" s="1"/>
  <c r="X123" i="23" s="1"/>
  <c r="Y123" i="23" s="1"/>
  <c r="Z123" i="23" s="1"/>
  <c r="AP87" i="1"/>
  <c r="AR78" i="18" s="1"/>
  <c r="AS78" i="18" s="1"/>
  <c r="AT78" i="18" s="1"/>
  <c r="AU78" i="18" s="1"/>
  <c r="AV78" i="18" s="1"/>
  <c r="AW78" i="18" s="1"/>
  <c r="AX78" i="18" s="1"/>
  <c r="AY78" i="18" s="1"/>
  <c r="AZ78" i="18" s="1"/>
  <c r="BA78" i="18" s="1"/>
  <c r="BB78" i="18" s="1"/>
  <c r="BC78" i="18" s="1"/>
  <c r="BD78" i="18" s="1"/>
  <c r="BE78" i="18" s="1"/>
  <c r="BF78" i="18" s="1"/>
  <c r="BG78" i="18" s="1"/>
  <c r="BH78" i="18" s="1"/>
  <c r="BI78" i="18" s="1"/>
  <c r="BJ78" i="18" s="1"/>
  <c r="BK78" i="18" s="1"/>
  <c r="AQ87" i="1"/>
  <c r="AX103" i="22" s="1"/>
  <c r="AY103" i="22" s="1"/>
  <c r="AZ103" i="22" s="1"/>
  <c r="BA103" i="22" s="1"/>
  <c r="BB103" i="22" s="1"/>
  <c r="BC103" i="22" s="1"/>
  <c r="BD103" i="22" s="1"/>
  <c r="BE103" i="22" s="1"/>
  <c r="BF103" i="22" s="1"/>
  <c r="BG103" i="22" s="1"/>
  <c r="BH103" i="22" s="1"/>
  <c r="BI103" i="22" s="1"/>
  <c r="BJ103" i="22" s="1"/>
  <c r="BK103" i="22" s="1"/>
  <c r="BL103" i="22" s="1"/>
  <c r="BM103" i="22" s="1"/>
  <c r="BN103" i="22" s="1"/>
  <c r="BO103" i="22" s="1"/>
  <c r="BP103" i="22" s="1"/>
  <c r="BQ103" i="22" s="1"/>
  <c r="AR87" i="1"/>
  <c r="G149" i="23" s="1"/>
  <c r="H149" i="23" s="1"/>
  <c r="I149" i="23" s="1"/>
  <c r="J149" i="23" s="1"/>
  <c r="K149" i="23" s="1"/>
  <c r="L149" i="23" s="1"/>
  <c r="M149" i="23" s="1"/>
  <c r="N149" i="23" s="1"/>
  <c r="O149" i="23" s="1"/>
  <c r="P149" i="23" s="1"/>
  <c r="Q149" i="23" s="1"/>
  <c r="R149" i="23" s="1"/>
  <c r="S149" i="23" s="1"/>
  <c r="T149" i="23" s="1"/>
  <c r="U149" i="23" s="1"/>
  <c r="V149" i="23" s="1"/>
  <c r="W149" i="23" s="1"/>
  <c r="X149" i="23" s="1"/>
  <c r="Y149" i="23" s="1"/>
  <c r="Z149" i="23" s="1"/>
  <c r="AP86" i="1"/>
  <c r="AR55" i="18" s="1"/>
  <c r="AS55" i="18" s="1"/>
  <c r="AT55" i="18" s="1"/>
  <c r="AU55" i="18" s="1"/>
  <c r="AV55" i="18" s="1"/>
  <c r="AW55" i="18" s="1"/>
  <c r="AX55" i="18" s="1"/>
  <c r="AY55" i="18" s="1"/>
  <c r="AZ55" i="18" s="1"/>
  <c r="BA55" i="18" s="1"/>
  <c r="BB55" i="18" s="1"/>
  <c r="BC55" i="18" s="1"/>
  <c r="BD55" i="18" s="1"/>
  <c r="BE55" i="18" s="1"/>
  <c r="BF55" i="18" s="1"/>
  <c r="BG55" i="18" s="1"/>
  <c r="BH55" i="18" s="1"/>
  <c r="BI55" i="18" s="1"/>
  <c r="BJ55" i="18" s="1"/>
  <c r="BK55" i="18" s="1"/>
  <c r="AQ86" i="1"/>
  <c r="AX76" i="22" s="1"/>
  <c r="AY76" i="22" s="1"/>
  <c r="AZ76" i="22" s="1"/>
  <c r="BA76" i="22" s="1"/>
  <c r="BB76" i="22" s="1"/>
  <c r="BC76" i="22" s="1"/>
  <c r="BD76" i="22" s="1"/>
  <c r="BE76" i="22" s="1"/>
  <c r="BF76" i="22" s="1"/>
  <c r="BG76" i="22" s="1"/>
  <c r="BH76" i="22" s="1"/>
  <c r="BI76" i="22" s="1"/>
  <c r="BJ76" i="22" s="1"/>
  <c r="BK76" i="22" s="1"/>
  <c r="BL76" i="22" s="1"/>
  <c r="BM76" i="22" s="1"/>
  <c r="BN76" i="22" s="1"/>
  <c r="BO76" i="22" s="1"/>
  <c r="BP76" i="22" s="1"/>
  <c r="BQ76" i="22" s="1"/>
  <c r="AR86" i="1"/>
  <c r="G122" i="23" s="1"/>
  <c r="H122" i="23" s="1"/>
  <c r="I122" i="23" s="1"/>
  <c r="J122" i="23" s="1"/>
  <c r="K122" i="23" s="1"/>
  <c r="L122" i="23" s="1"/>
  <c r="M122" i="23" s="1"/>
  <c r="N122" i="23" s="1"/>
  <c r="O122" i="23" s="1"/>
  <c r="P122" i="23" s="1"/>
  <c r="Q122" i="23" s="1"/>
  <c r="R122" i="23" s="1"/>
  <c r="S122" i="23" s="1"/>
  <c r="T122" i="23" s="1"/>
  <c r="U122" i="23" s="1"/>
  <c r="V122" i="23" s="1"/>
  <c r="W122" i="23" s="1"/>
  <c r="X122" i="23" s="1"/>
  <c r="Y122" i="23" s="1"/>
  <c r="Z122" i="23" s="1"/>
  <c r="AP78" i="1"/>
  <c r="AQ78" i="1"/>
  <c r="AR78" i="1"/>
  <c r="AP77" i="1"/>
  <c r="AQ77" i="1"/>
  <c r="AR77" i="1"/>
  <c r="AQ71" i="18"/>
  <c r="AR71" i="18" s="1"/>
  <c r="AQ48" i="18"/>
  <c r="AR48" i="18" s="1"/>
  <c r="BD123" i="3"/>
  <c r="BB20" i="3"/>
  <c r="BC20" i="3"/>
  <c r="BB21" i="3"/>
  <c r="BC21" i="3"/>
  <c r="BB22" i="3"/>
  <c r="BC22" i="3"/>
  <c r="BB23" i="3"/>
  <c r="BC23" i="3"/>
  <c r="BB24" i="3"/>
  <c r="BB25" i="3"/>
  <c r="BC25" i="3"/>
  <c r="BB26" i="3"/>
  <c r="BC26" i="3"/>
  <c r="BB27" i="3"/>
  <c r="BC27" i="3"/>
  <c r="BB28" i="3"/>
  <c r="BC28" i="3"/>
  <c r="BB29" i="3"/>
  <c r="BC29" i="3"/>
  <c r="BB30" i="3"/>
  <c r="BC30" i="3"/>
  <c r="BB31" i="3"/>
  <c r="BC31" i="3"/>
  <c r="BB32" i="3"/>
  <c r="BC32" i="3"/>
  <c r="BB33" i="3"/>
  <c r="BC33" i="3"/>
  <c r="BB34" i="3"/>
  <c r="BC34" i="3"/>
  <c r="BB35" i="3"/>
  <c r="BC35" i="3"/>
  <c r="BB36" i="3"/>
  <c r="BC36" i="3"/>
  <c r="BB37" i="3"/>
  <c r="BC37" i="3"/>
  <c r="BB38" i="3"/>
  <c r="BC38" i="3"/>
  <c r="BB39" i="3"/>
  <c r="BC39" i="3"/>
  <c r="BB40" i="3"/>
  <c r="BC40" i="3"/>
  <c r="BB41" i="3"/>
  <c r="BC41" i="3"/>
  <c r="BB42" i="3"/>
  <c r="BC42" i="3"/>
  <c r="BB43" i="3"/>
  <c r="BC43" i="3"/>
  <c r="BB46" i="3"/>
  <c r="AG19" i="3"/>
  <c r="W43" i="3"/>
  <c r="X43" i="3"/>
  <c r="W44" i="3"/>
  <c r="X44" i="3"/>
  <c r="W45" i="3"/>
  <c r="X45" i="3"/>
  <c r="W46" i="3"/>
  <c r="X46" i="3"/>
  <c r="BM226" i="3"/>
  <c r="BN226" i="3"/>
  <c r="BM227" i="3"/>
  <c r="BN227" i="3"/>
  <c r="BM228" i="3"/>
  <c r="BN228" i="3"/>
  <c r="BM229" i="3"/>
  <c r="BN229" i="3"/>
  <c r="BM230" i="3"/>
  <c r="BN230" i="3"/>
  <c r="BM231" i="3"/>
  <c r="BN231" i="3"/>
  <c r="BM232" i="3"/>
  <c r="BN232" i="3"/>
  <c r="BM233" i="3"/>
  <c r="BN233" i="3"/>
  <c r="BM234" i="3"/>
  <c r="BN234" i="3"/>
  <c r="BM235" i="3"/>
  <c r="BN235" i="3"/>
  <c r="BM236" i="3"/>
  <c r="BN236" i="3"/>
  <c r="BM237" i="3"/>
  <c r="BN237" i="3"/>
  <c r="BM238" i="3"/>
  <c r="BN238" i="3"/>
  <c r="BM239" i="3"/>
  <c r="BN239" i="3"/>
  <c r="BL130" i="3"/>
  <c r="BJ130" i="3"/>
  <c r="BH130" i="3"/>
  <c r="BF130" i="3"/>
  <c r="BD130" i="3"/>
  <c r="BL123" i="3"/>
  <c r="BJ123" i="3"/>
  <c r="BH123" i="3"/>
  <c r="BF123" i="3"/>
  <c r="BB133" i="3"/>
  <c r="BB132" i="3"/>
  <c r="BB131" i="3"/>
  <c r="BB126" i="3"/>
  <c r="BB125" i="3"/>
  <c r="BB124" i="3"/>
  <c r="H251" i="1"/>
  <c r="G251" i="1"/>
  <c r="F251" i="1"/>
  <c r="F252" i="1" s="1"/>
  <c r="H247" i="1"/>
  <c r="G247" i="1"/>
  <c r="F247" i="1"/>
  <c r="F248" i="1" s="1"/>
  <c r="H243" i="1"/>
  <c r="G243" i="1"/>
  <c r="F243" i="1"/>
  <c r="F244" i="1" s="1"/>
  <c r="H239" i="1"/>
  <c r="G239" i="1"/>
  <c r="F239" i="1"/>
  <c r="F240" i="1" s="1"/>
  <c r="H235" i="1"/>
  <c r="G235" i="1"/>
  <c r="F235" i="1"/>
  <c r="F236" i="1" s="1"/>
  <c r="H233" i="1"/>
  <c r="G233" i="1"/>
  <c r="F233" i="1"/>
  <c r="F226" i="1"/>
  <c r="H224" i="1"/>
  <c r="G224" i="1"/>
  <c r="F224" i="1"/>
  <c r="F222" i="1"/>
  <c r="H220" i="1"/>
  <c r="G220" i="1"/>
  <c r="F220" i="1"/>
  <c r="F218" i="1"/>
  <c r="H216" i="1"/>
  <c r="G216" i="1"/>
  <c r="F216" i="1"/>
  <c r="F214" i="1"/>
  <c r="H212" i="1"/>
  <c r="G212" i="1"/>
  <c r="F212" i="1"/>
  <c r="F210" i="1"/>
  <c r="F209" i="1" s="1"/>
  <c r="BC46" i="3" l="1"/>
  <c r="BH125" i="3" s="1"/>
  <c r="G242" i="1" s="1"/>
  <c r="BC45" i="3"/>
  <c r="BD124" i="3" s="1"/>
  <c r="F234" i="1" s="1"/>
  <c r="BB47" i="3"/>
  <c r="BF133" i="3" s="1"/>
  <c r="H211" i="1" s="1"/>
  <c r="BB45" i="3"/>
  <c r="BD131" i="3" s="1"/>
  <c r="F207" i="1" s="1"/>
  <c r="BC44" i="3"/>
  <c r="BC47" i="3"/>
  <c r="BB44" i="3"/>
  <c r="AY104" i="22"/>
  <c r="AZ104" i="22" s="1"/>
  <c r="BA104" i="22" s="1"/>
  <c r="BB104" i="22" s="1"/>
  <c r="BC104" i="22" s="1"/>
  <c r="BD104" i="22" s="1"/>
  <c r="BE104" i="22" s="1"/>
  <c r="BF104" i="22" s="1"/>
  <c r="BG104" i="22" s="1"/>
  <c r="BH104" i="22" s="1"/>
  <c r="BI104" i="22" s="1"/>
  <c r="BJ104" i="22" s="1"/>
  <c r="BK104" i="22" s="1"/>
  <c r="BL104" i="22" s="1"/>
  <c r="BM104" i="22" s="1"/>
  <c r="BN104" i="22" s="1"/>
  <c r="BO104" i="22" s="1"/>
  <c r="BP104" i="22" s="1"/>
  <c r="BQ104" i="22" s="1"/>
  <c r="BF132" i="3"/>
  <c r="G211" i="1" s="1"/>
  <c r="BH132" i="3"/>
  <c r="G215" i="1" s="1"/>
  <c r="BJ132" i="3"/>
  <c r="G219" i="1" s="1"/>
  <c r="H115" i="23"/>
  <c r="H142" i="23"/>
  <c r="AZ77" i="22"/>
  <c r="AY69" i="22"/>
  <c r="AY96" i="22"/>
  <c r="AT56" i="18"/>
  <c r="BL132" i="3"/>
  <c r="G223" i="1" s="1"/>
  <c r="AS48" i="18"/>
  <c r="AS71" i="18"/>
  <c r="BD132" i="3"/>
  <c r="G207" i="1" s="1"/>
  <c r="W47" i="3"/>
  <c r="W48" i="3" s="1"/>
  <c r="X47" i="3"/>
  <c r="X48" i="3" s="1"/>
  <c r="BN219" i="3"/>
  <c r="BM219" i="3"/>
  <c r="BM217" i="3"/>
  <c r="F213" i="1"/>
  <c r="F217" i="1"/>
  <c r="F221" i="1"/>
  <c r="F225" i="1"/>
  <c r="BD125" i="3" l="1"/>
  <c r="G234" i="1" s="1"/>
  <c r="BF124" i="3"/>
  <c r="F238" i="1" s="1"/>
  <c r="BJ124" i="3"/>
  <c r="F246" i="1" s="1"/>
  <c r="BL124" i="3"/>
  <c r="F250" i="1" s="1"/>
  <c r="BH124" i="3"/>
  <c r="F242" i="1" s="1"/>
  <c r="BC48" i="3"/>
  <c r="BI49" i="3" s="1"/>
  <c r="BF125" i="3"/>
  <c r="G238" i="1" s="1"/>
  <c r="BJ125" i="3"/>
  <c r="G246" i="1" s="1"/>
  <c r="BL133" i="3"/>
  <c r="H223" i="1" s="1"/>
  <c r="BH131" i="3"/>
  <c r="F215" i="1" s="1"/>
  <c r="BJ133" i="3"/>
  <c r="H219" i="1" s="1"/>
  <c r="BD133" i="3"/>
  <c r="H207" i="1" s="1"/>
  <c r="BJ131" i="3"/>
  <c r="F219" i="1" s="1"/>
  <c r="BB48" i="3"/>
  <c r="BH49" i="3" s="1"/>
  <c r="BL131" i="3"/>
  <c r="F223" i="1" s="1"/>
  <c r="BF131" i="3"/>
  <c r="F211" i="1" s="1"/>
  <c r="BH133" i="3"/>
  <c r="H215" i="1" s="1"/>
  <c r="BF126" i="3"/>
  <c r="H238" i="1" s="1"/>
  <c r="BD126" i="3"/>
  <c r="H234" i="1" s="1"/>
  <c r="BJ126" i="3"/>
  <c r="H246" i="1" s="1"/>
  <c r="BH126" i="3"/>
  <c r="H242" i="1" s="1"/>
  <c r="I142" i="23"/>
  <c r="I115" i="23"/>
  <c r="BA77" i="22"/>
  <c r="AZ69" i="22"/>
  <c r="AZ96" i="22"/>
  <c r="AU56" i="18"/>
  <c r="G229" i="1"/>
  <c r="F254" i="1"/>
  <c r="G228" i="1"/>
  <c r="AT71" i="18"/>
  <c r="AT48" i="18"/>
  <c r="F256" i="1" l="1"/>
  <c r="AP71" i="1" s="1"/>
  <c r="F255" i="1"/>
  <c r="AP46" i="1" s="1"/>
  <c r="H229" i="1"/>
  <c r="AR70" i="1" s="1"/>
  <c r="F228" i="1"/>
  <c r="AP45" i="1" s="1"/>
  <c r="H228" i="1"/>
  <c r="AR45" i="1" s="1"/>
  <c r="F227" i="1"/>
  <c r="BM131" i="3"/>
  <c r="F229" i="1"/>
  <c r="AQ70" i="1"/>
  <c r="AQ45" i="1"/>
  <c r="J115" i="23"/>
  <c r="J142" i="23"/>
  <c r="BB77" i="22"/>
  <c r="BA96" i="22"/>
  <c r="BA69" i="22"/>
  <c r="AV56" i="18"/>
  <c r="AU48" i="18"/>
  <c r="AU71" i="18"/>
  <c r="F257" i="1" l="1"/>
  <c r="F258" i="1"/>
  <c r="AT232" i="1"/>
  <c r="E229" i="1"/>
  <c r="AT233" i="1"/>
  <c r="AP70" i="1"/>
  <c r="AO70" i="1" s="1"/>
  <c r="F230" i="1"/>
  <c r="F231" i="1"/>
  <c r="E228" i="1"/>
  <c r="K115" i="23"/>
  <c r="K142" i="23"/>
  <c r="BC77" i="22"/>
  <c r="BB96" i="22"/>
  <c r="BB69" i="22"/>
  <c r="AW56" i="18"/>
  <c r="AV71" i="18"/>
  <c r="AV48" i="18"/>
  <c r="V51" i="3"/>
  <c r="U51" i="3"/>
  <c r="T51" i="3"/>
  <c r="S51" i="3"/>
  <c r="M108" i="2"/>
  <c r="K108" i="2"/>
  <c r="E68" i="2"/>
  <c r="AT234" i="1" l="1"/>
  <c r="L115" i="23"/>
  <c r="L142" i="23"/>
  <c r="BD77" i="22"/>
  <c r="BC69" i="22"/>
  <c r="BC96" i="22"/>
  <c r="AX56" i="18"/>
  <c r="AW48" i="18"/>
  <c r="AW71" i="18"/>
  <c r="M142" i="23" l="1"/>
  <c r="M115" i="23"/>
  <c r="BE77" i="22"/>
  <c r="BD96" i="22"/>
  <c r="BD69" i="22"/>
  <c r="AY56" i="18"/>
  <c r="AX48" i="18"/>
  <c r="AX71" i="18"/>
  <c r="N142" i="23" l="1"/>
  <c r="N115" i="23"/>
  <c r="BF77" i="22"/>
  <c r="BE69" i="22"/>
  <c r="BE96" i="22"/>
  <c r="AZ56" i="18"/>
  <c r="AY71" i="18"/>
  <c r="AY48" i="18"/>
  <c r="H98" i="1"/>
  <c r="G98" i="1"/>
  <c r="F98" i="1"/>
  <c r="E7" i="2"/>
  <c r="O115" i="23" l="1"/>
  <c r="O142" i="23"/>
  <c r="BG77" i="22"/>
  <c r="BF69" i="22"/>
  <c r="BF96" i="22"/>
  <c r="BA56" i="18"/>
  <c r="AZ48" i="18"/>
  <c r="AZ71" i="18"/>
  <c r="F68" i="2"/>
  <c r="F7" i="2"/>
  <c r="AF156" i="1"/>
  <c r="AG156" i="1"/>
  <c r="AE156" i="1"/>
  <c r="AF160" i="1"/>
  <c r="AG160" i="1"/>
  <c r="AF161" i="1"/>
  <c r="AG161" i="1"/>
  <c r="AF162" i="1"/>
  <c r="AG162" i="1"/>
  <c r="AF163" i="1"/>
  <c r="AG163" i="1"/>
  <c r="AF164" i="1"/>
  <c r="AG164" i="1"/>
  <c r="AF165" i="1"/>
  <c r="AG165" i="1"/>
  <c r="AE160" i="1"/>
  <c r="AE161" i="1"/>
  <c r="AE162" i="1"/>
  <c r="AE163" i="1"/>
  <c r="AE164" i="1"/>
  <c r="AE165" i="1"/>
  <c r="N73" i="1"/>
  <c r="O73" i="1"/>
  <c r="P73" i="1"/>
  <c r="AP90" i="1"/>
  <c r="AQ90" i="1"/>
  <c r="AR90" i="1"/>
  <c r="AH27" i="3"/>
  <c r="AH26" i="3"/>
  <c r="AH25" i="3"/>
  <c r="AH23" i="3"/>
  <c r="AH22" i="3"/>
  <c r="AH21" i="3"/>
  <c r="AH20" i="3"/>
  <c r="AH19" i="3"/>
  <c r="AD168" i="1" l="1"/>
  <c r="P142" i="23"/>
  <c r="P115" i="23"/>
  <c r="BH77" i="22"/>
  <c r="BG96" i="22"/>
  <c r="BG69" i="22"/>
  <c r="BB56" i="18"/>
  <c r="BA71" i="18"/>
  <c r="BA48" i="18"/>
  <c r="G68" i="2"/>
  <c r="G7" i="2"/>
  <c r="Q115" i="23" l="1"/>
  <c r="Q142" i="23"/>
  <c r="BI77" i="22"/>
  <c r="BH96" i="22"/>
  <c r="BH69" i="22"/>
  <c r="BC56" i="18"/>
  <c r="BB48" i="18"/>
  <c r="BB71" i="18"/>
  <c r="H68" i="2"/>
  <c r="H7" i="2"/>
  <c r="R142" i="23" l="1"/>
  <c r="R115" i="23"/>
  <c r="BJ77" i="22"/>
  <c r="BI96" i="22"/>
  <c r="BI69" i="22"/>
  <c r="BD56" i="18"/>
  <c r="BC71" i="18"/>
  <c r="BC48" i="18"/>
  <c r="I68" i="2"/>
  <c r="I7" i="2"/>
  <c r="N20" i="3"/>
  <c r="N21" i="3"/>
  <c r="N22" i="3"/>
  <c r="N23" i="3"/>
  <c r="N24" i="3"/>
  <c r="N25" i="3"/>
  <c r="N26" i="3"/>
  <c r="N27" i="3"/>
  <c r="N28" i="3"/>
  <c r="N19" i="3"/>
  <c r="S142" i="23" l="1"/>
  <c r="S115" i="23"/>
  <c r="BK77" i="22"/>
  <c r="BJ69" i="22"/>
  <c r="BJ96" i="22"/>
  <c r="BE56" i="18"/>
  <c r="BD48" i="18"/>
  <c r="BD71" i="18"/>
  <c r="J68" i="2"/>
  <c r="J7" i="2"/>
  <c r="AD245" i="1"/>
  <c r="E133" i="1"/>
  <c r="E31" i="27" s="1"/>
  <c r="E129" i="1"/>
  <c r="E30" i="27" s="1"/>
  <c r="AD240" i="1"/>
  <c r="AD236" i="1"/>
  <c r="T115" i="23" l="1"/>
  <c r="T142" i="23"/>
  <c r="BL77" i="22"/>
  <c r="BK96" i="22"/>
  <c r="BK69" i="22"/>
  <c r="BF56" i="18"/>
  <c r="BE71" i="18"/>
  <c r="BE48" i="18"/>
  <c r="K68" i="2"/>
  <c r="K7" i="2"/>
  <c r="F499" i="23"/>
  <c r="F475" i="23"/>
  <c r="F301" i="22"/>
  <c r="F277" i="22"/>
  <c r="U115" i="23" l="1"/>
  <c r="U142" i="23"/>
  <c r="BM77" i="22"/>
  <c r="BL69" i="22"/>
  <c r="BL96" i="22"/>
  <c r="BG56" i="18"/>
  <c r="BF48" i="18"/>
  <c r="BF71" i="18"/>
  <c r="L68" i="2"/>
  <c r="L7" i="2"/>
  <c r="G277" i="22"/>
  <c r="G301" i="22"/>
  <c r="G499" i="23"/>
  <c r="G475" i="23"/>
  <c r="U113" i="1"/>
  <c r="V115" i="23" l="1"/>
  <c r="V142" i="23"/>
  <c r="BN77" i="22"/>
  <c r="BM69" i="22"/>
  <c r="BM96" i="22"/>
  <c r="BH56" i="18"/>
  <c r="BG48" i="18"/>
  <c r="BG71" i="18"/>
  <c r="M68" i="2"/>
  <c r="M7" i="2"/>
  <c r="H277" i="22"/>
  <c r="H301" i="22"/>
  <c r="H499" i="23"/>
  <c r="H475" i="23"/>
  <c r="W142" i="23" l="1"/>
  <c r="W115" i="23"/>
  <c r="BO77" i="22"/>
  <c r="BN69" i="22"/>
  <c r="BN96" i="22"/>
  <c r="BI56" i="18"/>
  <c r="BH48" i="18"/>
  <c r="BH71" i="18"/>
  <c r="N68" i="2"/>
  <c r="N7" i="2"/>
  <c r="I301" i="22"/>
  <c r="I277" i="22"/>
  <c r="I499" i="23"/>
  <c r="I475" i="23"/>
  <c r="X115" i="23" l="1"/>
  <c r="X142" i="23"/>
  <c r="BP77" i="22"/>
  <c r="BO96" i="22"/>
  <c r="BO69" i="22"/>
  <c r="BJ56" i="18"/>
  <c r="BI71" i="18"/>
  <c r="BI48" i="18"/>
  <c r="J277" i="22"/>
  <c r="J301" i="22"/>
  <c r="J499" i="23"/>
  <c r="J475" i="23"/>
  <c r="K301" i="22" l="1"/>
  <c r="L301" i="22" s="1"/>
  <c r="K277" i="22"/>
  <c r="Y142" i="23"/>
  <c r="Y115" i="23"/>
  <c r="BQ77" i="22"/>
  <c r="BP96" i="22"/>
  <c r="BP69" i="22"/>
  <c r="BK56" i="18"/>
  <c r="BJ48" i="18"/>
  <c r="BJ71" i="18"/>
  <c r="K499" i="23"/>
  <c r="K475" i="23"/>
  <c r="L499" i="23" l="1"/>
  <c r="M499" i="23" s="1"/>
  <c r="L277" i="22"/>
  <c r="M277" i="22" s="1"/>
  <c r="Z142" i="23"/>
  <c r="Z115" i="23"/>
  <c r="BQ69" i="22"/>
  <c r="BQ96" i="22"/>
  <c r="BK48" i="18"/>
  <c r="BK71" i="18"/>
  <c r="L475" i="23"/>
  <c r="M301" i="22"/>
  <c r="M475" i="23" l="1"/>
  <c r="N499" i="23"/>
  <c r="N301" i="22"/>
  <c r="N277" i="22"/>
  <c r="N475" i="23" l="1"/>
  <c r="O499" i="23"/>
  <c r="O277" i="22"/>
  <c r="O301" i="22"/>
  <c r="O475" i="23" l="1"/>
  <c r="P499" i="23"/>
  <c r="P301" i="22"/>
  <c r="P277" i="22"/>
  <c r="P475" i="23" l="1"/>
  <c r="Q499" i="23"/>
  <c r="Q277" i="22"/>
  <c r="Q301" i="22"/>
  <c r="Q475" i="23" l="1"/>
  <c r="R499" i="23"/>
  <c r="R277" i="22"/>
  <c r="R301" i="22"/>
  <c r="R475" i="23" l="1"/>
  <c r="S499" i="23"/>
  <c r="S301" i="22"/>
  <c r="S277" i="22"/>
  <c r="S475" i="23" l="1"/>
  <c r="T499" i="23"/>
  <c r="T301" i="22"/>
  <c r="T277" i="22"/>
  <c r="T475" i="23" l="1"/>
  <c r="U499" i="23"/>
  <c r="U277" i="22"/>
  <c r="U301" i="22"/>
  <c r="U475" i="23" l="1"/>
  <c r="V499" i="23"/>
  <c r="V301" i="22"/>
  <c r="V277" i="22"/>
  <c r="V475" i="23" l="1"/>
  <c r="W499" i="23"/>
  <c r="W301" i="22"/>
  <c r="W277" i="22"/>
  <c r="W475" i="23" l="1"/>
  <c r="X499" i="23"/>
  <c r="X301" i="22"/>
  <c r="X277" i="22"/>
  <c r="X475" i="23" l="1"/>
  <c r="Y499" i="23"/>
  <c r="Y301" i="22"/>
  <c r="Y277" i="22"/>
  <c r="Y475" i="23" l="1"/>
  <c r="Z499" i="23"/>
  <c r="Z277" i="22"/>
  <c r="Z301" i="22"/>
  <c r="Z475" i="23" l="1"/>
  <c r="F88" i="23" l="1"/>
  <c r="F61" i="23"/>
  <c r="AW42" i="22"/>
  <c r="AW15" i="22"/>
  <c r="AF34" i="1" l="1"/>
  <c r="AG34" i="1"/>
  <c r="AE34" i="1"/>
  <c r="AD57" i="1"/>
  <c r="AE57" i="1" s="1"/>
  <c r="AD53" i="1"/>
  <c r="AE53" i="1" s="1"/>
  <c r="AD49" i="1"/>
  <c r="AE49" i="1" s="1"/>
  <c r="AD45" i="1"/>
  <c r="AE45" i="1" s="1"/>
  <c r="AD41" i="1"/>
  <c r="AD96" i="1" s="1"/>
  <c r="AD43" i="1"/>
  <c r="AE32" i="1"/>
  <c r="AE27" i="1"/>
  <c r="AE23" i="1"/>
  <c r="AD100" i="1" l="1"/>
  <c r="AE100" i="1" s="1"/>
  <c r="AE41" i="1"/>
  <c r="AE96" i="1"/>
  <c r="AD114" i="1"/>
  <c r="AE114" i="1" s="1"/>
  <c r="AD105" i="1"/>
  <c r="AE105" i="1" s="1"/>
  <c r="AD109" i="1" l="1"/>
  <c r="AE109" i="1" s="1"/>
  <c r="C30" i="25" l="1"/>
  <c r="C31" i="25"/>
  <c r="C32" i="25"/>
  <c r="C33" i="25"/>
  <c r="C34" i="25"/>
  <c r="C35" i="25" s="1"/>
  <c r="C36" i="25" s="1"/>
  <c r="C37" i="25" s="1"/>
  <c r="C38" i="25" s="1"/>
  <c r="C39" i="25" s="1"/>
  <c r="F325" i="22"/>
  <c r="G325" i="22" s="1"/>
  <c r="H325" i="22" s="1"/>
  <c r="I325" i="22" s="1"/>
  <c r="J325" i="22" s="1"/>
  <c r="K325" i="22" s="1"/>
  <c r="L325" i="22" s="1"/>
  <c r="M325" i="22" s="1"/>
  <c r="N325" i="22" s="1"/>
  <c r="O325" i="22" s="1"/>
  <c r="P325" i="22" s="1"/>
  <c r="Q325" i="22" s="1"/>
  <c r="R325" i="22" s="1"/>
  <c r="S325" i="22" s="1"/>
  <c r="T325" i="22" s="1"/>
  <c r="U325" i="22" s="1"/>
  <c r="V325" i="22" s="1"/>
  <c r="W325" i="22" s="1"/>
  <c r="X325" i="22" s="1"/>
  <c r="Y325" i="22" s="1"/>
  <c r="Z325" i="22" s="1"/>
  <c r="F523" i="23"/>
  <c r="G523" i="23" s="1"/>
  <c r="H523" i="23" s="1"/>
  <c r="I523" i="23" s="1"/>
  <c r="J523" i="23" s="1"/>
  <c r="K523" i="23" s="1"/>
  <c r="L523" i="23" s="1"/>
  <c r="M523" i="23" s="1"/>
  <c r="N523" i="23" s="1"/>
  <c r="O523" i="23" s="1"/>
  <c r="P523" i="23" s="1"/>
  <c r="Q523" i="23" s="1"/>
  <c r="R523" i="23" s="1"/>
  <c r="S523" i="23" s="1"/>
  <c r="T523" i="23" s="1"/>
  <c r="U523" i="23" s="1"/>
  <c r="V523" i="23" s="1"/>
  <c r="W523" i="23" s="1"/>
  <c r="X523" i="23" s="1"/>
  <c r="Y523" i="23" s="1"/>
  <c r="Z523" i="23" s="1"/>
  <c r="F354" i="22"/>
  <c r="G354" i="22" l="1"/>
  <c r="H354" i="22" l="1"/>
  <c r="I354" i="22" l="1"/>
  <c r="J354" i="22" l="1"/>
  <c r="K354" i="22" l="1"/>
  <c r="L354" i="22" l="1"/>
  <c r="M354" i="22" l="1"/>
  <c r="N354" i="22" l="1"/>
  <c r="O354" i="22" l="1"/>
  <c r="P354" i="22" l="1"/>
  <c r="Q354" i="22" l="1"/>
  <c r="R354" i="22" l="1"/>
  <c r="S354" i="22" l="1"/>
  <c r="T354" i="22" l="1"/>
  <c r="U354" i="22" l="1"/>
  <c r="V354" i="22" l="1"/>
  <c r="W354" i="22" l="1"/>
  <c r="X354" i="22" l="1"/>
  <c r="Y354" i="22" l="1"/>
  <c r="Z354" i="22" l="1"/>
  <c r="BU167" i="1" l="1"/>
  <c r="F271" i="18" l="1"/>
  <c r="G271" i="18" s="1"/>
  <c r="H271" i="18" s="1"/>
  <c r="I271" i="18" s="1"/>
  <c r="J271" i="18" s="1"/>
  <c r="K271" i="18" s="1"/>
  <c r="L271" i="18" s="1"/>
  <c r="M271" i="18" s="1"/>
  <c r="N271" i="18" s="1"/>
  <c r="O271" i="18" s="1"/>
  <c r="P271" i="18" s="1"/>
  <c r="Q271" i="18" s="1"/>
  <c r="R271" i="18" s="1"/>
  <c r="S271" i="18" s="1"/>
  <c r="T271" i="18" s="1"/>
  <c r="U271" i="18" s="1"/>
  <c r="V271" i="18" s="1"/>
  <c r="W271" i="18" s="1"/>
  <c r="X271" i="18" s="1"/>
  <c r="Y271" i="18" s="1"/>
  <c r="Z271" i="18" s="1"/>
  <c r="AR79" i="3" l="1"/>
  <c r="F247" i="18" l="1"/>
  <c r="F223" i="18"/>
  <c r="G88" i="23"/>
  <c r="G61" i="23"/>
  <c r="B169" i="23"/>
  <c r="F169" i="23"/>
  <c r="G169" i="23" s="1"/>
  <c r="H169" i="23" s="1"/>
  <c r="I169" i="23" s="1"/>
  <c r="J169" i="23" s="1"/>
  <c r="K169" i="23" s="1"/>
  <c r="L169" i="23" s="1"/>
  <c r="M169" i="23" s="1"/>
  <c r="N169" i="23" s="1"/>
  <c r="O169" i="23" s="1"/>
  <c r="P169" i="23" s="1"/>
  <c r="Q169" i="23" s="1"/>
  <c r="R169" i="23" s="1"/>
  <c r="S169" i="23" s="1"/>
  <c r="T169" i="23" s="1"/>
  <c r="U169" i="23" s="1"/>
  <c r="V169" i="23" s="1"/>
  <c r="W169" i="23" s="1"/>
  <c r="X169" i="23" s="1"/>
  <c r="Y169" i="23" s="1"/>
  <c r="AX42" i="22"/>
  <c r="AX15" i="22"/>
  <c r="AQ25" i="18"/>
  <c r="AQ2" i="18"/>
  <c r="AF124" i="1"/>
  <c r="AG124" i="1"/>
  <c r="BK175" i="3"/>
  <c r="BO168" i="3"/>
  <c r="BM168" i="3"/>
  <c r="BK168" i="3"/>
  <c r="BI168" i="3"/>
  <c r="BG168" i="3"/>
  <c r="AG257" i="1"/>
  <c r="AF257" i="1"/>
  <c r="AE257" i="1"/>
  <c r="AE258" i="1" s="1"/>
  <c r="H152" i="1"/>
  <c r="G152" i="1"/>
  <c r="F152" i="1"/>
  <c r="F153" i="1" s="1"/>
  <c r="C27" i="27" s="1"/>
  <c r="H148" i="1"/>
  <c r="G148" i="1"/>
  <c r="F148" i="1"/>
  <c r="F149" i="1" s="1"/>
  <c r="C26" i="27" s="1"/>
  <c r="H144" i="1"/>
  <c r="G144" i="1"/>
  <c r="F144" i="1"/>
  <c r="AG251" i="1"/>
  <c r="AF251" i="1"/>
  <c r="AE251" i="1"/>
  <c r="AE252" i="1" s="1"/>
  <c r="AG245" i="1"/>
  <c r="AF245" i="1"/>
  <c r="AE245" i="1"/>
  <c r="AE246" i="1" s="1"/>
  <c r="H133" i="1"/>
  <c r="G133" i="1"/>
  <c r="F133" i="1"/>
  <c r="H129" i="1"/>
  <c r="G129" i="1"/>
  <c r="F129" i="1"/>
  <c r="F131" i="1" s="1"/>
  <c r="D30" i="27" s="1"/>
  <c r="AG240" i="1"/>
  <c r="AF240" i="1"/>
  <c r="AE240" i="1"/>
  <c r="AG236" i="1"/>
  <c r="AF236" i="1"/>
  <c r="AE236" i="1"/>
  <c r="AE237" i="1" s="1"/>
  <c r="F145" i="1" l="1"/>
  <c r="C25" i="27" s="1"/>
  <c r="F135" i="1"/>
  <c r="D31" i="27" s="1"/>
  <c r="AR25" i="18"/>
  <c r="AS25" i="18" s="1"/>
  <c r="G247" i="18"/>
  <c r="G223" i="18"/>
  <c r="H88" i="23"/>
  <c r="H61" i="23"/>
  <c r="AY15" i="22"/>
  <c r="AY42" i="22"/>
  <c r="AR2" i="18"/>
  <c r="F134" i="1" l="1"/>
  <c r="C31" i="27" s="1"/>
  <c r="H247" i="18"/>
  <c r="H223" i="18"/>
  <c r="AS2" i="18"/>
  <c r="I61" i="23"/>
  <c r="I88" i="23"/>
  <c r="AZ42" i="22"/>
  <c r="AZ15" i="22"/>
  <c r="AT25" i="18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BK20" i="3"/>
  <c r="I247" i="18" l="1"/>
  <c r="I223" i="18"/>
  <c r="AT2" i="18"/>
  <c r="J61" i="23"/>
  <c r="J88" i="23"/>
  <c r="BA42" i="22"/>
  <c r="BA15" i="22"/>
  <c r="AU25" i="18"/>
  <c r="AQ19" i="3"/>
  <c r="CB19" i="3"/>
  <c r="CB20" i="3"/>
  <c r="AQ21" i="3"/>
  <c r="CB21" i="3"/>
  <c r="AQ22" i="3"/>
  <c r="CB22" i="3"/>
  <c r="AQ23" i="3"/>
  <c r="CB23" i="3"/>
  <c r="AQ24" i="3"/>
  <c r="CB24" i="3"/>
  <c r="AQ25" i="3"/>
  <c r="CB25" i="3"/>
  <c r="AQ26" i="3"/>
  <c r="CB26" i="3"/>
  <c r="AQ27" i="3"/>
  <c r="CB27" i="3"/>
  <c r="AQ28" i="3"/>
  <c r="CB28" i="3"/>
  <c r="AQ29" i="3"/>
  <c r="CB29" i="3"/>
  <c r="AQ30" i="3"/>
  <c r="CB30" i="3"/>
  <c r="AQ31" i="3"/>
  <c r="CB31" i="3"/>
  <c r="AQ32" i="3"/>
  <c r="CB32" i="3"/>
  <c r="AQ33" i="3"/>
  <c r="CB33" i="3"/>
  <c r="AQ34" i="3"/>
  <c r="CB34" i="3"/>
  <c r="AQ35" i="3"/>
  <c r="CB35" i="3"/>
  <c r="AQ36" i="3"/>
  <c r="CB36" i="3"/>
  <c r="AQ37" i="3"/>
  <c r="CB37" i="3"/>
  <c r="AQ38" i="3"/>
  <c r="CB38" i="3"/>
  <c r="AQ39" i="3"/>
  <c r="CB39" i="3"/>
  <c r="AQ40" i="3"/>
  <c r="CB40" i="3"/>
  <c r="AQ41" i="3"/>
  <c r="CB41" i="3"/>
  <c r="AQ42" i="3"/>
  <c r="CB42" i="3"/>
  <c r="AE45" i="3"/>
  <c r="AE46" i="3"/>
  <c r="BT226" i="3"/>
  <c r="BU226" i="3"/>
  <c r="BT227" i="3"/>
  <c r="BU227" i="3"/>
  <c r="BT228" i="3"/>
  <c r="BU228" i="3"/>
  <c r="BT229" i="3"/>
  <c r="BU229" i="3"/>
  <c r="BT230" i="3"/>
  <c r="BU230" i="3"/>
  <c r="BT231" i="3"/>
  <c r="BU231" i="3"/>
  <c r="BT232" i="3"/>
  <c r="BU232" i="3"/>
  <c r="BT233" i="3"/>
  <c r="BU233" i="3"/>
  <c r="BT234" i="3"/>
  <c r="BU234" i="3"/>
  <c r="BT235" i="3"/>
  <c r="BU235" i="3"/>
  <c r="BT236" i="3"/>
  <c r="BU236" i="3"/>
  <c r="BT237" i="3"/>
  <c r="BU237" i="3"/>
  <c r="BT238" i="3"/>
  <c r="BU238" i="3"/>
  <c r="BT239" i="3"/>
  <c r="BU23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19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L20" i="3"/>
  <c r="L21" i="3"/>
  <c r="L22" i="3"/>
  <c r="L23" i="3"/>
  <c r="L24" i="3"/>
  <c r="L25" i="3"/>
  <c r="L26" i="3"/>
  <c r="L27" i="3"/>
  <c r="K40" i="25"/>
  <c r="J40" i="25"/>
  <c r="N32" i="25"/>
  <c r="L32" i="25"/>
  <c r="N31" i="25"/>
  <c r="L31" i="25"/>
  <c r="N30" i="25"/>
  <c r="L30" i="25"/>
  <c r="O29" i="25"/>
  <c r="L29" i="25"/>
  <c r="O28" i="25"/>
  <c r="L28" i="25"/>
  <c r="O27" i="25"/>
  <c r="L27" i="25"/>
  <c r="O26" i="25"/>
  <c r="L26" i="25"/>
  <c r="O25" i="25"/>
  <c r="L25" i="25"/>
  <c r="O24" i="25"/>
  <c r="L24" i="25"/>
  <c r="O23" i="25"/>
  <c r="L23" i="25"/>
  <c r="O22" i="25"/>
  <c r="L22" i="25"/>
  <c r="O21" i="25"/>
  <c r="L21" i="25"/>
  <c r="O20" i="25"/>
  <c r="L20" i="25"/>
  <c r="O19" i="25"/>
  <c r="L19" i="25"/>
  <c r="O18" i="25"/>
  <c r="L18" i="25"/>
  <c r="O17" i="25"/>
  <c r="L17" i="25"/>
  <c r="O16" i="25"/>
  <c r="L16" i="25"/>
  <c r="O15" i="25"/>
  <c r="L15" i="25"/>
  <c r="O14" i="25"/>
  <c r="L14" i="25"/>
  <c r="O13" i="25"/>
  <c r="L13" i="25"/>
  <c r="O12" i="25"/>
  <c r="L12" i="25"/>
  <c r="O11" i="25"/>
  <c r="L11" i="25"/>
  <c r="O10" i="25"/>
  <c r="L10" i="25"/>
  <c r="O9" i="25"/>
  <c r="L9" i="25"/>
  <c r="O8" i="25"/>
  <c r="L8" i="25"/>
  <c r="O7" i="25"/>
  <c r="L7" i="25"/>
  <c r="O6" i="25"/>
  <c r="L6" i="25"/>
  <c r="C6" i="25"/>
  <c r="C7" i="25" s="1"/>
  <c r="C8" i="25" s="1"/>
  <c r="C9" i="25" s="1"/>
  <c r="C10" i="25" s="1"/>
  <c r="C11" i="25" s="1"/>
  <c r="C12" i="25" s="1"/>
  <c r="C13" i="25" s="1"/>
  <c r="C14" i="25" s="1"/>
  <c r="C15" i="25" s="1"/>
  <c r="C16" i="25" s="1"/>
  <c r="C17" i="25" s="1"/>
  <c r="C18" i="25" s="1"/>
  <c r="C19" i="25" s="1"/>
  <c r="C20" i="25" s="1"/>
  <c r="C21" i="25" s="1"/>
  <c r="C22" i="25" s="1"/>
  <c r="C23" i="25" s="1"/>
  <c r="C24" i="25" s="1"/>
  <c r="C25" i="25" s="1"/>
  <c r="C26" i="25" s="1"/>
  <c r="C27" i="25" s="1"/>
  <c r="C28" i="25" s="1"/>
  <c r="C29" i="25" s="1"/>
  <c r="O5" i="25"/>
  <c r="L5" i="25"/>
  <c r="K45" i="25" s="1"/>
  <c r="L45" i="25" s="1"/>
  <c r="G26" i="3" l="1"/>
  <c r="H26" i="3" s="1"/>
  <c r="G25" i="3"/>
  <c r="H25" i="3" s="1"/>
  <c r="G23" i="3"/>
  <c r="H23" i="3" s="1"/>
  <c r="G24" i="3"/>
  <c r="H24" i="3" s="1"/>
  <c r="G20" i="3"/>
  <c r="H20" i="3" s="1"/>
  <c r="G22" i="3"/>
  <c r="H22" i="3" s="1"/>
  <c r="N40" i="25"/>
  <c r="G21" i="3"/>
  <c r="H21" i="3" s="1"/>
  <c r="G27" i="3"/>
  <c r="H27" i="3" s="1"/>
  <c r="CB44" i="3"/>
  <c r="J247" i="18"/>
  <c r="CB43" i="3"/>
  <c r="K46" i="25"/>
  <c r="L46" i="25" s="1"/>
  <c r="J223" i="18"/>
  <c r="AU2" i="18"/>
  <c r="K61" i="23"/>
  <c r="K88" i="23"/>
  <c r="BB15" i="22"/>
  <c r="BB42" i="22"/>
  <c r="AV25" i="18"/>
  <c r="O27" i="3"/>
  <c r="P27" i="3"/>
  <c r="O26" i="3"/>
  <c r="P26" i="3"/>
  <c r="O25" i="3"/>
  <c r="P25" i="3"/>
  <c r="O24" i="3"/>
  <c r="P24" i="3"/>
  <c r="O22" i="3"/>
  <c r="P22" i="3"/>
  <c r="O21" i="3"/>
  <c r="P21" i="3"/>
  <c r="AQ46" i="3"/>
  <c r="CB45" i="3"/>
  <c r="AQ45" i="3"/>
  <c r="CB46" i="3"/>
  <c r="AE47" i="3"/>
  <c r="AE48" i="3" s="1"/>
  <c r="L40" i="25"/>
  <c r="O40" i="25"/>
  <c r="K247" i="18" l="1"/>
  <c r="K223" i="18"/>
  <c r="AV2" i="18"/>
  <c r="L61" i="23"/>
  <c r="L88" i="23"/>
  <c r="BC15" i="22"/>
  <c r="BC42" i="22"/>
  <c r="AW25" i="18"/>
  <c r="CB47" i="3"/>
  <c r="CB48" i="3" s="1"/>
  <c r="L43" i="25"/>
  <c r="K43" i="25"/>
  <c r="K49" i="25"/>
  <c r="L247" i="18" l="1"/>
  <c r="L223" i="18"/>
  <c r="AW2" i="18"/>
  <c r="M88" i="23"/>
  <c r="M61" i="23"/>
  <c r="BD42" i="22"/>
  <c r="BD15" i="22"/>
  <c r="AX25" i="18"/>
  <c r="BD175" i="3"/>
  <c r="BD168" i="3"/>
  <c r="AG58" i="3"/>
  <c r="AG51" i="3"/>
  <c r="M247" i="18" l="1"/>
  <c r="N247" i="18" s="1"/>
  <c r="M223" i="18"/>
  <c r="AX2" i="18"/>
  <c r="N61" i="23"/>
  <c r="N88" i="23"/>
  <c r="BE42" i="22"/>
  <c r="BE15" i="22"/>
  <c r="AY25" i="18"/>
  <c r="O247" i="18" l="1"/>
  <c r="N223" i="18"/>
  <c r="AY2" i="18"/>
  <c r="O88" i="23"/>
  <c r="O61" i="23"/>
  <c r="BF42" i="22"/>
  <c r="BF15" i="22"/>
  <c r="AZ25" i="18"/>
  <c r="P247" i="18" l="1"/>
  <c r="O223" i="18"/>
  <c r="AZ2" i="18"/>
  <c r="P61" i="23"/>
  <c r="P88" i="23"/>
  <c r="BG15" i="22"/>
  <c r="BG42" i="22"/>
  <c r="BA25" i="18"/>
  <c r="F606" i="23"/>
  <c r="G606" i="23" s="1"/>
  <c r="F596" i="23"/>
  <c r="F625" i="23" s="1"/>
  <c r="F591" i="23"/>
  <c r="G591" i="23" s="1"/>
  <c r="H591" i="23" s="1"/>
  <c r="I591" i="23" s="1"/>
  <c r="J591" i="23" s="1"/>
  <c r="K591" i="23" s="1"/>
  <c r="L591" i="23" s="1"/>
  <c r="M591" i="23" s="1"/>
  <c r="N591" i="23" s="1"/>
  <c r="O591" i="23" s="1"/>
  <c r="P591" i="23" s="1"/>
  <c r="Q591" i="23" s="1"/>
  <c r="R591" i="23" s="1"/>
  <c r="S591" i="23" s="1"/>
  <c r="T591" i="23" s="1"/>
  <c r="U591" i="23" s="1"/>
  <c r="V591" i="23" s="1"/>
  <c r="W591" i="23" s="1"/>
  <c r="X591" i="23" s="1"/>
  <c r="Y591" i="23" s="1"/>
  <c r="Z591" i="23" s="1"/>
  <c r="F585" i="23"/>
  <c r="G585" i="23" s="1"/>
  <c r="H585" i="23" s="1"/>
  <c r="I585" i="23" s="1"/>
  <c r="J585" i="23" s="1"/>
  <c r="K585" i="23" s="1"/>
  <c r="L585" i="23" s="1"/>
  <c r="M585" i="23" s="1"/>
  <c r="N585" i="23" s="1"/>
  <c r="O585" i="23" s="1"/>
  <c r="P585" i="23" s="1"/>
  <c r="Q585" i="23" s="1"/>
  <c r="R585" i="23" s="1"/>
  <c r="S585" i="23" s="1"/>
  <c r="T585" i="23" s="1"/>
  <c r="U585" i="23" s="1"/>
  <c r="V585" i="23" s="1"/>
  <c r="W585" i="23" s="1"/>
  <c r="X585" i="23" s="1"/>
  <c r="Y585" i="23" s="1"/>
  <c r="Z585" i="23" s="1"/>
  <c r="F562" i="23"/>
  <c r="G562" i="23" s="1"/>
  <c r="H562" i="23" s="1"/>
  <c r="I562" i="23" s="1"/>
  <c r="J562" i="23" s="1"/>
  <c r="K562" i="23" s="1"/>
  <c r="L562" i="23" s="1"/>
  <c r="M562" i="23" s="1"/>
  <c r="N562" i="23" s="1"/>
  <c r="O562" i="23" s="1"/>
  <c r="P562" i="23" s="1"/>
  <c r="Q562" i="23" s="1"/>
  <c r="R562" i="23" s="1"/>
  <c r="S562" i="23" s="1"/>
  <c r="T562" i="23" s="1"/>
  <c r="U562" i="23" s="1"/>
  <c r="V562" i="23" s="1"/>
  <c r="W562" i="23" s="1"/>
  <c r="X562" i="23" s="1"/>
  <c r="Y562" i="23" s="1"/>
  <c r="Z562" i="23" s="1"/>
  <c r="F552" i="23"/>
  <c r="F451" i="23"/>
  <c r="G451" i="23" s="1"/>
  <c r="H451" i="23" s="1"/>
  <c r="I451" i="23" s="1"/>
  <c r="J451" i="23" s="1"/>
  <c r="K451" i="23" s="1"/>
  <c r="L451" i="23" s="1"/>
  <c r="M451" i="23" s="1"/>
  <c r="N451" i="23" s="1"/>
  <c r="O451" i="23" s="1"/>
  <c r="P451" i="23" s="1"/>
  <c r="Q451" i="23" s="1"/>
  <c r="R451" i="23" s="1"/>
  <c r="S451" i="23" s="1"/>
  <c r="T451" i="23" s="1"/>
  <c r="U451" i="23" s="1"/>
  <c r="V451" i="23" s="1"/>
  <c r="W451" i="23" s="1"/>
  <c r="X451" i="23" s="1"/>
  <c r="Y451" i="23" s="1"/>
  <c r="Z451" i="23" s="1"/>
  <c r="F430" i="23"/>
  <c r="F405" i="23"/>
  <c r="G405" i="23" s="1"/>
  <c r="H405" i="23" s="1"/>
  <c r="I405" i="23" s="1"/>
  <c r="J405" i="23" s="1"/>
  <c r="K405" i="23" s="1"/>
  <c r="L405" i="23" s="1"/>
  <c r="M405" i="23" s="1"/>
  <c r="N405" i="23" s="1"/>
  <c r="O405" i="23" s="1"/>
  <c r="P405" i="23" s="1"/>
  <c r="Q405" i="23" s="1"/>
  <c r="R405" i="23" s="1"/>
  <c r="S405" i="23" s="1"/>
  <c r="T405" i="23" s="1"/>
  <c r="U405" i="23" s="1"/>
  <c r="V405" i="23" s="1"/>
  <c r="W405" i="23" s="1"/>
  <c r="X405" i="23" s="1"/>
  <c r="Y405" i="23" s="1"/>
  <c r="Z405" i="23" s="1"/>
  <c r="F361" i="23"/>
  <c r="G361" i="23" s="1"/>
  <c r="F335" i="23"/>
  <c r="F311" i="23"/>
  <c r="F269" i="23"/>
  <c r="F243" i="23"/>
  <c r="F217" i="23"/>
  <c r="F193" i="23"/>
  <c r="F34" i="23"/>
  <c r="F7" i="23"/>
  <c r="F679" i="23"/>
  <c r="G667" i="23"/>
  <c r="H667" i="23" s="1"/>
  <c r="I667" i="23" s="1"/>
  <c r="F639" i="23"/>
  <c r="G627" i="23"/>
  <c r="G639" i="23" s="1"/>
  <c r="D612" i="23"/>
  <c r="D601" i="23"/>
  <c r="D400" i="23"/>
  <c r="D394" i="23"/>
  <c r="D392" i="23"/>
  <c r="D390" i="23"/>
  <c r="D389" i="23"/>
  <c r="D388" i="23"/>
  <c r="D387" i="23"/>
  <c r="D386" i="23"/>
  <c r="D385" i="23"/>
  <c r="D384" i="23"/>
  <c r="D382" i="23"/>
  <c r="D381" i="23"/>
  <c r="B193" i="23"/>
  <c r="P89" i="1"/>
  <c r="O89" i="1"/>
  <c r="F408" i="22"/>
  <c r="G408" i="22" s="1"/>
  <c r="F398" i="22"/>
  <c r="F393" i="22"/>
  <c r="G393" i="22" s="1"/>
  <c r="H393" i="22" s="1"/>
  <c r="I393" i="22" s="1"/>
  <c r="J393" i="22" s="1"/>
  <c r="K393" i="22" s="1"/>
  <c r="L393" i="22" s="1"/>
  <c r="M393" i="22" s="1"/>
  <c r="N393" i="22" s="1"/>
  <c r="O393" i="22" s="1"/>
  <c r="P393" i="22" s="1"/>
  <c r="Q393" i="22" s="1"/>
  <c r="R393" i="22" s="1"/>
  <c r="S393" i="22" s="1"/>
  <c r="T393" i="22" s="1"/>
  <c r="U393" i="22" s="1"/>
  <c r="V393" i="22" s="1"/>
  <c r="W393" i="22" s="1"/>
  <c r="X393" i="22" s="1"/>
  <c r="Y393" i="22" s="1"/>
  <c r="Z393" i="22" s="1"/>
  <c r="F387" i="22"/>
  <c r="G387" i="22" s="1"/>
  <c r="H387" i="22" s="1"/>
  <c r="I387" i="22" s="1"/>
  <c r="J387" i="22" s="1"/>
  <c r="K387" i="22" s="1"/>
  <c r="L387" i="22" s="1"/>
  <c r="M387" i="22" s="1"/>
  <c r="N387" i="22" s="1"/>
  <c r="O387" i="22" s="1"/>
  <c r="P387" i="22" s="1"/>
  <c r="Q387" i="22" s="1"/>
  <c r="R387" i="22" s="1"/>
  <c r="S387" i="22" s="1"/>
  <c r="T387" i="22" s="1"/>
  <c r="U387" i="22" s="1"/>
  <c r="V387" i="22" s="1"/>
  <c r="W387" i="22" s="1"/>
  <c r="X387" i="22" s="1"/>
  <c r="Y387" i="22" s="1"/>
  <c r="Z387" i="22" s="1"/>
  <c r="F364" i="22"/>
  <c r="G364" i="22" s="1"/>
  <c r="H364" i="22" s="1"/>
  <c r="I364" i="22" s="1"/>
  <c r="J364" i="22" s="1"/>
  <c r="K364" i="22" s="1"/>
  <c r="L364" i="22" s="1"/>
  <c r="M364" i="22" s="1"/>
  <c r="N364" i="22" s="1"/>
  <c r="O364" i="22" s="1"/>
  <c r="P364" i="22" s="1"/>
  <c r="Q364" i="22" s="1"/>
  <c r="R364" i="22" s="1"/>
  <c r="S364" i="22" s="1"/>
  <c r="T364" i="22" s="1"/>
  <c r="U364" i="22" s="1"/>
  <c r="V364" i="22" s="1"/>
  <c r="W364" i="22" s="1"/>
  <c r="X364" i="22" s="1"/>
  <c r="Y364" i="22" s="1"/>
  <c r="Z364" i="22" s="1"/>
  <c r="F253" i="22"/>
  <c r="G253" i="22" s="1"/>
  <c r="H253" i="22" s="1"/>
  <c r="I253" i="22" s="1"/>
  <c r="J253" i="22" s="1"/>
  <c r="K253" i="22" s="1"/>
  <c r="L253" i="22" s="1"/>
  <c r="M253" i="22" s="1"/>
  <c r="N253" i="22" s="1"/>
  <c r="O253" i="22" s="1"/>
  <c r="P253" i="22" s="1"/>
  <c r="Q253" i="22" s="1"/>
  <c r="R253" i="22" s="1"/>
  <c r="S253" i="22" s="1"/>
  <c r="T253" i="22" s="1"/>
  <c r="U253" i="22" s="1"/>
  <c r="V253" i="22" s="1"/>
  <c r="W253" i="22" s="1"/>
  <c r="X253" i="22" s="1"/>
  <c r="Y253" i="22" s="1"/>
  <c r="Z253" i="22" s="1"/>
  <c r="F232" i="22"/>
  <c r="F207" i="22"/>
  <c r="G207" i="22" s="1"/>
  <c r="H207" i="22" s="1"/>
  <c r="I207" i="22" s="1"/>
  <c r="J207" i="22" s="1"/>
  <c r="K207" i="22" s="1"/>
  <c r="L207" i="22" s="1"/>
  <c r="M207" i="22" s="1"/>
  <c r="N207" i="22" s="1"/>
  <c r="O207" i="22" s="1"/>
  <c r="P207" i="22" s="1"/>
  <c r="Q207" i="22" s="1"/>
  <c r="R207" i="22" s="1"/>
  <c r="S207" i="22" s="1"/>
  <c r="T207" i="22" s="1"/>
  <c r="U207" i="22" s="1"/>
  <c r="V207" i="22" s="1"/>
  <c r="W207" i="22" s="1"/>
  <c r="X207" i="22" s="1"/>
  <c r="Y207" i="22" s="1"/>
  <c r="Z207" i="22" s="1"/>
  <c r="F163" i="22"/>
  <c r="F137" i="22"/>
  <c r="F113" i="22"/>
  <c r="AI112" i="22"/>
  <c r="F87" i="22"/>
  <c r="F61" i="22"/>
  <c r="F34" i="22"/>
  <c r="F7" i="22"/>
  <c r="F481" i="22"/>
  <c r="G469" i="22"/>
  <c r="F441" i="22"/>
  <c r="G429" i="22"/>
  <c r="G441" i="22" s="1"/>
  <c r="D414" i="22"/>
  <c r="D403" i="22"/>
  <c r="D202" i="22"/>
  <c r="D196" i="22"/>
  <c r="D194" i="22"/>
  <c r="D192" i="22"/>
  <c r="D191" i="22"/>
  <c r="D190" i="22"/>
  <c r="D189" i="22"/>
  <c r="D188" i="22"/>
  <c r="D187" i="22"/>
  <c r="D186" i="22"/>
  <c r="D184" i="22"/>
  <c r="D183" i="22"/>
  <c r="G38" i="1"/>
  <c r="H38" i="1"/>
  <c r="F38" i="1"/>
  <c r="G44" i="1"/>
  <c r="H44" i="1"/>
  <c r="F44" i="1"/>
  <c r="G87" i="22" l="1"/>
  <c r="H87" i="22" s="1"/>
  <c r="G217" i="23"/>
  <c r="H217" i="23" s="1"/>
  <c r="G243" i="23"/>
  <c r="G34" i="22"/>
  <c r="H34" i="22" s="1"/>
  <c r="F6" i="23"/>
  <c r="G335" i="23"/>
  <c r="Q247" i="18"/>
  <c r="P223" i="18"/>
  <c r="BA2" i="18"/>
  <c r="Q88" i="23"/>
  <c r="Q61" i="23"/>
  <c r="H627" i="23"/>
  <c r="H639" i="23" s="1"/>
  <c r="BH15" i="22"/>
  <c r="BH42" i="22"/>
  <c r="H429" i="22"/>
  <c r="I429" i="22" s="1"/>
  <c r="BB25" i="18"/>
  <c r="AJ112" i="22"/>
  <c r="G61" i="22"/>
  <c r="G163" i="22"/>
  <c r="H163" i="22" s="1"/>
  <c r="G430" i="23"/>
  <c r="G193" i="23"/>
  <c r="G34" i="23"/>
  <c r="G269" i="23"/>
  <c r="G7" i="23"/>
  <c r="G311" i="23"/>
  <c r="H361" i="23"/>
  <c r="G552" i="23"/>
  <c r="H606" i="23"/>
  <c r="F665" i="23"/>
  <c r="G596" i="23"/>
  <c r="I679" i="23"/>
  <c r="J667" i="23"/>
  <c r="H679" i="23"/>
  <c r="G679" i="23"/>
  <c r="G7" i="22"/>
  <c r="F6" i="22"/>
  <c r="G113" i="22"/>
  <c r="G137" i="22"/>
  <c r="G232" i="22"/>
  <c r="F427" i="22"/>
  <c r="G398" i="22"/>
  <c r="H408" i="22"/>
  <c r="G481" i="22"/>
  <c r="H469" i="22"/>
  <c r="F427" i="18"/>
  <c r="G415" i="18"/>
  <c r="G427" i="18" s="1"/>
  <c r="F387" i="18"/>
  <c r="G375" i="18"/>
  <c r="G387" i="18" s="1"/>
  <c r="H243" i="23" l="1"/>
  <c r="I243" i="23" s="1"/>
  <c r="H7" i="22"/>
  <c r="H6" i="22" s="1"/>
  <c r="H335" i="23"/>
  <c r="H61" i="22"/>
  <c r="I627" i="23"/>
  <c r="I639" i="23" s="1"/>
  <c r="H441" i="22"/>
  <c r="R247" i="18"/>
  <c r="Q223" i="18"/>
  <c r="BB2" i="18"/>
  <c r="R61" i="23"/>
  <c r="R88" i="23"/>
  <c r="BI42" i="22"/>
  <c r="BI15" i="22"/>
  <c r="BC25" i="18"/>
  <c r="H415" i="18"/>
  <c r="H375" i="18"/>
  <c r="AK112" i="22"/>
  <c r="AL112" i="22" s="1"/>
  <c r="H430" i="23"/>
  <c r="I430" i="23" s="1"/>
  <c r="G6" i="22"/>
  <c r="I361" i="23"/>
  <c r="H7" i="23"/>
  <c r="G6" i="23"/>
  <c r="H552" i="23"/>
  <c r="H269" i="23"/>
  <c r="K667" i="23"/>
  <c r="J679" i="23"/>
  <c r="G625" i="23"/>
  <c r="H596" i="23"/>
  <c r="I606" i="23"/>
  <c r="H311" i="23"/>
  <c r="I217" i="23"/>
  <c r="H34" i="23"/>
  <c r="H193" i="23"/>
  <c r="I87" i="22"/>
  <c r="I34" i="22"/>
  <c r="I163" i="22"/>
  <c r="F467" i="22"/>
  <c r="H481" i="22"/>
  <c r="I469" i="22"/>
  <c r="H232" i="22"/>
  <c r="I441" i="22"/>
  <c r="J429" i="22"/>
  <c r="I408" i="22"/>
  <c r="H137" i="22"/>
  <c r="H113" i="22"/>
  <c r="G427" i="22"/>
  <c r="H398" i="22"/>
  <c r="I335" i="23" l="1"/>
  <c r="J335" i="23" s="1"/>
  <c r="J627" i="23"/>
  <c r="I7" i="22"/>
  <c r="J7" i="22" s="1"/>
  <c r="I61" i="22"/>
  <c r="S247" i="18"/>
  <c r="R223" i="18"/>
  <c r="BC2" i="18"/>
  <c r="S61" i="23"/>
  <c r="S88" i="23"/>
  <c r="BJ15" i="22"/>
  <c r="BJ42" i="22"/>
  <c r="BD25" i="18"/>
  <c r="I375" i="18"/>
  <c r="H387" i="18"/>
  <c r="I415" i="18"/>
  <c r="H427" i="18"/>
  <c r="K627" i="23"/>
  <c r="J639" i="23"/>
  <c r="J430" i="23"/>
  <c r="I34" i="23"/>
  <c r="I311" i="23"/>
  <c r="I7" i="23"/>
  <c r="H6" i="23"/>
  <c r="J243" i="23"/>
  <c r="K679" i="23"/>
  <c r="L667" i="23"/>
  <c r="J217" i="23"/>
  <c r="I269" i="23"/>
  <c r="J361" i="23"/>
  <c r="J606" i="23"/>
  <c r="I193" i="23"/>
  <c r="I596" i="23"/>
  <c r="H625" i="23"/>
  <c r="I552" i="23"/>
  <c r="G665" i="23"/>
  <c r="J34" i="22"/>
  <c r="AM112" i="22"/>
  <c r="J87" i="22"/>
  <c r="J163" i="22"/>
  <c r="J408" i="22"/>
  <c r="I481" i="22"/>
  <c r="J469" i="22"/>
  <c r="I137" i="22"/>
  <c r="I232" i="22"/>
  <c r="I113" i="22"/>
  <c r="K429" i="22"/>
  <c r="J441" i="22"/>
  <c r="H427" i="22"/>
  <c r="I398" i="22"/>
  <c r="G467" i="22"/>
  <c r="AE201" i="1"/>
  <c r="N75" i="1"/>
  <c r="J61" i="22" l="1"/>
  <c r="K61" i="22" s="1"/>
  <c r="I6" i="22"/>
  <c r="T247" i="18"/>
  <c r="S223" i="18"/>
  <c r="BD2" i="18"/>
  <c r="T88" i="23"/>
  <c r="T61" i="23"/>
  <c r="BK42" i="22"/>
  <c r="BK15" i="22"/>
  <c r="BE25" i="18"/>
  <c r="J415" i="18"/>
  <c r="I427" i="18"/>
  <c r="J375" i="18"/>
  <c r="I387" i="18"/>
  <c r="J193" i="23"/>
  <c r="J269" i="23"/>
  <c r="K639" i="23"/>
  <c r="L627" i="23"/>
  <c r="H665" i="23"/>
  <c r="K243" i="23"/>
  <c r="J7" i="23"/>
  <c r="I6" i="23"/>
  <c r="I625" i="23"/>
  <c r="J596" i="23"/>
  <c r="K361" i="23"/>
  <c r="J552" i="23"/>
  <c r="K430" i="23"/>
  <c r="K335" i="23"/>
  <c r="K217" i="23"/>
  <c r="J311" i="23"/>
  <c r="L679" i="23"/>
  <c r="M667" i="23"/>
  <c r="J34" i="23"/>
  <c r="K606" i="23"/>
  <c r="K87" i="22"/>
  <c r="K34" i="22"/>
  <c r="AN112" i="22"/>
  <c r="K163" i="22"/>
  <c r="J232" i="22"/>
  <c r="I427" i="22"/>
  <c r="J398" i="22"/>
  <c r="J113" i="22"/>
  <c r="K7" i="22"/>
  <c r="J6" i="22"/>
  <c r="K408" i="22"/>
  <c r="H467" i="22"/>
  <c r="J137" i="22"/>
  <c r="K441" i="22"/>
  <c r="L429" i="22"/>
  <c r="K469" i="22"/>
  <c r="J481" i="22"/>
  <c r="U247" i="18" l="1"/>
  <c r="T223" i="18"/>
  <c r="BE2" i="18"/>
  <c r="U61" i="23"/>
  <c r="U88" i="23"/>
  <c r="BL15" i="22"/>
  <c r="BL42" i="22"/>
  <c r="BF25" i="18"/>
  <c r="K415" i="18"/>
  <c r="J427" i="18"/>
  <c r="K375" i="18"/>
  <c r="J387" i="18"/>
  <c r="L335" i="23"/>
  <c r="K311" i="23"/>
  <c r="K552" i="23"/>
  <c r="L243" i="23"/>
  <c r="M679" i="23"/>
  <c r="N667" i="23"/>
  <c r="L639" i="23"/>
  <c r="M627" i="23"/>
  <c r="K193" i="23"/>
  <c r="J625" i="23"/>
  <c r="K596" i="23"/>
  <c r="L361" i="23"/>
  <c r="K269" i="23"/>
  <c r="I665" i="23"/>
  <c r="J6" i="23"/>
  <c r="K7" i="23"/>
  <c r="L606" i="23"/>
  <c r="L217" i="23"/>
  <c r="L430" i="23"/>
  <c r="K34" i="23"/>
  <c r="AO112" i="22"/>
  <c r="L61" i="22"/>
  <c r="L87" i="22"/>
  <c r="L34" i="22"/>
  <c r="L163" i="22"/>
  <c r="K232" i="22"/>
  <c r="K113" i="22"/>
  <c r="L7" i="22"/>
  <c r="K6" i="22"/>
  <c r="L441" i="22"/>
  <c r="M429" i="22"/>
  <c r="J427" i="22"/>
  <c r="K398" i="22"/>
  <c r="L408" i="22"/>
  <c r="I467" i="22"/>
  <c r="K137" i="22"/>
  <c r="K481" i="22"/>
  <c r="L469" i="22"/>
  <c r="V247" i="18" l="1"/>
  <c r="U223" i="18"/>
  <c r="BF2" i="18"/>
  <c r="V61" i="23"/>
  <c r="V88" i="23"/>
  <c r="BM15" i="22"/>
  <c r="BM42" i="22"/>
  <c r="BG25" i="18"/>
  <c r="L375" i="18"/>
  <c r="K387" i="18"/>
  <c r="L415" i="18"/>
  <c r="K427" i="18"/>
  <c r="L34" i="23"/>
  <c r="K6" i="23"/>
  <c r="L7" i="23"/>
  <c r="N627" i="23"/>
  <c r="M639" i="23"/>
  <c r="L311" i="23"/>
  <c r="M430" i="23"/>
  <c r="O667" i="23"/>
  <c r="N679" i="23"/>
  <c r="M606" i="23"/>
  <c r="K625" i="23"/>
  <c r="L596" i="23"/>
  <c r="L269" i="23"/>
  <c r="J665" i="23"/>
  <c r="L552" i="23"/>
  <c r="M335" i="23"/>
  <c r="M217" i="23"/>
  <c r="L193" i="23"/>
  <c r="M361" i="23"/>
  <c r="M243" i="23"/>
  <c r="M87" i="22"/>
  <c r="M34" i="22"/>
  <c r="M163" i="22"/>
  <c r="M61" i="22"/>
  <c r="AP112" i="22"/>
  <c r="J467" i="22"/>
  <c r="BE123" i="22"/>
  <c r="L113" i="22"/>
  <c r="L137" i="22"/>
  <c r="M441" i="22"/>
  <c r="N429" i="22"/>
  <c r="M408" i="22"/>
  <c r="L481" i="22"/>
  <c r="M469" i="22"/>
  <c r="K427" i="22"/>
  <c r="L398" i="22"/>
  <c r="M7" i="22"/>
  <c r="L6" i="22"/>
  <c r="L232" i="22"/>
  <c r="F354" i="18"/>
  <c r="G354" i="18" s="1"/>
  <c r="H354" i="18" s="1"/>
  <c r="I354" i="18" s="1"/>
  <c r="J354" i="18" s="1"/>
  <c r="K354" i="18" s="1"/>
  <c r="L354" i="18" s="1"/>
  <c r="M354" i="18" s="1"/>
  <c r="N354" i="18" s="1"/>
  <c r="O354" i="18" s="1"/>
  <c r="P354" i="18" s="1"/>
  <c r="Q354" i="18" s="1"/>
  <c r="F344" i="18"/>
  <c r="F339" i="18"/>
  <c r="G339" i="18" s="1"/>
  <c r="H339" i="18" s="1"/>
  <c r="I339" i="18" s="1"/>
  <c r="J339" i="18" s="1"/>
  <c r="K339" i="18" s="1"/>
  <c r="L339" i="18" s="1"/>
  <c r="M339" i="18" s="1"/>
  <c r="N339" i="18" s="1"/>
  <c r="O339" i="18" s="1"/>
  <c r="P339" i="18" s="1"/>
  <c r="Q339" i="18" s="1"/>
  <c r="R339" i="18" s="1"/>
  <c r="S339" i="18" s="1"/>
  <c r="T339" i="18" s="1"/>
  <c r="U339" i="18" s="1"/>
  <c r="V339" i="18" s="1"/>
  <c r="W339" i="18" s="1"/>
  <c r="X339" i="18" s="1"/>
  <c r="Y339" i="18" s="1"/>
  <c r="Z339" i="18" s="1"/>
  <c r="F333" i="18"/>
  <c r="G333" i="18" s="1"/>
  <c r="H333" i="18" s="1"/>
  <c r="I333" i="18" s="1"/>
  <c r="J333" i="18" s="1"/>
  <c r="K333" i="18" s="1"/>
  <c r="L333" i="18" s="1"/>
  <c r="M333" i="18" s="1"/>
  <c r="N333" i="18" s="1"/>
  <c r="O333" i="18" s="1"/>
  <c r="P333" i="18" s="1"/>
  <c r="Q333" i="18" s="1"/>
  <c r="R333" i="18" s="1"/>
  <c r="S333" i="18" s="1"/>
  <c r="T333" i="18" s="1"/>
  <c r="U333" i="18" s="1"/>
  <c r="V333" i="18" s="1"/>
  <c r="W333" i="18" s="1"/>
  <c r="X333" i="18" s="1"/>
  <c r="Y333" i="18" s="1"/>
  <c r="Z333" i="18" s="1"/>
  <c r="F310" i="18"/>
  <c r="G310" i="18" s="1"/>
  <c r="H310" i="18" s="1"/>
  <c r="I310" i="18" s="1"/>
  <c r="J310" i="18" s="1"/>
  <c r="K310" i="18" s="1"/>
  <c r="L310" i="18" s="1"/>
  <c r="M310" i="18" s="1"/>
  <c r="N310" i="18" s="1"/>
  <c r="O310" i="18" s="1"/>
  <c r="P310" i="18" s="1"/>
  <c r="Q310" i="18" s="1"/>
  <c r="R310" i="18" s="1"/>
  <c r="S310" i="18" s="1"/>
  <c r="T310" i="18" s="1"/>
  <c r="U310" i="18" s="1"/>
  <c r="V310" i="18" s="1"/>
  <c r="W310" i="18" s="1"/>
  <c r="X310" i="18" s="1"/>
  <c r="Y310" i="18" s="1"/>
  <c r="Z310" i="18" s="1"/>
  <c r="F300" i="18"/>
  <c r="AQ164" i="18"/>
  <c r="AR164" i="18" s="1"/>
  <c r="AS164" i="18" s="1"/>
  <c r="AT164" i="18" s="1"/>
  <c r="AU164" i="18" s="1"/>
  <c r="AV164" i="18" s="1"/>
  <c r="AW164" i="18" s="1"/>
  <c r="AX164" i="18" s="1"/>
  <c r="AY164" i="18" s="1"/>
  <c r="AZ164" i="18" s="1"/>
  <c r="BA164" i="18" s="1"/>
  <c r="BB164" i="18" s="1"/>
  <c r="BC164" i="18" s="1"/>
  <c r="BD164" i="18" s="1"/>
  <c r="BE164" i="18" s="1"/>
  <c r="BF164" i="18" s="1"/>
  <c r="BG164" i="18" s="1"/>
  <c r="BH164" i="18" s="1"/>
  <c r="BI164" i="18" s="1"/>
  <c r="BJ164" i="18" s="1"/>
  <c r="BK164" i="18" s="1"/>
  <c r="AQ143" i="18"/>
  <c r="F198" i="18"/>
  <c r="G198" i="18" s="1"/>
  <c r="H198" i="18" s="1"/>
  <c r="I198" i="18" s="1"/>
  <c r="J198" i="18" s="1"/>
  <c r="K198" i="18" s="1"/>
  <c r="L198" i="18" s="1"/>
  <c r="M198" i="18" s="1"/>
  <c r="N198" i="18" s="1"/>
  <c r="O198" i="18" s="1"/>
  <c r="P198" i="18" s="1"/>
  <c r="Q198" i="18" s="1"/>
  <c r="R198" i="18" s="1"/>
  <c r="S198" i="18" s="1"/>
  <c r="T198" i="18" s="1"/>
  <c r="U198" i="18" s="1"/>
  <c r="V198" i="18" s="1"/>
  <c r="W198" i="18" s="1"/>
  <c r="X198" i="18" s="1"/>
  <c r="Y198" i="18" s="1"/>
  <c r="Z198" i="18" s="1"/>
  <c r="D193" i="18"/>
  <c r="D187" i="18"/>
  <c r="D185" i="18"/>
  <c r="D178" i="18"/>
  <c r="D179" i="18"/>
  <c r="D180" i="18"/>
  <c r="D181" i="18"/>
  <c r="D182" i="18"/>
  <c r="D183" i="18"/>
  <c r="D177" i="18"/>
  <c r="D175" i="18"/>
  <c r="D174" i="18"/>
  <c r="W247" i="18" l="1"/>
  <c r="V223" i="18"/>
  <c r="BG2" i="18"/>
  <c r="W88" i="23"/>
  <c r="W61" i="23"/>
  <c r="BN15" i="22"/>
  <c r="BN42" i="22"/>
  <c r="BH25" i="18"/>
  <c r="M415" i="18"/>
  <c r="L427" i="18"/>
  <c r="M375" i="18"/>
  <c r="L387" i="18"/>
  <c r="K665" i="23"/>
  <c r="M311" i="23"/>
  <c r="M7" i="23"/>
  <c r="L6" i="23"/>
  <c r="N243" i="23"/>
  <c r="M269" i="23"/>
  <c r="L625" i="23"/>
  <c r="M596" i="23"/>
  <c r="M34" i="23"/>
  <c r="N335" i="23"/>
  <c r="N639" i="23"/>
  <c r="O627" i="23"/>
  <c r="N361" i="23"/>
  <c r="M193" i="23"/>
  <c r="N217" i="23"/>
  <c r="N430" i="23"/>
  <c r="M552" i="23"/>
  <c r="N606" i="23"/>
  <c r="P667" i="23"/>
  <c r="O679" i="23"/>
  <c r="AQ112" i="22"/>
  <c r="N163" i="22"/>
  <c r="N34" i="22"/>
  <c r="N61" i="22"/>
  <c r="N87" i="22"/>
  <c r="BE147" i="22"/>
  <c r="N441" i="22"/>
  <c r="O429" i="22"/>
  <c r="BF123" i="22"/>
  <c r="M6" i="22"/>
  <c r="N7" i="22"/>
  <c r="N408" i="22"/>
  <c r="M137" i="22"/>
  <c r="M113" i="22"/>
  <c r="M232" i="22"/>
  <c r="M481" i="22"/>
  <c r="N469" i="22"/>
  <c r="K467" i="22"/>
  <c r="L427" i="22"/>
  <c r="M398" i="22"/>
  <c r="G344" i="18"/>
  <c r="F373" i="18"/>
  <c r="G300" i="18"/>
  <c r="H300" i="18" s="1"/>
  <c r="I300" i="18" s="1"/>
  <c r="R354" i="18"/>
  <c r="AR143" i="18"/>
  <c r="AK12" i="20"/>
  <c r="AK13" i="20" s="1"/>
  <c r="AK14" i="20" s="1"/>
  <c r="AQ11" i="20"/>
  <c r="AQ12" i="20" s="1"/>
  <c r="AQ13" i="20" s="1"/>
  <c r="AQ14" i="20" s="1"/>
  <c r="AQ15" i="20" s="1"/>
  <c r="AQ16" i="20" s="1"/>
  <c r="AQ17" i="20" s="1"/>
  <c r="AQ18" i="20" s="1"/>
  <c r="AQ19" i="20" s="1"/>
  <c r="AQ20" i="20" s="1"/>
  <c r="AQ21" i="20" s="1"/>
  <c r="AQ22" i="20" s="1"/>
  <c r="AQ23" i="20" s="1"/>
  <c r="AQ24" i="20" s="1"/>
  <c r="AQ25" i="20" s="1"/>
  <c r="AQ26" i="20" s="1"/>
  <c r="AQ27" i="20" s="1"/>
  <c r="AQ28" i="20" s="1"/>
  <c r="AQ29" i="20" s="1"/>
  <c r="AQ30" i="20" s="1"/>
  <c r="AQ31" i="20" s="1"/>
  <c r="AQ32" i="20" s="1"/>
  <c r="AQ33" i="20" s="1"/>
  <c r="AQ34" i="20" s="1"/>
  <c r="AQ35" i="20" s="1"/>
  <c r="AQ36" i="20" s="1"/>
  <c r="AQ37" i="20" s="1"/>
  <c r="AQ38" i="20" s="1"/>
  <c r="AQ39" i="20" s="1"/>
  <c r="AQ40" i="20" s="1"/>
  <c r="AQ41" i="20" s="1"/>
  <c r="AQ42" i="20" s="1"/>
  <c r="AQ43" i="20" s="1"/>
  <c r="AQ44" i="20" s="1"/>
  <c r="AQ45" i="20" s="1"/>
  <c r="AO11" i="20"/>
  <c r="AO12" i="20" s="1"/>
  <c r="AM11" i="20"/>
  <c r="AM12" i="20" s="1"/>
  <c r="AM13" i="20" s="1"/>
  <c r="AM14" i="20" s="1"/>
  <c r="AM15" i="20" s="1"/>
  <c r="AM16" i="20" s="1"/>
  <c r="AM17" i="20" s="1"/>
  <c r="AM18" i="20" s="1"/>
  <c r="AM19" i="20" s="1"/>
  <c r="AM20" i="20" s="1"/>
  <c r="AM21" i="20" s="1"/>
  <c r="AM22" i="20" s="1"/>
  <c r="AM23" i="20" s="1"/>
  <c r="AM24" i="20" s="1"/>
  <c r="AM25" i="20" s="1"/>
  <c r="AM26" i="20" s="1"/>
  <c r="AM27" i="20" s="1"/>
  <c r="AM28" i="20" s="1"/>
  <c r="AM29" i="20" s="1"/>
  <c r="AM30" i="20" s="1"/>
  <c r="AM31" i="20" s="1"/>
  <c r="AM32" i="20" s="1"/>
  <c r="AM33" i="20" s="1"/>
  <c r="AM34" i="20" s="1"/>
  <c r="AM35" i="20" s="1"/>
  <c r="AM36" i="20" s="1"/>
  <c r="AM37" i="20" s="1"/>
  <c r="AM38" i="20" s="1"/>
  <c r="AM39" i="20" s="1"/>
  <c r="AM40" i="20" s="1"/>
  <c r="AM41" i="20" s="1"/>
  <c r="AM42" i="20" s="1"/>
  <c r="AM43" i="20" s="1"/>
  <c r="AM44" i="20" s="1"/>
  <c r="AM45" i="20" s="1"/>
  <c r="U12" i="20"/>
  <c r="U13" i="20" s="1"/>
  <c r="U14" i="20" s="1"/>
  <c r="AA11" i="20"/>
  <c r="AA12" i="20" s="1"/>
  <c r="AA13" i="20" s="1"/>
  <c r="AA14" i="20" s="1"/>
  <c r="AA15" i="20" s="1"/>
  <c r="AA16" i="20" s="1"/>
  <c r="AA17" i="20" s="1"/>
  <c r="AA18" i="20" s="1"/>
  <c r="AA19" i="20" s="1"/>
  <c r="AA20" i="20" s="1"/>
  <c r="AA21" i="20" s="1"/>
  <c r="AA22" i="20" s="1"/>
  <c r="AA23" i="20" s="1"/>
  <c r="AA24" i="20" s="1"/>
  <c r="AA25" i="20" s="1"/>
  <c r="AA26" i="20" s="1"/>
  <c r="AA27" i="20" s="1"/>
  <c r="AA28" i="20" s="1"/>
  <c r="AA29" i="20" s="1"/>
  <c r="AA30" i="20" s="1"/>
  <c r="AA31" i="20" s="1"/>
  <c r="AA32" i="20" s="1"/>
  <c r="AA33" i="20" s="1"/>
  <c r="AA34" i="20" s="1"/>
  <c r="AA35" i="20" s="1"/>
  <c r="AA36" i="20" s="1"/>
  <c r="AA37" i="20" s="1"/>
  <c r="AA38" i="20" s="1"/>
  <c r="AA39" i="20" s="1"/>
  <c r="AA40" i="20" s="1"/>
  <c r="AA41" i="20" s="1"/>
  <c r="AA42" i="20" s="1"/>
  <c r="AA43" i="20" s="1"/>
  <c r="AA44" i="20" s="1"/>
  <c r="AA45" i="20" s="1"/>
  <c r="Y11" i="20"/>
  <c r="Y12" i="20" s="1"/>
  <c r="W11" i="20"/>
  <c r="W12" i="20" s="1"/>
  <c r="W13" i="20" s="1"/>
  <c r="W14" i="20" s="1"/>
  <c r="W15" i="20" s="1"/>
  <c r="W16" i="20" s="1"/>
  <c r="W17" i="20" s="1"/>
  <c r="W18" i="20" s="1"/>
  <c r="W19" i="20" s="1"/>
  <c r="W20" i="20" s="1"/>
  <c r="W21" i="20" s="1"/>
  <c r="W22" i="20" s="1"/>
  <c r="W23" i="20" s="1"/>
  <c r="W24" i="20" s="1"/>
  <c r="W25" i="20" s="1"/>
  <c r="W26" i="20" s="1"/>
  <c r="W27" i="20" s="1"/>
  <c r="W28" i="20" s="1"/>
  <c r="W29" i="20" s="1"/>
  <c r="W30" i="20" s="1"/>
  <c r="W31" i="20" s="1"/>
  <c r="W32" i="20" s="1"/>
  <c r="W33" i="20" s="1"/>
  <c r="W34" i="20" s="1"/>
  <c r="W35" i="20" s="1"/>
  <c r="W36" i="20" s="1"/>
  <c r="W37" i="20" s="1"/>
  <c r="W38" i="20" s="1"/>
  <c r="W39" i="20" s="1"/>
  <c r="W40" i="20" s="1"/>
  <c r="W41" i="20" s="1"/>
  <c r="W42" i="20" s="1"/>
  <c r="W43" i="20" s="1"/>
  <c r="W44" i="20" s="1"/>
  <c r="W45" i="20" s="1"/>
  <c r="O48" i="20"/>
  <c r="K12" i="20"/>
  <c r="K13" i="20" s="1"/>
  <c r="K14" i="20" s="1"/>
  <c r="K15" i="20" s="1"/>
  <c r="K16" i="20" s="1"/>
  <c r="K17" i="20" s="1"/>
  <c r="K18" i="20" s="1"/>
  <c r="K19" i="20" s="1"/>
  <c r="K20" i="20" s="1"/>
  <c r="K21" i="20" s="1"/>
  <c r="K22" i="20" s="1"/>
  <c r="K23" i="20" s="1"/>
  <c r="K24" i="20" s="1"/>
  <c r="K25" i="20" s="1"/>
  <c r="K26" i="20" s="1"/>
  <c r="K27" i="20" s="1"/>
  <c r="K28" i="20" s="1"/>
  <c r="K29" i="20" s="1"/>
  <c r="K30" i="20" s="1"/>
  <c r="K31" i="20" s="1"/>
  <c r="K32" i="20" s="1"/>
  <c r="K33" i="20" s="1"/>
  <c r="K34" i="20" s="1"/>
  <c r="K35" i="20" s="1"/>
  <c r="K36" i="20" s="1"/>
  <c r="K37" i="20" s="1"/>
  <c r="K38" i="20" s="1"/>
  <c r="K39" i="20" s="1"/>
  <c r="K40" i="20" s="1"/>
  <c r="K41" i="20" s="1"/>
  <c r="K42" i="20" s="1"/>
  <c r="K43" i="20" s="1"/>
  <c r="K44" i="20" s="1"/>
  <c r="K45" i="20" s="1"/>
  <c r="K11" i="20"/>
  <c r="I11" i="20"/>
  <c r="G11" i="20"/>
  <c r="G12" i="20" s="1"/>
  <c r="G13" i="20" s="1"/>
  <c r="G14" i="20" s="1"/>
  <c r="G15" i="20" s="1"/>
  <c r="G16" i="20" s="1"/>
  <c r="G17" i="20" s="1"/>
  <c r="G18" i="20" s="1"/>
  <c r="G19" i="20" s="1"/>
  <c r="G20" i="20" s="1"/>
  <c r="G21" i="20" s="1"/>
  <c r="G22" i="20" s="1"/>
  <c r="G23" i="20" s="1"/>
  <c r="G24" i="20" s="1"/>
  <c r="G25" i="20" s="1"/>
  <c r="G26" i="20" s="1"/>
  <c r="G27" i="20" s="1"/>
  <c r="G28" i="20" s="1"/>
  <c r="G29" i="20" s="1"/>
  <c r="G30" i="20" s="1"/>
  <c r="G31" i="20" s="1"/>
  <c r="G32" i="20" s="1"/>
  <c r="G33" i="20" s="1"/>
  <c r="G34" i="20" s="1"/>
  <c r="G35" i="20" s="1"/>
  <c r="G36" i="20" s="1"/>
  <c r="G37" i="20" s="1"/>
  <c r="G38" i="20" s="1"/>
  <c r="G39" i="20" s="1"/>
  <c r="G40" i="20" s="1"/>
  <c r="G41" i="20" s="1"/>
  <c r="G42" i="20" s="1"/>
  <c r="G43" i="20" s="1"/>
  <c r="G44" i="20" s="1"/>
  <c r="G45" i="20" s="1"/>
  <c r="G63" i="19"/>
  <c r="H63" i="19"/>
  <c r="S24" i="4"/>
  <c r="T24" i="4"/>
  <c r="I19" i="4"/>
  <c r="J19" i="4"/>
  <c r="H19" i="4"/>
  <c r="R21" i="4" s="1"/>
  <c r="BU175" i="1"/>
  <c r="G68" i="19"/>
  <c r="H68" i="19"/>
  <c r="G70" i="19"/>
  <c r="H70" i="19"/>
  <c r="G71" i="19"/>
  <c r="H71" i="19"/>
  <c r="F71" i="19"/>
  <c r="F70" i="19"/>
  <c r="F68" i="19"/>
  <c r="F63" i="19"/>
  <c r="G47" i="19"/>
  <c r="H47" i="19"/>
  <c r="F47" i="19"/>
  <c r="S21" i="4" l="1"/>
  <c r="T21" i="4"/>
  <c r="X247" i="18"/>
  <c r="W223" i="18"/>
  <c r="BH2" i="18"/>
  <c r="X61" i="23"/>
  <c r="X88" i="23"/>
  <c r="BO42" i="22"/>
  <c r="BO15" i="22"/>
  <c r="BI25" i="18"/>
  <c r="N375" i="18"/>
  <c r="M387" i="18"/>
  <c r="N415" i="18"/>
  <c r="M427" i="18"/>
  <c r="I12" i="20"/>
  <c r="I13" i="20" s="1"/>
  <c r="I14" i="20" s="1"/>
  <c r="I15" i="20" s="1"/>
  <c r="I16" i="20" s="1"/>
  <c r="I17" i="20" s="1"/>
  <c r="I18" i="20" s="1"/>
  <c r="I19" i="20" s="1"/>
  <c r="I20" i="20" s="1"/>
  <c r="I21" i="20" s="1"/>
  <c r="I22" i="20" s="1"/>
  <c r="I23" i="20" s="1"/>
  <c r="I24" i="20" s="1"/>
  <c r="I25" i="20" s="1"/>
  <c r="I26" i="20" s="1"/>
  <c r="I27" i="20" s="1"/>
  <c r="I28" i="20" s="1"/>
  <c r="I29" i="20" s="1"/>
  <c r="I30" i="20" s="1"/>
  <c r="I31" i="20" s="1"/>
  <c r="I32" i="20" s="1"/>
  <c r="I33" i="20" s="1"/>
  <c r="I34" i="20" s="1"/>
  <c r="I35" i="20" s="1"/>
  <c r="I36" i="20" s="1"/>
  <c r="I37" i="20" s="1"/>
  <c r="I38" i="20" s="1"/>
  <c r="I39" i="20" s="1"/>
  <c r="I40" i="20" s="1"/>
  <c r="I41" i="20" s="1"/>
  <c r="I42" i="20" s="1"/>
  <c r="I43" i="20" s="1"/>
  <c r="I44" i="20" s="1"/>
  <c r="I45" i="20" s="1"/>
  <c r="Q667" i="23"/>
  <c r="P687" i="23"/>
  <c r="P679" i="23"/>
  <c r="N552" i="23"/>
  <c r="O361" i="23"/>
  <c r="O606" i="23"/>
  <c r="O430" i="23"/>
  <c r="N34" i="23"/>
  <c r="M625" i="23"/>
  <c r="N596" i="23"/>
  <c r="O217" i="23"/>
  <c r="L665" i="23"/>
  <c r="N269" i="23"/>
  <c r="N311" i="23"/>
  <c r="O335" i="23"/>
  <c r="M6" i="23"/>
  <c r="N7" i="23"/>
  <c r="N193" i="23"/>
  <c r="O639" i="23"/>
  <c r="P627" i="23"/>
  <c r="O243" i="23"/>
  <c r="AR112" i="22"/>
  <c r="O87" i="22"/>
  <c r="O61" i="22"/>
  <c r="O34" i="22"/>
  <c r="O163" i="22"/>
  <c r="N6" i="22"/>
  <c r="O7" i="22"/>
  <c r="BG123" i="22"/>
  <c r="BF147" i="22"/>
  <c r="O408" i="22"/>
  <c r="O441" i="22"/>
  <c r="P429" i="22"/>
  <c r="O469" i="22"/>
  <c r="N481" i="22"/>
  <c r="N232" i="22"/>
  <c r="M427" i="22"/>
  <c r="N398" i="22"/>
  <c r="L467" i="22"/>
  <c r="N113" i="22"/>
  <c r="N137" i="22"/>
  <c r="H344" i="18"/>
  <c r="G373" i="18"/>
  <c r="F413" i="18"/>
  <c r="J300" i="18"/>
  <c r="S354" i="18"/>
  <c r="AS143" i="18"/>
  <c r="AK15" i="20"/>
  <c r="AO13" i="20"/>
  <c r="U15" i="20"/>
  <c r="Y13" i="20"/>
  <c r="Y247" i="18" l="1"/>
  <c r="X223" i="18"/>
  <c r="BI2" i="18"/>
  <c r="Y88" i="23"/>
  <c r="Y61" i="23"/>
  <c r="BP15" i="22"/>
  <c r="BP42" i="22"/>
  <c r="BJ25" i="18"/>
  <c r="O375" i="18"/>
  <c r="N387" i="18"/>
  <c r="O415" i="18"/>
  <c r="N427" i="18"/>
  <c r="P647" i="23"/>
  <c r="P639" i="23"/>
  <c r="Q627" i="23"/>
  <c r="P606" i="23"/>
  <c r="P335" i="23"/>
  <c r="P361" i="23"/>
  <c r="O311" i="23"/>
  <c r="O34" i="23"/>
  <c r="O7" i="23"/>
  <c r="N6" i="23"/>
  <c r="O269" i="23"/>
  <c r="R667" i="23"/>
  <c r="Q687" i="23"/>
  <c r="Q679" i="23"/>
  <c r="P243" i="23"/>
  <c r="O193" i="23"/>
  <c r="P217" i="23"/>
  <c r="O596" i="23"/>
  <c r="N625" i="23"/>
  <c r="O552" i="23"/>
  <c r="M665" i="23"/>
  <c r="P430" i="23"/>
  <c r="P163" i="22"/>
  <c r="P34" i="22"/>
  <c r="P87" i="22"/>
  <c r="AS112" i="22"/>
  <c r="P61" i="22"/>
  <c r="BH123" i="22"/>
  <c r="O232" i="22"/>
  <c r="P469" i="22"/>
  <c r="O481" i="22"/>
  <c r="O113" i="22"/>
  <c r="N427" i="22"/>
  <c r="O398" i="22"/>
  <c r="O6" i="22"/>
  <c r="P7" i="22"/>
  <c r="M467" i="22"/>
  <c r="P408" i="22"/>
  <c r="Q429" i="22"/>
  <c r="P441" i="22"/>
  <c r="P449" i="22"/>
  <c r="BG147" i="22"/>
  <c r="O137" i="22"/>
  <c r="G413" i="18"/>
  <c r="I344" i="18"/>
  <c r="H373" i="18"/>
  <c r="K300" i="18"/>
  <c r="AT143" i="18"/>
  <c r="T354" i="18"/>
  <c r="AK16" i="20"/>
  <c r="AO14" i="20"/>
  <c r="Y14" i="20"/>
  <c r="U16" i="20"/>
  <c r="Z247" i="18" l="1"/>
  <c r="Y223" i="18"/>
  <c r="BJ2" i="18"/>
  <c r="Z61" i="23"/>
  <c r="Z88" i="23"/>
  <c r="BQ42" i="22"/>
  <c r="BQ15" i="22"/>
  <c r="BK25" i="18"/>
  <c r="P415" i="18"/>
  <c r="O427" i="18"/>
  <c r="P375" i="18"/>
  <c r="O387" i="18"/>
  <c r="N665" i="23"/>
  <c r="Q639" i="23"/>
  <c r="Q647" i="23"/>
  <c r="R627" i="23"/>
  <c r="O625" i="23"/>
  <c r="P596" i="23"/>
  <c r="P311" i="23"/>
  <c r="P34" i="23"/>
  <c r="Q217" i="23"/>
  <c r="Q361" i="23"/>
  <c r="R687" i="23"/>
  <c r="R679" i="23"/>
  <c r="S667" i="23"/>
  <c r="P552" i="23"/>
  <c r="P269" i="23"/>
  <c r="Q335" i="23"/>
  <c r="Q243" i="23"/>
  <c r="P193" i="23"/>
  <c r="Q606" i="23"/>
  <c r="Q430" i="23"/>
  <c r="O6" i="23"/>
  <c r="P7" i="23"/>
  <c r="Q61" i="22"/>
  <c r="Q87" i="22"/>
  <c r="AT112" i="22"/>
  <c r="Q34" i="22"/>
  <c r="Q163" i="22"/>
  <c r="Q7" i="22"/>
  <c r="P6" i="22"/>
  <c r="P232" i="22"/>
  <c r="O427" i="22"/>
  <c r="P398" i="22"/>
  <c r="Q469" i="22"/>
  <c r="P481" i="22"/>
  <c r="P489" i="22"/>
  <c r="BH147" i="22"/>
  <c r="N467" i="22"/>
  <c r="BI123" i="22"/>
  <c r="P113" i="22"/>
  <c r="Q408" i="22"/>
  <c r="P137" i="22"/>
  <c r="R429" i="22"/>
  <c r="Q441" i="22"/>
  <c r="Q449" i="22"/>
  <c r="H413" i="18"/>
  <c r="J344" i="18"/>
  <c r="I373" i="18"/>
  <c r="L300" i="18"/>
  <c r="U354" i="18"/>
  <c r="AU143" i="18"/>
  <c r="AO15" i="20"/>
  <c r="AK17" i="20"/>
  <c r="U17" i="20"/>
  <c r="Y15" i="20"/>
  <c r="Z223" i="18" l="1"/>
  <c r="BK2" i="18"/>
  <c r="Q375" i="18"/>
  <c r="P395" i="18"/>
  <c r="P387" i="18"/>
  <c r="Q415" i="18"/>
  <c r="P427" i="18"/>
  <c r="P435" i="18"/>
  <c r="Q311" i="23"/>
  <c r="R361" i="23"/>
  <c r="Q193" i="23"/>
  <c r="R335" i="23"/>
  <c r="R430" i="23"/>
  <c r="Q34" i="23"/>
  <c r="R606" i="23"/>
  <c r="P625" i="23"/>
  <c r="Q596" i="23"/>
  <c r="Q269" i="23"/>
  <c r="O665" i="23"/>
  <c r="Q552" i="23"/>
  <c r="P6" i="23"/>
  <c r="Q7" i="23"/>
  <c r="R243" i="23"/>
  <c r="R647" i="23"/>
  <c r="R639" i="23"/>
  <c r="S627" i="23"/>
  <c r="R217" i="23"/>
  <c r="S687" i="23"/>
  <c r="S679" i="23"/>
  <c r="T667" i="23"/>
  <c r="R163" i="22"/>
  <c r="AU112" i="22"/>
  <c r="R61" i="22"/>
  <c r="R34" i="22"/>
  <c r="R87" i="22"/>
  <c r="R408" i="22"/>
  <c r="Q232" i="22"/>
  <c r="R7" i="22"/>
  <c r="Q6" i="22"/>
  <c r="S429" i="22"/>
  <c r="R441" i="22"/>
  <c r="R449" i="22"/>
  <c r="BJ123" i="22"/>
  <c r="R469" i="22"/>
  <c r="Q481" i="22"/>
  <c r="Q489" i="22"/>
  <c r="Q398" i="22"/>
  <c r="P427" i="22"/>
  <c r="Q137" i="22"/>
  <c r="BI147" i="22"/>
  <c r="O467" i="22"/>
  <c r="Q113" i="22"/>
  <c r="K344" i="18"/>
  <c r="J373" i="18"/>
  <c r="I413" i="18"/>
  <c r="AV143" i="18"/>
  <c r="M300" i="18"/>
  <c r="V354" i="18"/>
  <c r="AO16" i="20"/>
  <c r="AK18" i="20"/>
  <c r="Y16" i="20"/>
  <c r="U18" i="20"/>
  <c r="R415" i="18" l="1"/>
  <c r="Q427" i="18"/>
  <c r="Q435" i="18"/>
  <c r="R375" i="18"/>
  <c r="Q387" i="18"/>
  <c r="Q395" i="18"/>
  <c r="S243" i="23"/>
  <c r="S430" i="23"/>
  <c r="R552" i="23"/>
  <c r="Q625" i="23"/>
  <c r="R596" i="23"/>
  <c r="R311" i="23"/>
  <c r="P665" i="23"/>
  <c r="S217" i="23"/>
  <c r="R7" i="23"/>
  <c r="Q6" i="23"/>
  <c r="U667" i="23"/>
  <c r="T679" i="23"/>
  <c r="T687" i="23"/>
  <c r="S606" i="23"/>
  <c r="R193" i="23"/>
  <c r="R269" i="23"/>
  <c r="S335" i="23"/>
  <c r="S361" i="23"/>
  <c r="T627" i="23"/>
  <c r="S647" i="23"/>
  <c r="S639" i="23"/>
  <c r="R34" i="23"/>
  <c r="S163" i="22"/>
  <c r="S87" i="22"/>
  <c r="AV112" i="22"/>
  <c r="S34" i="22"/>
  <c r="S61" i="22"/>
  <c r="S408" i="22"/>
  <c r="R6" i="22"/>
  <c r="S7" i="22"/>
  <c r="R113" i="22"/>
  <c r="S441" i="22"/>
  <c r="S449" i="22"/>
  <c r="T429" i="22"/>
  <c r="R232" i="22"/>
  <c r="P467" i="22"/>
  <c r="Q427" i="22"/>
  <c r="R398" i="22"/>
  <c r="R489" i="22"/>
  <c r="R481" i="22"/>
  <c r="S469" i="22"/>
  <c r="BJ147" i="22"/>
  <c r="R137" i="22"/>
  <c r="BK123" i="22"/>
  <c r="L344" i="18"/>
  <c r="K373" i="18"/>
  <c r="J413" i="18"/>
  <c r="N300" i="18"/>
  <c r="AW143" i="18"/>
  <c r="W354" i="18"/>
  <c r="AK19" i="20"/>
  <c r="AO17" i="20"/>
  <c r="U19" i="20"/>
  <c r="Y17" i="20"/>
  <c r="S375" i="18" l="1"/>
  <c r="R395" i="18"/>
  <c r="R387" i="18"/>
  <c r="S415" i="18"/>
  <c r="R427" i="18"/>
  <c r="R435" i="18"/>
  <c r="T335" i="23"/>
  <c r="S7" i="23"/>
  <c r="R6" i="23"/>
  <c r="T430" i="23"/>
  <c r="T243" i="23"/>
  <c r="U687" i="23"/>
  <c r="U679" i="23"/>
  <c r="V667" i="23"/>
  <c r="S311" i="23"/>
  <c r="T647" i="23"/>
  <c r="T639" i="23"/>
  <c r="U627" i="23"/>
  <c r="R625" i="23"/>
  <c r="S596" i="23"/>
  <c r="S269" i="23"/>
  <c r="S193" i="23"/>
  <c r="Q665" i="23"/>
  <c r="T361" i="23"/>
  <c r="T217" i="23"/>
  <c r="S34" i="23"/>
  <c r="T606" i="23"/>
  <c r="S552" i="23"/>
  <c r="T87" i="22"/>
  <c r="T163" i="22"/>
  <c r="T61" i="22"/>
  <c r="T34" i="22"/>
  <c r="AW112" i="22"/>
  <c r="BK147" i="22"/>
  <c r="S113" i="22"/>
  <c r="R427" i="22"/>
  <c r="S398" i="22"/>
  <c r="Q467" i="22"/>
  <c r="S232" i="22"/>
  <c r="T408" i="22"/>
  <c r="T449" i="22"/>
  <c r="T441" i="22"/>
  <c r="U429" i="22"/>
  <c r="S6" i="22"/>
  <c r="T7" i="22"/>
  <c r="S137" i="22"/>
  <c r="BL123" i="22"/>
  <c r="S489" i="22"/>
  <c r="S481" i="22"/>
  <c r="T469" i="22"/>
  <c r="K413" i="18"/>
  <c r="M344" i="18"/>
  <c r="L373" i="18"/>
  <c r="X354" i="18"/>
  <c r="O300" i="18"/>
  <c r="AX143" i="18"/>
  <c r="AO18" i="20"/>
  <c r="AK20" i="20"/>
  <c r="Y18" i="20"/>
  <c r="U20" i="20"/>
  <c r="T415" i="18" l="1"/>
  <c r="S427" i="18"/>
  <c r="S435" i="18"/>
  <c r="T375" i="18"/>
  <c r="S387" i="18"/>
  <c r="S395" i="18"/>
  <c r="U361" i="23"/>
  <c r="R665" i="23"/>
  <c r="T311" i="23"/>
  <c r="T34" i="23"/>
  <c r="W667" i="23"/>
  <c r="V687" i="23"/>
  <c r="V679" i="23"/>
  <c r="T269" i="23"/>
  <c r="T552" i="23"/>
  <c r="U243" i="23"/>
  <c r="U335" i="23"/>
  <c r="U430" i="23"/>
  <c r="T193" i="23"/>
  <c r="U606" i="23"/>
  <c r="U647" i="23"/>
  <c r="U639" i="23"/>
  <c r="V627" i="23"/>
  <c r="T7" i="23"/>
  <c r="S6" i="23"/>
  <c r="U217" i="23"/>
  <c r="S625" i="23"/>
  <c r="T596" i="23"/>
  <c r="U61" i="22"/>
  <c r="AX112" i="22"/>
  <c r="U163" i="22"/>
  <c r="U34" i="22"/>
  <c r="U87" i="22"/>
  <c r="S427" i="22"/>
  <c r="T398" i="22"/>
  <c r="R467" i="22"/>
  <c r="BL147" i="22"/>
  <c r="U449" i="22"/>
  <c r="U441" i="22"/>
  <c r="V429" i="22"/>
  <c r="T6" i="22"/>
  <c r="U7" i="22"/>
  <c r="BM123" i="22"/>
  <c r="T232" i="22"/>
  <c r="T481" i="22"/>
  <c r="T489" i="22"/>
  <c r="U469" i="22"/>
  <c r="T137" i="22"/>
  <c r="U408" i="22"/>
  <c r="T113" i="22"/>
  <c r="N344" i="18"/>
  <c r="M373" i="18"/>
  <c r="L413" i="18"/>
  <c r="AY143" i="18"/>
  <c r="Y354" i="18"/>
  <c r="P300" i="18"/>
  <c r="AK21" i="20"/>
  <c r="AO19" i="20"/>
  <c r="U21" i="20"/>
  <c r="Y19" i="20"/>
  <c r="Z169" i="23" l="1"/>
  <c r="U375" i="18"/>
  <c r="T387" i="18"/>
  <c r="T395" i="18"/>
  <c r="U415" i="18"/>
  <c r="T427" i="18"/>
  <c r="T435" i="18"/>
  <c r="T6" i="23"/>
  <c r="U7" i="23"/>
  <c r="U269" i="23"/>
  <c r="U311" i="23"/>
  <c r="W687" i="23"/>
  <c r="W679" i="23"/>
  <c r="X667" i="23"/>
  <c r="V606" i="23"/>
  <c r="U34" i="23"/>
  <c r="U552" i="23"/>
  <c r="U596" i="23"/>
  <c r="T625" i="23"/>
  <c r="U193" i="23"/>
  <c r="V361" i="23"/>
  <c r="S665" i="23"/>
  <c r="V243" i="23"/>
  <c r="W627" i="23"/>
  <c r="V647" i="23"/>
  <c r="V639" i="23"/>
  <c r="V335" i="23"/>
  <c r="V217" i="23"/>
  <c r="V430" i="23"/>
  <c r="V87" i="22"/>
  <c r="V34" i="22"/>
  <c r="V163" i="22"/>
  <c r="AY112" i="22"/>
  <c r="V61" i="22"/>
  <c r="S467" i="22"/>
  <c r="U489" i="22"/>
  <c r="U481" i="22"/>
  <c r="V469" i="22"/>
  <c r="U137" i="22"/>
  <c r="U113" i="22"/>
  <c r="V441" i="22"/>
  <c r="V449" i="22"/>
  <c r="W429" i="22"/>
  <c r="BN123" i="22"/>
  <c r="BM147" i="22"/>
  <c r="U6" i="22"/>
  <c r="V7" i="22"/>
  <c r="V408" i="22"/>
  <c r="U232" i="22"/>
  <c r="T427" i="22"/>
  <c r="U398" i="22"/>
  <c r="M413" i="18"/>
  <c r="O344" i="18"/>
  <c r="N373" i="18"/>
  <c r="Z354" i="18"/>
  <c r="Q300" i="18"/>
  <c r="AZ143" i="18"/>
  <c r="AO20" i="20"/>
  <c r="AK22" i="20"/>
  <c r="Y20" i="20"/>
  <c r="U22" i="20"/>
  <c r="V415" i="18" l="1"/>
  <c r="U435" i="18"/>
  <c r="U427" i="18"/>
  <c r="V375" i="18"/>
  <c r="U395" i="18"/>
  <c r="U387" i="18"/>
  <c r="V311" i="23"/>
  <c r="W243" i="23"/>
  <c r="W361" i="23"/>
  <c r="V34" i="23"/>
  <c r="T665" i="23"/>
  <c r="U625" i="23"/>
  <c r="V596" i="23"/>
  <c r="W335" i="23"/>
  <c r="V269" i="23"/>
  <c r="W217" i="23"/>
  <c r="W639" i="23"/>
  <c r="W647" i="23"/>
  <c r="X627" i="23"/>
  <c r="W606" i="23"/>
  <c r="V193" i="23"/>
  <c r="V552" i="23"/>
  <c r="V7" i="23"/>
  <c r="U6" i="23"/>
  <c r="X687" i="23"/>
  <c r="X679" i="23"/>
  <c r="Y667" i="23"/>
  <c r="W430" i="23"/>
  <c r="W34" i="22"/>
  <c r="AZ112" i="22"/>
  <c r="W61" i="22"/>
  <c r="W163" i="22"/>
  <c r="W87" i="22"/>
  <c r="W7" i="22"/>
  <c r="V6" i="22"/>
  <c r="W469" i="22"/>
  <c r="V489" i="22"/>
  <c r="V481" i="22"/>
  <c r="V113" i="22"/>
  <c r="U427" i="22"/>
  <c r="V398" i="22"/>
  <c r="BO123" i="22"/>
  <c r="T467" i="22"/>
  <c r="V137" i="22"/>
  <c r="V232" i="22"/>
  <c r="W408" i="22"/>
  <c r="W449" i="22"/>
  <c r="W441" i="22"/>
  <c r="X429" i="22"/>
  <c r="BN147" i="22"/>
  <c r="N413" i="18"/>
  <c r="P344" i="18"/>
  <c r="O373" i="18"/>
  <c r="BA143" i="18"/>
  <c r="R300" i="18"/>
  <c r="AK23" i="20"/>
  <c r="AO21" i="20"/>
  <c r="U23" i="20"/>
  <c r="Y21" i="20"/>
  <c r="W375" i="18" l="1"/>
  <c r="V387" i="18"/>
  <c r="V395" i="18"/>
  <c r="W415" i="18"/>
  <c r="V435" i="18"/>
  <c r="V427" i="18"/>
  <c r="Y687" i="23"/>
  <c r="Y679" i="23"/>
  <c r="Z667" i="23"/>
  <c r="X361" i="23"/>
  <c r="X217" i="23"/>
  <c r="X243" i="23"/>
  <c r="V625" i="23"/>
  <c r="W596" i="23"/>
  <c r="W193" i="23"/>
  <c r="V6" i="23"/>
  <c r="W7" i="23"/>
  <c r="X606" i="23"/>
  <c r="W311" i="23"/>
  <c r="X647" i="23"/>
  <c r="X639" i="23"/>
  <c r="Y627" i="23"/>
  <c r="X335" i="23"/>
  <c r="U665" i="23"/>
  <c r="X430" i="23"/>
  <c r="W552" i="23"/>
  <c r="W269" i="23"/>
  <c r="W34" i="23"/>
  <c r="X87" i="22"/>
  <c r="X163" i="22"/>
  <c r="X61" i="22"/>
  <c r="BA112" i="22"/>
  <c r="X34" i="22"/>
  <c r="W489" i="22"/>
  <c r="W481" i="22"/>
  <c r="X469" i="22"/>
  <c r="X449" i="22"/>
  <c r="X441" i="22"/>
  <c r="Y429" i="22"/>
  <c r="W232" i="22"/>
  <c r="X7" i="22"/>
  <c r="W6" i="22"/>
  <c r="W137" i="22"/>
  <c r="W113" i="22"/>
  <c r="X408" i="22"/>
  <c r="V427" i="22"/>
  <c r="W398" i="22"/>
  <c r="U467" i="22"/>
  <c r="BP123" i="22"/>
  <c r="BO147" i="22"/>
  <c r="O413" i="18"/>
  <c r="Q344" i="18"/>
  <c r="P373" i="18"/>
  <c r="BB143" i="18"/>
  <c r="S300" i="18"/>
  <c r="AO22" i="20"/>
  <c r="AK24" i="20"/>
  <c r="Y22" i="20"/>
  <c r="U24" i="20"/>
  <c r="X415" i="18" l="1"/>
  <c r="W427" i="18"/>
  <c r="W435" i="18"/>
  <c r="X375" i="18"/>
  <c r="W395" i="18"/>
  <c r="W387" i="18"/>
  <c r="W6" i="23"/>
  <c r="X7" i="23"/>
  <c r="Y217" i="23"/>
  <c r="X269" i="23"/>
  <c r="Y430" i="23"/>
  <c r="Z679" i="23"/>
  <c r="Z687" i="23"/>
  <c r="X193" i="23"/>
  <c r="Y647" i="23"/>
  <c r="Z627" i="23"/>
  <c r="Y639" i="23"/>
  <c r="Y335" i="23"/>
  <c r="W625" i="23"/>
  <c r="X596" i="23"/>
  <c r="V665" i="23"/>
  <c r="X34" i="23"/>
  <c r="X552" i="23"/>
  <c r="X311" i="23"/>
  <c r="Y606" i="23"/>
  <c r="Y361" i="23"/>
  <c r="Y243" i="23"/>
  <c r="Y163" i="22"/>
  <c r="Y61" i="22"/>
  <c r="Y87" i="22"/>
  <c r="Y34" i="22"/>
  <c r="BB112" i="22"/>
  <c r="W427" i="22"/>
  <c r="X398" i="22"/>
  <c r="Y449" i="22"/>
  <c r="Y441" i="22"/>
  <c r="Z429" i="22"/>
  <c r="V467" i="22"/>
  <c r="BQ123" i="22"/>
  <c r="X232" i="22"/>
  <c r="X113" i="22"/>
  <c r="BP147" i="22"/>
  <c r="X489" i="22"/>
  <c r="X481" i="22"/>
  <c r="Y469" i="22"/>
  <c r="Y408" i="22"/>
  <c r="X137" i="22"/>
  <c r="X6" i="22"/>
  <c r="Y7" i="22"/>
  <c r="P413" i="18"/>
  <c r="R344" i="18"/>
  <c r="Q373" i="18"/>
  <c r="BC143" i="18"/>
  <c r="T300" i="18"/>
  <c r="AK25" i="20"/>
  <c r="AO23" i="20"/>
  <c r="U25" i="20"/>
  <c r="Y23" i="20"/>
  <c r="Y375" i="18" l="1"/>
  <c r="X387" i="18"/>
  <c r="X395" i="18"/>
  <c r="Y415" i="18"/>
  <c r="X427" i="18"/>
  <c r="X435" i="18"/>
  <c r="Z243" i="23"/>
  <c r="Z361" i="23"/>
  <c r="X625" i="23"/>
  <c r="Y596" i="23"/>
  <c r="Z335" i="23"/>
  <c r="Z647" i="23"/>
  <c r="Z639" i="23"/>
  <c r="Z606" i="23"/>
  <c r="Y34" i="23"/>
  <c r="W665" i="23"/>
  <c r="Y193" i="23"/>
  <c r="Z430" i="23"/>
  <c r="Y7" i="23"/>
  <c r="X6" i="23"/>
  <c r="Y552" i="23"/>
  <c r="Y269" i="23"/>
  <c r="Y311" i="23"/>
  <c r="Z217" i="23"/>
  <c r="Z87" i="22"/>
  <c r="Z61" i="22"/>
  <c r="Z163" i="22"/>
  <c r="BC112" i="22"/>
  <c r="Z34" i="22"/>
  <c r="Z449" i="22"/>
  <c r="Z441" i="22"/>
  <c r="Y232" i="22"/>
  <c r="BQ147" i="22"/>
  <c r="Y137" i="22"/>
  <c r="Y489" i="22"/>
  <c r="Y481" i="22"/>
  <c r="Z469" i="22"/>
  <c r="Y113" i="22"/>
  <c r="X427" i="22"/>
  <c r="Y398" i="22"/>
  <c r="Y6" i="22"/>
  <c r="Z7" i="22"/>
  <c r="W467" i="22"/>
  <c r="Z408" i="22"/>
  <c r="Q413" i="18"/>
  <c r="S344" i="18"/>
  <c r="R373" i="18"/>
  <c r="U300" i="18"/>
  <c r="BD143" i="18"/>
  <c r="AK26" i="20"/>
  <c r="AO24" i="20"/>
  <c r="Y24" i="20"/>
  <c r="U26" i="20"/>
  <c r="Z415" i="18" l="1"/>
  <c r="Y435" i="18"/>
  <c r="Y427" i="18"/>
  <c r="Z375" i="18"/>
  <c r="Y395" i="18"/>
  <c r="Y387" i="18"/>
  <c r="Z193" i="23"/>
  <c r="Y625" i="23"/>
  <c r="Z596" i="23"/>
  <c r="Z625" i="23" s="1"/>
  <c r="X665" i="23"/>
  <c r="Z269" i="23"/>
  <c r="Z34" i="23"/>
  <c r="Y6" i="23"/>
  <c r="Z7" i="23"/>
  <c r="Z552" i="23"/>
  <c r="Z311" i="23"/>
  <c r="Z232" i="22"/>
  <c r="Z6" i="22"/>
  <c r="Z137" i="22"/>
  <c r="Y427" i="22"/>
  <c r="Z398" i="22"/>
  <c r="Z427" i="22" s="1"/>
  <c r="X467" i="22"/>
  <c r="Z113" i="22"/>
  <c r="Z481" i="22"/>
  <c r="Z489" i="22"/>
  <c r="T344" i="18"/>
  <c r="S373" i="18"/>
  <c r="R413" i="18"/>
  <c r="BE143" i="18"/>
  <c r="V300" i="18"/>
  <c r="AO25" i="20"/>
  <c r="AK27" i="20"/>
  <c r="U27" i="20"/>
  <c r="Y25" i="20"/>
  <c r="Z395" i="18" l="1"/>
  <c r="Z387" i="18"/>
  <c r="Z435" i="18"/>
  <c r="Z427" i="18"/>
  <c r="Z6" i="23"/>
  <c r="Z665" i="23"/>
  <c r="Y665" i="23"/>
  <c r="Z467" i="22"/>
  <c r="Y467" i="22"/>
  <c r="S413" i="18"/>
  <c r="U344" i="18"/>
  <c r="T373" i="18"/>
  <c r="W300" i="18"/>
  <c r="BF143" i="18"/>
  <c r="AK28" i="20"/>
  <c r="AO26" i="20"/>
  <c r="Y26" i="20"/>
  <c r="U28" i="20"/>
  <c r="V344" i="18" l="1"/>
  <c r="U373" i="18"/>
  <c r="T413" i="18"/>
  <c r="BG143" i="18"/>
  <c r="X300" i="18"/>
  <c r="AO27" i="20"/>
  <c r="AK29" i="20"/>
  <c r="U29" i="20"/>
  <c r="Y27" i="20"/>
  <c r="U413" i="18" l="1"/>
  <c r="W344" i="18"/>
  <c r="V373" i="18"/>
  <c r="Y300" i="18"/>
  <c r="BH143" i="18"/>
  <c r="AK30" i="20"/>
  <c r="AO28" i="20"/>
  <c r="Y28" i="20"/>
  <c r="U30" i="20"/>
  <c r="V413" i="18" l="1"/>
  <c r="X344" i="18"/>
  <c r="W373" i="18"/>
  <c r="BI143" i="18"/>
  <c r="Z300" i="18"/>
  <c r="AO29" i="20"/>
  <c r="AK31" i="20"/>
  <c r="U31" i="20"/>
  <c r="Y29" i="20"/>
  <c r="W413" i="18" l="1"/>
  <c r="Y344" i="18"/>
  <c r="X373" i="18"/>
  <c r="BJ143" i="18"/>
  <c r="AK32" i="20"/>
  <c r="AO30" i="20"/>
  <c r="Y30" i="20"/>
  <c r="U32" i="20"/>
  <c r="X413" i="18" l="1"/>
  <c r="Z344" i="18"/>
  <c r="Z373" i="18" s="1"/>
  <c r="Y373" i="18"/>
  <c r="BK143" i="18"/>
  <c r="AO31" i="20"/>
  <c r="AK33" i="20"/>
  <c r="U33" i="20"/>
  <c r="Y31" i="20"/>
  <c r="Y413" i="18" l="1"/>
  <c r="Z413" i="18"/>
  <c r="AK34" i="20"/>
  <c r="AO32" i="20"/>
  <c r="Y32" i="20"/>
  <c r="U34" i="20"/>
  <c r="AO33" i="20" l="1"/>
  <c r="AK35" i="20"/>
  <c r="U35" i="20"/>
  <c r="Y33" i="20"/>
  <c r="AK36" i="20" l="1"/>
  <c r="AO34" i="20"/>
  <c r="Y34" i="20"/>
  <c r="U36" i="20"/>
  <c r="AO35" i="20" l="1"/>
  <c r="AK37" i="20"/>
  <c r="U37" i="20"/>
  <c r="Y35" i="20"/>
  <c r="AK38" i="20" l="1"/>
  <c r="AO36" i="20"/>
  <c r="Y36" i="20"/>
  <c r="U38" i="20"/>
  <c r="AO37" i="20" l="1"/>
  <c r="AK39" i="20"/>
  <c r="U39" i="20"/>
  <c r="Y37" i="20"/>
  <c r="AK40" i="20" l="1"/>
  <c r="AO38" i="20"/>
  <c r="U40" i="20"/>
  <c r="Y38" i="20"/>
  <c r="AO39" i="20" l="1"/>
  <c r="AK41" i="20"/>
  <c r="Y39" i="20"/>
  <c r="U41" i="20"/>
  <c r="AK42" i="20" l="1"/>
  <c r="AO40" i="20"/>
  <c r="U42" i="20"/>
  <c r="Y40" i="20"/>
  <c r="AK43" i="20" l="1"/>
  <c r="AO41" i="20"/>
  <c r="Y41" i="20"/>
  <c r="U43" i="20"/>
  <c r="AK44" i="20" l="1"/>
  <c r="AO42" i="20"/>
  <c r="U44" i="20"/>
  <c r="Y42" i="20"/>
  <c r="AO43" i="20" l="1"/>
  <c r="AK45" i="20"/>
  <c r="U45" i="20"/>
  <c r="Y43" i="20"/>
  <c r="AO44" i="20" l="1"/>
  <c r="Y44" i="20"/>
  <c r="AO45" i="20" l="1"/>
  <c r="Y45" i="20"/>
  <c r="G38" i="19" l="1"/>
  <c r="H38" i="19"/>
  <c r="G36" i="19"/>
  <c r="H36" i="19"/>
  <c r="F38" i="19"/>
  <c r="F36" i="19"/>
  <c r="G19" i="19"/>
  <c r="S24" i="27" s="1"/>
  <c r="H19" i="19"/>
  <c r="F19" i="19"/>
  <c r="Q24" i="27" s="1"/>
  <c r="F129" i="18"/>
  <c r="F154" i="18"/>
  <c r="O124" i="1"/>
  <c r="O125" i="1"/>
  <c r="O126" i="1"/>
  <c r="P126" i="1"/>
  <c r="O128" i="1"/>
  <c r="P128" i="1"/>
  <c r="O130" i="1"/>
  <c r="P130" i="1"/>
  <c r="N130" i="1"/>
  <c r="N128" i="1"/>
  <c r="N126" i="1"/>
  <c r="N125" i="1"/>
  <c r="N124" i="1"/>
  <c r="N123" i="1"/>
  <c r="N122" i="1"/>
  <c r="N121" i="1"/>
  <c r="N120" i="1"/>
  <c r="N119" i="1"/>
  <c r="N116" i="1"/>
  <c r="E13" i="20"/>
  <c r="E14" i="20" s="1"/>
  <c r="E15" i="20" s="1"/>
  <c r="E16" i="20" s="1"/>
  <c r="E17" i="20" s="1"/>
  <c r="E18" i="20" s="1"/>
  <c r="E19" i="20" s="1"/>
  <c r="E20" i="20" s="1"/>
  <c r="E21" i="20" s="1"/>
  <c r="E22" i="20" s="1"/>
  <c r="E23" i="20" s="1"/>
  <c r="E24" i="20" s="1"/>
  <c r="E25" i="20" s="1"/>
  <c r="E26" i="20" s="1"/>
  <c r="E27" i="20" s="1"/>
  <c r="E28" i="20" s="1"/>
  <c r="E29" i="20" s="1"/>
  <c r="E30" i="20" s="1"/>
  <c r="E31" i="20" s="1"/>
  <c r="E32" i="20" s="1"/>
  <c r="E33" i="20" s="1"/>
  <c r="E34" i="20" s="1"/>
  <c r="E35" i="20" s="1"/>
  <c r="E36" i="20" s="1"/>
  <c r="E37" i="20" s="1"/>
  <c r="E38" i="20" s="1"/>
  <c r="E39" i="20" s="1"/>
  <c r="E40" i="20" s="1"/>
  <c r="E41" i="20" s="1"/>
  <c r="E42" i="20" s="1"/>
  <c r="E43" i="20" s="1"/>
  <c r="E44" i="20" s="1"/>
  <c r="E45" i="20" s="1"/>
  <c r="E12" i="20"/>
  <c r="A13" i="20"/>
  <c r="A14" i="20"/>
  <c r="A15" i="20"/>
  <c r="A16" i="20"/>
  <c r="A17" i="20" s="1"/>
  <c r="A18" i="20" s="1"/>
  <c r="A19" i="20" s="1"/>
  <c r="A20" i="20" s="1"/>
  <c r="A21" i="20" s="1"/>
  <c r="A22" i="20" s="1"/>
  <c r="A23" i="20" s="1"/>
  <c r="A24" i="20" s="1"/>
  <c r="A25" i="20" s="1"/>
  <c r="A26" i="20" s="1"/>
  <c r="A27" i="20" s="1"/>
  <c r="A28" i="20" s="1"/>
  <c r="A29" i="20" s="1"/>
  <c r="A30" i="20" s="1"/>
  <c r="A31" i="20" s="1"/>
  <c r="A32" i="20" s="1"/>
  <c r="A33" i="20" s="1"/>
  <c r="A34" i="20" s="1"/>
  <c r="A35" i="20" s="1"/>
  <c r="A36" i="20" s="1"/>
  <c r="A37" i="20" s="1"/>
  <c r="A38" i="20" s="1"/>
  <c r="A39" i="20" s="1"/>
  <c r="A40" i="20" s="1"/>
  <c r="A41" i="20" s="1"/>
  <c r="A42" i="20" s="1"/>
  <c r="A43" i="20" s="1"/>
  <c r="A44" i="20" s="1"/>
  <c r="A45" i="20" s="1"/>
  <c r="A12" i="20"/>
  <c r="D6" i="20"/>
  <c r="D4" i="20"/>
  <c r="Q21" i="4"/>
  <c r="S28" i="4"/>
  <c r="T28" i="4"/>
  <c r="R28" i="4"/>
  <c r="S16" i="4"/>
  <c r="T16" i="4"/>
  <c r="R16" i="4"/>
  <c r="U24" i="27" l="1"/>
  <c r="U26" i="27"/>
  <c r="S26" i="27"/>
  <c r="Q26" i="27"/>
  <c r="G129" i="18"/>
  <c r="G154" i="18"/>
  <c r="H129" i="18" l="1"/>
  <c r="H154" i="18"/>
  <c r="I129" i="18" l="1"/>
  <c r="I154" i="18"/>
  <c r="J129" i="18" l="1"/>
  <c r="J154" i="18"/>
  <c r="K129" i="18" l="1"/>
  <c r="L129" i="18" s="1"/>
  <c r="K154" i="18"/>
  <c r="L154" i="18" l="1"/>
  <c r="M129" i="18"/>
  <c r="M154" i="18" l="1"/>
  <c r="N129" i="18"/>
  <c r="N154" i="18" l="1"/>
  <c r="O129" i="18"/>
  <c r="J38" i="4"/>
  <c r="I38" i="4"/>
  <c r="H38" i="4"/>
  <c r="J28" i="4"/>
  <c r="I28" i="4"/>
  <c r="H28" i="4"/>
  <c r="J16" i="4"/>
  <c r="I16" i="4"/>
  <c r="H16" i="4"/>
  <c r="J6" i="4"/>
  <c r="I6" i="4"/>
  <c r="H6" i="4"/>
  <c r="G24" i="4"/>
  <c r="G25" i="4"/>
  <c r="O154" i="18" l="1"/>
  <c r="P129" i="18"/>
  <c r="G19" i="4"/>
  <c r="G12" i="4"/>
  <c r="G11" i="4"/>
  <c r="P154" i="18" l="1"/>
  <c r="Q129" i="18"/>
  <c r="Q154" i="18" l="1"/>
  <c r="R129" i="18"/>
  <c r="AQ104" i="1"/>
  <c r="AR104" i="1" s="1"/>
  <c r="O106" i="1"/>
  <c r="P106" i="1" s="1"/>
  <c r="AQ106" i="1"/>
  <c r="AR106" i="1" s="1"/>
  <c r="O105" i="1"/>
  <c r="P105" i="1" s="1"/>
  <c r="N81" i="1"/>
  <c r="G231" i="18" s="1"/>
  <c r="H231" i="18" s="1"/>
  <c r="I231" i="18" s="1"/>
  <c r="J231" i="18" s="1"/>
  <c r="K231" i="18" s="1"/>
  <c r="L231" i="18" s="1"/>
  <c r="M231" i="18" s="1"/>
  <c r="N231" i="18" s="1"/>
  <c r="O231" i="18" s="1"/>
  <c r="P231" i="18" s="1"/>
  <c r="Q231" i="18" s="1"/>
  <c r="R231" i="18" s="1"/>
  <c r="S231" i="18" s="1"/>
  <c r="T231" i="18" s="1"/>
  <c r="U231" i="18" s="1"/>
  <c r="V231" i="18" s="1"/>
  <c r="W231" i="18" s="1"/>
  <c r="X231" i="18" s="1"/>
  <c r="Y231" i="18" s="1"/>
  <c r="Z231" i="18" s="1"/>
  <c r="O81" i="1"/>
  <c r="G285" i="22" s="1"/>
  <c r="H285" i="22" s="1"/>
  <c r="I285" i="22" s="1"/>
  <c r="J285" i="22" s="1"/>
  <c r="K285" i="22" s="1"/>
  <c r="L285" i="22" s="1"/>
  <c r="M285" i="22" s="1"/>
  <c r="N285" i="22" s="1"/>
  <c r="O285" i="22" s="1"/>
  <c r="P285" i="22" s="1"/>
  <c r="Q285" i="22" s="1"/>
  <c r="R285" i="22" s="1"/>
  <c r="S285" i="22" s="1"/>
  <c r="T285" i="22" s="1"/>
  <c r="U285" i="22" s="1"/>
  <c r="V285" i="22" s="1"/>
  <c r="W285" i="22" s="1"/>
  <c r="X285" i="22" s="1"/>
  <c r="Y285" i="22" s="1"/>
  <c r="Z285" i="22" s="1"/>
  <c r="P81" i="1"/>
  <c r="G483" i="23" s="1"/>
  <c r="H483" i="23" s="1"/>
  <c r="I483" i="23" s="1"/>
  <c r="J483" i="23" s="1"/>
  <c r="K483" i="23" s="1"/>
  <c r="L483" i="23" s="1"/>
  <c r="M483" i="23" s="1"/>
  <c r="N483" i="23" s="1"/>
  <c r="O483" i="23" s="1"/>
  <c r="P483" i="23" s="1"/>
  <c r="Q483" i="23" s="1"/>
  <c r="R483" i="23" s="1"/>
  <c r="S483" i="23" s="1"/>
  <c r="T483" i="23" s="1"/>
  <c r="U483" i="23" s="1"/>
  <c r="V483" i="23" s="1"/>
  <c r="W483" i="23" s="1"/>
  <c r="X483" i="23" s="1"/>
  <c r="Y483" i="23" s="1"/>
  <c r="Z483" i="23" s="1"/>
  <c r="N82" i="1"/>
  <c r="O82" i="1"/>
  <c r="P82" i="1"/>
  <c r="AP95" i="1"/>
  <c r="AQ95" i="1"/>
  <c r="AR95" i="1"/>
  <c r="AP96" i="1"/>
  <c r="AR126" i="18" s="1"/>
  <c r="AS126" i="18" s="1"/>
  <c r="AT126" i="18" s="1"/>
  <c r="AU126" i="18" s="1"/>
  <c r="AV126" i="18" s="1"/>
  <c r="AW126" i="18" s="1"/>
  <c r="AX126" i="18" s="1"/>
  <c r="AY126" i="18" s="1"/>
  <c r="AZ126" i="18" s="1"/>
  <c r="BA126" i="18" s="1"/>
  <c r="BB126" i="18" s="1"/>
  <c r="BC126" i="18" s="1"/>
  <c r="BD126" i="18" s="1"/>
  <c r="BE126" i="18" s="1"/>
  <c r="BF126" i="18" s="1"/>
  <c r="BG126" i="18" s="1"/>
  <c r="BH126" i="18" s="1"/>
  <c r="BI126" i="18" s="1"/>
  <c r="BJ126" i="18" s="1"/>
  <c r="BK126" i="18" s="1"/>
  <c r="AQ96" i="1"/>
  <c r="AX155" i="22" s="1"/>
  <c r="AY155" i="22" s="1"/>
  <c r="AZ155" i="22" s="1"/>
  <c r="BA155" i="22" s="1"/>
  <c r="BB155" i="22" s="1"/>
  <c r="BC155" i="22" s="1"/>
  <c r="BD155" i="22" s="1"/>
  <c r="BE155" i="22" s="1"/>
  <c r="BF155" i="22" s="1"/>
  <c r="BG155" i="22" s="1"/>
  <c r="BH155" i="22" s="1"/>
  <c r="BI155" i="22" s="1"/>
  <c r="BJ155" i="22" s="1"/>
  <c r="BK155" i="22" s="1"/>
  <c r="BL155" i="22" s="1"/>
  <c r="BM155" i="22" s="1"/>
  <c r="BN155" i="22" s="1"/>
  <c r="BO155" i="22" s="1"/>
  <c r="BP155" i="22" s="1"/>
  <c r="BQ155" i="22" s="1"/>
  <c r="AR96" i="1"/>
  <c r="G201" i="23" s="1"/>
  <c r="H201" i="23" s="1"/>
  <c r="I201" i="23" s="1"/>
  <c r="J201" i="23" s="1"/>
  <c r="K201" i="23" s="1"/>
  <c r="L201" i="23" s="1"/>
  <c r="M201" i="23" s="1"/>
  <c r="N201" i="23" s="1"/>
  <c r="O201" i="23" s="1"/>
  <c r="P201" i="23" s="1"/>
  <c r="Q201" i="23" s="1"/>
  <c r="R201" i="23" s="1"/>
  <c r="S201" i="23" s="1"/>
  <c r="T201" i="23" s="1"/>
  <c r="U201" i="23" s="1"/>
  <c r="V201" i="23" s="1"/>
  <c r="W201" i="23" s="1"/>
  <c r="X201" i="23" s="1"/>
  <c r="Y201" i="23" s="1"/>
  <c r="Z201" i="23" s="1"/>
  <c r="F105" i="18"/>
  <c r="AM118" i="18"/>
  <c r="AM94" i="18"/>
  <c r="F458" i="18"/>
  <c r="F79" i="18"/>
  <c r="F53" i="18"/>
  <c r="AQ118" i="18"/>
  <c r="AR118" i="18" s="1"/>
  <c r="AQ94" i="18"/>
  <c r="F30" i="18"/>
  <c r="G53" i="18" l="1"/>
  <c r="H53" i="18" s="1"/>
  <c r="BE131" i="22"/>
  <c r="BF131" i="22" s="1"/>
  <c r="BG131" i="22" s="1"/>
  <c r="BH131" i="22" s="1"/>
  <c r="BI131" i="22" s="1"/>
  <c r="BJ131" i="22" s="1"/>
  <c r="BK131" i="22" s="1"/>
  <c r="BL131" i="22" s="1"/>
  <c r="BM131" i="22" s="1"/>
  <c r="BN131" i="22" s="1"/>
  <c r="BO131" i="22" s="1"/>
  <c r="BP131" i="22" s="1"/>
  <c r="BQ131" i="22" s="1"/>
  <c r="G309" i="22"/>
  <c r="H309" i="22" s="1"/>
  <c r="I309" i="22" s="1"/>
  <c r="J309" i="22" s="1"/>
  <c r="K309" i="22" s="1"/>
  <c r="L309" i="22" s="1"/>
  <c r="M309" i="22" s="1"/>
  <c r="N309" i="22" s="1"/>
  <c r="O309" i="22" s="1"/>
  <c r="P309" i="22" s="1"/>
  <c r="Q309" i="22" s="1"/>
  <c r="R309" i="22" s="1"/>
  <c r="S309" i="22" s="1"/>
  <c r="T309" i="22" s="1"/>
  <c r="U309" i="22" s="1"/>
  <c r="V309" i="22" s="1"/>
  <c r="W309" i="22" s="1"/>
  <c r="X309" i="22" s="1"/>
  <c r="Y309" i="22" s="1"/>
  <c r="Z309" i="22" s="1"/>
  <c r="AR102" i="18"/>
  <c r="AS102" i="18" s="1"/>
  <c r="AT102" i="18" s="1"/>
  <c r="AU102" i="18" s="1"/>
  <c r="AV102" i="18" s="1"/>
  <c r="G255" i="18"/>
  <c r="H255" i="18" s="1"/>
  <c r="I255" i="18" s="1"/>
  <c r="J255" i="18" s="1"/>
  <c r="K255" i="18" s="1"/>
  <c r="L255" i="18" s="1"/>
  <c r="M255" i="18" s="1"/>
  <c r="N255" i="18" s="1"/>
  <c r="O255" i="18" s="1"/>
  <c r="P255" i="18" s="1"/>
  <c r="Q255" i="18" s="1"/>
  <c r="R255" i="18" s="1"/>
  <c r="S255" i="18" s="1"/>
  <c r="T255" i="18" s="1"/>
  <c r="U255" i="18" s="1"/>
  <c r="V255" i="18" s="1"/>
  <c r="W255" i="18" s="1"/>
  <c r="X255" i="18" s="1"/>
  <c r="Y255" i="18" s="1"/>
  <c r="Z255" i="18" s="1"/>
  <c r="G177" i="23"/>
  <c r="H177" i="23" s="1"/>
  <c r="I177" i="23" s="1"/>
  <c r="J177" i="23" s="1"/>
  <c r="K177" i="23" s="1"/>
  <c r="L177" i="23" s="1"/>
  <c r="M177" i="23" s="1"/>
  <c r="N177" i="23" s="1"/>
  <c r="O177" i="23" s="1"/>
  <c r="P177" i="23" s="1"/>
  <c r="Q177" i="23" s="1"/>
  <c r="R177" i="23" s="1"/>
  <c r="S177" i="23" s="1"/>
  <c r="T177" i="23" s="1"/>
  <c r="U177" i="23" s="1"/>
  <c r="V177" i="23" s="1"/>
  <c r="W177" i="23" s="1"/>
  <c r="X177" i="23" s="1"/>
  <c r="Y177" i="23" s="1"/>
  <c r="Z177" i="23" s="1"/>
  <c r="G507" i="23"/>
  <c r="H507" i="23" s="1"/>
  <c r="I507" i="23" s="1"/>
  <c r="J507" i="23" s="1"/>
  <c r="K507" i="23" s="1"/>
  <c r="L507" i="23" s="1"/>
  <c r="M507" i="23" s="1"/>
  <c r="N507" i="23" s="1"/>
  <c r="O507" i="23" s="1"/>
  <c r="P507" i="23" s="1"/>
  <c r="Q507" i="23" s="1"/>
  <c r="R507" i="23" s="1"/>
  <c r="S507" i="23" s="1"/>
  <c r="T507" i="23" s="1"/>
  <c r="U507" i="23" s="1"/>
  <c r="V507" i="23" s="1"/>
  <c r="W507" i="23" s="1"/>
  <c r="X507" i="23" s="1"/>
  <c r="Y507" i="23" s="1"/>
  <c r="Z507" i="23" s="1"/>
  <c r="R154" i="18"/>
  <c r="S129" i="18"/>
  <c r="G105" i="18"/>
  <c r="G458" i="18"/>
  <c r="AS118" i="18"/>
  <c r="G79" i="18"/>
  <c r="AR94" i="18"/>
  <c r="G30" i="18"/>
  <c r="H105" i="18" l="1"/>
  <c r="S154" i="18"/>
  <c r="T129" i="18"/>
  <c r="H458" i="18"/>
  <c r="AT118" i="18"/>
  <c r="AU118" i="18" s="1"/>
  <c r="I53" i="18"/>
  <c r="AW102" i="18"/>
  <c r="AS94" i="18"/>
  <c r="H79" i="18"/>
  <c r="H30" i="18"/>
  <c r="I105" i="18" l="1"/>
  <c r="J105" i="18" s="1"/>
  <c r="T154" i="18"/>
  <c r="U129" i="18"/>
  <c r="I458" i="18"/>
  <c r="J53" i="18"/>
  <c r="AX102" i="18"/>
  <c r="AT94" i="18"/>
  <c r="I79" i="18"/>
  <c r="AV118" i="18"/>
  <c r="I30" i="18"/>
  <c r="U154" i="18" l="1"/>
  <c r="V129" i="18"/>
  <c r="J458" i="18"/>
  <c r="K53" i="18"/>
  <c r="AY102" i="18"/>
  <c r="AU94" i="18"/>
  <c r="K105" i="18"/>
  <c r="AW118" i="18"/>
  <c r="J79" i="18"/>
  <c r="J30" i="18"/>
  <c r="V154" i="18" l="1"/>
  <c r="W129" i="18"/>
  <c r="K458" i="18"/>
  <c r="L53" i="18"/>
  <c r="AZ102" i="18"/>
  <c r="K79" i="18"/>
  <c r="AV94" i="18"/>
  <c r="AX118" i="18"/>
  <c r="L105" i="18"/>
  <c r="K30" i="18"/>
  <c r="W154" i="18" l="1"/>
  <c r="X129" i="18"/>
  <c r="L458" i="18"/>
  <c r="M53" i="18"/>
  <c r="BA102" i="18"/>
  <c r="AW94" i="18"/>
  <c r="M105" i="18"/>
  <c r="L79" i="18"/>
  <c r="AY118" i="18"/>
  <c r="L30" i="18"/>
  <c r="X154" i="18" l="1"/>
  <c r="Y129" i="18"/>
  <c r="M458" i="18"/>
  <c r="N53" i="18"/>
  <c r="BB102" i="18"/>
  <c r="N105" i="18"/>
  <c r="AX94" i="18"/>
  <c r="AZ118" i="18"/>
  <c r="M79" i="18"/>
  <c r="M30" i="18"/>
  <c r="Y154" i="18" l="1"/>
  <c r="Z129" i="18"/>
  <c r="N458" i="18"/>
  <c r="O53" i="18"/>
  <c r="BC102" i="18"/>
  <c r="O105" i="18"/>
  <c r="BA118" i="18"/>
  <c r="N79" i="18"/>
  <c r="AY94" i="18"/>
  <c r="N30" i="18"/>
  <c r="Z154" i="18" l="1"/>
  <c r="O458" i="18"/>
  <c r="P53" i="18"/>
  <c r="BD102" i="18"/>
  <c r="O79" i="18"/>
  <c r="BB118" i="18"/>
  <c r="P105" i="18"/>
  <c r="AZ94" i="18"/>
  <c r="O30" i="18"/>
  <c r="P458" i="18" l="1"/>
  <c r="Q458" i="18" s="1"/>
  <c r="Q53" i="18"/>
  <c r="BE102" i="18"/>
  <c r="BC118" i="18"/>
  <c r="P79" i="18"/>
  <c r="Q105" i="18"/>
  <c r="BA94" i="18"/>
  <c r="P30" i="18"/>
  <c r="R53" i="18" l="1"/>
  <c r="BF102" i="18"/>
  <c r="BB94" i="18"/>
  <c r="BD118" i="18"/>
  <c r="R458" i="18"/>
  <c r="R105" i="18"/>
  <c r="Q79" i="18"/>
  <c r="Q30" i="18"/>
  <c r="S53" i="18" l="1"/>
  <c r="BG102" i="18"/>
  <c r="R79" i="18"/>
  <c r="S458" i="18"/>
  <c r="S105" i="18"/>
  <c r="BC94" i="18"/>
  <c r="BE118" i="18"/>
  <c r="R30" i="18"/>
  <c r="F7" i="18"/>
  <c r="T53" i="18" l="1"/>
  <c r="BH102" i="18"/>
  <c r="BD94" i="18"/>
  <c r="T458" i="18"/>
  <c r="T105" i="18"/>
  <c r="BF118" i="18"/>
  <c r="S79" i="18"/>
  <c r="S30" i="18"/>
  <c r="G7" i="18"/>
  <c r="F6" i="18"/>
  <c r="U53" i="18" l="1"/>
  <c r="BI102" i="18"/>
  <c r="BG118" i="18"/>
  <c r="U458" i="18"/>
  <c r="U105" i="18"/>
  <c r="T79" i="18"/>
  <c r="BE94" i="18"/>
  <c r="T30" i="18"/>
  <c r="G6" i="18"/>
  <c r="H7" i="18"/>
  <c r="V53" i="18" l="1"/>
  <c r="BJ102" i="18"/>
  <c r="V105" i="18"/>
  <c r="V458" i="18"/>
  <c r="BF94" i="18"/>
  <c r="BH118" i="18"/>
  <c r="U79" i="18"/>
  <c r="U30" i="18"/>
  <c r="H6" i="18"/>
  <c r="I7" i="18"/>
  <c r="W53" i="18" l="1"/>
  <c r="BK102" i="18"/>
  <c r="W458" i="18"/>
  <c r="V79" i="18"/>
  <c r="BG94" i="18"/>
  <c r="W105" i="18"/>
  <c r="BI118" i="18"/>
  <c r="V30" i="18"/>
  <c r="I6" i="18"/>
  <c r="J7" i="18"/>
  <c r="X53" i="18" l="1"/>
  <c r="W79" i="18"/>
  <c r="BH94" i="18"/>
  <c r="X458" i="18"/>
  <c r="BJ118" i="18"/>
  <c r="X105" i="18"/>
  <c r="W30" i="18"/>
  <c r="J6" i="18"/>
  <c r="K7" i="18"/>
  <c r="Y53" i="18" l="1"/>
  <c r="Y458" i="18"/>
  <c r="Y105" i="18"/>
  <c r="BI94" i="18"/>
  <c r="BK118" i="18"/>
  <c r="X79" i="18"/>
  <c r="X30" i="18"/>
  <c r="K6" i="18"/>
  <c r="L7" i="18"/>
  <c r="Z53" i="18" l="1"/>
  <c r="Z105" i="18"/>
  <c r="Z458" i="18"/>
  <c r="BJ94" i="18"/>
  <c r="Y79" i="18"/>
  <c r="Y30" i="18"/>
  <c r="M7" i="18"/>
  <c r="L6" i="18"/>
  <c r="BK94" i="18" l="1"/>
  <c r="Z79" i="18"/>
  <c r="Z30" i="18"/>
  <c r="N7" i="18"/>
  <c r="M6" i="18"/>
  <c r="O7" i="18" l="1"/>
  <c r="N6" i="18"/>
  <c r="P7" i="18" l="1"/>
  <c r="O6" i="18"/>
  <c r="Q7" i="18" l="1"/>
  <c r="P6" i="18"/>
  <c r="R7" i="18" l="1"/>
  <c r="Q6" i="18"/>
  <c r="S7" i="18" l="1"/>
  <c r="R6" i="18"/>
  <c r="T7" i="18" l="1"/>
  <c r="S6" i="18"/>
  <c r="T6" i="18" l="1"/>
  <c r="U7" i="18"/>
  <c r="AQ108" i="1"/>
  <c r="AR108" i="1"/>
  <c r="O93" i="1"/>
  <c r="P93" i="1"/>
  <c r="AF269" i="1"/>
  <c r="AG269" i="1"/>
  <c r="N93" i="1"/>
  <c r="AE269" i="1"/>
  <c r="AP108" i="1"/>
  <c r="U6" i="18" l="1"/>
  <c r="V7" i="18"/>
  <c r="V6" i="18" l="1"/>
  <c r="W7" i="18"/>
  <c r="W6" i="18" l="1"/>
  <c r="X7" i="18"/>
  <c r="Y7" i="18" l="1"/>
  <c r="X6" i="18"/>
  <c r="Z7" i="18" l="1"/>
  <c r="Y6" i="18"/>
  <c r="Z6" i="18" l="1"/>
  <c r="N61" i="1" l="1"/>
  <c r="O61" i="1"/>
  <c r="P61" i="1"/>
  <c r="N62" i="1"/>
  <c r="O62" i="1"/>
  <c r="P62" i="1"/>
  <c r="AP75" i="1"/>
  <c r="AQ75" i="1"/>
  <c r="AR75" i="1"/>
  <c r="AP76" i="1"/>
  <c r="AQ76" i="1"/>
  <c r="AR76" i="1"/>
  <c r="AG159" i="1"/>
  <c r="AF159" i="1"/>
  <c r="AE159" i="1"/>
  <c r="AG158" i="1"/>
  <c r="AF158" i="1"/>
  <c r="N70" i="1"/>
  <c r="G230" i="18" s="1"/>
  <c r="H230" i="18" s="1"/>
  <c r="I230" i="18" s="1"/>
  <c r="J230" i="18" s="1"/>
  <c r="K230" i="18" s="1"/>
  <c r="L230" i="18" s="1"/>
  <c r="M230" i="18" s="1"/>
  <c r="N230" i="18" s="1"/>
  <c r="O230" i="18" s="1"/>
  <c r="P230" i="18" s="1"/>
  <c r="Q230" i="18" s="1"/>
  <c r="R230" i="18" s="1"/>
  <c r="S230" i="18" s="1"/>
  <c r="T230" i="18" s="1"/>
  <c r="U230" i="18" s="1"/>
  <c r="V230" i="18" s="1"/>
  <c r="W230" i="18" s="1"/>
  <c r="X230" i="18" s="1"/>
  <c r="Y230" i="18" s="1"/>
  <c r="Z230" i="18" s="1"/>
  <c r="O70" i="1"/>
  <c r="G284" i="22" s="1"/>
  <c r="H284" i="22" s="1"/>
  <c r="I284" i="22" s="1"/>
  <c r="J284" i="22" s="1"/>
  <c r="K284" i="22" s="1"/>
  <c r="L284" i="22" s="1"/>
  <c r="M284" i="22" s="1"/>
  <c r="N284" i="22" s="1"/>
  <c r="O284" i="22" s="1"/>
  <c r="P284" i="22" s="1"/>
  <c r="Q284" i="22" s="1"/>
  <c r="R284" i="22" s="1"/>
  <c r="S284" i="22" s="1"/>
  <c r="T284" i="22" s="1"/>
  <c r="U284" i="22" s="1"/>
  <c r="V284" i="22" s="1"/>
  <c r="W284" i="22" s="1"/>
  <c r="X284" i="22" s="1"/>
  <c r="Y284" i="22" s="1"/>
  <c r="Z284" i="22" s="1"/>
  <c r="P70" i="1"/>
  <c r="G482" i="23" s="1"/>
  <c r="H482" i="23" s="1"/>
  <c r="I482" i="23" s="1"/>
  <c r="J482" i="23" s="1"/>
  <c r="K482" i="23" s="1"/>
  <c r="L482" i="23" s="1"/>
  <c r="M482" i="23" s="1"/>
  <c r="N482" i="23" s="1"/>
  <c r="O482" i="23" s="1"/>
  <c r="P482" i="23" s="1"/>
  <c r="Q482" i="23" s="1"/>
  <c r="R482" i="23" s="1"/>
  <c r="S482" i="23" s="1"/>
  <c r="T482" i="23" s="1"/>
  <c r="U482" i="23" s="1"/>
  <c r="V482" i="23" s="1"/>
  <c r="W482" i="23" s="1"/>
  <c r="X482" i="23" s="1"/>
  <c r="Y482" i="23" s="1"/>
  <c r="Z482" i="23" s="1"/>
  <c r="N71" i="1"/>
  <c r="O71" i="1"/>
  <c r="P71" i="1"/>
  <c r="AP84" i="1"/>
  <c r="AQ84" i="1"/>
  <c r="AR84" i="1"/>
  <c r="AP85" i="1"/>
  <c r="AR125" i="18" s="1"/>
  <c r="AS125" i="18" s="1"/>
  <c r="AT125" i="18" s="1"/>
  <c r="AU125" i="18" s="1"/>
  <c r="AV125" i="18" s="1"/>
  <c r="AW125" i="18" s="1"/>
  <c r="AX125" i="18" s="1"/>
  <c r="AY125" i="18" s="1"/>
  <c r="AZ125" i="18" s="1"/>
  <c r="BA125" i="18" s="1"/>
  <c r="BB125" i="18" s="1"/>
  <c r="BC125" i="18" s="1"/>
  <c r="BD125" i="18" s="1"/>
  <c r="BE125" i="18" s="1"/>
  <c r="BF125" i="18" s="1"/>
  <c r="BG125" i="18" s="1"/>
  <c r="BH125" i="18" s="1"/>
  <c r="BI125" i="18" s="1"/>
  <c r="BJ125" i="18" s="1"/>
  <c r="BK125" i="18" s="1"/>
  <c r="AQ85" i="1"/>
  <c r="AX154" i="22" s="1"/>
  <c r="AY154" i="22" s="1"/>
  <c r="AZ154" i="22" s="1"/>
  <c r="BA154" i="22" s="1"/>
  <c r="BB154" i="22" s="1"/>
  <c r="BC154" i="22" s="1"/>
  <c r="BD154" i="22" s="1"/>
  <c r="BE154" i="22" s="1"/>
  <c r="BF154" i="22" s="1"/>
  <c r="BG154" i="22" s="1"/>
  <c r="BH154" i="22" s="1"/>
  <c r="BI154" i="22" s="1"/>
  <c r="BJ154" i="22" s="1"/>
  <c r="BK154" i="22" s="1"/>
  <c r="BL154" i="22" s="1"/>
  <c r="BM154" i="22" s="1"/>
  <c r="BN154" i="22" s="1"/>
  <c r="BO154" i="22" s="1"/>
  <c r="BP154" i="22" s="1"/>
  <c r="BQ154" i="22" s="1"/>
  <c r="AR85" i="1"/>
  <c r="G200" i="23" s="1"/>
  <c r="H200" i="23" s="1"/>
  <c r="I200" i="23" s="1"/>
  <c r="J200" i="23" s="1"/>
  <c r="K200" i="23" s="1"/>
  <c r="L200" i="23" s="1"/>
  <c r="M200" i="23" s="1"/>
  <c r="N200" i="23" s="1"/>
  <c r="O200" i="23" s="1"/>
  <c r="P200" i="23" s="1"/>
  <c r="Q200" i="23" s="1"/>
  <c r="R200" i="23" s="1"/>
  <c r="S200" i="23" s="1"/>
  <c r="T200" i="23" s="1"/>
  <c r="U200" i="23" s="1"/>
  <c r="V200" i="23" s="1"/>
  <c r="W200" i="23" s="1"/>
  <c r="X200" i="23" s="1"/>
  <c r="Y200" i="23" s="1"/>
  <c r="Z200" i="23" s="1"/>
  <c r="J82" i="1"/>
  <c r="AL95" i="1"/>
  <c r="AL96" i="1"/>
  <c r="J81" i="1"/>
  <c r="N57" i="1"/>
  <c r="O57" i="1"/>
  <c r="P57" i="1"/>
  <c r="O63" i="1"/>
  <c r="P63" i="1"/>
  <c r="AQ80" i="1"/>
  <c r="AR80" i="1"/>
  <c r="O64" i="1"/>
  <c r="P64" i="1"/>
  <c r="AQ82" i="1"/>
  <c r="AR82" i="1"/>
  <c r="O65" i="1"/>
  <c r="P65" i="1"/>
  <c r="O68" i="1"/>
  <c r="P68" i="1"/>
  <c r="G68" i="23" s="1"/>
  <c r="H68" i="23" s="1"/>
  <c r="I68" i="23" s="1"/>
  <c r="J68" i="23" s="1"/>
  <c r="K68" i="23" s="1"/>
  <c r="L68" i="23" s="1"/>
  <c r="M68" i="23" s="1"/>
  <c r="N68" i="23" s="1"/>
  <c r="O68" i="23" s="1"/>
  <c r="P68" i="23" s="1"/>
  <c r="Q68" i="23" s="1"/>
  <c r="R68" i="23" s="1"/>
  <c r="S68" i="23" s="1"/>
  <c r="T68" i="23" s="1"/>
  <c r="U68" i="23" s="1"/>
  <c r="V68" i="23" s="1"/>
  <c r="W68" i="23" s="1"/>
  <c r="X68" i="23" s="1"/>
  <c r="Y68" i="23" s="1"/>
  <c r="Z68" i="23" s="1"/>
  <c r="O69" i="1"/>
  <c r="P69" i="1"/>
  <c r="G95" i="23" s="1"/>
  <c r="H95" i="23" s="1"/>
  <c r="I95" i="23" s="1"/>
  <c r="J95" i="23" s="1"/>
  <c r="K95" i="23" s="1"/>
  <c r="L95" i="23" s="1"/>
  <c r="M95" i="23" s="1"/>
  <c r="N95" i="23" s="1"/>
  <c r="O95" i="23" s="1"/>
  <c r="P95" i="23" s="1"/>
  <c r="Q95" i="23" s="1"/>
  <c r="R95" i="23" s="1"/>
  <c r="S95" i="23" s="1"/>
  <c r="T95" i="23" s="1"/>
  <c r="U95" i="23" s="1"/>
  <c r="V95" i="23" s="1"/>
  <c r="W95" i="23" s="1"/>
  <c r="X95" i="23" s="1"/>
  <c r="Y95" i="23" s="1"/>
  <c r="Z95" i="23" s="1"/>
  <c r="O72" i="1"/>
  <c r="P72" i="1"/>
  <c r="O74" i="1"/>
  <c r="G169" i="22" s="1"/>
  <c r="H169" i="22" s="1"/>
  <c r="I169" i="22" s="1"/>
  <c r="J169" i="22" s="1"/>
  <c r="K169" i="22" s="1"/>
  <c r="L169" i="22" s="1"/>
  <c r="M169" i="22" s="1"/>
  <c r="N169" i="22" s="1"/>
  <c r="O169" i="22" s="1"/>
  <c r="P169" i="22" s="1"/>
  <c r="Q169" i="22" s="1"/>
  <c r="R169" i="22" s="1"/>
  <c r="S169" i="22" s="1"/>
  <c r="T169" i="22" s="1"/>
  <c r="U169" i="22" s="1"/>
  <c r="V169" i="22" s="1"/>
  <c r="W169" i="22" s="1"/>
  <c r="X169" i="22" s="1"/>
  <c r="Y169" i="22" s="1"/>
  <c r="Z169" i="22" s="1"/>
  <c r="P74" i="1"/>
  <c r="G367" i="23" s="1"/>
  <c r="H367" i="23" s="1"/>
  <c r="I367" i="23" s="1"/>
  <c r="J367" i="23" s="1"/>
  <c r="K367" i="23" s="1"/>
  <c r="L367" i="23" s="1"/>
  <c r="M367" i="23" s="1"/>
  <c r="N367" i="23" s="1"/>
  <c r="O367" i="23" s="1"/>
  <c r="P367" i="23" s="1"/>
  <c r="Q367" i="23" s="1"/>
  <c r="R367" i="23" s="1"/>
  <c r="S367" i="23" s="1"/>
  <c r="T367" i="23" s="1"/>
  <c r="U367" i="23" s="1"/>
  <c r="V367" i="23" s="1"/>
  <c r="W367" i="23" s="1"/>
  <c r="X367" i="23" s="1"/>
  <c r="Y367" i="23" s="1"/>
  <c r="Z367" i="23" s="1"/>
  <c r="AQ89" i="1"/>
  <c r="AR89" i="1"/>
  <c r="O75" i="1"/>
  <c r="P75" i="1"/>
  <c r="O76" i="1"/>
  <c r="P76" i="1"/>
  <c r="AQ92" i="1"/>
  <c r="AR92" i="1"/>
  <c r="AQ93" i="1"/>
  <c r="AR93" i="1"/>
  <c r="O77" i="1"/>
  <c r="G120" i="22" s="1"/>
  <c r="H120" i="22" s="1"/>
  <c r="I120" i="22" s="1"/>
  <c r="J120" i="22" s="1"/>
  <c r="K120" i="22" s="1"/>
  <c r="L120" i="22" s="1"/>
  <c r="M120" i="22" s="1"/>
  <c r="N120" i="22" s="1"/>
  <c r="O120" i="22" s="1"/>
  <c r="P120" i="22" s="1"/>
  <c r="Q120" i="22" s="1"/>
  <c r="R120" i="22" s="1"/>
  <c r="S120" i="22" s="1"/>
  <c r="T120" i="22" s="1"/>
  <c r="U120" i="22" s="1"/>
  <c r="V120" i="22" s="1"/>
  <c r="W120" i="22" s="1"/>
  <c r="X120" i="22" s="1"/>
  <c r="Y120" i="22" s="1"/>
  <c r="Z120" i="22" s="1"/>
  <c r="P77" i="1"/>
  <c r="G318" i="23" s="1"/>
  <c r="H318" i="23" s="1"/>
  <c r="I318" i="23" s="1"/>
  <c r="J318" i="23" s="1"/>
  <c r="K318" i="23" s="1"/>
  <c r="L318" i="23" s="1"/>
  <c r="M318" i="23" s="1"/>
  <c r="N318" i="23" s="1"/>
  <c r="O318" i="23" s="1"/>
  <c r="P318" i="23" s="1"/>
  <c r="Q318" i="23" s="1"/>
  <c r="R318" i="23" s="1"/>
  <c r="S318" i="23" s="1"/>
  <c r="T318" i="23" s="1"/>
  <c r="U318" i="23" s="1"/>
  <c r="V318" i="23" s="1"/>
  <c r="W318" i="23" s="1"/>
  <c r="X318" i="23" s="1"/>
  <c r="Y318" i="23" s="1"/>
  <c r="Z318" i="23" s="1"/>
  <c r="O79" i="1"/>
  <c r="AX23" i="22" s="1"/>
  <c r="AY23" i="22" s="1"/>
  <c r="AZ23" i="22" s="1"/>
  <c r="BA23" i="22" s="1"/>
  <c r="BB23" i="22" s="1"/>
  <c r="BC23" i="22" s="1"/>
  <c r="BD23" i="22" s="1"/>
  <c r="BE23" i="22" s="1"/>
  <c r="BF23" i="22" s="1"/>
  <c r="BG23" i="22" s="1"/>
  <c r="BH23" i="22" s="1"/>
  <c r="BI23" i="22" s="1"/>
  <c r="BJ23" i="22" s="1"/>
  <c r="BK23" i="22" s="1"/>
  <c r="BL23" i="22" s="1"/>
  <c r="BM23" i="22" s="1"/>
  <c r="BN23" i="22" s="1"/>
  <c r="BO23" i="22" s="1"/>
  <c r="BP23" i="22" s="1"/>
  <c r="BQ23" i="22" s="1"/>
  <c r="P79" i="1"/>
  <c r="G69" i="23" s="1"/>
  <c r="H69" i="23" s="1"/>
  <c r="I69" i="23" s="1"/>
  <c r="J69" i="23" s="1"/>
  <c r="K69" i="23" s="1"/>
  <c r="L69" i="23" s="1"/>
  <c r="M69" i="23" s="1"/>
  <c r="N69" i="23" s="1"/>
  <c r="O69" i="23" s="1"/>
  <c r="P69" i="23" s="1"/>
  <c r="Q69" i="23" s="1"/>
  <c r="R69" i="23" s="1"/>
  <c r="S69" i="23" s="1"/>
  <c r="T69" i="23" s="1"/>
  <c r="U69" i="23" s="1"/>
  <c r="V69" i="23" s="1"/>
  <c r="W69" i="23" s="1"/>
  <c r="X69" i="23" s="1"/>
  <c r="Y69" i="23" s="1"/>
  <c r="Z69" i="23" s="1"/>
  <c r="O80" i="1"/>
  <c r="AX50" i="22" s="1"/>
  <c r="AY50" i="22" s="1"/>
  <c r="AZ50" i="22" s="1"/>
  <c r="BA50" i="22" s="1"/>
  <c r="BB50" i="22" s="1"/>
  <c r="BC50" i="22" s="1"/>
  <c r="BD50" i="22" s="1"/>
  <c r="BE50" i="22" s="1"/>
  <c r="BF50" i="22" s="1"/>
  <c r="BG50" i="22" s="1"/>
  <c r="BH50" i="22" s="1"/>
  <c r="BI50" i="22" s="1"/>
  <c r="BJ50" i="22" s="1"/>
  <c r="BK50" i="22" s="1"/>
  <c r="BL50" i="22" s="1"/>
  <c r="BM50" i="22" s="1"/>
  <c r="BN50" i="22" s="1"/>
  <c r="BO50" i="22" s="1"/>
  <c r="BP50" i="22" s="1"/>
  <c r="BQ50" i="22" s="1"/>
  <c r="P80" i="1"/>
  <c r="G96" i="23" s="1"/>
  <c r="H96" i="23" s="1"/>
  <c r="I96" i="23" s="1"/>
  <c r="J96" i="23" s="1"/>
  <c r="K96" i="23" s="1"/>
  <c r="L96" i="23" s="1"/>
  <c r="M96" i="23" s="1"/>
  <c r="N96" i="23" s="1"/>
  <c r="O96" i="23" s="1"/>
  <c r="P96" i="23" s="1"/>
  <c r="Q96" i="23" s="1"/>
  <c r="R96" i="23" s="1"/>
  <c r="S96" i="23" s="1"/>
  <c r="T96" i="23" s="1"/>
  <c r="U96" i="23" s="1"/>
  <c r="V96" i="23" s="1"/>
  <c r="W96" i="23" s="1"/>
  <c r="X96" i="23" s="1"/>
  <c r="Y96" i="23" s="1"/>
  <c r="Z96" i="23" s="1"/>
  <c r="O83" i="1"/>
  <c r="G93" i="22" s="1"/>
  <c r="H93" i="22" s="1"/>
  <c r="I93" i="22" s="1"/>
  <c r="J93" i="22" s="1"/>
  <c r="K93" i="22" s="1"/>
  <c r="L93" i="22" s="1"/>
  <c r="M93" i="22" s="1"/>
  <c r="N93" i="22" s="1"/>
  <c r="O93" i="22" s="1"/>
  <c r="P93" i="22" s="1"/>
  <c r="Q93" i="22" s="1"/>
  <c r="R93" i="22" s="1"/>
  <c r="S93" i="22" s="1"/>
  <c r="T93" i="22" s="1"/>
  <c r="U93" i="22" s="1"/>
  <c r="V93" i="22" s="1"/>
  <c r="W93" i="22" s="1"/>
  <c r="X93" i="22" s="1"/>
  <c r="Y93" i="22" s="1"/>
  <c r="Z93" i="22" s="1"/>
  <c r="P83" i="1"/>
  <c r="G249" i="23" s="1"/>
  <c r="H249" i="23" s="1"/>
  <c r="I249" i="23" s="1"/>
  <c r="J249" i="23" s="1"/>
  <c r="K249" i="23" s="1"/>
  <c r="L249" i="23" s="1"/>
  <c r="M249" i="23" s="1"/>
  <c r="N249" i="23" s="1"/>
  <c r="O249" i="23" s="1"/>
  <c r="P249" i="23" s="1"/>
  <c r="Q249" i="23" s="1"/>
  <c r="R249" i="23" s="1"/>
  <c r="S249" i="23" s="1"/>
  <c r="T249" i="23" s="1"/>
  <c r="U249" i="23" s="1"/>
  <c r="V249" i="23" s="1"/>
  <c r="W249" i="23" s="1"/>
  <c r="X249" i="23" s="1"/>
  <c r="Y249" i="23" s="1"/>
  <c r="Z249" i="23" s="1"/>
  <c r="AQ100" i="1"/>
  <c r="AJ118" i="22" s="1"/>
  <c r="AK118" i="22" s="1"/>
  <c r="AL118" i="22" s="1"/>
  <c r="AM118" i="22" s="1"/>
  <c r="AN118" i="22" s="1"/>
  <c r="AO118" i="22" s="1"/>
  <c r="AP118" i="22" s="1"/>
  <c r="AQ118" i="22" s="1"/>
  <c r="AR118" i="22" s="1"/>
  <c r="AS118" i="22" s="1"/>
  <c r="AT118" i="22" s="1"/>
  <c r="AU118" i="22" s="1"/>
  <c r="AV118" i="22" s="1"/>
  <c r="AW118" i="22" s="1"/>
  <c r="AX118" i="22" s="1"/>
  <c r="AY118" i="22" s="1"/>
  <c r="AZ118" i="22" s="1"/>
  <c r="BA118" i="22" s="1"/>
  <c r="BB118" i="22" s="1"/>
  <c r="BC118" i="22" s="1"/>
  <c r="AR100" i="1"/>
  <c r="G275" i="23" s="1"/>
  <c r="H275" i="23" s="1"/>
  <c r="I275" i="23" s="1"/>
  <c r="J275" i="23" s="1"/>
  <c r="K275" i="23" s="1"/>
  <c r="L275" i="23" s="1"/>
  <c r="M275" i="23" s="1"/>
  <c r="N275" i="23" s="1"/>
  <c r="O275" i="23" s="1"/>
  <c r="P275" i="23" s="1"/>
  <c r="Q275" i="23" s="1"/>
  <c r="R275" i="23" s="1"/>
  <c r="S275" i="23" s="1"/>
  <c r="T275" i="23" s="1"/>
  <c r="U275" i="23" s="1"/>
  <c r="V275" i="23" s="1"/>
  <c r="W275" i="23" s="1"/>
  <c r="X275" i="23" s="1"/>
  <c r="Y275" i="23" s="1"/>
  <c r="Z275" i="23" s="1"/>
  <c r="O84" i="1"/>
  <c r="G67" i="22" s="1"/>
  <c r="H67" i="22" s="1"/>
  <c r="I67" i="22" s="1"/>
  <c r="J67" i="22" s="1"/>
  <c r="K67" i="22" s="1"/>
  <c r="L67" i="22" s="1"/>
  <c r="M67" i="22" s="1"/>
  <c r="N67" i="22" s="1"/>
  <c r="O67" i="22" s="1"/>
  <c r="P67" i="22" s="1"/>
  <c r="Q67" i="22" s="1"/>
  <c r="R67" i="22" s="1"/>
  <c r="S67" i="22" s="1"/>
  <c r="T67" i="22" s="1"/>
  <c r="U67" i="22" s="1"/>
  <c r="V67" i="22" s="1"/>
  <c r="W67" i="22" s="1"/>
  <c r="X67" i="22" s="1"/>
  <c r="Y67" i="22" s="1"/>
  <c r="Z67" i="22" s="1"/>
  <c r="P84" i="1"/>
  <c r="G223" i="23" s="1"/>
  <c r="H223" i="23" s="1"/>
  <c r="I223" i="23" s="1"/>
  <c r="J223" i="23" s="1"/>
  <c r="K223" i="23" s="1"/>
  <c r="L223" i="23" s="1"/>
  <c r="M223" i="23" s="1"/>
  <c r="N223" i="23" s="1"/>
  <c r="O223" i="23" s="1"/>
  <c r="P223" i="23" s="1"/>
  <c r="Q223" i="23" s="1"/>
  <c r="R223" i="23" s="1"/>
  <c r="S223" i="23" s="1"/>
  <c r="T223" i="23" s="1"/>
  <c r="U223" i="23" s="1"/>
  <c r="V223" i="23" s="1"/>
  <c r="W223" i="23" s="1"/>
  <c r="X223" i="23" s="1"/>
  <c r="Y223" i="23" s="1"/>
  <c r="Z223" i="23" s="1"/>
  <c r="AQ102" i="1"/>
  <c r="AR102" i="1"/>
  <c r="G296" i="23" s="1"/>
  <c r="H296" i="23" s="1"/>
  <c r="I296" i="23" s="1"/>
  <c r="J296" i="23" s="1"/>
  <c r="K296" i="23" s="1"/>
  <c r="L296" i="23" s="1"/>
  <c r="M296" i="23" s="1"/>
  <c r="N296" i="23" s="1"/>
  <c r="O296" i="23" s="1"/>
  <c r="P296" i="23" s="1"/>
  <c r="Q296" i="23" s="1"/>
  <c r="R296" i="23" s="1"/>
  <c r="S296" i="23" s="1"/>
  <c r="T296" i="23" s="1"/>
  <c r="U296" i="23" s="1"/>
  <c r="V296" i="23" s="1"/>
  <c r="W296" i="23" s="1"/>
  <c r="X296" i="23" s="1"/>
  <c r="Y296" i="23" s="1"/>
  <c r="Z296" i="23" s="1"/>
  <c r="O85" i="1"/>
  <c r="G121" i="22" s="1"/>
  <c r="H121" i="22" s="1"/>
  <c r="I121" i="22" s="1"/>
  <c r="J121" i="22" s="1"/>
  <c r="K121" i="22" s="1"/>
  <c r="L121" i="22" s="1"/>
  <c r="M121" i="22" s="1"/>
  <c r="N121" i="22" s="1"/>
  <c r="O121" i="22" s="1"/>
  <c r="P121" i="22" s="1"/>
  <c r="Q121" i="22" s="1"/>
  <c r="R121" i="22" s="1"/>
  <c r="S121" i="22" s="1"/>
  <c r="T121" i="22" s="1"/>
  <c r="U121" i="22" s="1"/>
  <c r="V121" i="22" s="1"/>
  <c r="W121" i="22" s="1"/>
  <c r="X121" i="22" s="1"/>
  <c r="Y121" i="22" s="1"/>
  <c r="Z121" i="22" s="1"/>
  <c r="P85" i="1"/>
  <c r="G319" i="23" s="1"/>
  <c r="O87" i="1"/>
  <c r="P87" i="1"/>
  <c r="O88" i="1"/>
  <c r="P88" i="1"/>
  <c r="N63" i="1"/>
  <c r="AP80" i="1"/>
  <c r="N64" i="1"/>
  <c r="AP82" i="1"/>
  <c r="N65" i="1"/>
  <c r="N68" i="1"/>
  <c r="N69" i="1"/>
  <c r="N72" i="1"/>
  <c r="N74" i="1"/>
  <c r="G160" i="18" s="1"/>
  <c r="H160" i="18" s="1"/>
  <c r="I160" i="18" s="1"/>
  <c r="J160" i="18" s="1"/>
  <c r="K160" i="18" s="1"/>
  <c r="L160" i="18" s="1"/>
  <c r="M160" i="18" s="1"/>
  <c r="N160" i="18" s="1"/>
  <c r="O160" i="18" s="1"/>
  <c r="P160" i="18" s="1"/>
  <c r="Q160" i="18" s="1"/>
  <c r="R160" i="18" s="1"/>
  <c r="S160" i="18" s="1"/>
  <c r="T160" i="18" s="1"/>
  <c r="U160" i="18" s="1"/>
  <c r="V160" i="18" s="1"/>
  <c r="W160" i="18" s="1"/>
  <c r="X160" i="18" s="1"/>
  <c r="Y160" i="18" s="1"/>
  <c r="Z160" i="18" s="1"/>
  <c r="AP89" i="1"/>
  <c r="N76" i="1"/>
  <c r="AP92" i="1"/>
  <c r="AP93" i="1"/>
  <c r="N77" i="1"/>
  <c r="G112" i="18" s="1"/>
  <c r="H112" i="18" s="1"/>
  <c r="I112" i="18" s="1"/>
  <c r="J112" i="18" s="1"/>
  <c r="K112" i="18" s="1"/>
  <c r="L112" i="18" s="1"/>
  <c r="M112" i="18" s="1"/>
  <c r="N112" i="18" s="1"/>
  <c r="O112" i="18" s="1"/>
  <c r="P112" i="18" s="1"/>
  <c r="Q112" i="18" s="1"/>
  <c r="R112" i="18" s="1"/>
  <c r="S112" i="18" s="1"/>
  <c r="T112" i="18" s="1"/>
  <c r="U112" i="18" s="1"/>
  <c r="V112" i="18" s="1"/>
  <c r="W112" i="18" s="1"/>
  <c r="X112" i="18" s="1"/>
  <c r="Y112" i="18" s="1"/>
  <c r="Z112" i="18" s="1"/>
  <c r="N79" i="1"/>
  <c r="N80" i="1"/>
  <c r="N83" i="1"/>
  <c r="G85" i="18" s="1"/>
  <c r="H85" i="18" s="1"/>
  <c r="I85" i="18" s="1"/>
  <c r="J85" i="18" s="1"/>
  <c r="K85" i="18" s="1"/>
  <c r="L85" i="18" s="1"/>
  <c r="M85" i="18" s="1"/>
  <c r="N85" i="18" s="1"/>
  <c r="O85" i="18" s="1"/>
  <c r="P85" i="18" s="1"/>
  <c r="Q85" i="18" s="1"/>
  <c r="R85" i="18" s="1"/>
  <c r="S85" i="18" s="1"/>
  <c r="T85" i="18" s="1"/>
  <c r="U85" i="18" s="1"/>
  <c r="V85" i="18" s="1"/>
  <c r="W85" i="18" s="1"/>
  <c r="X85" i="18" s="1"/>
  <c r="Y85" i="18" s="1"/>
  <c r="Z85" i="18" s="1"/>
  <c r="AP100" i="1"/>
  <c r="G464" i="18" s="1"/>
  <c r="H464" i="18" s="1"/>
  <c r="I464" i="18" s="1"/>
  <c r="J464" i="18" s="1"/>
  <c r="K464" i="18" s="1"/>
  <c r="L464" i="18" s="1"/>
  <c r="M464" i="18" s="1"/>
  <c r="N464" i="18" s="1"/>
  <c r="O464" i="18" s="1"/>
  <c r="P464" i="18" s="1"/>
  <c r="Q464" i="18" s="1"/>
  <c r="R464" i="18" s="1"/>
  <c r="S464" i="18" s="1"/>
  <c r="T464" i="18" s="1"/>
  <c r="U464" i="18" s="1"/>
  <c r="V464" i="18" s="1"/>
  <c r="W464" i="18" s="1"/>
  <c r="X464" i="18" s="1"/>
  <c r="Y464" i="18" s="1"/>
  <c r="Z464" i="18" s="1"/>
  <c r="N84" i="1"/>
  <c r="AP102" i="1"/>
  <c r="N85" i="1"/>
  <c r="G113" i="18" s="1"/>
  <c r="H113" i="18" s="1"/>
  <c r="I113" i="18" s="1"/>
  <c r="J113" i="18" s="1"/>
  <c r="K113" i="18" s="1"/>
  <c r="L113" i="18" s="1"/>
  <c r="M113" i="18" s="1"/>
  <c r="N113" i="18" s="1"/>
  <c r="O113" i="18" s="1"/>
  <c r="P113" i="18" s="1"/>
  <c r="Q113" i="18" s="1"/>
  <c r="R113" i="18" s="1"/>
  <c r="S113" i="18" s="1"/>
  <c r="T113" i="18" s="1"/>
  <c r="U113" i="18" s="1"/>
  <c r="V113" i="18" s="1"/>
  <c r="W113" i="18" s="1"/>
  <c r="X113" i="18" s="1"/>
  <c r="Y113" i="18" s="1"/>
  <c r="Z113" i="18" s="1"/>
  <c r="N87" i="1"/>
  <c r="N88" i="1"/>
  <c r="AR149" i="18" l="1"/>
  <c r="AS149" i="18" s="1"/>
  <c r="AT149" i="18" s="1"/>
  <c r="AU149" i="18" s="1"/>
  <c r="AV149" i="18" s="1"/>
  <c r="AW149" i="18" s="1"/>
  <c r="AX149" i="18" s="1"/>
  <c r="AY149" i="18" s="1"/>
  <c r="AZ149" i="18" s="1"/>
  <c r="BA149" i="18" s="1"/>
  <c r="BB149" i="18" s="1"/>
  <c r="BC149" i="18" s="1"/>
  <c r="BD149" i="18" s="1"/>
  <c r="BE149" i="18" s="1"/>
  <c r="BF149" i="18" s="1"/>
  <c r="BG149" i="18" s="1"/>
  <c r="BH149" i="18" s="1"/>
  <c r="BI149" i="18" s="1"/>
  <c r="BJ149" i="18" s="1"/>
  <c r="BK149" i="18" s="1"/>
  <c r="G436" i="23"/>
  <c r="H436" i="23" s="1"/>
  <c r="I436" i="23" s="1"/>
  <c r="J436" i="23" s="1"/>
  <c r="K436" i="23" s="1"/>
  <c r="L436" i="23" s="1"/>
  <c r="M436" i="23" s="1"/>
  <c r="N436" i="23" s="1"/>
  <c r="O436" i="23" s="1"/>
  <c r="P436" i="23" s="1"/>
  <c r="Q436" i="23" s="1"/>
  <c r="R436" i="23" s="1"/>
  <c r="S436" i="23" s="1"/>
  <c r="T436" i="23" s="1"/>
  <c r="U436" i="23" s="1"/>
  <c r="V436" i="23" s="1"/>
  <c r="W436" i="23" s="1"/>
  <c r="X436" i="23" s="1"/>
  <c r="Y436" i="23" s="1"/>
  <c r="Z436" i="23" s="1"/>
  <c r="G238" i="22"/>
  <c r="H319" i="23"/>
  <c r="G41" i="22"/>
  <c r="H41" i="22" s="1"/>
  <c r="I41" i="22" s="1"/>
  <c r="J41" i="22" s="1"/>
  <c r="K41" i="22" s="1"/>
  <c r="L41" i="22" s="1"/>
  <c r="M41" i="22" s="1"/>
  <c r="N41" i="22" s="1"/>
  <c r="O41" i="22" s="1"/>
  <c r="P41" i="22" s="1"/>
  <c r="Q41" i="22" s="1"/>
  <c r="R41" i="22" s="1"/>
  <c r="S41" i="22" s="1"/>
  <c r="T41" i="22" s="1"/>
  <c r="U41" i="22" s="1"/>
  <c r="V41" i="22" s="1"/>
  <c r="W41" i="22" s="1"/>
  <c r="X41" i="22" s="1"/>
  <c r="Y41" i="22" s="1"/>
  <c r="Z41" i="22" s="1"/>
  <c r="AX49" i="22"/>
  <c r="AY49" i="22" s="1"/>
  <c r="AZ49" i="22" s="1"/>
  <c r="BA49" i="22" s="1"/>
  <c r="BB49" i="22" s="1"/>
  <c r="BC49" i="22" s="1"/>
  <c r="BD49" i="22" s="1"/>
  <c r="BE49" i="22" s="1"/>
  <c r="BF49" i="22" s="1"/>
  <c r="BG49" i="22" s="1"/>
  <c r="BH49" i="22" s="1"/>
  <c r="BI49" i="22" s="1"/>
  <c r="BJ49" i="22" s="1"/>
  <c r="BK49" i="22" s="1"/>
  <c r="BL49" i="22" s="1"/>
  <c r="BM49" i="22" s="1"/>
  <c r="BN49" i="22" s="1"/>
  <c r="BO49" i="22" s="1"/>
  <c r="BP49" i="22" s="1"/>
  <c r="BQ49" i="22" s="1"/>
  <c r="G14" i="22"/>
  <c r="H14" i="22" s="1"/>
  <c r="I14" i="22" s="1"/>
  <c r="J14" i="22" s="1"/>
  <c r="K14" i="22" s="1"/>
  <c r="L14" i="22" s="1"/>
  <c r="M14" i="22" s="1"/>
  <c r="N14" i="22" s="1"/>
  <c r="O14" i="22" s="1"/>
  <c r="P14" i="22" s="1"/>
  <c r="Q14" i="22" s="1"/>
  <c r="R14" i="22" s="1"/>
  <c r="S14" i="22" s="1"/>
  <c r="T14" i="22" s="1"/>
  <c r="U14" i="22" s="1"/>
  <c r="V14" i="22" s="1"/>
  <c r="W14" i="22" s="1"/>
  <c r="X14" i="22" s="1"/>
  <c r="Y14" i="22" s="1"/>
  <c r="Z14" i="22" s="1"/>
  <c r="AX22" i="22"/>
  <c r="AY22" i="22" s="1"/>
  <c r="AZ22" i="22" s="1"/>
  <c r="BA22" i="22" s="1"/>
  <c r="BB22" i="22" s="1"/>
  <c r="BC22" i="22" s="1"/>
  <c r="BD22" i="22" s="1"/>
  <c r="BE22" i="22" s="1"/>
  <c r="BF22" i="22" s="1"/>
  <c r="BG22" i="22" s="1"/>
  <c r="BH22" i="22" s="1"/>
  <c r="BI22" i="22" s="1"/>
  <c r="BJ22" i="22" s="1"/>
  <c r="BK22" i="22" s="1"/>
  <c r="BL22" i="22" s="1"/>
  <c r="BM22" i="22" s="1"/>
  <c r="BN22" i="22" s="1"/>
  <c r="BO22" i="22" s="1"/>
  <c r="BP22" i="22" s="1"/>
  <c r="BQ22" i="22" s="1"/>
  <c r="G176" i="23"/>
  <c r="H176" i="23" s="1"/>
  <c r="I176" i="23" s="1"/>
  <c r="J176" i="23" s="1"/>
  <c r="K176" i="23" s="1"/>
  <c r="L176" i="23" s="1"/>
  <c r="M176" i="23" s="1"/>
  <c r="N176" i="23" s="1"/>
  <c r="O176" i="23" s="1"/>
  <c r="P176" i="23" s="1"/>
  <c r="Q176" i="23" s="1"/>
  <c r="R176" i="23" s="1"/>
  <c r="S176" i="23" s="1"/>
  <c r="T176" i="23" s="1"/>
  <c r="U176" i="23" s="1"/>
  <c r="V176" i="23" s="1"/>
  <c r="W176" i="23" s="1"/>
  <c r="X176" i="23" s="1"/>
  <c r="Y176" i="23" s="1"/>
  <c r="Z176" i="23" s="1"/>
  <c r="G506" i="23"/>
  <c r="H506" i="23" s="1"/>
  <c r="I506" i="23" s="1"/>
  <c r="J506" i="23" s="1"/>
  <c r="K506" i="23" s="1"/>
  <c r="L506" i="23" s="1"/>
  <c r="M506" i="23" s="1"/>
  <c r="N506" i="23" s="1"/>
  <c r="O506" i="23" s="1"/>
  <c r="P506" i="23" s="1"/>
  <c r="Q506" i="23" s="1"/>
  <c r="R506" i="23" s="1"/>
  <c r="S506" i="23" s="1"/>
  <c r="T506" i="23" s="1"/>
  <c r="U506" i="23" s="1"/>
  <c r="V506" i="23" s="1"/>
  <c r="W506" i="23" s="1"/>
  <c r="X506" i="23" s="1"/>
  <c r="Y506" i="23" s="1"/>
  <c r="Z506" i="23" s="1"/>
  <c r="BE130" i="22"/>
  <c r="BF130" i="22" s="1"/>
  <c r="BG130" i="22" s="1"/>
  <c r="BH130" i="22" s="1"/>
  <c r="BI130" i="22" s="1"/>
  <c r="BJ130" i="22" s="1"/>
  <c r="BK130" i="22" s="1"/>
  <c r="BL130" i="22" s="1"/>
  <c r="BM130" i="22" s="1"/>
  <c r="BN130" i="22" s="1"/>
  <c r="BO130" i="22" s="1"/>
  <c r="BP130" i="22" s="1"/>
  <c r="BQ130" i="22" s="1"/>
  <c r="G308" i="22"/>
  <c r="H308" i="22" s="1"/>
  <c r="I308" i="22" s="1"/>
  <c r="J308" i="22" s="1"/>
  <c r="K308" i="22" s="1"/>
  <c r="L308" i="22" s="1"/>
  <c r="M308" i="22" s="1"/>
  <c r="N308" i="22" s="1"/>
  <c r="O308" i="22" s="1"/>
  <c r="P308" i="22" s="1"/>
  <c r="Q308" i="22" s="1"/>
  <c r="R308" i="22" s="1"/>
  <c r="S308" i="22" s="1"/>
  <c r="T308" i="22" s="1"/>
  <c r="U308" i="22" s="1"/>
  <c r="V308" i="22" s="1"/>
  <c r="W308" i="22" s="1"/>
  <c r="X308" i="22" s="1"/>
  <c r="Y308" i="22" s="1"/>
  <c r="Z308" i="22" s="1"/>
  <c r="AR101" i="18"/>
  <c r="AS101" i="18" s="1"/>
  <c r="AT101" i="18" s="1"/>
  <c r="AU101" i="18" s="1"/>
  <c r="AV101" i="18" s="1"/>
  <c r="AW101" i="18" s="1"/>
  <c r="AX101" i="18" s="1"/>
  <c r="AY101" i="18" s="1"/>
  <c r="AZ101" i="18" s="1"/>
  <c r="BA101" i="18" s="1"/>
  <c r="BB101" i="18" s="1"/>
  <c r="BC101" i="18" s="1"/>
  <c r="BD101" i="18" s="1"/>
  <c r="BE101" i="18" s="1"/>
  <c r="BF101" i="18" s="1"/>
  <c r="BG101" i="18" s="1"/>
  <c r="BH101" i="18" s="1"/>
  <c r="BI101" i="18" s="1"/>
  <c r="BJ101" i="18" s="1"/>
  <c r="BK101" i="18" s="1"/>
  <c r="G254" i="18"/>
  <c r="H254" i="18" s="1"/>
  <c r="I254" i="18" s="1"/>
  <c r="J254" i="18" s="1"/>
  <c r="K254" i="18" s="1"/>
  <c r="L254" i="18" s="1"/>
  <c r="M254" i="18" s="1"/>
  <c r="N254" i="18" s="1"/>
  <c r="O254" i="18" s="1"/>
  <c r="P254" i="18" s="1"/>
  <c r="Q254" i="18" s="1"/>
  <c r="R254" i="18" s="1"/>
  <c r="S254" i="18" s="1"/>
  <c r="T254" i="18" s="1"/>
  <c r="U254" i="18" s="1"/>
  <c r="V254" i="18" s="1"/>
  <c r="W254" i="18" s="1"/>
  <c r="X254" i="18" s="1"/>
  <c r="Y254" i="18" s="1"/>
  <c r="Z254" i="18" s="1"/>
  <c r="AR33" i="18"/>
  <c r="AS33" i="18" s="1"/>
  <c r="AT33" i="18" s="1"/>
  <c r="AU33" i="18" s="1"/>
  <c r="AV33" i="18" s="1"/>
  <c r="AW33" i="18" s="1"/>
  <c r="AX33" i="18" s="1"/>
  <c r="AY33" i="18" s="1"/>
  <c r="AZ33" i="18" s="1"/>
  <c r="BA33" i="18" s="1"/>
  <c r="BB33" i="18" s="1"/>
  <c r="BC33" i="18" s="1"/>
  <c r="BD33" i="18" s="1"/>
  <c r="BE33" i="18" s="1"/>
  <c r="BF33" i="18" s="1"/>
  <c r="BG33" i="18" s="1"/>
  <c r="BH33" i="18" s="1"/>
  <c r="BI33" i="18" s="1"/>
  <c r="BJ33" i="18" s="1"/>
  <c r="BK33" i="18" s="1"/>
  <c r="AR9" i="18"/>
  <c r="AS9" i="18" s="1"/>
  <c r="AT9" i="18" s="1"/>
  <c r="AU9" i="18" s="1"/>
  <c r="AV9" i="18" s="1"/>
  <c r="AW9" i="18" s="1"/>
  <c r="AX9" i="18" s="1"/>
  <c r="AY9" i="18" s="1"/>
  <c r="AZ9" i="18" s="1"/>
  <c r="BA9" i="18" s="1"/>
  <c r="BB9" i="18" s="1"/>
  <c r="BC9" i="18" s="1"/>
  <c r="BD9" i="18" s="1"/>
  <c r="BE9" i="18" s="1"/>
  <c r="BF9" i="18" s="1"/>
  <c r="BG9" i="18" s="1"/>
  <c r="BH9" i="18" s="1"/>
  <c r="BI9" i="18" s="1"/>
  <c r="BJ9" i="18" s="1"/>
  <c r="BK9" i="18" s="1"/>
  <c r="AR10" i="18"/>
  <c r="AS10" i="18" s="1"/>
  <c r="AT10" i="18" s="1"/>
  <c r="AU10" i="18" s="1"/>
  <c r="AV10" i="18" s="1"/>
  <c r="AW10" i="18" s="1"/>
  <c r="AX10" i="18" s="1"/>
  <c r="AY10" i="18" s="1"/>
  <c r="AZ10" i="18" s="1"/>
  <c r="BA10" i="18" s="1"/>
  <c r="BB10" i="18" s="1"/>
  <c r="BC10" i="18" s="1"/>
  <c r="BD10" i="18" s="1"/>
  <c r="BE10" i="18" s="1"/>
  <c r="BF10" i="18" s="1"/>
  <c r="BG10" i="18" s="1"/>
  <c r="BH10" i="18" s="1"/>
  <c r="BI10" i="18" s="1"/>
  <c r="BJ10" i="18" s="1"/>
  <c r="BK10" i="18" s="1"/>
  <c r="AR32" i="18"/>
  <c r="AS32" i="18" s="1"/>
  <c r="AT32" i="18" s="1"/>
  <c r="AU32" i="18" s="1"/>
  <c r="AV32" i="18" s="1"/>
  <c r="AW32" i="18" s="1"/>
  <c r="AX32" i="18" s="1"/>
  <c r="AY32" i="18" s="1"/>
  <c r="AZ32" i="18" s="1"/>
  <c r="BA32" i="18" s="1"/>
  <c r="BB32" i="18" s="1"/>
  <c r="BC32" i="18" s="1"/>
  <c r="BD32" i="18" s="1"/>
  <c r="BE32" i="18" s="1"/>
  <c r="BF32" i="18" s="1"/>
  <c r="BG32" i="18" s="1"/>
  <c r="BH32" i="18" s="1"/>
  <c r="BI32" i="18" s="1"/>
  <c r="BJ32" i="18" s="1"/>
  <c r="BK32" i="18" s="1"/>
  <c r="G14" i="23"/>
  <c r="H14" i="23" s="1"/>
  <c r="I14" i="23" s="1"/>
  <c r="J14" i="23" s="1"/>
  <c r="K14" i="23" s="1"/>
  <c r="L14" i="23" s="1"/>
  <c r="M14" i="23" s="1"/>
  <c r="N14" i="23" s="1"/>
  <c r="O14" i="23" s="1"/>
  <c r="P14" i="23" s="1"/>
  <c r="Q14" i="23" s="1"/>
  <c r="R14" i="23" s="1"/>
  <c r="S14" i="23" s="1"/>
  <c r="T14" i="23" s="1"/>
  <c r="U14" i="23" s="1"/>
  <c r="V14" i="23" s="1"/>
  <c r="W14" i="23" s="1"/>
  <c r="X14" i="23" s="1"/>
  <c r="Y14" i="23" s="1"/>
  <c r="Z14" i="23" s="1"/>
  <c r="G15" i="22"/>
  <c r="H15" i="22" s="1"/>
  <c r="I15" i="22" s="1"/>
  <c r="J15" i="22" s="1"/>
  <c r="K15" i="22" s="1"/>
  <c r="L15" i="22" s="1"/>
  <c r="M15" i="22" s="1"/>
  <c r="N15" i="22" s="1"/>
  <c r="O15" i="22" s="1"/>
  <c r="P15" i="22" s="1"/>
  <c r="Q15" i="22" s="1"/>
  <c r="R15" i="22" s="1"/>
  <c r="S15" i="22" s="1"/>
  <c r="T15" i="22" s="1"/>
  <c r="U15" i="22" s="1"/>
  <c r="V15" i="22" s="1"/>
  <c r="W15" i="22" s="1"/>
  <c r="X15" i="22" s="1"/>
  <c r="Y15" i="22" s="1"/>
  <c r="Z15" i="22" s="1"/>
  <c r="G42" i="22"/>
  <c r="H42" i="22" s="1"/>
  <c r="I42" i="22" s="1"/>
  <c r="J42" i="22" s="1"/>
  <c r="K42" i="22" s="1"/>
  <c r="L42" i="22" s="1"/>
  <c r="M42" i="22" s="1"/>
  <c r="N42" i="22" s="1"/>
  <c r="O42" i="22" s="1"/>
  <c r="P42" i="22" s="1"/>
  <c r="Q42" i="22" s="1"/>
  <c r="R42" i="22" s="1"/>
  <c r="S42" i="22" s="1"/>
  <c r="T42" i="22" s="1"/>
  <c r="U42" i="22" s="1"/>
  <c r="V42" i="22" s="1"/>
  <c r="W42" i="22" s="1"/>
  <c r="X42" i="22" s="1"/>
  <c r="Y42" i="22" s="1"/>
  <c r="Z42" i="22" s="1"/>
  <c r="G15" i="23"/>
  <c r="H15" i="23" s="1"/>
  <c r="I15" i="23" s="1"/>
  <c r="J15" i="23" s="1"/>
  <c r="K15" i="23" s="1"/>
  <c r="L15" i="23" s="1"/>
  <c r="M15" i="23" s="1"/>
  <c r="N15" i="23" s="1"/>
  <c r="O15" i="23" s="1"/>
  <c r="P15" i="23" s="1"/>
  <c r="Q15" i="23" s="1"/>
  <c r="R15" i="23" s="1"/>
  <c r="S15" i="23" s="1"/>
  <c r="T15" i="23" s="1"/>
  <c r="U15" i="23" s="1"/>
  <c r="V15" i="23" s="1"/>
  <c r="W15" i="23" s="1"/>
  <c r="X15" i="23" s="1"/>
  <c r="Y15" i="23" s="1"/>
  <c r="Z15" i="23" s="1"/>
  <c r="G42" i="23"/>
  <c r="H42" i="23" s="1"/>
  <c r="I42" i="23" s="1"/>
  <c r="J42" i="23" s="1"/>
  <c r="K42" i="23" s="1"/>
  <c r="L42" i="23" s="1"/>
  <c r="M42" i="23" s="1"/>
  <c r="N42" i="23" s="1"/>
  <c r="O42" i="23" s="1"/>
  <c r="P42" i="23" s="1"/>
  <c r="Q42" i="23" s="1"/>
  <c r="R42" i="23" s="1"/>
  <c r="S42" i="23" s="1"/>
  <c r="T42" i="23" s="1"/>
  <c r="U42" i="23" s="1"/>
  <c r="V42" i="23" s="1"/>
  <c r="W42" i="23" s="1"/>
  <c r="X42" i="23" s="1"/>
  <c r="Y42" i="23" s="1"/>
  <c r="Z42" i="23" s="1"/>
  <c r="G41" i="23"/>
  <c r="H41" i="23" s="1"/>
  <c r="I41" i="23" s="1"/>
  <c r="J41" i="23" s="1"/>
  <c r="K41" i="23" s="1"/>
  <c r="L41" i="23" s="1"/>
  <c r="M41" i="23" s="1"/>
  <c r="N41" i="23" s="1"/>
  <c r="O41" i="23" s="1"/>
  <c r="P41" i="23" s="1"/>
  <c r="Q41" i="23" s="1"/>
  <c r="R41" i="23" s="1"/>
  <c r="S41" i="23" s="1"/>
  <c r="T41" i="23" s="1"/>
  <c r="U41" i="23" s="1"/>
  <c r="V41" i="23" s="1"/>
  <c r="W41" i="23" s="1"/>
  <c r="X41" i="23" s="1"/>
  <c r="Y41" i="23" s="1"/>
  <c r="Z41" i="23" s="1"/>
  <c r="G37" i="18"/>
  <c r="H37" i="18" s="1"/>
  <c r="I37" i="18" s="1"/>
  <c r="J37" i="18" s="1"/>
  <c r="K37" i="18" s="1"/>
  <c r="L37" i="18" s="1"/>
  <c r="M37" i="18" s="1"/>
  <c r="N37" i="18" s="1"/>
  <c r="O37" i="18" s="1"/>
  <c r="P37" i="18" s="1"/>
  <c r="Q37" i="18" s="1"/>
  <c r="R37" i="18" s="1"/>
  <c r="S37" i="18" s="1"/>
  <c r="T37" i="18" s="1"/>
  <c r="U37" i="18" s="1"/>
  <c r="V37" i="18" s="1"/>
  <c r="W37" i="18" s="1"/>
  <c r="X37" i="18" s="1"/>
  <c r="Y37" i="18" s="1"/>
  <c r="Z37" i="18" s="1"/>
  <c r="G15" i="18"/>
  <c r="H15" i="18" s="1"/>
  <c r="I15" i="18" s="1"/>
  <c r="J15" i="18" s="1"/>
  <c r="K15" i="18" s="1"/>
  <c r="L15" i="18" s="1"/>
  <c r="M15" i="18" s="1"/>
  <c r="N15" i="18" s="1"/>
  <c r="O15" i="18" s="1"/>
  <c r="P15" i="18" s="1"/>
  <c r="Q15" i="18" s="1"/>
  <c r="R15" i="18" s="1"/>
  <c r="S15" i="18" s="1"/>
  <c r="T15" i="18" s="1"/>
  <c r="U15" i="18" s="1"/>
  <c r="V15" i="18" s="1"/>
  <c r="W15" i="18" s="1"/>
  <c r="X15" i="18" s="1"/>
  <c r="Y15" i="18" s="1"/>
  <c r="Z15" i="18" s="1"/>
  <c r="G38" i="18"/>
  <c r="H38" i="18" s="1"/>
  <c r="I38" i="18" s="1"/>
  <c r="J38" i="18" s="1"/>
  <c r="K38" i="18" s="1"/>
  <c r="L38" i="18" s="1"/>
  <c r="M38" i="18" s="1"/>
  <c r="N38" i="18" s="1"/>
  <c r="O38" i="18" s="1"/>
  <c r="P38" i="18" s="1"/>
  <c r="Q38" i="18" s="1"/>
  <c r="R38" i="18" s="1"/>
  <c r="S38" i="18" s="1"/>
  <c r="T38" i="18" s="1"/>
  <c r="U38" i="18" s="1"/>
  <c r="V38" i="18" s="1"/>
  <c r="W38" i="18" s="1"/>
  <c r="X38" i="18" s="1"/>
  <c r="Y38" i="18" s="1"/>
  <c r="Z38" i="18" s="1"/>
  <c r="G14" i="18"/>
  <c r="H14" i="18" s="1"/>
  <c r="I14" i="18" s="1"/>
  <c r="J14" i="18" s="1"/>
  <c r="K14" i="18" s="1"/>
  <c r="L14" i="18" s="1"/>
  <c r="M14" i="18" s="1"/>
  <c r="N14" i="18" s="1"/>
  <c r="O14" i="18" s="1"/>
  <c r="P14" i="18" s="1"/>
  <c r="Q14" i="18" s="1"/>
  <c r="R14" i="18" s="1"/>
  <c r="S14" i="18" s="1"/>
  <c r="T14" i="18" s="1"/>
  <c r="U14" i="18" s="1"/>
  <c r="V14" i="18" s="1"/>
  <c r="W14" i="18" s="1"/>
  <c r="X14" i="18" s="1"/>
  <c r="Y14" i="18" s="1"/>
  <c r="Z14" i="18" s="1"/>
  <c r="G59" i="18"/>
  <c r="H59" i="18" s="1"/>
  <c r="I59" i="18" s="1"/>
  <c r="J59" i="18" s="1"/>
  <c r="K59" i="18" s="1"/>
  <c r="L59" i="18" s="1"/>
  <c r="M59" i="18" s="1"/>
  <c r="N59" i="18" s="1"/>
  <c r="O59" i="18" s="1"/>
  <c r="P59" i="18" s="1"/>
  <c r="Q59" i="18" s="1"/>
  <c r="R59" i="18" s="1"/>
  <c r="S59" i="18" s="1"/>
  <c r="T59" i="18" s="1"/>
  <c r="U59" i="18" s="1"/>
  <c r="V59" i="18" s="1"/>
  <c r="W59" i="18" s="1"/>
  <c r="X59" i="18" s="1"/>
  <c r="Y59" i="18" s="1"/>
  <c r="Z59" i="18" s="1"/>
  <c r="O145" i="1"/>
  <c r="P145" i="1"/>
  <c r="N145" i="1"/>
  <c r="F29" i="1"/>
  <c r="H238" i="22" l="1"/>
  <c r="I238" i="22" s="1"/>
  <c r="J238" i="22" s="1"/>
  <c r="K238" i="22" s="1"/>
  <c r="L238" i="22" s="1"/>
  <c r="M238" i="22" s="1"/>
  <c r="N238" i="22" s="1"/>
  <c r="O238" i="22" s="1"/>
  <c r="P238" i="22" s="1"/>
  <c r="Q238" i="22" s="1"/>
  <c r="R238" i="22" s="1"/>
  <c r="S238" i="22" s="1"/>
  <c r="T238" i="22" s="1"/>
  <c r="U238" i="22" s="1"/>
  <c r="V238" i="22" s="1"/>
  <c r="W238" i="22" s="1"/>
  <c r="X238" i="22" s="1"/>
  <c r="Y238" i="22" s="1"/>
  <c r="Z238" i="22" s="1"/>
  <c r="F39" i="19"/>
  <c r="Q21" i="27"/>
  <c r="G39" i="19"/>
  <c r="S21" i="27"/>
  <c r="H39" i="19"/>
  <c r="U21" i="27"/>
  <c r="I319" i="23"/>
  <c r="J319" i="23" s="1"/>
  <c r="K319" i="23" s="1"/>
  <c r="L319" i="23" s="1"/>
  <c r="M319" i="23" s="1"/>
  <c r="N319" i="23" s="1"/>
  <c r="O319" i="23" s="1"/>
  <c r="P319" i="23" s="1"/>
  <c r="Q319" i="23" s="1"/>
  <c r="R319" i="23" s="1"/>
  <c r="S319" i="23" s="1"/>
  <c r="T319" i="23" s="1"/>
  <c r="U319" i="23" s="1"/>
  <c r="V319" i="23" s="1"/>
  <c r="W319" i="23" s="1"/>
  <c r="X319" i="23" s="1"/>
  <c r="Y319" i="23" s="1"/>
  <c r="Z319" i="23" s="1"/>
  <c r="F305" i="18"/>
  <c r="F306" i="18"/>
  <c r="F350" i="18" s="1"/>
  <c r="C9" i="20"/>
  <c r="B11" i="20" s="1"/>
  <c r="B12" i="20" l="1"/>
  <c r="B13" i="20" l="1"/>
  <c r="I6" i="6"/>
  <c r="H8" i="6"/>
  <c r="I8" i="6"/>
  <c r="W16" i="6"/>
  <c r="X16" i="6"/>
  <c r="W19" i="6"/>
  <c r="X19" i="6"/>
  <c r="W20" i="6"/>
  <c r="X20" i="6"/>
  <c r="W21" i="6"/>
  <c r="X21" i="6"/>
  <c r="W22" i="6"/>
  <c r="X22" i="6"/>
  <c r="W23" i="6"/>
  <c r="X23" i="6"/>
  <c r="G8" i="6"/>
  <c r="V19" i="6"/>
  <c r="V20" i="6"/>
  <c r="V21" i="6"/>
  <c r="V22" i="6"/>
  <c r="V23" i="6"/>
  <c r="J69" i="6"/>
  <c r="J68" i="6"/>
  <c r="J67" i="6"/>
  <c r="J66" i="6"/>
  <c r="J64" i="6"/>
  <c r="R28" i="6"/>
  <c r="H6" i="6"/>
  <c r="CR5" i="5"/>
  <c r="CA3" i="5"/>
  <c r="BW7" i="5"/>
  <c r="BW5" i="5"/>
  <c r="BF3" i="5"/>
  <c r="AK3" i="5"/>
  <c r="G91" i="5"/>
  <c r="G92" i="5"/>
  <c r="G93" i="5"/>
  <c r="G94" i="5"/>
  <c r="G95" i="5"/>
  <c r="G96" i="5"/>
  <c r="H67" i="5"/>
  <c r="G42" i="5"/>
  <c r="G43" i="5"/>
  <c r="B74" i="5"/>
  <c r="B76" i="5"/>
  <c r="B73" i="5"/>
  <c r="Y20" i="6" l="1"/>
  <c r="Y21" i="6"/>
  <c r="CB3" i="5"/>
  <c r="CC3" i="5" s="1"/>
  <c r="Y19" i="6"/>
  <c r="J10" i="6"/>
  <c r="Y16" i="6"/>
  <c r="J8" i="6"/>
  <c r="Y23" i="6"/>
  <c r="Y22" i="6"/>
  <c r="J12" i="6"/>
  <c r="AL3" i="5"/>
  <c r="B14" i="20"/>
  <c r="BG3" i="5"/>
  <c r="F110" i="2" l="1"/>
  <c r="J13" i="6"/>
  <c r="AM3" i="5"/>
  <c r="J7" i="6"/>
  <c r="J6" i="6"/>
  <c r="B15" i="20"/>
  <c r="CD3" i="5"/>
  <c r="BH3" i="5"/>
  <c r="AN3" i="5" l="1"/>
  <c r="B16" i="20"/>
  <c r="BI3" i="5"/>
  <c r="CE3" i="5"/>
  <c r="AO3" i="5" l="1"/>
  <c r="B17" i="20"/>
  <c r="CF3" i="5"/>
  <c r="BJ3" i="5"/>
  <c r="AP3" i="5" l="1"/>
  <c r="B18" i="20"/>
  <c r="BK3" i="5"/>
  <c r="CG3" i="5"/>
  <c r="AQ3" i="5" l="1"/>
  <c r="B19" i="20"/>
  <c r="B20" i="20" s="1"/>
  <c r="B21" i="20" s="1"/>
  <c r="B22" i="20" s="1"/>
  <c r="B23" i="20" s="1"/>
  <c r="B24" i="20" s="1"/>
  <c r="B25" i="20" s="1"/>
  <c r="B26" i="20" s="1"/>
  <c r="B27" i="20" s="1"/>
  <c r="B28" i="20" s="1"/>
  <c r="B29" i="20" s="1"/>
  <c r="B30" i="20" s="1"/>
  <c r="B31" i="20" s="1"/>
  <c r="B32" i="20" s="1"/>
  <c r="B33" i="20" s="1"/>
  <c r="B34" i="20" s="1"/>
  <c r="B35" i="20" s="1"/>
  <c r="B36" i="20" s="1"/>
  <c r="B37" i="20" s="1"/>
  <c r="B38" i="20" s="1"/>
  <c r="B39" i="20" s="1"/>
  <c r="B40" i="20" s="1"/>
  <c r="B41" i="20" s="1"/>
  <c r="B42" i="20" s="1"/>
  <c r="B43" i="20" s="1"/>
  <c r="B44" i="20" s="1"/>
  <c r="B45" i="20" s="1"/>
  <c r="CH3" i="5"/>
  <c r="BL3" i="5"/>
  <c r="AR3" i="5" l="1"/>
  <c r="BM3" i="5"/>
  <c r="CI3" i="5"/>
  <c r="AS3" i="5" l="1"/>
  <c r="CJ3" i="5"/>
  <c r="BN3" i="5"/>
  <c r="AT3" i="5" l="1"/>
  <c r="BO3" i="5"/>
  <c r="CK3" i="5"/>
  <c r="AU3" i="5" l="1"/>
  <c r="CL3" i="5"/>
  <c r="BP3" i="5"/>
  <c r="AV3" i="5" l="1"/>
  <c r="BQ3" i="5"/>
  <c r="CM3" i="5"/>
  <c r="CN3" i="5" l="1"/>
  <c r="AW3" i="5"/>
  <c r="BR3" i="5"/>
  <c r="BS3" i="5" l="1"/>
  <c r="AX3" i="5"/>
  <c r="CO3" i="5"/>
  <c r="B26" i="5"/>
  <c r="B27" i="5"/>
  <c r="B66" i="5"/>
  <c r="B67" i="5"/>
  <c r="B65" i="5"/>
  <c r="B47" i="1"/>
  <c r="AA34" i="1"/>
  <c r="B48" i="1"/>
  <c r="B49" i="1"/>
  <c r="B50" i="1"/>
  <c r="B46" i="1"/>
  <c r="G28" i="5"/>
  <c r="CP3" i="5" l="1"/>
  <c r="CP4" i="5" s="1"/>
  <c r="CP31" i="5" s="1"/>
  <c r="CP37" i="5" s="1"/>
  <c r="CP48" i="5" s="1"/>
  <c r="CO4" i="5"/>
  <c r="CO31" i="5" s="1"/>
  <c r="CO37" i="5" s="1"/>
  <c r="CO48" i="5" s="1"/>
  <c r="AY3" i="5"/>
  <c r="BT3" i="5"/>
  <c r="H9" i="4"/>
  <c r="B64" i="5"/>
  <c r="N3" i="5"/>
  <c r="O3" i="5" l="1"/>
  <c r="BU3" i="5"/>
  <c r="BU4" i="5" s="1"/>
  <c r="BU31" i="5" s="1"/>
  <c r="BU37" i="5" s="1"/>
  <c r="BU48" i="5" s="1"/>
  <c r="BU106" i="5" s="1"/>
  <c r="BT4" i="5"/>
  <c r="BT31" i="5" s="1"/>
  <c r="BT37" i="5" s="1"/>
  <c r="BT48" i="5" s="1"/>
  <c r="BT106" i="5" s="1"/>
  <c r="AZ3" i="5"/>
  <c r="AZ4" i="5" s="1"/>
  <c r="AZ31" i="5" s="1"/>
  <c r="AZ37" i="5" s="1"/>
  <c r="AZ48" i="5" s="1"/>
  <c r="AZ106" i="5" s="1"/>
  <c r="AY4" i="5"/>
  <c r="AY31" i="5" s="1"/>
  <c r="AY37" i="5" s="1"/>
  <c r="AY48" i="5" s="1"/>
  <c r="AY99" i="5" s="1"/>
  <c r="F303" i="18"/>
  <c r="Q41" i="27"/>
  <c r="CP99" i="5"/>
  <c r="CP106" i="5"/>
  <c r="CP72" i="5"/>
  <c r="CP86" i="5"/>
  <c r="CO106" i="5"/>
  <c r="CO86" i="5"/>
  <c r="CO72" i="5"/>
  <c r="CO99" i="5"/>
  <c r="G45" i="5"/>
  <c r="G44" i="5"/>
  <c r="G33" i="5"/>
  <c r="G34" i="5"/>
  <c r="AR46" i="3"/>
  <c r="J32" i="5" s="1"/>
  <c r="AR45" i="3"/>
  <c r="I32" i="5" s="1"/>
  <c r="AR44" i="3"/>
  <c r="G9" i="5"/>
  <c r="B25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11" i="5"/>
  <c r="I4" i="5"/>
  <c r="J4" i="5"/>
  <c r="H4" i="5"/>
  <c r="AG199" i="1"/>
  <c r="AF199" i="1"/>
  <c r="AK72" i="3"/>
  <c r="AE199" i="1"/>
  <c r="G194" i="1"/>
  <c r="H194" i="1"/>
  <c r="F194" i="1"/>
  <c r="AI72" i="3" s="1"/>
  <c r="H191" i="1"/>
  <c r="G191" i="1"/>
  <c r="F191" i="1"/>
  <c r="AE208" i="1"/>
  <c r="AE229" i="1"/>
  <c r="AE230" i="1" s="1"/>
  <c r="AE225" i="1"/>
  <c r="AG222" i="1"/>
  <c r="AF222" i="1"/>
  <c r="AE222" i="1"/>
  <c r="AE191" i="1"/>
  <c r="AE192" i="1" s="1"/>
  <c r="AE187" i="1"/>
  <c r="AE188" i="1" s="1"/>
  <c r="AG177" i="1"/>
  <c r="AF177" i="1"/>
  <c r="AE177" i="1"/>
  <c r="H186" i="1"/>
  <c r="G165" i="1"/>
  <c r="H165" i="1"/>
  <c r="F165" i="1"/>
  <c r="F164" i="1" s="1"/>
  <c r="AI65" i="3"/>
  <c r="G163" i="1"/>
  <c r="H163" i="1"/>
  <c r="F163" i="1"/>
  <c r="AE175" i="1"/>
  <c r="AJ21" i="1"/>
  <c r="BT99" i="5" l="1"/>
  <c r="BT86" i="5"/>
  <c r="BT72" i="5"/>
  <c r="BU72" i="5"/>
  <c r="BU86" i="5"/>
  <c r="AY86" i="5"/>
  <c r="AY72" i="5"/>
  <c r="AY106" i="5"/>
  <c r="AZ72" i="5"/>
  <c r="AZ99" i="5"/>
  <c r="AZ86" i="5"/>
  <c r="CN4" i="5"/>
  <c r="AX4" i="5"/>
  <c r="AX31" i="5" s="1"/>
  <c r="AX37" i="5" s="1"/>
  <c r="AX48" i="5" s="1"/>
  <c r="BS4" i="5"/>
  <c r="CK4" i="5"/>
  <c r="BP4" i="5"/>
  <c r="AU4" i="5"/>
  <c r="AU31" i="5" s="1"/>
  <c r="AU37" i="5" s="1"/>
  <c r="AU48" i="5" s="1"/>
  <c r="BF4" i="5"/>
  <c r="CA4" i="5"/>
  <c r="AK4" i="5"/>
  <c r="AK31" i="5" s="1"/>
  <c r="AK37" i="5" s="1"/>
  <c r="AK48" i="5" s="1"/>
  <c r="CL4" i="5"/>
  <c r="BQ4" i="5"/>
  <c r="AV4" i="5"/>
  <c r="AV31" i="5" s="1"/>
  <c r="AV37" i="5" s="1"/>
  <c r="AV48" i="5" s="1"/>
  <c r="CH4" i="5"/>
  <c r="BM4" i="5"/>
  <c r="AR4" i="5"/>
  <c r="AR31" i="5" s="1"/>
  <c r="AR37" i="5" s="1"/>
  <c r="AR48" i="5" s="1"/>
  <c r="CE4" i="5"/>
  <c r="BJ4" i="5"/>
  <c r="AO4" i="5"/>
  <c r="AO31" i="5" s="1"/>
  <c r="AO37" i="5" s="1"/>
  <c r="AO48" i="5" s="1"/>
  <c r="BU99" i="5"/>
  <c r="CM4" i="5"/>
  <c r="BR4" i="5"/>
  <c r="AW4" i="5"/>
  <c r="AW31" i="5" s="1"/>
  <c r="AW37" i="5" s="1"/>
  <c r="AW48" i="5" s="1"/>
  <c r="CG4" i="5"/>
  <c r="BL4" i="5"/>
  <c r="AQ4" i="5"/>
  <c r="AQ31" i="5" s="1"/>
  <c r="AQ37" i="5" s="1"/>
  <c r="AQ48" i="5" s="1"/>
  <c r="CC4" i="5"/>
  <c r="BH4" i="5"/>
  <c r="AM4" i="5"/>
  <c r="AM31" i="5" s="1"/>
  <c r="AM37" i="5" s="1"/>
  <c r="AM48" i="5" s="1"/>
  <c r="N4" i="5"/>
  <c r="N31" i="5" s="1"/>
  <c r="N37" i="5" s="1"/>
  <c r="N48" i="5" s="1"/>
  <c r="CI4" i="5"/>
  <c r="BN4" i="5"/>
  <c r="AS4" i="5"/>
  <c r="AS31" i="5" s="1"/>
  <c r="AS37" i="5" s="1"/>
  <c r="AS48" i="5" s="1"/>
  <c r="CF4" i="5"/>
  <c r="BK4" i="5"/>
  <c r="AP4" i="5"/>
  <c r="AP31" i="5" s="1"/>
  <c r="AP37" i="5" s="1"/>
  <c r="AP48" i="5" s="1"/>
  <c r="CD4" i="5"/>
  <c r="BI4" i="5"/>
  <c r="AN4" i="5"/>
  <c r="AN31" i="5" s="1"/>
  <c r="AN37" i="5" s="1"/>
  <c r="AN48" i="5" s="1"/>
  <c r="AL4" i="5"/>
  <c r="AL31" i="5" s="1"/>
  <c r="AL37" i="5" s="1"/>
  <c r="AL48" i="5" s="1"/>
  <c r="CB4" i="5"/>
  <c r="BG4" i="5"/>
  <c r="P3" i="5"/>
  <c r="O4" i="5"/>
  <c r="O31" i="5" s="1"/>
  <c r="O37" i="5" s="1"/>
  <c r="O48" i="5" s="1"/>
  <c r="AT4" i="5"/>
  <c r="BO4" i="5" s="1"/>
  <c r="CJ4" i="5" s="1"/>
  <c r="W4" i="5"/>
  <c r="W31" i="5" s="1"/>
  <c r="W37" i="5" s="1"/>
  <c r="W48" i="5" s="1"/>
  <c r="F347" i="18"/>
  <c r="L89" i="2"/>
  <c r="M89" i="2"/>
  <c r="N89" i="2"/>
  <c r="F89" i="2"/>
  <c r="H89" i="2"/>
  <c r="J89" i="2"/>
  <c r="K89" i="2"/>
  <c r="I89" i="2"/>
  <c r="G89" i="2"/>
  <c r="E89" i="2"/>
  <c r="AI75" i="3"/>
  <c r="AI74" i="3"/>
  <c r="AK73" i="3"/>
  <c r="AK74" i="3"/>
  <c r="AK75" i="3"/>
  <c r="BZ4" i="5"/>
  <c r="AJ4" i="5"/>
  <c r="BE4" i="5"/>
  <c r="M4" i="5"/>
  <c r="AI7" i="5"/>
  <c r="BY7" i="5"/>
  <c r="BD7" i="5"/>
  <c r="BD6" i="5"/>
  <c r="AI6" i="5"/>
  <c r="BY6" i="5"/>
  <c r="BD5" i="5"/>
  <c r="BY5" i="5"/>
  <c r="AI5" i="5"/>
  <c r="F173" i="1"/>
  <c r="AR47" i="3"/>
  <c r="AR48" i="3" s="1"/>
  <c r="H99" i="5"/>
  <c r="H106" i="5"/>
  <c r="H86" i="5"/>
  <c r="J99" i="5"/>
  <c r="J86" i="5"/>
  <c r="J106" i="5"/>
  <c r="I99" i="5"/>
  <c r="I86" i="5"/>
  <c r="I106" i="5"/>
  <c r="J35" i="5"/>
  <c r="O5" i="1" s="1"/>
  <c r="AJ22" i="1"/>
  <c r="L5" i="5"/>
  <c r="H72" i="5"/>
  <c r="J31" i="5"/>
  <c r="J72" i="5"/>
  <c r="I31" i="5"/>
  <c r="I72" i="5"/>
  <c r="F176" i="1"/>
  <c r="H188" i="1"/>
  <c r="I35" i="5"/>
  <c r="N5" i="1" s="1"/>
  <c r="G38" i="5"/>
  <c r="G39" i="5"/>
  <c r="G40" i="5"/>
  <c r="G41" i="5"/>
  <c r="H31" i="5"/>
  <c r="J46" i="5"/>
  <c r="O6" i="1" s="1"/>
  <c r="H37" i="5"/>
  <c r="I46" i="5"/>
  <c r="N6" i="1" s="1"/>
  <c r="H46" i="5"/>
  <c r="M6" i="1" s="1"/>
  <c r="H32" i="5"/>
  <c r="I37" i="5"/>
  <c r="J37" i="5"/>
  <c r="H48" i="5"/>
  <c r="I48" i="5"/>
  <c r="J48" i="5"/>
  <c r="L6" i="5"/>
  <c r="L7" i="5"/>
  <c r="AE176" i="1"/>
  <c r="Q3" i="5" l="1"/>
  <c r="P4" i="5"/>
  <c r="P31" i="5" s="1"/>
  <c r="P37" i="5" s="1"/>
  <c r="P48" i="5" s="1"/>
  <c r="P72" i="5" s="1"/>
  <c r="AT31" i="5"/>
  <c r="AT37" i="5" s="1"/>
  <c r="AT48" i="5" s="1"/>
  <c r="AT106" i="5" s="1"/>
  <c r="AN72" i="5"/>
  <c r="AN86" i="5"/>
  <c r="AN99" i="5"/>
  <c r="AN106" i="5"/>
  <c r="AK72" i="5"/>
  <c r="AK86" i="5"/>
  <c r="AK99" i="5"/>
  <c r="AK106" i="5"/>
  <c r="AV99" i="5"/>
  <c r="AV106" i="5"/>
  <c r="AV72" i="5"/>
  <c r="AV86" i="5"/>
  <c r="AX106" i="5"/>
  <c r="AX72" i="5"/>
  <c r="AX99" i="5"/>
  <c r="AX86" i="5"/>
  <c r="AQ99" i="5"/>
  <c r="AQ106" i="5"/>
  <c r="AQ86" i="5"/>
  <c r="AQ72" i="5"/>
  <c r="AW106" i="5"/>
  <c r="AW72" i="5"/>
  <c r="AW86" i="5"/>
  <c r="AW99" i="5"/>
  <c r="AR86" i="5"/>
  <c r="AR99" i="5"/>
  <c r="AR106" i="5"/>
  <c r="AR72" i="5"/>
  <c r="AM106" i="5"/>
  <c r="AM72" i="5"/>
  <c r="AM86" i="5"/>
  <c r="AM99" i="5"/>
  <c r="AL86" i="5"/>
  <c r="AL99" i="5"/>
  <c r="AL106" i="5"/>
  <c r="AL72" i="5"/>
  <c r="AO106" i="5"/>
  <c r="AO72" i="5"/>
  <c r="AO86" i="5"/>
  <c r="AO99" i="5"/>
  <c r="AS72" i="5"/>
  <c r="AS99" i="5"/>
  <c r="AS106" i="5"/>
  <c r="AS86" i="5"/>
  <c r="AU86" i="5"/>
  <c r="AU72" i="5"/>
  <c r="AU99" i="5"/>
  <c r="AU106" i="5"/>
  <c r="AP106" i="5"/>
  <c r="AP72" i="5"/>
  <c r="AP86" i="5"/>
  <c r="AP99" i="5"/>
  <c r="M31" i="5"/>
  <c r="M37" i="5" s="1"/>
  <c r="M48" i="5" s="1"/>
  <c r="M86" i="5" s="1"/>
  <c r="O99" i="5"/>
  <c r="O106" i="5"/>
  <c r="W99" i="5"/>
  <c r="W106" i="5"/>
  <c r="N99" i="5"/>
  <c r="N106" i="5"/>
  <c r="O86" i="5"/>
  <c r="W86" i="5"/>
  <c r="N72" i="5"/>
  <c r="N86" i="5"/>
  <c r="J30" i="4"/>
  <c r="U58" i="27" s="1"/>
  <c r="J8" i="4"/>
  <c r="U40" i="27" s="1"/>
  <c r="I30" i="4"/>
  <c r="S58" i="27" s="1"/>
  <c r="I8" i="4"/>
  <c r="S40" i="27" s="1"/>
  <c r="H30" i="4"/>
  <c r="Q58" i="27" s="1"/>
  <c r="H8" i="4"/>
  <c r="Q40" i="27" s="1"/>
  <c r="T11" i="20"/>
  <c r="I29" i="4"/>
  <c r="S57" i="27" s="1"/>
  <c r="I7" i="4"/>
  <c r="S39" i="27" s="1"/>
  <c r="AJ11" i="20"/>
  <c r="J29" i="4"/>
  <c r="U57" i="27" s="1"/>
  <c r="J7" i="4"/>
  <c r="U39" i="27" s="1"/>
  <c r="O72" i="5"/>
  <c r="W72" i="5"/>
  <c r="BZ31" i="5"/>
  <c r="BZ37" i="5" s="1"/>
  <c r="BZ48" i="5" s="1"/>
  <c r="CE31" i="5"/>
  <c r="CE37" i="5" s="1"/>
  <c r="CE48" i="5" s="1"/>
  <c r="BM31" i="5"/>
  <c r="BM37" i="5" s="1"/>
  <c r="BM48" i="5" s="1"/>
  <c r="BP31" i="5"/>
  <c r="BP37" i="5" s="1"/>
  <c r="BP48" i="5" s="1"/>
  <c r="BH31" i="5"/>
  <c r="BH37" i="5" s="1"/>
  <c r="BH48" i="5" s="1"/>
  <c r="CH31" i="5"/>
  <c r="CH37" i="5" s="1"/>
  <c r="CH48" i="5" s="1"/>
  <c r="BN31" i="5"/>
  <c r="BN37" i="5" s="1"/>
  <c r="BN48" i="5" s="1"/>
  <c r="CK31" i="5"/>
  <c r="CK37" i="5" s="1"/>
  <c r="CK48" i="5" s="1"/>
  <c r="CC31" i="5"/>
  <c r="CC37" i="5" s="1"/>
  <c r="CC48" i="5" s="1"/>
  <c r="BL31" i="5"/>
  <c r="BL37" i="5" s="1"/>
  <c r="BL48" i="5" s="1"/>
  <c r="CI31" i="5"/>
  <c r="CI37" i="5" s="1"/>
  <c r="CI48" i="5" s="1"/>
  <c r="BO31" i="5"/>
  <c r="BO37" i="5" s="1"/>
  <c r="BO48" i="5" s="1"/>
  <c r="CG31" i="5"/>
  <c r="CG37" i="5" s="1"/>
  <c r="CG48" i="5" s="1"/>
  <c r="CJ31" i="5"/>
  <c r="CJ37" i="5" s="1"/>
  <c r="CJ48" i="5" s="1"/>
  <c r="BI31" i="5"/>
  <c r="BI37" i="5" s="1"/>
  <c r="BI48" i="5" s="1"/>
  <c r="BF31" i="5"/>
  <c r="BF37" i="5" s="1"/>
  <c r="BF48" i="5" s="1"/>
  <c r="BG31" i="5"/>
  <c r="BG37" i="5" s="1"/>
  <c r="BG48" i="5" s="1"/>
  <c r="CD31" i="5"/>
  <c r="CD37" i="5" s="1"/>
  <c r="CD48" i="5" s="1"/>
  <c r="CB31" i="5"/>
  <c r="CB37" i="5" s="1"/>
  <c r="CB48" i="5" s="1"/>
  <c r="BK31" i="5"/>
  <c r="BK37" i="5" s="1"/>
  <c r="BK48" i="5" s="1"/>
  <c r="BQ31" i="5"/>
  <c r="BQ37" i="5" s="1"/>
  <c r="BQ48" i="5" s="1"/>
  <c r="CF31" i="5"/>
  <c r="CF37" i="5" s="1"/>
  <c r="CF48" i="5" s="1"/>
  <c r="CL31" i="5"/>
  <c r="CL37" i="5" s="1"/>
  <c r="CL48" i="5" s="1"/>
  <c r="BR31" i="5"/>
  <c r="BR37" i="5" s="1"/>
  <c r="BR48" i="5" s="1"/>
  <c r="BS31" i="5"/>
  <c r="BS37" i="5" s="1"/>
  <c r="BS48" i="5" s="1"/>
  <c r="CA31" i="5"/>
  <c r="CA37" i="5" s="1"/>
  <c r="CA48" i="5" s="1"/>
  <c r="CM31" i="5"/>
  <c r="CM37" i="5" s="1"/>
  <c r="CM48" i="5" s="1"/>
  <c r="AJ31" i="5"/>
  <c r="AJ37" i="5" s="1"/>
  <c r="AJ48" i="5" s="1"/>
  <c r="CN31" i="5"/>
  <c r="CN37" i="5" s="1"/>
  <c r="CN48" i="5" s="1"/>
  <c r="BE31" i="5"/>
  <c r="BE37" i="5" s="1"/>
  <c r="BE48" i="5" s="1"/>
  <c r="BJ31" i="5"/>
  <c r="BJ37" i="5" s="1"/>
  <c r="BJ48" i="5" s="1"/>
  <c r="AJ23" i="1"/>
  <c r="G46" i="5"/>
  <c r="L6" i="1" s="1"/>
  <c r="H35" i="5"/>
  <c r="G32" i="5"/>
  <c r="F112" i="2" s="1"/>
  <c r="P99" i="5" l="1"/>
  <c r="P106" i="5"/>
  <c r="P86" i="5"/>
  <c r="R3" i="5"/>
  <c r="Q4" i="5"/>
  <c r="Q31" i="5" s="1"/>
  <c r="Q37" i="5" s="1"/>
  <c r="Q48" i="5" s="1"/>
  <c r="AT86" i="5"/>
  <c r="AT99" i="5"/>
  <c r="AT72" i="5"/>
  <c r="P40" i="27"/>
  <c r="P58" i="27"/>
  <c r="M99" i="5"/>
  <c r="M106" i="5"/>
  <c r="M72" i="5"/>
  <c r="D11" i="20"/>
  <c r="L11" i="20" s="1"/>
  <c r="M5" i="1"/>
  <c r="AB11" i="20"/>
  <c r="T12" i="20"/>
  <c r="T13" i="20" s="1"/>
  <c r="T14" i="20" s="1"/>
  <c r="T15" i="20" s="1"/>
  <c r="AR11" i="20"/>
  <c r="AJ12" i="20"/>
  <c r="AJ13" i="20" s="1"/>
  <c r="T30" i="4"/>
  <c r="U76" i="27" s="1"/>
  <c r="J40" i="4"/>
  <c r="S30" i="4"/>
  <c r="S76" i="27" s="1"/>
  <c r="I40" i="4"/>
  <c r="F302" i="18"/>
  <c r="D41" i="2" s="1"/>
  <c r="G8" i="4"/>
  <c r="R30" i="4"/>
  <c r="Q76" i="27" s="1"/>
  <c r="H40" i="4"/>
  <c r="G30" i="4"/>
  <c r="T29" i="4"/>
  <c r="U75" i="27" s="1"/>
  <c r="J39" i="4"/>
  <c r="S29" i="4"/>
  <c r="S75" i="27" s="1"/>
  <c r="I39" i="4"/>
  <c r="H29" i="4"/>
  <c r="Q57" i="27" s="1"/>
  <c r="P57" i="27" s="1"/>
  <c r="H7" i="4"/>
  <c r="Q39" i="27" s="1"/>
  <c r="P39" i="27" s="1"/>
  <c r="BJ86" i="5"/>
  <c r="BJ106" i="5"/>
  <c r="BJ72" i="5"/>
  <c r="BJ99" i="5"/>
  <c r="BO106" i="5"/>
  <c r="BO99" i="5"/>
  <c r="BO86" i="5"/>
  <c r="BO72" i="5"/>
  <c r="BE106" i="5"/>
  <c r="BE72" i="5"/>
  <c r="BE99" i="5"/>
  <c r="BE86" i="5"/>
  <c r="BF72" i="5"/>
  <c r="BF99" i="5"/>
  <c r="BF86" i="5"/>
  <c r="BF106" i="5"/>
  <c r="BI106" i="5"/>
  <c r="BI86" i="5"/>
  <c r="BI99" i="5"/>
  <c r="BI72" i="5"/>
  <c r="BN106" i="5"/>
  <c r="BN99" i="5"/>
  <c r="BN86" i="5"/>
  <c r="BN72" i="5"/>
  <c r="AJ106" i="5"/>
  <c r="AJ99" i="5"/>
  <c r="AJ86" i="5"/>
  <c r="AJ72" i="5"/>
  <c r="BQ106" i="5"/>
  <c r="BQ86" i="5"/>
  <c r="BQ99" i="5"/>
  <c r="BQ72" i="5"/>
  <c r="CJ99" i="5"/>
  <c r="CJ106" i="5"/>
  <c r="CJ86" i="5"/>
  <c r="CJ72" i="5"/>
  <c r="CI106" i="5"/>
  <c r="CI86" i="5"/>
  <c r="CI99" i="5"/>
  <c r="CI72" i="5"/>
  <c r="CH106" i="5"/>
  <c r="CH99" i="5"/>
  <c r="CH86" i="5"/>
  <c r="CH72" i="5"/>
  <c r="BG72" i="5"/>
  <c r="BG106" i="5"/>
  <c r="BG99" i="5"/>
  <c r="BG86" i="5"/>
  <c r="CN106" i="5"/>
  <c r="CN99" i="5"/>
  <c r="CN86" i="5"/>
  <c r="CN72" i="5"/>
  <c r="CM106" i="5"/>
  <c r="CM99" i="5"/>
  <c r="CM86" i="5"/>
  <c r="CM72" i="5"/>
  <c r="BR106" i="5"/>
  <c r="BR72" i="5"/>
  <c r="BR86" i="5"/>
  <c r="BR99" i="5"/>
  <c r="BK99" i="5"/>
  <c r="BK86" i="5"/>
  <c r="BK72" i="5"/>
  <c r="BK106" i="5"/>
  <c r="BH106" i="5"/>
  <c r="BH99" i="5"/>
  <c r="BH86" i="5"/>
  <c r="BH72" i="5"/>
  <c r="CB106" i="5"/>
  <c r="CB99" i="5"/>
  <c r="CB86" i="5"/>
  <c r="CB72" i="5"/>
  <c r="BP106" i="5"/>
  <c r="BP99" i="5"/>
  <c r="BP86" i="5"/>
  <c r="BP72" i="5"/>
  <c r="CG72" i="5"/>
  <c r="CG99" i="5"/>
  <c r="CG106" i="5"/>
  <c r="CG86" i="5"/>
  <c r="BL99" i="5"/>
  <c r="BL106" i="5"/>
  <c r="BL72" i="5"/>
  <c r="BL86" i="5"/>
  <c r="CL72" i="5"/>
  <c r="CL99" i="5"/>
  <c r="CL106" i="5"/>
  <c r="CL86" i="5"/>
  <c r="CE72" i="5"/>
  <c r="CE99" i="5"/>
  <c r="CE106" i="5"/>
  <c r="CE86" i="5"/>
  <c r="CK106" i="5"/>
  <c r="CK99" i="5"/>
  <c r="CK86" i="5"/>
  <c r="CK72" i="5"/>
  <c r="CA106" i="5"/>
  <c r="CA99" i="5"/>
  <c r="CA86" i="5"/>
  <c r="CA72" i="5"/>
  <c r="CD72" i="5"/>
  <c r="CD106" i="5"/>
  <c r="CD86" i="5"/>
  <c r="CD99" i="5"/>
  <c r="CC106" i="5"/>
  <c r="CC86" i="5"/>
  <c r="CC72" i="5"/>
  <c r="CC99" i="5"/>
  <c r="BM99" i="5"/>
  <c r="BM72" i="5"/>
  <c r="BM86" i="5"/>
  <c r="BM106" i="5"/>
  <c r="BZ106" i="5"/>
  <c r="BZ86" i="5"/>
  <c r="BZ99" i="5"/>
  <c r="BZ72" i="5"/>
  <c r="BS72" i="5"/>
  <c r="BS106" i="5"/>
  <c r="BS99" i="5"/>
  <c r="BS86" i="5"/>
  <c r="CF99" i="5"/>
  <c r="CF72" i="5"/>
  <c r="CF106" i="5"/>
  <c r="CF86" i="5"/>
  <c r="AJ24" i="1"/>
  <c r="G35" i="5"/>
  <c r="L5" i="1" s="1"/>
  <c r="Q99" i="5" l="1"/>
  <c r="Q106" i="5"/>
  <c r="Q86" i="5"/>
  <c r="Q72" i="5"/>
  <c r="S3" i="5"/>
  <c r="R4" i="5"/>
  <c r="R31" i="5" s="1"/>
  <c r="R37" i="5" s="1"/>
  <c r="R48" i="5" s="1"/>
  <c r="P76" i="27"/>
  <c r="D39" i="20"/>
  <c r="L39" i="20" s="1"/>
  <c r="AB14" i="20"/>
  <c r="AB13" i="20"/>
  <c r="D19" i="20"/>
  <c r="L19" i="20" s="1"/>
  <c r="D17" i="20"/>
  <c r="L17" i="20" s="1"/>
  <c r="D16" i="20"/>
  <c r="L16" i="20" s="1"/>
  <c r="D25" i="20"/>
  <c r="L25" i="20" s="1"/>
  <c r="D40" i="20"/>
  <c r="L40" i="20" s="1"/>
  <c r="D36" i="20"/>
  <c r="L36" i="20" s="1"/>
  <c r="D45" i="20"/>
  <c r="L45" i="20" s="1"/>
  <c r="D26" i="20"/>
  <c r="L26" i="20" s="1"/>
  <c r="D35" i="20"/>
  <c r="L35" i="20" s="1"/>
  <c r="D20" i="20"/>
  <c r="L20" i="20" s="1"/>
  <c r="D18" i="20"/>
  <c r="L18" i="20" s="1"/>
  <c r="D12" i="20"/>
  <c r="L12" i="20" s="1"/>
  <c r="D38" i="20"/>
  <c r="L38" i="20" s="1"/>
  <c r="D32" i="20"/>
  <c r="L32" i="20" s="1"/>
  <c r="D43" i="20"/>
  <c r="L43" i="20" s="1"/>
  <c r="D13" i="20"/>
  <c r="L13" i="20" s="1"/>
  <c r="D15" i="20"/>
  <c r="L15" i="20" s="1"/>
  <c r="D27" i="20"/>
  <c r="L27" i="20" s="1"/>
  <c r="D33" i="20"/>
  <c r="L33" i="20" s="1"/>
  <c r="D42" i="20"/>
  <c r="L42" i="20" s="1"/>
  <c r="D28" i="20"/>
  <c r="L28" i="20" s="1"/>
  <c r="D21" i="20"/>
  <c r="L21" i="20" s="1"/>
  <c r="D41" i="20"/>
  <c r="L41" i="20" s="1"/>
  <c r="D37" i="20"/>
  <c r="L37" i="20" s="1"/>
  <c r="D14" i="20"/>
  <c r="L14" i="20" s="1"/>
  <c r="D30" i="20"/>
  <c r="L30" i="20" s="1"/>
  <c r="D31" i="20"/>
  <c r="L31" i="20" s="1"/>
  <c r="D24" i="20"/>
  <c r="L24" i="20" s="1"/>
  <c r="D22" i="20"/>
  <c r="L22" i="20" s="1"/>
  <c r="D34" i="20"/>
  <c r="L34" i="20" s="1"/>
  <c r="D44" i="20"/>
  <c r="L44" i="20" s="1"/>
  <c r="D29" i="20"/>
  <c r="L29" i="20" s="1"/>
  <c r="D23" i="20"/>
  <c r="L23" i="20" s="1"/>
  <c r="Q30" i="4"/>
  <c r="AB12" i="20"/>
  <c r="AR12" i="20"/>
  <c r="AR13" i="20"/>
  <c r="AJ14" i="20"/>
  <c r="T16" i="20"/>
  <c r="AB15" i="20"/>
  <c r="G40" i="4"/>
  <c r="F346" i="18"/>
  <c r="G7" i="4"/>
  <c r="F301" i="18"/>
  <c r="R29" i="4"/>
  <c r="H39" i="4"/>
  <c r="G29" i="4"/>
  <c r="AJ25" i="1"/>
  <c r="BI33" i="3"/>
  <c r="BH33" i="3"/>
  <c r="BE191" i="3"/>
  <c r="BE192" i="3"/>
  <c r="BE184" i="3"/>
  <c r="BE185" i="3"/>
  <c r="BE177" i="3"/>
  <c r="BE178" i="3"/>
  <c r="BE170" i="3"/>
  <c r="BE171" i="3"/>
  <c r="BE190" i="3"/>
  <c r="BE183" i="3"/>
  <c r="BE176" i="3"/>
  <c r="BE169" i="3"/>
  <c r="AH60" i="3"/>
  <c r="AH61" i="3"/>
  <c r="AH59" i="3"/>
  <c r="AH53" i="3"/>
  <c r="AH54" i="3"/>
  <c r="AH52" i="3"/>
  <c r="R99" i="5" l="1"/>
  <c r="R106" i="5"/>
  <c r="R72" i="5"/>
  <c r="R86" i="5"/>
  <c r="T3" i="5"/>
  <c r="S4" i="5"/>
  <c r="S31" i="5" s="1"/>
  <c r="S37" i="5" s="1"/>
  <c r="S48" i="5" s="1"/>
  <c r="Q29" i="4"/>
  <c r="Q75" i="27"/>
  <c r="P75" i="27" s="1"/>
  <c r="F345" i="18"/>
  <c r="D40" i="2"/>
  <c r="T17" i="20"/>
  <c r="AB16" i="20"/>
  <c r="AJ15" i="20"/>
  <c r="AR14" i="20"/>
  <c r="G39" i="4"/>
  <c r="AJ26" i="1"/>
  <c r="BF230" i="3"/>
  <c r="BG230" i="3"/>
  <c r="BH230" i="3"/>
  <c r="BI230" i="3"/>
  <c r="BJ230" i="3"/>
  <c r="BK230" i="3"/>
  <c r="BL230" i="3"/>
  <c r="BO230" i="3"/>
  <c r="BP230" i="3"/>
  <c r="BQ230" i="3"/>
  <c r="BR230" i="3"/>
  <c r="BS230" i="3"/>
  <c r="BF231" i="3"/>
  <c r="BG231" i="3"/>
  <c r="BH231" i="3"/>
  <c r="BI231" i="3"/>
  <c r="BJ231" i="3"/>
  <c r="BK231" i="3"/>
  <c r="BL231" i="3"/>
  <c r="BO231" i="3"/>
  <c r="BP231" i="3"/>
  <c r="BQ231" i="3"/>
  <c r="BR231" i="3"/>
  <c r="BS231" i="3"/>
  <c r="BF232" i="3"/>
  <c r="BG232" i="3"/>
  <c r="BH232" i="3"/>
  <c r="BI232" i="3"/>
  <c r="BJ232" i="3"/>
  <c r="BK232" i="3"/>
  <c r="BL232" i="3"/>
  <c r="BO232" i="3"/>
  <c r="BP232" i="3"/>
  <c r="BQ232" i="3"/>
  <c r="BR232" i="3"/>
  <c r="BS232" i="3"/>
  <c r="BF233" i="3"/>
  <c r="BG233" i="3"/>
  <c r="BH233" i="3"/>
  <c r="BI233" i="3"/>
  <c r="BJ233" i="3"/>
  <c r="BK233" i="3"/>
  <c r="BL233" i="3"/>
  <c r="BO233" i="3"/>
  <c r="BP233" i="3"/>
  <c r="BQ233" i="3"/>
  <c r="BR233" i="3"/>
  <c r="BS233" i="3"/>
  <c r="BF234" i="3"/>
  <c r="BG234" i="3"/>
  <c r="BH234" i="3"/>
  <c r="BI234" i="3"/>
  <c r="BJ234" i="3"/>
  <c r="BK234" i="3"/>
  <c r="BL234" i="3"/>
  <c r="BO234" i="3"/>
  <c r="BP234" i="3"/>
  <c r="BQ234" i="3"/>
  <c r="BR234" i="3"/>
  <c r="BS234" i="3"/>
  <c r="BF235" i="3"/>
  <c r="BG235" i="3"/>
  <c r="BH235" i="3"/>
  <c r="BI235" i="3"/>
  <c r="BJ235" i="3"/>
  <c r="BK235" i="3"/>
  <c r="BL235" i="3"/>
  <c r="BO235" i="3"/>
  <c r="BP235" i="3"/>
  <c r="BQ235" i="3"/>
  <c r="BR235" i="3"/>
  <c r="BS235" i="3"/>
  <c r="BF236" i="3"/>
  <c r="BG236" i="3"/>
  <c r="BH236" i="3"/>
  <c r="BI236" i="3"/>
  <c r="BJ236" i="3"/>
  <c r="BK236" i="3"/>
  <c r="BL236" i="3"/>
  <c r="BO236" i="3"/>
  <c r="BP236" i="3"/>
  <c r="BQ236" i="3"/>
  <c r="BR236" i="3"/>
  <c r="BS236" i="3"/>
  <c r="BF237" i="3"/>
  <c r="BG237" i="3"/>
  <c r="BH237" i="3"/>
  <c r="BI237" i="3"/>
  <c r="BJ237" i="3"/>
  <c r="BK237" i="3"/>
  <c r="BL237" i="3"/>
  <c r="BO237" i="3"/>
  <c r="BP237" i="3"/>
  <c r="BQ237" i="3"/>
  <c r="BR237" i="3"/>
  <c r="BS237" i="3"/>
  <c r="BF238" i="3"/>
  <c r="BG238" i="3"/>
  <c r="BH238" i="3"/>
  <c r="BI238" i="3"/>
  <c r="BJ238" i="3"/>
  <c r="BK238" i="3"/>
  <c r="BL238" i="3"/>
  <c r="BO238" i="3"/>
  <c r="BP238" i="3"/>
  <c r="BQ238" i="3"/>
  <c r="BR238" i="3"/>
  <c r="BS238" i="3"/>
  <c r="BF239" i="3"/>
  <c r="BG239" i="3"/>
  <c r="BH239" i="3"/>
  <c r="BI239" i="3"/>
  <c r="BJ239" i="3"/>
  <c r="BK239" i="3"/>
  <c r="BL239" i="3"/>
  <c r="BO239" i="3"/>
  <c r="BP239" i="3"/>
  <c r="BQ239" i="3"/>
  <c r="BR239" i="3"/>
  <c r="BS239" i="3"/>
  <c r="BE230" i="3"/>
  <c r="BE231" i="3"/>
  <c r="BE232" i="3"/>
  <c r="BE233" i="3"/>
  <c r="BE234" i="3"/>
  <c r="BE235" i="3"/>
  <c r="BE236" i="3"/>
  <c r="BE237" i="3"/>
  <c r="BE238" i="3"/>
  <c r="BE239" i="3"/>
  <c r="S86" i="5" l="1"/>
  <c r="S106" i="5"/>
  <c r="S99" i="5"/>
  <c r="S72" i="5"/>
  <c r="U3" i="5"/>
  <c r="T4" i="5"/>
  <c r="T31" i="5" s="1"/>
  <c r="T37" i="5" s="1"/>
  <c r="T48" i="5" s="1"/>
  <c r="AJ16" i="20"/>
  <c r="AR15" i="20"/>
  <c r="T18" i="20"/>
  <c r="AB17" i="20"/>
  <c r="AJ27" i="1"/>
  <c r="BO182" i="3"/>
  <c r="BO188" i="3"/>
  <c r="BM188" i="3"/>
  <c r="BK188" i="3"/>
  <c r="BI188" i="3"/>
  <c r="BG188" i="3"/>
  <c r="BG182" i="3"/>
  <c r="AD112" i="1"/>
  <c r="AE112" i="1" s="1"/>
  <c r="AE113" i="1" s="1"/>
  <c r="AD107" i="1"/>
  <c r="AD103" i="1"/>
  <c r="AG103" i="1" s="1"/>
  <c r="AD98" i="1"/>
  <c r="AD94" i="1"/>
  <c r="AG94" i="1" s="1"/>
  <c r="AG142" i="1"/>
  <c r="AG137" i="1"/>
  <c r="AE137" i="1"/>
  <c r="AE138" i="1" s="1"/>
  <c r="AG133" i="1"/>
  <c r="AG128" i="1"/>
  <c r="AF128" i="1"/>
  <c r="AG121" i="1"/>
  <c r="AF121" i="1"/>
  <c r="AE121" i="1"/>
  <c r="AF47" i="1"/>
  <c r="BI175" i="3"/>
  <c r="AD39" i="1"/>
  <c r="AG91" i="1"/>
  <c r="AF91" i="1"/>
  <c r="AE91" i="1"/>
  <c r="AG82" i="1"/>
  <c r="AF82" i="1"/>
  <c r="AE82" i="1"/>
  <c r="AE83" i="1" s="1"/>
  <c r="AG78" i="1"/>
  <c r="AF78" i="1"/>
  <c r="AE78" i="1"/>
  <c r="AE79" i="1" s="1"/>
  <c r="AG74" i="1"/>
  <c r="AF74" i="1"/>
  <c r="AE74" i="1"/>
  <c r="AE75" i="1" s="1"/>
  <c r="AG70" i="1"/>
  <c r="AF70" i="1"/>
  <c r="AE70" i="1"/>
  <c r="AG66" i="1"/>
  <c r="AF66" i="1"/>
  <c r="AE66" i="1"/>
  <c r="AE67" i="1" s="1"/>
  <c r="AG64" i="1"/>
  <c r="AF64" i="1"/>
  <c r="AE64" i="1"/>
  <c r="AG37" i="1"/>
  <c r="AF37" i="1"/>
  <c r="AE37" i="1"/>
  <c r="AW58" i="3"/>
  <c r="AP58" i="3"/>
  <c r="AN58" i="3"/>
  <c r="AL58" i="3"/>
  <c r="AJ58" i="3"/>
  <c r="AW51" i="3"/>
  <c r="AP51" i="3"/>
  <c r="AN51" i="3"/>
  <c r="AL51" i="3"/>
  <c r="AJ51" i="3"/>
  <c r="AA44" i="3"/>
  <c r="AA43" i="3"/>
  <c r="BH20" i="3"/>
  <c r="BI20" i="3"/>
  <c r="BJ20" i="3"/>
  <c r="AL19" i="3"/>
  <c r="AM19" i="3"/>
  <c r="AN19" i="3"/>
  <c r="AP19" i="3"/>
  <c r="BU19" i="3"/>
  <c r="BV19" i="3"/>
  <c r="AF228" i="1" s="1"/>
  <c r="H56" i="27" s="1"/>
  <c r="F56" i="27" s="1"/>
  <c r="BH21" i="3"/>
  <c r="BI21" i="3"/>
  <c r="BJ21" i="3"/>
  <c r="BK21" i="3"/>
  <c r="AN20" i="3"/>
  <c r="AO20" i="3"/>
  <c r="AP20" i="3"/>
  <c r="BU20" i="3"/>
  <c r="BV20" i="3"/>
  <c r="BH22" i="3"/>
  <c r="BI22" i="3"/>
  <c r="BJ22" i="3"/>
  <c r="BK22" i="3"/>
  <c r="AL21" i="3"/>
  <c r="AM21" i="3"/>
  <c r="AN21" i="3"/>
  <c r="AO21" i="3"/>
  <c r="AP21" i="3"/>
  <c r="BU21" i="3"/>
  <c r="BV21" i="3"/>
  <c r="BH23" i="3"/>
  <c r="BI23" i="3"/>
  <c r="BJ23" i="3"/>
  <c r="BK23" i="3"/>
  <c r="AL22" i="3"/>
  <c r="AM22" i="3"/>
  <c r="AN22" i="3"/>
  <c r="AO22" i="3"/>
  <c r="AP22" i="3"/>
  <c r="BU22" i="3"/>
  <c r="BV22" i="3"/>
  <c r="BH24" i="3"/>
  <c r="BI24" i="3"/>
  <c r="BJ24" i="3"/>
  <c r="BK24" i="3"/>
  <c r="AL23" i="3"/>
  <c r="AM23" i="3"/>
  <c r="AO23" i="3"/>
  <c r="AP23" i="3"/>
  <c r="BV23" i="3"/>
  <c r="AE207" i="1" s="1"/>
  <c r="BH25" i="3"/>
  <c r="BI25" i="3"/>
  <c r="BJ25" i="3"/>
  <c r="BK25" i="3"/>
  <c r="AL24" i="3"/>
  <c r="AM24" i="3"/>
  <c r="AO24" i="3"/>
  <c r="AP24" i="3"/>
  <c r="BU24" i="3"/>
  <c r="BV24" i="3"/>
  <c r="BH26" i="3"/>
  <c r="BI26" i="3"/>
  <c r="BJ26" i="3"/>
  <c r="BK26" i="3"/>
  <c r="AL25" i="3"/>
  <c r="AM25" i="3"/>
  <c r="AO25" i="3"/>
  <c r="AP25" i="3"/>
  <c r="BU25" i="3"/>
  <c r="BV25" i="3"/>
  <c r="BH27" i="3"/>
  <c r="BI27" i="3"/>
  <c r="BJ27" i="3"/>
  <c r="BK27" i="3"/>
  <c r="AL26" i="3"/>
  <c r="AM26" i="3"/>
  <c r="AO26" i="3"/>
  <c r="AP26" i="3"/>
  <c r="BU26" i="3"/>
  <c r="BV26" i="3"/>
  <c r="BH28" i="3"/>
  <c r="BI28" i="3"/>
  <c r="BJ28" i="3"/>
  <c r="BK28" i="3"/>
  <c r="AL27" i="3"/>
  <c r="AM27" i="3"/>
  <c r="AO27" i="3"/>
  <c r="AP27" i="3"/>
  <c r="BV27" i="3"/>
  <c r="BH29" i="3"/>
  <c r="BI29" i="3"/>
  <c r="BJ29" i="3"/>
  <c r="BK29" i="3"/>
  <c r="AL28" i="3"/>
  <c r="AM28" i="3"/>
  <c r="AN28" i="3"/>
  <c r="AN46" i="3" s="1"/>
  <c r="H103" i="1" s="1"/>
  <c r="AO28" i="3"/>
  <c r="AP28" i="3"/>
  <c r="BU28" i="3"/>
  <c r="BV28" i="3"/>
  <c r="BH30" i="3"/>
  <c r="BI30" i="3"/>
  <c r="BJ30" i="3"/>
  <c r="BK30" i="3"/>
  <c r="AL29" i="3"/>
  <c r="AM29" i="3"/>
  <c r="AN29" i="3"/>
  <c r="AO29" i="3"/>
  <c r="AP29" i="3"/>
  <c r="BU29" i="3"/>
  <c r="BV29" i="3"/>
  <c r="BH31" i="3"/>
  <c r="BI31" i="3"/>
  <c r="BJ31" i="3"/>
  <c r="BK31" i="3"/>
  <c r="AL30" i="3"/>
  <c r="AM30" i="3"/>
  <c r="AN30" i="3"/>
  <c r="AO30" i="3"/>
  <c r="AP30" i="3"/>
  <c r="BU30" i="3"/>
  <c r="BV30" i="3"/>
  <c r="BH32" i="3"/>
  <c r="BI32" i="3"/>
  <c r="BJ32" i="3"/>
  <c r="BK32" i="3"/>
  <c r="AL31" i="3"/>
  <c r="AM31" i="3"/>
  <c r="AN31" i="3"/>
  <c r="AO31" i="3"/>
  <c r="AP31" i="3"/>
  <c r="BU31" i="3"/>
  <c r="BV31" i="3"/>
  <c r="BJ33" i="3"/>
  <c r="BK33" i="3"/>
  <c r="AL32" i="3"/>
  <c r="AM32" i="3"/>
  <c r="AN32" i="3"/>
  <c r="AO32" i="3"/>
  <c r="AP32" i="3"/>
  <c r="BU32" i="3"/>
  <c r="BV32" i="3"/>
  <c r="BH34" i="3"/>
  <c r="BI34" i="3"/>
  <c r="BJ34" i="3"/>
  <c r="BK34" i="3"/>
  <c r="AL33" i="3"/>
  <c r="AM33" i="3"/>
  <c r="AN33" i="3"/>
  <c r="AO33" i="3"/>
  <c r="AP33" i="3"/>
  <c r="BU33" i="3"/>
  <c r="BV33" i="3"/>
  <c r="BH35" i="3"/>
  <c r="BI35" i="3"/>
  <c r="BJ35" i="3"/>
  <c r="BK35" i="3"/>
  <c r="AL34" i="3"/>
  <c r="AM34" i="3"/>
  <c r="AN34" i="3"/>
  <c r="AO34" i="3"/>
  <c r="AP34" i="3"/>
  <c r="BU34" i="3"/>
  <c r="BV34" i="3"/>
  <c r="BH36" i="3"/>
  <c r="BI36" i="3"/>
  <c r="BJ36" i="3"/>
  <c r="BK36" i="3"/>
  <c r="AL35" i="3"/>
  <c r="AM35" i="3"/>
  <c r="AN35" i="3"/>
  <c r="AO35" i="3"/>
  <c r="AP35" i="3"/>
  <c r="BU35" i="3"/>
  <c r="BV35" i="3"/>
  <c r="BH37" i="3"/>
  <c r="BI37" i="3"/>
  <c r="BJ37" i="3"/>
  <c r="BK37" i="3"/>
  <c r="AL36" i="3"/>
  <c r="AM36" i="3"/>
  <c r="AN36" i="3"/>
  <c r="AO36" i="3"/>
  <c r="AP36" i="3"/>
  <c r="BU36" i="3"/>
  <c r="BV36" i="3"/>
  <c r="BH38" i="3"/>
  <c r="BI38" i="3"/>
  <c r="BJ38" i="3"/>
  <c r="BK38" i="3"/>
  <c r="AL37" i="3"/>
  <c r="AM37" i="3"/>
  <c r="AN37" i="3"/>
  <c r="AO37" i="3"/>
  <c r="AP37" i="3"/>
  <c r="BU37" i="3"/>
  <c r="BV37" i="3"/>
  <c r="BH39" i="3"/>
  <c r="BI39" i="3"/>
  <c r="BJ39" i="3"/>
  <c r="BK39" i="3"/>
  <c r="AL38" i="3"/>
  <c r="AM38" i="3"/>
  <c r="AN38" i="3"/>
  <c r="AO38" i="3"/>
  <c r="AP38" i="3"/>
  <c r="BU38" i="3"/>
  <c r="BV38" i="3"/>
  <c r="BH40" i="3"/>
  <c r="BI40" i="3"/>
  <c r="BJ40" i="3"/>
  <c r="BK40" i="3"/>
  <c r="AL39" i="3"/>
  <c r="AM39" i="3"/>
  <c r="AN39" i="3"/>
  <c r="AO39" i="3"/>
  <c r="AP39" i="3"/>
  <c r="BU39" i="3"/>
  <c r="BV39" i="3"/>
  <c r="BH41" i="3"/>
  <c r="BI41" i="3"/>
  <c r="BJ41" i="3"/>
  <c r="BK41" i="3"/>
  <c r="AL40" i="3"/>
  <c r="AM40" i="3"/>
  <c r="AN40" i="3"/>
  <c r="AO40" i="3"/>
  <c r="AP40" i="3"/>
  <c r="BU40" i="3"/>
  <c r="BV40" i="3"/>
  <c r="BH42" i="3"/>
  <c r="BI42" i="3"/>
  <c r="BJ42" i="3"/>
  <c r="BK42" i="3"/>
  <c r="AL41" i="3"/>
  <c r="AM41" i="3"/>
  <c r="AN41" i="3"/>
  <c r="AO41" i="3"/>
  <c r="AP41" i="3"/>
  <c r="BU41" i="3"/>
  <c r="BV41" i="3"/>
  <c r="BH43" i="3"/>
  <c r="BI43" i="3"/>
  <c r="BJ43" i="3"/>
  <c r="BK43" i="3"/>
  <c r="AL42" i="3"/>
  <c r="AM42" i="3"/>
  <c r="AN42" i="3"/>
  <c r="AO42" i="3"/>
  <c r="AP42" i="3"/>
  <c r="BU42" i="3"/>
  <c r="BV42" i="3"/>
  <c r="T44" i="3"/>
  <c r="AP55" i="1" s="1"/>
  <c r="Q44" i="3"/>
  <c r="AP52" i="1" s="1"/>
  <c r="R44" i="3"/>
  <c r="AP53" i="1" s="1"/>
  <c r="S44" i="3"/>
  <c r="AP54" i="1" s="1"/>
  <c r="Y44" i="3"/>
  <c r="Z44" i="3"/>
  <c r="AC44" i="3"/>
  <c r="Q45" i="3"/>
  <c r="AQ52" i="1" s="1"/>
  <c r="R45" i="3"/>
  <c r="AQ53" i="1" s="1"/>
  <c r="S45" i="3"/>
  <c r="AQ54" i="1" s="1"/>
  <c r="T45" i="3"/>
  <c r="AQ55" i="1" s="1"/>
  <c r="U45" i="3"/>
  <c r="O40" i="1" s="1"/>
  <c r="V45" i="3"/>
  <c r="Y45" i="3"/>
  <c r="Z45" i="3"/>
  <c r="AA45" i="3"/>
  <c r="AB45" i="3"/>
  <c r="AC45" i="3"/>
  <c r="Q46" i="3"/>
  <c r="AR52" i="1" s="1"/>
  <c r="R46" i="3"/>
  <c r="AR53" i="1" s="1"/>
  <c r="S46" i="3"/>
  <c r="AR54" i="1" s="1"/>
  <c r="T46" i="3"/>
  <c r="AR55" i="1" s="1"/>
  <c r="U46" i="3"/>
  <c r="P40" i="1" s="1"/>
  <c r="V46" i="3"/>
  <c r="AA46" i="3"/>
  <c r="AB46" i="3"/>
  <c r="AC46" i="3"/>
  <c r="AC43" i="3"/>
  <c r="T43" i="3"/>
  <c r="S43" i="3"/>
  <c r="R43" i="3"/>
  <c r="Q43" i="3"/>
  <c r="T86" i="5" l="1"/>
  <c r="T99" i="5"/>
  <c r="T72" i="5"/>
  <c r="T106" i="5"/>
  <c r="V3" i="5"/>
  <c r="U4" i="5"/>
  <c r="U31" i="5" s="1"/>
  <c r="U37" i="5" s="1"/>
  <c r="U48" i="5" s="1"/>
  <c r="AN45" i="3"/>
  <c r="G103" i="1" s="1"/>
  <c r="AN44" i="3"/>
  <c r="AN43" i="3"/>
  <c r="AE209" i="1"/>
  <c r="G57" i="27"/>
  <c r="F57" i="27" s="1"/>
  <c r="AG107" i="1"/>
  <c r="AG98" i="1"/>
  <c r="O41" i="1"/>
  <c r="P41" i="1"/>
  <c r="BL126" i="3"/>
  <c r="H250" i="1" s="1"/>
  <c r="BL125" i="3"/>
  <c r="G250" i="1" s="1"/>
  <c r="BN131" i="3"/>
  <c r="AE107" i="1"/>
  <c r="AE108" i="1" s="1"/>
  <c r="AP43" i="3"/>
  <c r="BV43" i="3"/>
  <c r="BJ44" i="3"/>
  <c r="AT42" i="1" s="1"/>
  <c r="BK44" i="3"/>
  <c r="BK47" i="3"/>
  <c r="BI185" i="3" s="1"/>
  <c r="AG127" i="1" s="1"/>
  <c r="BI44" i="3"/>
  <c r="BH44" i="3"/>
  <c r="AG39" i="1"/>
  <c r="BG175" i="3"/>
  <c r="AG51" i="1"/>
  <c r="BM175" i="3"/>
  <c r="AE55" i="1"/>
  <c r="AE56" i="1" s="1"/>
  <c r="BO175" i="3"/>
  <c r="I17" i="5"/>
  <c r="J16" i="5"/>
  <c r="I15" i="5"/>
  <c r="H16" i="5"/>
  <c r="J17" i="5"/>
  <c r="J15" i="5"/>
  <c r="J14" i="5"/>
  <c r="I13" i="5"/>
  <c r="I16" i="5"/>
  <c r="BV44" i="3"/>
  <c r="AE224" i="1" s="1"/>
  <c r="G55" i="27" s="1"/>
  <c r="T19" i="20"/>
  <c r="AB18" i="20"/>
  <c r="AJ17" i="20"/>
  <c r="AR16" i="20"/>
  <c r="BI47" i="3"/>
  <c r="BI171" i="3" s="1"/>
  <c r="AG69" i="1" s="1"/>
  <c r="AP45" i="3"/>
  <c r="BK45" i="3"/>
  <c r="BI183" i="3" s="1"/>
  <c r="H14" i="5"/>
  <c r="H13" i="5"/>
  <c r="BJ46" i="3"/>
  <c r="BI46" i="3"/>
  <c r="H15" i="5"/>
  <c r="AF55" i="1"/>
  <c r="AG55" i="1"/>
  <c r="AE103" i="1"/>
  <c r="AE104" i="1" s="1"/>
  <c r="AF103" i="1"/>
  <c r="AF107" i="1"/>
  <c r="AG112" i="1"/>
  <c r="AF39" i="1"/>
  <c r="AE39" i="1"/>
  <c r="AE40" i="1" s="1"/>
  <c r="AE43" i="1"/>
  <c r="AE44" i="1" s="1"/>
  <c r="AF43" i="1"/>
  <c r="BG189" i="3"/>
  <c r="AG43" i="1"/>
  <c r="BI189" i="3"/>
  <c r="AJ28" i="1"/>
  <c r="AE51" i="1"/>
  <c r="AE52" i="1" s="1"/>
  <c r="BK189" i="3"/>
  <c r="AF51" i="1"/>
  <c r="BM189" i="3"/>
  <c r="BO189" i="3"/>
  <c r="AL45" i="3"/>
  <c r="BH46" i="3"/>
  <c r="AL46" i="3"/>
  <c r="BJ47" i="3"/>
  <c r="BH47" i="3"/>
  <c r="BJ45" i="3"/>
  <c r="G42" i="27"/>
  <c r="BI45" i="3"/>
  <c r="BV46" i="3"/>
  <c r="AM45" i="3"/>
  <c r="AP46" i="3"/>
  <c r="BK46" i="3"/>
  <c r="AM46" i="3"/>
  <c r="BV45" i="3"/>
  <c r="AF224" i="1" s="1"/>
  <c r="H55" i="27" s="1"/>
  <c r="H58" i="27" s="1"/>
  <c r="Q47" i="3"/>
  <c r="Q48" i="3" s="1"/>
  <c r="AF112" i="1"/>
  <c r="AF137" i="1"/>
  <c r="AE133" i="1"/>
  <c r="AE134" i="1" s="1"/>
  <c r="AF133" i="1"/>
  <c r="AE142" i="1"/>
  <c r="AE143" i="1" s="1"/>
  <c r="AE94" i="1"/>
  <c r="AE95" i="1" s="1"/>
  <c r="AE128" i="1"/>
  <c r="AE129" i="1" s="1"/>
  <c r="AE124" i="1"/>
  <c r="AF94" i="1"/>
  <c r="AF142" i="1"/>
  <c r="AE47" i="1"/>
  <c r="AE48" i="1" s="1"/>
  <c r="AG47" i="1"/>
  <c r="AF98" i="1"/>
  <c r="AE98" i="1"/>
  <c r="AE99" i="1" s="1"/>
  <c r="AE71" i="1"/>
  <c r="BH45" i="3"/>
  <c r="R47" i="3"/>
  <c r="R48" i="3" s="1"/>
  <c r="S47" i="3"/>
  <c r="S48" i="3" s="1"/>
  <c r="AP44" i="3"/>
  <c r="AA47" i="3"/>
  <c r="AA48" i="3" s="1"/>
  <c r="T47" i="3"/>
  <c r="T48" i="3" s="1"/>
  <c r="AC47" i="3"/>
  <c r="AC48" i="3" s="1"/>
  <c r="Y47" i="3"/>
  <c r="Y48" i="3" s="1"/>
  <c r="U72" i="5" l="1"/>
  <c r="U86" i="5"/>
  <c r="U99" i="5"/>
  <c r="U106" i="5"/>
  <c r="W3" i="5"/>
  <c r="X3" i="5" s="1"/>
  <c r="V4" i="5"/>
  <c r="V31" i="5" s="1"/>
  <c r="V37" i="5" s="1"/>
  <c r="V48" i="5" s="1"/>
  <c r="G58" i="27"/>
  <c r="I41" i="27"/>
  <c r="I42" i="27"/>
  <c r="J18" i="5"/>
  <c r="CG18" i="5" s="1"/>
  <c r="I18" i="5"/>
  <c r="BL18" i="5" s="1"/>
  <c r="G256" i="1"/>
  <c r="AU233" i="1" s="1"/>
  <c r="G255" i="1"/>
  <c r="AU232" i="1" s="1"/>
  <c r="H255" i="1"/>
  <c r="AV232" i="1" s="1"/>
  <c r="H256" i="1"/>
  <c r="AP57" i="1"/>
  <c r="AQ57" i="1"/>
  <c r="AR57" i="1"/>
  <c r="BI15" i="5"/>
  <c r="CE16" i="5"/>
  <c r="BJ16" i="5"/>
  <c r="BG13" i="5"/>
  <c r="CC14" i="5"/>
  <c r="CD15" i="5"/>
  <c r="BK17" i="5"/>
  <c r="CF17" i="5"/>
  <c r="AO16" i="5"/>
  <c r="AN15" i="5"/>
  <c r="AL13" i="5"/>
  <c r="AM14" i="5"/>
  <c r="BN126" i="3"/>
  <c r="BL127" i="3"/>
  <c r="BM125" i="3"/>
  <c r="BH127" i="3"/>
  <c r="BF127" i="3"/>
  <c r="BN124" i="3"/>
  <c r="BN125" i="3"/>
  <c r="BJ127" i="3"/>
  <c r="BM124" i="3"/>
  <c r="BD127" i="3"/>
  <c r="BM126" i="3"/>
  <c r="F103" i="1"/>
  <c r="G41" i="27" s="1"/>
  <c r="BG185" i="3"/>
  <c r="BM185" i="3"/>
  <c r="AG136" i="1" s="1"/>
  <c r="BK185" i="3"/>
  <c r="AG132" i="1" s="1"/>
  <c r="H193" i="1"/>
  <c r="P55" i="1" s="1"/>
  <c r="G193" i="1"/>
  <c r="O55" i="1" s="1"/>
  <c r="BM183" i="3"/>
  <c r="AN88" i="3"/>
  <c r="G147" i="1" s="1"/>
  <c r="AJ88" i="3"/>
  <c r="AP88" i="3"/>
  <c r="AL88" i="3"/>
  <c r="G143" i="1" s="1"/>
  <c r="AL82" i="3"/>
  <c r="AG239" i="1" s="1"/>
  <c r="AN82" i="3"/>
  <c r="AJ82" i="3"/>
  <c r="AP82" i="3"/>
  <c r="H132" i="1" s="1"/>
  <c r="H137" i="1" s="1"/>
  <c r="AG198" i="1"/>
  <c r="AG224" i="1"/>
  <c r="AN81" i="3"/>
  <c r="AL81" i="3"/>
  <c r="AF239" i="1" s="1"/>
  <c r="AJ81" i="3"/>
  <c r="AP81" i="3"/>
  <c r="G132" i="1" s="1"/>
  <c r="AE198" i="1"/>
  <c r="BG183" i="3"/>
  <c r="AE123" i="1" s="1"/>
  <c r="AF198" i="1"/>
  <c r="AF200" i="1" s="1"/>
  <c r="AF204" i="1" s="1"/>
  <c r="AQ50" i="1" s="1"/>
  <c r="AL89" i="3"/>
  <c r="H143" i="1" s="1"/>
  <c r="AJ89" i="3"/>
  <c r="AN89" i="3"/>
  <c r="H147" i="1" s="1"/>
  <c r="AP89" i="3"/>
  <c r="AO55" i="1"/>
  <c r="AO52" i="1"/>
  <c r="AO54" i="1"/>
  <c r="AO53" i="1"/>
  <c r="I14" i="5"/>
  <c r="H55" i="5"/>
  <c r="G16" i="5"/>
  <c r="R16" i="5" s="1"/>
  <c r="AF232" i="1"/>
  <c r="AR49" i="1" s="1"/>
  <c r="J13" i="5"/>
  <c r="BO183" i="3"/>
  <c r="AE141" i="1" s="1"/>
  <c r="BK183" i="3"/>
  <c r="AE132" i="1" s="1"/>
  <c r="BM171" i="3"/>
  <c r="AG77" i="1" s="1"/>
  <c r="BM170" i="3"/>
  <c r="AF77" i="1" s="1"/>
  <c r="AJ18" i="20"/>
  <c r="AR17" i="20"/>
  <c r="T20" i="20"/>
  <c r="AB19" i="20"/>
  <c r="BI191" i="3"/>
  <c r="AF97" i="1" s="1"/>
  <c r="BO191" i="3"/>
  <c r="AF111" i="1" s="1"/>
  <c r="BM191" i="3"/>
  <c r="AF106" i="1" s="1"/>
  <c r="BJ48" i="3"/>
  <c r="BT49" i="3" s="1"/>
  <c r="BO170" i="3"/>
  <c r="AF81" i="1" s="1"/>
  <c r="AP47" i="3"/>
  <c r="AP48" i="3" s="1"/>
  <c r="BI170" i="3"/>
  <c r="AF69" i="1" s="1"/>
  <c r="BG191" i="3"/>
  <c r="AF93" i="1" s="1"/>
  <c r="AK76" i="3"/>
  <c r="BG170" i="3"/>
  <c r="AF65" i="1" s="1"/>
  <c r="BK191" i="3"/>
  <c r="AF102" i="1" s="1"/>
  <c r="BK170" i="3"/>
  <c r="AF73" i="1" s="1"/>
  <c r="H52" i="5"/>
  <c r="H53" i="5"/>
  <c r="H54" i="5"/>
  <c r="G15" i="5"/>
  <c r="Q15" i="5" s="1"/>
  <c r="BK171" i="3"/>
  <c r="AG73" i="1" s="1"/>
  <c r="BG171" i="3"/>
  <c r="AG65" i="1" s="1"/>
  <c r="BO171" i="3"/>
  <c r="AG81" i="1" s="1"/>
  <c r="AJ29" i="1"/>
  <c r="AT45" i="1"/>
  <c r="BO177" i="3"/>
  <c r="AF54" i="1" s="1"/>
  <c r="BG177" i="3"/>
  <c r="BK177" i="3"/>
  <c r="AF46" i="1" s="1"/>
  <c r="BI177" i="3"/>
  <c r="AF42" i="1" s="1"/>
  <c r="BM177" i="3"/>
  <c r="AF50" i="1" s="1"/>
  <c r="BK48" i="3"/>
  <c r="BU49" i="3" s="1"/>
  <c r="BO185" i="3"/>
  <c r="AG141" i="1" s="1"/>
  <c r="AE127" i="1"/>
  <c r="BV47" i="3"/>
  <c r="BV48" i="3" s="1"/>
  <c r="BI48" i="3"/>
  <c r="BS49" i="3" s="1"/>
  <c r="BO169" i="3"/>
  <c r="BM169" i="3"/>
  <c r="BK169" i="3"/>
  <c r="BG169" i="3"/>
  <c r="BI169" i="3"/>
  <c r="BH48" i="3"/>
  <c r="BR49" i="3" s="1"/>
  <c r="BI176" i="3"/>
  <c r="BG176" i="3"/>
  <c r="BM176" i="3"/>
  <c r="BO176" i="3"/>
  <c r="BK176" i="3"/>
  <c r="AN47" i="3"/>
  <c r="AN48" i="3" s="1"/>
  <c r="BO190" i="3"/>
  <c r="BM190" i="3"/>
  <c r="BK190" i="3"/>
  <c r="BI190" i="3"/>
  <c r="BG190" i="3"/>
  <c r="AE93" i="1" s="1"/>
  <c r="H111" i="1"/>
  <c r="P31" i="1" s="1"/>
  <c r="BM184" i="3"/>
  <c r="AF136" i="1" s="1"/>
  <c r="BK184" i="3"/>
  <c r="AF132" i="1" s="1"/>
  <c r="BI184" i="3"/>
  <c r="AF127" i="1" s="1"/>
  <c r="BG184" i="3"/>
  <c r="BO184" i="3"/>
  <c r="AF141" i="1" s="1"/>
  <c r="BM178" i="3"/>
  <c r="AG50" i="1" s="1"/>
  <c r="BK178" i="3"/>
  <c r="AG46" i="1" s="1"/>
  <c r="BG178" i="3"/>
  <c r="BO178" i="3"/>
  <c r="AG54" i="1" s="1"/>
  <c r="BI178" i="3"/>
  <c r="AG42" i="1" s="1"/>
  <c r="BK192" i="3"/>
  <c r="AG102" i="1" s="1"/>
  <c r="BI192" i="3"/>
  <c r="AG97" i="1" s="1"/>
  <c r="BG192" i="3"/>
  <c r="BO192" i="3"/>
  <c r="AG111" i="1" s="1"/>
  <c r="BM192" i="3"/>
  <c r="AG106" i="1" s="1"/>
  <c r="AE125" i="1"/>
  <c r="V99" i="5" l="1"/>
  <c r="V106" i="5"/>
  <c r="V72" i="5"/>
  <c r="V86" i="5"/>
  <c r="Y3" i="5"/>
  <c r="X4" i="5"/>
  <c r="X31" i="5" s="1"/>
  <c r="X37" i="5" s="1"/>
  <c r="X48" i="5" s="1"/>
  <c r="G151" i="1"/>
  <c r="O30" i="1" s="1"/>
  <c r="AQ88" i="3"/>
  <c r="AR88" i="3"/>
  <c r="AF256" i="1" s="1"/>
  <c r="G128" i="1"/>
  <c r="G138" i="1" s="1"/>
  <c r="AR81" i="3"/>
  <c r="AF244" i="1" s="1"/>
  <c r="AQ81" i="3"/>
  <c r="H151" i="1"/>
  <c r="P30" i="1" s="1"/>
  <c r="AQ89" i="3"/>
  <c r="AR89" i="3"/>
  <c r="AG256" i="1" s="1"/>
  <c r="H128" i="1"/>
  <c r="H138" i="1" s="1"/>
  <c r="AR82" i="3"/>
  <c r="AG244" i="1" s="1"/>
  <c r="AQ82" i="3"/>
  <c r="AU234" i="1"/>
  <c r="AR71" i="1"/>
  <c r="AV233" i="1"/>
  <c r="AV234" i="1" s="1"/>
  <c r="AN54" i="5"/>
  <c r="AN68" i="5" s="1"/>
  <c r="AO55" i="5"/>
  <c r="AO68" i="5" s="1"/>
  <c r="AL52" i="5"/>
  <c r="AL68" i="5" s="1"/>
  <c r="AM53" i="5"/>
  <c r="AM68" i="5" s="1"/>
  <c r="I43" i="27"/>
  <c r="G43" i="27"/>
  <c r="E103" i="1"/>
  <c r="H42" i="27"/>
  <c r="F42" i="27" s="1"/>
  <c r="AG232" i="1"/>
  <c r="AS49" i="1" s="1"/>
  <c r="I55" i="27"/>
  <c r="J19" i="5"/>
  <c r="CH19" i="5" s="1"/>
  <c r="I19" i="5"/>
  <c r="BM19" i="5" s="1"/>
  <c r="AR46" i="1"/>
  <c r="AQ73" i="1"/>
  <c r="AP73" i="1"/>
  <c r="AR73" i="1"/>
  <c r="AP58" i="1"/>
  <c r="AQ58" i="1"/>
  <c r="AR58" i="1"/>
  <c r="AQ46" i="1"/>
  <c r="E255" i="1"/>
  <c r="AQ71" i="1"/>
  <c r="E256" i="1"/>
  <c r="BH14" i="5"/>
  <c r="CB13" i="5"/>
  <c r="E107" i="1"/>
  <c r="BH134" i="3"/>
  <c r="BM127" i="3"/>
  <c r="AS16" i="1" s="1"/>
  <c r="BB127" i="3"/>
  <c r="BN127" i="3"/>
  <c r="H195" i="1"/>
  <c r="H199" i="1" s="1"/>
  <c r="P34" i="1" s="1"/>
  <c r="G195" i="1"/>
  <c r="G199" i="1" s="1"/>
  <c r="O34" i="1" s="1"/>
  <c r="AF235" i="1"/>
  <c r="AG235" i="1"/>
  <c r="AG250" i="1"/>
  <c r="AE202" i="1"/>
  <c r="AE200" i="1"/>
  <c r="AE204" i="1" s="1"/>
  <c r="AP50" i="1" s="1"/>
  <c r="AF250" i="1"/>
  <c r="G157" i="1" s="1"/>
  <c r="AS88" i="3"/>
  <c r="AT88" i="3"/>
  <c r="AG200" i="1"/>
  <c r="AG204" i="1" s="1"/>
  <c r="AR50" i="1" s="1"/>
  <c r="G14" i="5"/>
  <c r="P14" i="5" s="1"/>
  <c r="G13" i="5"/>
  <c r="O13" i="5" s="1"/>
  <c r="BP183" i="3"/>
  <c r="AE136" i="1"/>
  <c r="BQ183" i="3"/>
  <c r="AJ19" i="20"/>
  <c r="AR18" i="20"/>
  <c r="T21" i="20"/>
  <c r="AB20" i="20"/>
  <c r="BQ191" i="3"/>
  <c r="BP191" i="3"/>
  <c r="AF117" i="1"/>
  <c r="AE232" i="1"/>
  <c r="AQ49" i="1" s="1"/>
  <c r="AE226" i="1"/>
  <c r="AE231" i="1" s="1"/>
  <c r="BQ170" i="3"/>
  <c r="BP170" i="3"/>
  <c r="BQ171" i="3"/>
  <c r="BP171" i="3"/>
  <c r="BG186" i="3"/>
  <c r="H19" i="5"/>
  <c r="AO57" i="1"/>
  <c r="AJ30" i="1"/>
  <c r="BO186" i="3"/>
  <c r="AG123" i="1"/>
  <c r="BP185" i="3"/>
  <c r="BQ185" i="3"/>
  <c r="BP178" i="3"/>
  <c r="AG38" i="1"/>
  <c r="BQ178" i="3"/>
  <c r="BP190" i="3"/>
  <c r="BG193" i="3"/>
  <c r="BQ190" i="3"/>
  <c r="AG87" i="1"/>
  <c r="AG86" i="1"/>
  <c r="AE106" i="1"/>
  <c r="BM193" i="3"/>
  <c r="BK186" i="3"/>
  <c r="AE102" i="1"/>
  <c r="BK193" i="3"/>
  <c r="AE111" i="1"/>
  <c r="BO193" i="3"/>
  <c r="AE46" i="1"/>
  <c r="BK179" i="3"/>
  <c r="AE54" i="1"/>
  <c r="BO179" i="3"/>
  <c r="AE69" i="1"/>
  <c r="BI172" i="3"/>
  <c r="AE50" i="1"/>
  <c r="BM179" i="3"/>
  <c r="AE65" i="1"/>
  <c r="BP169" i="3"/>
  <c r="BG172" i="3"/>
  <c r="BQ169" i="3"/>
  <c r="BP176" i="3"/>
  <c r="AE38" i="1"/>
  <c r="BG179" i="3"/>
  <c r="BQ176" i="3"/>
  <c r="AE73" i="1"/>
  <c r="BK172" i="3"/>
  <c r="BI186" i="3"/>
  <c r="AF87" i="1"/>
  <c r="AF86" i="1"/>
  <c r="AE42" i="1"/>
  <c r="BI179" i="3"/>
  <c r="AE77" i="1"/>
  <c r="BM172" i="3"/>
  <c r="BP192" i="3"/>
  <c r="AG93" i="1"/>
  <c r="BQ192" i="3"/>
  <c r="AE81" i="1"/>
  <c r="BO172" i="3"/>
  <c r="BP177" i="3"/>
  <c r="AF38" i="1"/>
  <c r="BQ177" i="3"/>
  <c r="AE97" i="1"/>
  <c r="BI193" i="3"/>
  <c r="BM186" i="3"/>
  <c r="AF123" i="1"/>
  <c r="BP184" i="3"/>
  <c r="BQ184" i="3"/>
  <c r="AF116" i="1"/>
  <c r="H157" i="1" l="1"/>
  <c r="H156" i="1"/>
  <c r="G156" i="1"/>
  <c r="G137" i="1"/>
  <c r="Z3" i="5"/>
  <c r="Y4" i="5"/>
  <c r="Y31" i="5" s="1"/>
  <c r="Y37" i="5" s="1"/>
  <c r="Y48" i="5" s="1"/>
  <c r="X86" i="5"/>
  <c r="X106" i="5"/>
  <c r="X72" i="5"/>
  <c r="X99" i="5"/>
  <c r="AT81" i="3"/>
  <c r="AS81" i="3"/>
  <c r="AT89" i="3"/>
  <c r="AS89" i="3"/>
  <c r="AT82" i="3"/>
  <c r="AS82" i="3"/>
  <c r="P42" i="1"/>
  <c r="AE99" i="32" s="1"/>
  <c r="AP49" i="1"/>
  <c r="I58" i="27"/>
  <c r="F55" i="27"/>
  <c r="F58" i="27" s="1"/>
  <c r="G111" i="1"/>
  <c r="O31" i="1" s="1"/>
  <c r="H41" i="27"/>
  <c r="AG146" i="1"/>
  <c r="AR43" i="1" s="1"/>
  <c r="AE147" i="1"/>
  <c r="AP68" i="1" s="1"/>
  <c r="AO73" i="1"/>
  <c r="N42" i="1"/>
  <c r="AC99" i="32" s="1"/>
  <c r="O42" i="1"/>
  <c r="AD99" i="32" s="1"/>
  <c r="AR19" i="5"/>
  <c r="BM133" i="3"/>
  <c r="BN133" i="3"/>
  <c r="AO50" i="1"/>
  <c r="BJ134" i="3"/>
  <c r="BL134" i="3"/>
  <c r="BM132" i="3"/>
  <c r="BD134" i="3"/>
  <c r="BN132" i="3"/>
  <c r="BF134" i="3"/>
  <c r="AR41" i="1"/>
  <c r="AQ41" i="1"/>
  <c r="O29" i="1"/>
  <c r="AE59" i="1"/>
  <c r="AE145" i="1"/>
  <c r="AE146" i="1"/>
  <c r="AP43" i="1" s="1"/>
  <c r="AE85" i="1"/>
  <c r="AQ67" i="1"/>
  <c r="AE233" i="1"/>
  <c r="AJ20" i="20"/>
  <c r="AR19" i="20"/>
  <c r="T22" i="20"/>
  <c r="AB21" i="20"/>
  <c r="BQ186" i="3"/>
  <c r="BP186" i="3"/>
  <c r="AS12" i="1" s="1"/>
  <c r="BQ172" i="3"/>
  <c r="BP172" i="3"/>
  <c r="AS10" i="1" s="1"/>
  <c r="BP193" i="3"/>
  <c r="AS11" i="1" s="1"/>
  <c r="AQ66" i="1"/>
  <c r="I20" i="5"/>
  <c r="H20" i="5"/>
  <c r="AJ31" i="1"/>
  <c r="AR66" i="1"/>
  <c r="G19" i="5"/>
  <c r="BQ179" i="3"/>
  <c r="BQ193" i="3"/>
  <c r="AE117" i="1"/>
  <c r="AE116" i="1"/>
  <c r="AE115" i="1"/>
  <c r="AF60" i="1"/>
  <c r="AT205" i="1" s="1"/>
  <c r="AF59" i="1"/>
  <c r="AG117" i="1"/>
  <c r="AG116" i="1"/>
  <c r="AG60" i="1"/>
  <c r="AU205" i="1" s="1"/>
  <c r="AG59" i="1"/>
  <c r="AE60" i="1"/>
  <c r="AE58" i="1"/>
  <c r="BP179" i="3"/>
  <c r="AS9" i="1" s="1"/>
  <c r="AQ42" i="1"/>
  <c r="AG147" i="1"/>
  <c r="AR68" i="1" s="1"/>
  <c r="AF147" i="1"/>
  <c r="AT218" i="1" s="1"/>
  <c r="AF146" i="1"/>
  <c r="AQ43" i="1" s="1"/>
  <c r="AE87" i="1"/>
  <c r="AE86" i="1"/>
  <c r="Y86" i="5" l="1"/>
  <c r="Y72" i="5"/>
  <c r="Y99" i="5"/>
  <c r="Y106" i="5"/>
  <c r="AA3" i="5"/>
  <c r="Z4" i="5"/>
  <c r="Z31" i="5" s="1"/>
  <c r="Z37" i="5" s="1"/>
  <c r="Z48" i="5" s="1"/>
  <c r="O53" i="1"/>
  <c r="P53" i="1"/>
  <c r="P29" i="1"/>
  <c r="AD106" i="32"/>
  <c r="AE106" i="32"/>
  <c r="AC105" i="32"/>
  <c r="AC106" i="32"/>
  <c r="M42" i="1"/>
  <c r="AB99" i="32" s="1"/>
  <c r="BM134" i="3"/>
  <c r="AS15" i="1" s="1"/>
  <c r="H43" i="27"/>
  <c r="F43" i="27" s="1"/>
  <c r="F41" i="27"/>
  <c r="AS218" i="1"/>
  <c r="AE149" i="1"/>
  <c r="J21" i="5"/>
  <c r="I21" i="5"/>
  <c r="BN134" i="3"/>
  <c r="N43" i="1"/>
  <c r="AC100" i="32" s="1"/>
  <c r="O43" i="1"/>
  <c r="AD100" i="32" s="1"/>
  <c r="AJ32" i="1"/>
  <c r="AS20" i="5"/>
  <c r="U19" i="5"/>
  <c r="AU204" i="1"/>
  <c r="AT204" i="1"/>
  <c r="P186" i="1"/>
  <c r="P52" i="1"/>
  <c r="P187" i="1"/>
  <c r="O52" i="1"/>
  <c r="O187" i="1"/>
  <c r="O186" i="1"/>
  <c r="AT217" i="1"/>
  <c r="AT219" i="1" s="1"/>
  <c r="AS217" i="1"/>
  <c r="AE148" i="1"/>
  <c r="AS205" i="1"/>
  <c r="AU217" i="1"/>
  <c r="AU218" i="1"/>
  <c r="AS204" i="1"/>
  <c r="AR67" i="1"/>
  <c r="AP42" i="1"/>
  <c r="AP67" i="1"/>
  <c r="AR40" i="1"/>
  <c r="AR65" i="1"/>
  <c r="AQ40" i="1"/>
  <c r="AQ65" i="1"/>
  <c r="AR42" i="1"/>
  <c r="T23" i="20"/>
  <c r="AB22" i="20"/>
  <c r="AJ21" i="20"/>
  <c r="AR20" i="20"/>
  <c r="BN20" i="5"/>
  <c r="H21" i="5"/>
  <c r="H60" i="5" s="1"/>
  <c r="H59" i="5"/>
  <c r="AP66" i="1"/>
  <c r="AQ68" i="1"/>
  <c r="AP65" i="1"/>
  <c r="AE62" i="1"/>
  <c r="AE61" i="1"/>
  <c r="AP40" i="1"/>
  <c r="AE119" i="1"/>
  <c r="AE118" i="1"/>
  <c r="AP41" i="1"/>
  <c r="AO41" i="1" s="1"/>
  <c r="AE88" i="1"/>
  <c r="AE89" i="1"/>
  <c r="L33" i="3"/>
  <c r="L34" i="3"/>
  <c r="L35" i="3"/>
  <c r="L36" i="3"/>
  <c r="L37" i="3"/>
  <c r="L38" i="3"/>
  <c r="L39" i="3"/>
  <c r="L40" i="3"/>
  <c r="L41" i="3"/>
  <c r="L42" i="3"/>
  <c r="B53" i="5"/>
  <c r="B54" i="5"/>
  <c r="B55" i="5"/>
  <c r="B56" i="5"/>
  <c r="B57" i="5"/>
  <c r="B58" i="5"/>
  <c r="B59" i="5"/>
  <c r="B60" i="5"/>
  <c r="B61" i="5"/>
  <c r="B62" i="5"/>
  <c r="B63" i="5"/>
  <c r="Z99" i="5" l="1"/>
  <c r="Z106" i="5"/>
  <c r="Z72" i="5"/>
  <c r="Z86" i="5"/>
  <c r="AB3" i="5"/>
  <c r="AA4" i="5"/>
  <c r="AA31" i="5" s="1"/>
  <c r="AA37" i="5" s="1"/>
  <c r="AA48" i="5" s="1"/>
  <c r="AT102" i="5"/>
  <c r="BO102" i="5"/>
  <c r="CJ102" i="5"/>
  <c r="AB106" i="32"/>
  <c r="CJ21" i="5"/>
  <c r="BO21" i="5"/>
  <c r="AC107" i="32"/>
  <c r="AD111" i="32"/>
  <c r="AC110" i="32"/>
  <c r="AC111" i="32"/>
  <c r="AS59" i="5"/>
  <c r="AS68" i="5" s="1"/>
  <c r="I22" i="5"/>
  <c r="AJ33" i="1"/>
  <c r="P44" i="1"/>
  <c r="N44" i="1"/>
  <c r="O44" i="1"/>
  <c r="AT21" i="5"/>
  <c r="AO68" i="1"/>
  <c r="AT12" i="1" s="1"/>
  <c r="AO66" i="1"/>
  <c r="AT10" i="1" s="1"/>
  <c r="O188" i="1"/>
  <c r="P188" i="1"/>
  <c r="AU219" i="1"/>
  <c r="AO67" i="1"/>
  <c r="AO42" i="1"/>
  <c r="AU42" i="1" s="1"/>
  <c r="AO40" i="1"/>
  <c r="AO65" i="1"/>
  <c r="AO43" i="1"/>
  <c r="AJ22" i="20"/>
  <c r="AR21" i="20"/>
  <c r="T24" i="20"/>
  <c r="AB23" i="20"/>
  <c r="G21" i="5"/>
  <c r="W102" i="5" s="1"/>
  <c r="O38" i="3"/>
  <c r="AJ38" i="3" s="1"/>
  <c r="P38" i="3"/>
  <c r="AK38" i="3" s="1"/>
  <c r="O33" i="3"/>
  <c r="P33" i="3"/>
  <c r="AK33" i="3" s="1"/>
  <c r="P41" i="3"/>
  <c r="AK41" i="3" s="1"/>
  <c r="O41" i="3"/>
  <c r="P40" i="3"/>
  <c r="AK40" i="3" s="1"/>
  <c r="O40" i="3"/>
  <c r="O42" i="3"/>
  <c r="AJ42" i="3" s="1"/>
  <c r="P42" i="3"/>
  <c r="AK42" i="3" s="1"/>
  <c r="O39" i="3"/>
  <c r="P39" i="3"/>
  <c r="AK39" i="3" s="1"/>
  <c r="O35" i="3"/>
  <c r="AJ35" i="3" s="1"/>
  <c r="P35" i="3"/>
  <c r="AK35" i="3" s="1"/>
  <c r="O37" i="3"/>
  <c r="P37" i="3"/>
  <c r="AK37" i="3" s="1"/>
  <c r="O36" i="3"/>
  <c r="P36" i="3"/>
  <c r="AK36" i="3" s="1"/>
  <c r="O34" i="3"/>
  <c r="P34" i="3"/>
  <c r="AK34" i="3" s="1"/>
  <c r="BV234" i="3"/>
  <c r="BV233" i="3"/>
  <c r="BW237" i="3"/>
  <c r="BW233" i="3"/>
  <c r="BW231" i="3"/>
  <c r="BW236" i="3"/>
  <c r="BW234" i="3"/>
  <c r="BW239" i="3"/>
  <c r="BW238" i="3"/>
  <c r="BV235" i="3"/>
  <c r="BV237" i="3"/>
  <c r="BV236" i="3"/>
  <c r="BV238" i="3"/>
  <c r="BV239" i="3"/>
  <c r="BW232" i="3"/>
  <c r="BW235" i="3"/>
  <c r="BW230" i="3"/>
  <c r="BV232" i="3"/>
  <c r="BV231" i="3"/>
  <c r="BV230" i="3"/>
  <c r="I44" i="3"/>
  <c r="J44" i="3"/>
  <c r="K44" i="3"/>
  <c r="I45" i="3"/>
  <c r="J45" i="3"/>
  <c r="K45" i="3"/>
  <c r="AG45" i="3" s="1"/>
  <c r="I46" i="3"/>
  <c r="J46" i="3"/>
  <c r="K46" i="3"/>
  <c r="AG46" i="3" s="1"/>
  <c r="F45" i="3"/>
  <c r="F46" i="3"/>
  <c r="F44" i="3"/>
  <c r="I43" i="3"/>
  <c r="J43" i="3"/>
  <c r="K43" i="3"/>
  <c r="F43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19" i="3"/>
  <c r="AA86" i="5" l="1"/>
  <c r="AA99" i="5"/>
  <c r="AA106" i="5"/>
  <c r="AA72" i="5"/>
  <c r="AC3" i="5"/>
  <c r="AB4" i="5"/>
  <c r="AB31" i="5" s="1"/>
  <c r="AB37" i="5" s="1"/>
  <c r="AB48" i="5" s="1"/>
  <c r="BP22" i="5"/>
  <c r="BP102" i="5"/>
  <c r="W21" i="5"/>
  <c r="I102" i="5"/>
  <c r="AC112" i="32"/>
  <c r="AR60" i="1"/>
  <c r="J23" i="5"/>
  <c r="CL23" i="5" s="1"/>
  <c r="I23" i="5"/>
  <c r="BQ23" i="5" s="1"/>
  <c r="AJ34" i="1"/>
  <c r="AQ60" i="1"/>
  <c r="X82" i="1"/>
  <c r="X83" i="1"/>
  <c r="AT11" i="1"/>
  <c r="AT9" i="1"/>
  <c r="M44" i="1"/>
  <c r="H45" i="3"/>
  <c r="T25" i="20"/>
  <c r="AB24" i="20"/>
  <c r="AJ23" i="20"/>
  <c r="AR22" i="20"/>
  <c r="H23" i="5"/>
  <c r="AF36" i="3"/>
  <c r="AJ36" i="3"/>
  <c r="AI36" i="3" s="1"/>
  <c r="AF40" i="3"/>
  <c r="AJ40" i="3"/>
  <c r="AI40" i="3" s="1"/>
  <c r="AF37" i="3"/>
  <c r="AJ37" i="3"/>
  <c r="AF41" i="3"/>
  <c r="AJ41" i="3"/>
  <c r="AI35" i="3"/>
  <c r="AF35" i="3"/>
  <c r="AF39" i="3"/>
  <c r="AJ39" i="3"/>
  <c r="AI39" i="3" s="1"/>
  <c r="AF33" i="3"/>
  <c r="AJ33" i="3"/>
  <c r="AF42" i="3"/>
  <c r="H44" i="3"/>
  <c r="AF34" i="3"/>
  <c r="AJ34" i="3"/>
  <c r="AI34" i="3" s="1"/>
  <c r="AI42" i="3"/>
  <c r="AI38" i="3"/>
  <c r="AF38" i="3"/>
  <c r="I47" i="3"/>
  <c r="I48" i="3" s="1"/>
  <c r="F47" i="3"/>
  <c r="F48" i="3" s="1"/>
  <c r="K47" i="3"/>
  <c r="K48" i="3" s="1"/>
  <c r="J47" i="3"/>
  <c r="J48" i="3" s="1"/>
  <c r="AC4" i="5" l="1"/>
  <c r="AC31" i="5" s="1"/>
  <c r="AC37" i="5" s="1"/>
  <c r="AC48" i="5" s="1"/>
  <c r="AB106" i="5"/>
  <c r="AB86" i="5"/>
  <c r="AB99" i="5"/>
  <c r="AB72" i="5"/>
  <c r="AJ35" i="1"/>
  <c r="AQ61" i="1"/>
  <c r="AR61" i="1"/>
  <c r="AP61" i="1"/>
  <c r="AU49" i="1"/>
  <c r="AV49" i="1" s="1"/>
  <c r="AV23" i="5"/>
  <c r="AJ24" i="20"/>
  <c r="AR23" i="20"/>
  <c r="T26" i="20"/>
  <c r="AB25" i="20"/>
  <c r="H62" i="5"/>
  <c r="G23" i="5"/>
  <c r="Y23" i="5" s="1"/>
  <c r="D3" i="3"/>
  <c r="AC86" i="5" l="1"/>
  <c r="AC72" i="5"/>
  <c r="AC106" i="5"/>
  <c r="AC99" i="5"/>
  <c r="N45" i="1"/>
  <c r="P45" i="1"/>
  <c r="O45" i="1"/>
  <c r="AV62" i="5"/>
  <c r="AV68" i="5" s="1"/>
  <c r="I25" i="5"/>
  <c r="BS25" i="5" s="1"/>
  <c r="J25" i="5"/>
  <c r="CN25" i="5" s="1"/>
  <c r="AO61" i="1"/>
  <c r="H25" i="5"/>
  <c r="AJ36" i="1"/>
  <c r="T27" i="20"/>
  <c r="AB26" i="20"/>
  <c r="AJ25" i="20"/>
  <c r="AR24" i="20"/>
  <c r="F4" i="3"/>
  <c r="L28" i="3"/>
  <c r="G28" i="3" s="1"/>
  <c r="H28" i="3" s="1"/>
  <c r="L29" i="3"/>
  <c r="L30" i="3"/>
  <c r="L31" i="3"/>
  <c r="L32" i="3"/>
  <c r="A51" i="5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B51" i="5"/>
  <c r="B52" i="5"/>
  <c r="AE169" i="1"/>
  <c r="F109" i="1"/>
  <c r="F60" i="1"/>
  <c r="O132" i="1"/>
  <c r="P132" i="1"/>
  <c r="N132" i="1"/>
  <c r="O25" i="1"/>
  <c r="P25" i="1"/>
  <c r="N25" i="1"/>
  <c r="G114" i="1"/>
  <c r="H114" i="1"/>
  <c r="F114" i="1"/>
  <c r="H101" i="1"/>
  <c r="G101" i="1"/>
  <c r="F101" i="1"/>
  <c r="H75" i="1"/>
  <c r="G75" i="1"/>
  <c r="F75" i="1"/>
  <c r="H60" i="1"/>
  <c r="G60" i="1"/>
  <c r="H43" i="3" l="1"/>
  <c r="H46" i="3"/>
  <c r="H47" i="3" s="1"/>
  <c r="M45" i="1"/>
  <c r="I26" i="5"/>
  <c r="BT26" i="5" s="1"/>
  <c r="J26" i="5"/>
  <c r="CO26" i="5" s="1"/>
  <c r="H26" i="5"/>
  <c r="H64" i="5"/>
  <c r="AX25" i="5"/>
  <c r="G25" i="5"/>
  <c r="AA25" i="5" s="1"/>
  <c r="AR63" i="1"/>
  <c r="J27" i="5" s="1"/>
  <c r="CP27" i="5" s="1"/>
  <c r="AP63" i="1"/>
  <c r="AQ63" i="1"/>
  <c r="I27" i="5" s="1"/>
  <c r="BU27" i="5" s="1"/>
  <c r="O28" i="3"/>
  <c r="P28" i="3"/>
  <c r="AJ26" i="20"/>
  <c r="AR25" i="20"/>
  <c r="T28" i="20"/>
  <c r="AB27" i="20"/>
  <c r="AE170" i="1"/>
  <c r="AK26" i="3"/>
  <c r="AK25" i="3"/>
  <c r="P32" i="3"/>
  <c r="AK32" i="3" s="1"/>
  <c r="O32" i="3"/>
  <c r="P29" i="3"/>
  <c r="AK29" i="3" s="1"/>
  <c r="O29" i="3"/>
  <c r="AK27" i="3"/>
  <c r="AK24" i="3"/>
  <c r="AK22" i="3"/>
  <c r="AF22" i="3"/>
  <c r="AK21" i="3"/>
  <c r="P31" i="3"/>
  <c r="AK31" i="3" s="1"/>
  <c r="O31" i="3"/>
  <c r="AJ31" i="3" s="1"/>
  <c r="O30" i="3"/>
  <c r="AJ30" i="3" s="1"/>
  <c r="P30" i="3"/>
  <c r="AK30" i="3" s="1"/>
  <c r="L45" i="3"/>
  <c r="G45" i="3" s="1"/>
  <c r="L46" i="3"/>
  <c r="G46" i="3" s="1"/>
  <c r="L44" i="3"/>
  <c r="G44" i="3" s="1"/>
  <c r="L43" i="3"/>
  <c r="H48" i="3" l="1"/>
  <c r="G43" i="3"/>
  <c r="AX64" i="5"/>
  <c r="AX68" i="5" s="1"/>
  <c r="AY26" i="5"/>
  <c r="H65" i="5"/>
  <c r="G26" i="5"/>
  <c r="AB26" i="5" s="1"/>
  <c r="H27" i="5"/>
  <c r="AO63" i="1"/>
  <c r="AJ26" i="3"/>
  <c r="AI26" i="3" s="1"/>
  <c r="AF26" i="3"/>
  <c r="AF27" i="3"/>
  <c r="AF25" i="3"/>
  <c r="AJ24" i="3"/>
  <c r="AI24" i="3" s="1"/>
  <c r="AF24" i="3"/>
  <c r="AF28" i="3"/>
  <c r="AF21" i="3"/>
  <c r="AJ27" i="20"/>
  <c r="AR26" i="20"/>
  <c r="T29" i="20"/>
  <c r="AB28" i="20"/>
  <c r="AF29" i="3"/>
  <c r="AJ29" i="3"/>
  <c r="AJ27" i="3"/>
  <c r="AI27" i="3" s="1"/>
  <c r="AJ21" i="3"/>
  <c r="AI21" i="3" s="1"/>
  <c r="AJ22" i="3"/>
  <c r="AI22" i="3" s="1"/>
  <c r="AJ25" i="3"/>
  <c r="AI25" i="3" s="1"/>
  <c r="AF32" i="3"/>
  <c r="AJ32" i="3"/>
  <c r="AI32" i="3" s="1"/>
  <c r="AI30" i="3"/>
  <c r="AF31" i="3"/>
  <c r="AF30" i="3"/>
  <c r="AI31" i="3"/>
  <c r="AJ28" i="3"/>
  <c r="AK28" i="3"/>
  <c r="L47" i="3"/>
  <c r="L48" i="3" s="1"/>
  <c r="O15" i="3"/>
  <c r="BE213" i="3"/>
  <c r="BF212" i="3"/>
  <c r="B50" i="5"/>
  <c r="BE215" i="3" s="1"/>
  <c r="AF30" i="1"/>
  <c r="AG30" i="1"/>
  <c r="G66" i="1"/>
  <c r="H66" i="1"/>
  <c r="G62" i="1"/>
  <c r="H62" i="1"/>
  <c r="AF25" i="1"/>
  <c r="AG25" i="1"/>
  <c r="AF21" i="1"/>
  <c r="AG21" i="1"/>
  <c r="AE30" i="1"/>
  <c r="AE31" i="1" s="1"/>
  <c r="F66" i="1"/>
  <c r="F62" i="1"/>
  <c r="AE25" i="1"/>
  <c r="AE26" i="1" s="1"/>
  <c r="AE21" i="1"/>
  <c r="AE22" i="1" s="1"/>
  <c r="G77" i="1"/>
  <c r="G81" i="1"/>
  <c r="G85" i="1"/>
  <c r="G89" i="1"/>
  <c r="AF151" i="1"/>
  <c r="H77" i="1"/>
  <c r="H81" i="1"/>
  <c r="H85" i="1"/>
  <c r="H89" i="1"/>
  <c r="AG151" i="1"/>
  <c r="F77" i="1"/>
  <c r="F78" i="1" s="1"/>
  <c r="D15" i="27" s="1"/>
  <c r="F81" i="1"/>
  <c r="F82" i="1" s="1"/>
  <c r="D16" i="27" s="1"/>
  <c r="F85" i="1"/>
  <c r="F86" i="1" s="1"/>
  <c r="D17" i="27" s="1"/>
  <c r="F89" i="1"/>
  <c r="F90" i="1" s="1"/>
  <c r="D18" i="27" s="1"/>
  <c r="AE151" i="1"/>
  <c r="AE152" i="1" s="1"/>
  <c r="M132" i="1"/>
  <c r="F6" i="2"/>
  <c r="G6" i="2" s="1"/>
  <c r="H6" i="2" s="1"/>
  <c r="I6" i="2" s="1"/>
  <c r="J6" i="2" s="1"/>
  <c r="K6" i="2" s="1"/>
  <c r="L6" i="2" s="1"/>
  <c r="G29" i="1"/>
  <c r="G36" i="1" s="1"/>
  <c r="H29" i="1"/>
  <c r="G34" i="1"/>
  <c r="H34" i="1"/>
  <c r="E27" i="1"/>
  <c r="F34" i="1"/>
  <c r="G154" i="1" l="1"/>
  <c r="G150" i="1"/>
  <c r="G146" i="1"/>
  <c r="G135" i="1"/>
  <c r="G131" i="1"/>
  <c r="AF259" i="1"/>
  <c r="G166" i="1"/>
  <c r="G172" i="1"/>
  <c r="G175" i="1"/>
  <c r="G91" i="1"/>
  <c r="G121" i="1"/>
  <c r="G104" i="1"/>
  <c r="O109" i="1" s="1"/>
  <c r="AD105" i="32" s="1"/>
  <c r="G108" i="1"/>
  <c r="G117" i="1"/>
  <c r="O110" i="1" s="1"/>
  <c r="AD110" i="32" s="1"/>
  <c r="AD112" i="32" s="1"/>
  <c r="BG212" i="3"/>
  <c r="BF213" i="3"/>
  <c r="BF215" i="3"/>
  <c r="G64" i="1"/>
  <c r="G196" i="1"/>
  <c r="G79" i="1"/>
  <c r="G83" i="1"/>
  <c r="AF153" i="1"/>
  <c r="G87" i="1"/>
  <c r="G68" i="1"/>
  <c r="AY65" i="5"/>
  <c r="AY68" i="5" s="1"/>
  <c r="F63" i="1"/>
  <c r="D21" i="27" s="1"/>
  <c r="E21" i="27"/>
  <c r="F67" i="1"/>
  <c r="D22" i="27" s="1"/>
  <c r="E22" i="27"/>
  <c r="AZ27" i="5"/>
  <c r="H66" i="5"/>
  <c r="G27" i="5"/>
  <c r="AC27" i="5" s="1"/>
  <c r="M6" i="2"/>
  <c r="N6" i="2" s="1"/>
  <c r="F359" i="22"/>
  <c r="F360" i="22"/>
  <c r="F356" i="22"/>
  <c r="F355" i="22"/>
  <c r="AI28" i="3"/>
  <c r="P15" i="3"/>
  <c r="O18" i="3"/>
  <c r="S9" i="20"/>
  <c r="R11" i="20" s="1"/>
  <c r="F557" i="23"/>
  <c r="F558" i="23"/>
  <c r="F602" i="23" s="1"/>
  <c r="F554" i="23"/>
  <c r="AI9" i="20"/>
  <c r="AH11" i="20" s="1"/>
  <c r="F553" i="23"/>
  <c r="H35" i="1"/>
  <c r="F2" i="24"/>
  <c r="AJ28" i="20"/>
  <c r="AR27" i="20"/>
  <c r="T30" i="20"/>
  <c r="AB29" i="20"/>
  <c r="F35" i="1"/>
  <c r="F31" i="1"/>
  <c r="G35" i="1"/>
  <c r="J24" i="5"/>
  <c r="I24" i="5"/>
  <c r="H36" i="1"/>
  <c r="H31" i="1"/>
  <c r="G31" i="1"/>
  <c r="S74" i="18" l="1"/>
  <c r="AD107" i="32"/>
  <c r="H154" i="1"/>
  <c r="H150" i="1"/>
  <c r="H146" i="1"/>
  <c r="AG259" i="1"/>
  <c r="H135" i="1"/>
  <c r="H131" i="1"/>
  <c r="H175" i="1"/>
  <c r="H176" i="1" s="1"/>
  <c r="G176" i="1"/>
  <c r="H172" i="1"/>
  <c r="H173" i="1" s="1"/>
  <c r="G173" i="1"/>
  <c r="H166" i="1"/>
  <c r="G164" i="1"/>
  <c r="H196" i="1"/>
  <c r="H197" i="1" s="1"/>
  <c r="H121" i="1"/>
  <c r="H104" i="1"/>
  <c r="H108" i="1"/>
  <c r="H109" i="1" s="1"/>
  <c r="H117" i="1"/>
  <c r="P110" i="1" s="1"/>
  <c r="Q15" i="3"/>
  <c r="P18" i="3"/>
  <c r="BH212" i="3"/>
  <c r="BG213" i="3"/>
  <c r="BG215" i="3"/>
  <c r="H79" i="1"/>
  <c r="AG153" i="1"/>
  <c r="H91" i="1"/>
  <c r="H87" i="1"/>
  <c r="H83" i="1"/>
  <c r="H64" i="1"/>
  <c r="H68" i="1"/>
  <c r="F509" i="23"/>
  <c r="F510" i="23" s="1"/>
  <c r="G509" i="23"/>
  <c r="G511" i="23"/>
  <c r="H511" i="23"/>
  <c r="H509" i="23"/>
  <c r="J511" i="23"/>
  <c r="J509" i="23"/>
  <c r="K509" i="23"/>
  <c r="K511" i="23"/>
  <c r="M511" i="23"/>
  <c r="M509" i="23"/>
  <c r="L509" i="23"/>
  <c r="L511" i="23"/>
  <c r="N509" i="23"/>
  <c r="N511" i="23"/>
  <c r="O511" i="23"/>
  <c r="O509" i="23"/>
  <c r="O510" i="23" s="1"/>
  <c r="P509" i="23"/>
  <c r="P510" i="23" s="1"/>
  <c r="P511" i="23"/>
  <c r="Q511" i="23"/>
  <c r="Q509" i="23"/>
  <c r="Q510" i="23" s="1"/>
  <c r="R511" i="23"/>
  <c r="R509" i="23"/>
  <c r="S511" i="23"/>
  <c r="S509" i="23"/>
  <c r="T511" i="23"/>
  <c r="T509" i="23"/>
  <c r="T510" i="23" s="1"/>
  <c r="U511" i="23"/>
  <c r="U509" i="23"/>
  <c r="U510" i="23" s="1"/>
  <c r="V511" i="23"/>
  <c r="V509" i="23"/>
  <c r="W509" i="23"/>
  <c r="W511" i="23"/>
  <c r="X509" i="23"/>
  <c r="X511" i="23"/>
  <c r="Y509" i="23"/>
  <c r="Y511" i="23"/>
  <c r="Z509" i="23"/>
  <c r="Z511" i="23"/>
  <c r="F311" i="22"/>
  <c r="F312" i="22" s="1"/>
  <c r="F287" i="22"/>
  <c r="F288" i="22" s="1"/>
  <c r="G287" i="22"/>
  <c r="G288" i="22" s="1"/>
  <c r="G313" i="22"/>
  <c r="G311" i="22"/>
  <c r="G312" i="22" s="1"/>
  <c r="G289" i="22"/>
  <c r="H289" i="22"/>
  <c r="H311" i="22"/>
  <c r="H313" i="22"/>
  <c r="H287" i="22"/>
  <c r="J289" i="22"/>
  <c r="J313" i="22"/>
  <c r="J287" i="22"/>
  <c r="J311" i="22"/>
  <c r="K289" i="22"/>
  <c r="K313" i="22"/>
  <c r="K287" i="22"/>
  <c r="L313" i="22"/>
  <c r="L311" i="22"/>
  <c r="K311" i="22"/>
  <c r="M287" i="22"/>
  <c r="M288" i="22" s="1"/>
  <c r="L287" i="22"/>
  <c r="L289" i="22"/>
  <c r="M313" i="22"/>
  <c r="M289" i="22"/>
  <c r="M311" i="22"/>
  <c r="N313" i="22"/>
  <c r="N311" i="22"/>
  <c r="N289" i="22"/>
  <c r="N287" i="22"/>
  <c r="N288" i="22" s="1"/>
  <c r="O313" i="22"/>
  <c r="O311" i="22"/>
  <c r="O312" i="22" s="1"/>
  <c r="O287" i="22"/>
  <c r="O289" i="22"/>
  <c r="P287" i="22"/>
  <c r="P313" i="22"/>
  <c r="P289" i="22"/>
  <c r="P311" i="22"/>
  <c r="Q289" i="22"/>
  <c r="Q313" i="22"/>
  <c r="Q287" i="22"/>
  <c r="Q311" i="22"/>
  <c r="R313" i="22"/>
  <c r="R287" i="22"/>
  <c r="R289" i="22"/>
  <c r="R311" i="22"/>
  <c r="R312" i="22" s="1"/>
  <c r="S311" i="22"/>
  <c r="S313" i="22"/>
  <c r="S287" i="22"/>
  <c r="S289" i="22"/>
  <c r="T289" i="22"/>
  <c r="T287" i="22"/>
  <c r="T313" i="22"/>
  <c r="T311" i="22"/>
  <c r="U311" i="22"/>
  <c r="U312" i="22" s="1"/>
  <c r="U313" i="22"/>
  <c r="U287" i="22"/>
  <c r="U289" i="22"/>
  <c r="V287" i="22"/>
  <c r="V311" i="22"/>
  <c r="V313" i="22"/>
  <c r="V289" i="22"/>
  <c r="W289" i="22"/>
  <c r="W313" i="22"/>
  <c r="W287" i="22"/>
  <c r="W311" i="22"/>
  <c r="W312" i="22" s="1"/>
  <c r="X287" i="22"/>
  <c r="X288" i="22" s="1"/>
  <c r="X311" i="22"/>
  <c r="X312" i="22" s="1"/>
  <c r="X313" i="22"/>
  <c r="X289" i="22"/>
  <c r="Y289" i="22"/>
  <c r="Y287" i="22"/>
  <c r="Y311" i="22"/>
  <c r="Y313" i="22"/>
  <c r="Z311" i="22"/>
  <c r="Z313" i="22"/>
  <c r="Z289" i="22"/>
  <c r="Z287" i="22"/>
  <c r="F224" i="18"/>
  <c r="E82" i="2" s="1"/>
  <c r="F257" i="18"/>
  <c r="F258" i="18" s="1"/>
  <c r="F233" i="18"/>
  <c r="G224" i="18"/>
  <c r="F82" i="2" s="1"/>
  <c r="G235" i="18"/>
  <c r="G259" i="18"/>
  <c r="G233" i="18"/>
  <c r="G257" i="18"/>
  <c r="H224" i="18"/>
  <c r="H233" i="18"/>
  <c r="H234" i="18" s="1"/>
  <c r="H235" i="18"/>
  <c r="H259" i="18"/>
  <c r="H257" i="18"/>
  <c r="K224" i="18"/>
  <c r="K235" i="18"/>
  <c r="K259" i="18"/>
  <c r="K233" i="18"/>
  <c r="K257" i="18"/>
  <c r="L233" i="18"/>
  <c r="L259" i="18"/>
  <c r="L224" i="18"/>
  <c r="L235" i="18"/>
  <c r="L257" i="18"/>
  <c r="M224" i="18"/>
  <c r="N259" i="18"/>
  <c r="M259" i="18"/>
  <c r="M233" i="18"/>
  <c r="M235" i="18"/>
  <c r="N257" i="18"/>
  <c r="N258" i="18" s="1"/>
  <c r="M257" i="18"/>
  <c r="M258" i="18" s="1"/>
  <c r="O259" i="18"/>
  <c r="O257" i="18"/>
  <c r="O258" i="18" s="1"/>
  <c r="N224" i="18"/>
  <c r="N233" i="18"/>
  <c r="N235" i="18"/>
  <c r="O224" i="18"/>
  <c r="O233" i="18"/>
  <c r="O235" i="18"/>
  <c r="P257" i="18"/>
  <c r="P259" i="18"/>
  <c r="Q257" i="18"/>
  <c r="Q259" i="18"/>
  <c r="P224" i="18"/>
  <c r="P233" i="18"/>
  <c r="P235" i="18"/>
  <c r="R257" i="18"/>
  <c r="R259" i="18"/>
  <c r="Q224" i="18"/>
  <c r="Q235" i="18"/>
  <c r="Q233" i="18"/>
  <c r="S257" i="18"/>
  <c r="S259" i="18"/>
  <c r="R224" i="18"/>
  <c r="R235" i="18"/>
  <c r="R233" i="18"/>
  <c r="T257" i="18"/>
  <c r="T258" i="18" s="1"/>
  <c r="T259" i="18"/>
  <c r="S224" i="18"/>
  <c r="S235" i="18"/>
  <c r="S233" i="18"/>
  <c r="U257" i="18"/>
  <c r="U258" i="18" s="1"/>
  <c r="U259" i="18"/>
  <c r="T224" i="18"/>
  <c r="T235" i="18"/>
  <c r="T233" i="18"/>
  <c r="V257" i="18"/>
  <c r="V259" i="18"/>
  <c r="U224" i="18"/>
  <c r="U235" i="18"/>
  <c r="U233" i="18"/>
  <c r="V224" i="18"/>
  <c r="V233" i="18"/>
  <c r="V235" i="18"/>
  <c r="W259" i="18"/>
  <c r="W257" i="18"/>
  <c r="W224" i="18"/>
  <c r="W233" i="18"/>
  <c r="W235" i="18"/>
  <c r="X257" i="18"/>
  <c r="X259" i="18"/>
  <c r="X224" i="18"/>
  <c r="X233" i="18"/>
  <c r="X235" i="18"/>
  <c r="Y257" i="18"/>
  <c r="Y259" i="18"/>
  <c r="Y224" i="18"/>
  <c r="Y233" i="18"/>
  <c r="Y235" i="18"/>
  <c r="Z259" i="18"/>
  <c r="Z257" i="18"/>
  <c r="Z224" i="18"/>
  <c r="Z233" i="18"/>
  <c r="Z235" i="18"/>
  <c r="J63" i="5"/>
  <c r="CM63" i="5" s="1"/>
  <c r="AQ184" i="18"/>
  <c r="AR184" i="18"/>
  <c r="AS184" i="18"/>
  <c r="AT184" i="18"/>
  <c r="AU184" i="18"/>
  <c r="AW184" i="18"/>
  <c r="AV184" i="18"/>
  <c r="AX184" i="18"/>
  <c r="AY184" i="18"/>
  <c r="AZ184" i="18"/>
  <c r="BA184" i="18"/>
  <c r="BB184" i="18"/>
  <c r="BC184" i="18"/>
  <c r="BD184" i="18"/>
  <c r="BE184" i="18"/>
  <c r="BF184" i="18"/>
  <c r="BG184" i="18"/>
  <c r="BH184" i="18"/>
  <c r="BI184" i="18"/>
  <c r="BJ184" i="18"/>
  <c r="BK184" i="18"/>
  <c r="F291" i="23"/>
  <c r="F292" i="23" s="1"/>
  <c r="G291" i="23"/>
  <c r="H291" i="23"/>
  <c r="I291" i="23"/>
  <c r="F350" i="23"/>
  <c r="G350" i="23"/>
  <c r="H350" i="23"/>
  <c r="I350" i="23"/>
  <c r="I352" i="23" s="1"/>
  <c r="J350" i="23"/>
  <c r="N356" i="23"/>
  <c r="N350" i="23"/>
  <c r="O350" i="23"/>
  <c r="O356" i="23"/>
  <c r="P350" i="23"/>
  <c r="P356" i="23"/>
  <c r="Q350" i="23"/>
  <c r="Q356" i="23"/>
  <c r="R350" i="23"/>
  <c r="R356" i="23"/>
  <c r="S350" i="23"/>
  <c r="S356" i="23"/>
  <c r="T350" i="23"/>
  <c r="T356" i="23"/>
  <c r="U350" i="23"/>
  <c r="U356" i="23"/>
  <c r="V356" i="23"/>
  <c r="V350" i="23"/>
  <c r="W356" i="23"/>
  <c r="W350" i="23"/>
  <c r="X356" i="23"/>
  <c r="X350" i="23"/>
  <c r="Y356" i="23"/>
  <c r="Y350" i="23"/>
  <c r="Z356" i="23"/>
  <c r="Z350" i="23"/>
  <c r="F82" i="22"/>
  <c r="F108" i="22"/>
  <c r="H108" i="22"/>
  <c r="G82" i="22"/>
  <c r="G108" i="22"/>
  <c r="H82" i="22"/>
  <c r="J108" i="22"/>
  <c r="J82" i="22"/>
  <c r="K108" i="22"/>
  <c r="K82" i="22"/>
  <c r="L108" i="22"/>
  <c r="L82" i="22"/>
  <c r="M82" i="22"/>
  <c r="M108" i="22"/>
  <c r="N108" i="22"/>
  <c r="N82" i="22"/>
  <c r="O82" i="22"/>
  <c r="O108" i="22"/>
  <c r="P82" i="22"/>
  <c r="P108" i="22"/>
  <c r="Q82" i="22"/>
  <c r="Q108" i="22"/>
  <c r="R108" i="22"/>
  <c r="R82" i="22"/>
  <c r="S108" i="22"/>
  <c r="S82" i="22"/>
  <c r="T82" i="22"/>
  <c r="T108" i="22"/>
  <c r="U82" i="22"/>
  <c r="U108" i="22"/>
  <c r="V108" i="22"/>
  <c r="V82" i="22"/>
  <c r="W82" i="22"/>
  <c r="W108" i="22"/>
  <c r="X82" i="22"/>
  <c r="X108" i="22"/>
  <c r="Y108" i="22"/>
  <c r="Y82" i="22"/>
  <c r="Z82" i="22"/>
  <c r="Z108" i="22"/>
  <c r="F100" i="18"/>
  <c r="F74" i="18"/>
  <c r="H74" i="18"/>
  <c r="G74" i="18"/>
  <c r="G100" i="18"/>
  <c r="H100" i="18"/>
  <c r="K74" i="18"/>
  <c r="K100" i="18"/>
  <c r="L74" i="18"/>
  <c r="M74" i="18"/>
  <c r="L100" i="18"/>
  <c r="N74" i="18"/>
  <c r="M100" i="18"/>
  <c r="N100" i="18"/>
  <c r="O74" i="18"/>
  <c r="O100" i="18"/>
  <c r="P74" i="18"/>
  <c r="P100" i="18"/>
  <c r="Q74" i="18"/>
  <c r="Q100" i="18"/>
  <c r="R74" i="18"/>
  <c r="R100" i="18"/>
  <c r="S100" i="18"/>
  <c r="T74" i="18"/>
  <c r="T100" i="18"/>
  <c r="U74" i="18"/>
  <c r="U100" i="18"/>
  <c r="V74" i="18"/>
  <c r="V100" i="18"/>
  <c r="W74" i="18"/>
  <c r="X74" i="18"/>
  <c r="W100" i="18"/>
  <c r="X100" i="18"/>
  <c r="Y74" i="18"/>
  <c r="Y100" i="18"/>
  <c r="Z74" i="18"/>
  <c r="Z100" i="18"/>
  <c r="F238" i="23"/>
  <c r="F264" i="23"/>
  <c r="G264" i="23"/>
  <c r="H238" i="23"/>
  <c r="G238" i="23"/>
  <c r="H264" i="23"/>
  <c r="J238" i="23"/>
  <c r="J264" i="23"/>
  <c r="K264" i="23"/>
  <c r="K238" i="23"/>
  <c r="L264" i="23"/>
  <c r="L238" i="23"/>
  <c r="M264" i="23"/>
  <c r="M238" i="23"/>
  <c r="N238" i="23"/>
  <c r="N264" i="23"/>
  <c r="O238" i="23"/>
  <c r="O264" i="23"/>
  <c r="P238" i="23"/>
  <c r="P264" i="23"/>
  <c r="Q264" i="23"/>
  <c r="Q238" i="23"/>
  <c r="R264" i="23"/>
  <c r="R238" i="23"/>
  <c r="S238" i="23"/>
  <c r="S264" i="23"/>
  <c r="T238" i="23"/>
  <c r="T264" i="23"/>
  <c r="U264" i="23"/>
  <c r="U238" i="23"/>
  <c r="V238" i="23"/>
  <c r="V264" i="23"/>
  <c r="W238" i="23"/>
  <c r="W264" i="23"/>
  <c r="X264" i="23"/>
  <c r="X238" i="23"/>
  <c r="Y264" i="23"/>
  <c r="Y238" i="23"/>
  <c r="Z264" i="23"/>
  <c r="Z238" i="23"/>
  <c r="AZ66" i="5"/>
  <c r="AZ68" i="5" s="1"/>
  <c r="F144" i="18"/>
  <c r="G144" i="18"/>
  <c r="H144" i="18"/>
  <c r="I144" i="18"/>
  <c r="J144" i="18"/>
  <c r="L144" i="18"/>
  <c r="K144" i="18"/>
  <c r="M144" i="18"/>
  <c r="N144" i="18"/>
  <c r="O144" i="18"/>
  <c r="Q144" i="18"/>
  <c r="R144" i="18"/>
  <c r="S144" i="18"/>
  <c r="T144" i="18"/>
  <c r="U144" i="18"/>
  <c r="V144" i="18"/>
  <c r="W144" i="18"/>
  <c r="X144" i="18"/>
  <c r="Y144" i="18"/>
  <c r="Z144" i="18"/>
  <c r="AR72" i="18"/>
  <c r="AQ72" i="18"/>
  <c r="AS72" i="18"/>
  <c r="AT72" i="18"/>
  <c r="AU72" i="18"/>
  <c r="AV72" i="18"/>
  <c r="AW72" i="18"/>
  <c r="AX72" i="18"/>
  <c r="AY72" i="18"/>
  <c r="AZ72" i="18"/>
  <c r="BA72" i="18"/>
  <c r="BB72" i="18"/>
  <c r="BC72" i="18"/>
  <c r="BD72" i="18"/>
  <c r="BE72" i="18"/>
  <c r="BF72" i="18"/>
  <c r="BG72" i="18"/>
  <c r="BH72" i="18"/>
  <c r="BI72" i="18"/>
  <c r="BJ72" i="18"/>
  <c r="BK72" i="18"/>
  <c r="AX97" i="22"/>
  <c r="AX70" i="22"/>
  <c r="AW70" i="22"/>
  <c r="AW97" i="22"/>
  <c r="AY70" i="22"/>
  <c r="AY97" i="22"/>
  <c r="AZ70" i="22"/>
  <c r="BA70" i="22"/>
  <c r="BA97" i="22"/>
  <c r="BB97" i="22"/>
  <c r="BB70" i="22"/>
  <c r="BC97" i="22"/>
  <c r="BC70" i="22"/>
  <c r="BD97" i="22"/>
  <c r="BD70" i="22"/>
  <c r="BE70" i="22"/>
  <c r="BE97" i="22"/>
  <c r="BF97" i="22"/>
  <c r="BF70" i="22"/>
  <c r="BG70" i="22"/>
  <c r="BG97" i="22"/>
  <c r="BH70" i="22"/>
  <c r="BH97" i="22"/>
  <c r="BI97" i="22"/>
  <c r="BI70" i="22"/>
  <c r="BJ97" i="22"/>
  <c r="BJ70" i="22"/>
  <c r="BK70" i="22"/>
  <c r="BK97" i="22"/>
  <c r="BL97" i="22"/>
  <c r="BL70" i="22"/>
  <c r="BM97" i="22"/>
  <c r="BM70" i="22"/>
  <c r="BN70" i="22"/>
  <c r="BN97" i="22"/>
  <c r="BO97" i="22"/>
  <c r="BO70" i="22"/>
  <c r="BP70" i="22"/>
  <c r="BP97" i="22"/>
  <c r="BQ97" i="22"/>
  <c r="BQ70" i="22"/>
  <c r="AZ97" i="22"/>
  <c r="G143" i="23"/>
  <c r="F143" i="23"/>
  <c r="F144" i="23" s="1"/>
  <c r="F116" i="23"/>
  <c r="F117" i="23" s="1"/>
  <c r="G116" i="23"/>
  <c r="H116" i="23"/>
  <c r="H143" i="23"/>
  <c r="I116" i="23"/>
  <c r="J143" i="23"/>
  <c r="J116" i="23"/>
  <c r="K116" i="23"/>
  <c r="K143" i="23"/>
  <c r="L116" i="23"/>
  <c r="L143" i="23"/>
  <c r="M143" i="23"/>
  <c r="M116" i="23"/>
  <c r="N116" i="23"/>
  <c r="N143" i="23"/>
  <c r="O116" i="23"/>
  <c r="O143" i="23"/>
  <c r="P116" i="23"/>
  <c r="P143" i="23"/>
  <c r="Q116" i="23"/>
  <c r="Q143" i="23"/>
  <c r="R116" i="23"/>
  <c r="R143" i="23"/>
  <c r="S116" i="23"/>
  <c r="S143" i="23"/>
  <c r="T143" i="23"/>
  <c r="T116" i="23"/>
  <c r="U116" i="23"/>
  <c r="U143" i="23"/>
  <c r="V143" i="23"/>
  <c r="V116" i="23"/>
  <c r="W116" i="23"/>
  <c r="W143" i="23"/>
  <c r="X116" i="23"/>
  <c r="X143" i="23"/>
  <c r="Y116" i="23"/>
  <c r="Y143" i="23"/>
  <c r="Z143" i="23"/>
  <c r="Z116" i="23"/>
  <c r="I143" i="23"/>
  <c r="F152" i="22"/>
  <c r="G152" i="22"/>
  <c r="H152" i="22"/>
  <c r="I152" i="22"/>
  <c r="J152" i="22"/>
  <c r="K152" i="22"/>
  <c r="L152" i="22"/>
  <c r="P152" i="22"/>
  <c r="P154" i="22" s="1"/>
  <c r="Q152" i="22"/>
  <c r="R152" i="22"/>
  <c r="S152" i="22"/>
  <c r="T152" i="22"/>
  <c r="U152" i="22"/>
  <c r="V152" i="22"/>
  <c r="W152" i="22"/>
  <c r="X152" i="22"/>
  <c r="Y152" i="22"/>
  <c r="Z152" i="22"/>
  <c r="AR49" i="18"/>
  <c r="AQ49" i="18"/>
  <c r="AS49" i="18"/>
  <c r="AT49" i="18"/>
  <c r="AU49" i="18"/>
  <c r="AV49" i="18"/>
  <c r="AW49" i="18"/>
  <c r="AX49" i="18"/>
  <c r="AY49" i="18"/>
  <c r="AZ49" i="18"/>
  <c r="BA49" i="18"/>
  <c r="BB49" i="18"/>
  <c r="BC49" i="18"/>
  <c r="BD49" i="18"/>
  <c r="BE49" i="18"/>
  <c r="BF49" i="18"/>
  <c r="BG49" i="18"/>
  <c r="BH49" i="18"/>
  <c r="BI49" i="18"/>
  <c r="BJ49" i="18"/>
  <c r="BK49" i="18"/>
  <c r="N672" i="23"/>
  <c r="O672" i="23"/>
  <c r="P672" i="23"/>
  <c r="Q672" i="23"/>
  <c r="R672" i="23"/>
  <c r="S672" i="23"/>
  <c r="T672" i="23"/>
  <c r="U672" i="23"/>
  <c r="V672" i="23"/>
  <c r="W672" i="23"/>
  <c r="X672" i="23"/>
  <c r="Z672" i="23"/>
  <c r="Y672" i="23"/>
  <c r="P474" i="22"/>
  <c r="Q474" i="22"/>
  <c r="R474" i="22"/>
  <c r="S474" i="22"/>
  <c r="T474" i="22"/>
  <c r="U474" i="22"/>
  <c r="V474" i="22"/>
  <c r="W474" i="22"/>
  <c r="X474" i="22"/>
  <c r="Y474" i="22"/>
  <c r="Z474" i="22"/>
  <c r="Q420" i="18"/>
  <c r="R420" i="18"/>
  <c r="S420" i="18"/>
  <c r="T420" i="18"/>
  <c r="U420" i="18"/>
  <c r="V420" i="18"/>
  <c r="W420" i="18"/>
  <c r="X420" i="18"/>
  <c r="Z420" i="18"/>
  <c r="Y420" i="18"/>
  <c r="G237" i="1"/>
  <c r="G241" i="1"/>
  <c r="G245" i="1"/>
  <c r="G249" i="1"/>
  <c r="G253" i="1"/>
  <c r="G252" i="1" s="1"/>
  <c r="G210" i="1"/>
  <c r="G209" i="1" s="1"/>
  <c r="G214" i="1"/>
  <c r="G222" i="1"/>
  <c r="G226" i="1"/>
  <c r="G225" i="1" s="1"/>
  <c r="G218" i="1"/>
  <c r="H241" i="1"/>
  <c r="H245" i="1"/>
  <c r="H249" i="1"/>
  <c r="H253" i="1"/>
  <c r="H252" i="1" s="1"/>
  <c r="H237" i="1"/>
  <c r="H222" i="1"/>
  <c r="H226" i="1"/>
  <c r="H225" i="1" s="1"/>
  <c r="H214" i="1"/>
  <c r="H210" i="1"/>
  <c r="H209" i="1" s="1"/>
  <c r="H218" i="1"/>
  <c r="F278" i="22"/>
  <c r="F289" i="22"/>
  <c r="F302" i="22"/>
  <c r="F313" i="22"/>
  <c r="G302" i="22"/>
  <c r="G278" i="22"/>
  <c r="H302" i="22"/>
  <c r="H278" i="22"/>
  <c r="I278" i="22"/>
  <c r="I302" i="22"/>
  <c r="K302" i="22"/>
  <c r="J302" i="22"/>
  <c r="J278" i="22"/>
  <c r="K278" i="22"/>
  <c r="L278" i="22"/>
  <c r="L302" i="22"/>
  <c r="M278" i="22"/>
  <c r="M302" i="22"/>
  <c r="N302" i="22"/>
  <c r="N278" i="22"/>
  <c r="O302" i="22"/>
  <c r="O278" i="22"/>
  <c r="P278" i="22"/>
  <c r="P302" i="22"/>
  <c r="Q278" i="22"/>
  <c r="Q302" i="22"/>
  <c r="R278" i="22"/>
  <c r="R302" i="22"/>
  <c r="S302" i="22"/>
  <c r="S278" i="22"/>
  <c r="T278" i="22"/>
  <c r="T302" i="22"/>
  <c r="U278" i="22"/>
  <c r="U302" i="22"/>
  <c r="V302" i="22"/>
  <c r="V278" i="22"/>
  <c r="W302" i="22"/>
  <c r="W278" i="22"/>
  <c r="X302" i="22"/>
  <c r="X278" i="22"/>
  <c r="Y302" i="22"/>
  <c r="Y278" i="22"/>
  <c r="Z278" i="22"/>
  <c r="Z302" i="22"/>
  <c r="AW43" i="22"/>
  <c r="AW16" i="22"/>
  <c r="AX16" i="22"/>
  <c r="AX43" i="22"/>
  <c r="AY16" i="22"/>
  <c r="AY43" i="22"/>
  <c r="AZ43" i="22"/>
  <c r="AZ16" i="22"/>
  <c r="BA16" i="22"/>
  <c r="BA43" i="22"/>
  <c r="BB16" i="22"/>
  <c r="BB43" i="22"/>
  <c r="BC16" i="22"/>
  <c r="BC43" i="22"/>
  <c r="BD16" i="22"/>
  <c r="BD43" i="22"/>
  <c r="BE43" i="22"/>
  <c r="BE16" i="22"/>
  <c r="BF16" i="22"/>
  <c r="BF43" i="22"/>
  <c r="F35" i="22"/>
  <c r="F8" i="22"/>
  <c r="BG43" i="22"/>
  <c r="BG16" i="22"/>
  <c r="G8" i="22"/>
  <c r="BH16" i="22"/>
  <c r="H35" i="22"/>
  <c r="G35" i="22"/>
  <c r="BH43" i="22"/>
  <c r="BI43" i="22"/>
  <c r="H8" i="22"/>
  <c r="BI16" i="22"/>
  <c r="J8" i="22"/>
  <c r="BJ16" i="22"/>
  <c r="BJ43" i="22"/>
  <c r="J35" i="22"/>
  <c r="K8" i="22"/>
  <c r="BK43" i="22"/>
  <c r="K35" i="22"/>
  <c r="BK16" i="22"/>
  <c r="BL16" i="22"/>
  <c r="L35" i="22"/>
  <c r="BL43" i="22"/>
  <c r="L8" i="22"/>
  <c r="BM16" i="22"/>
  <c r="M35" i="22"/>
  <c r="BM43" i="22"/>
  <c r="M8" i="22"/>
  <c r="BN16" i="22"/>
  <c r="BN43" i="22"/>
  <c r="N35" i="22"/>
  <c r="N8" i="22"/>
  <c r="BO16" i="22"/>
  <c r="O8" i="22"/>
  <c r="O35" i="22"/>
  <c r="BO43" i="22"/>
  <c r="BP16" i="22"/>
  <c r="P35" i="22"/>
  <c r="BP43" i="22"/>
  <c r="P8" i="22"/>
  <c r="BQ16" i="22"/>
  <c r="Q8" i="22"/>
  <c r="BQ43" i="22"/>
  <c r="Q35" i="22"/>
  <c r="R8" i="22"/>
  <c r="R35" i="22"/>
  <c r="S8" i="22"/>
  <c r="S35" i="22"/>
  <c r="T35" i="22"/>
  <c r="T8" i="22"/>
  <c r="U35" i="22"/>
  <c r="U8" i="22"/>
  <c r="V35" i="22"/>
  <c r="V8" i="22"/>
  <c r="W8" i="22"/>
  <c r="W35" i="22"/>
  <c r="X8" i="22"/>
  <c r="X35" i="22"/>
  <c r="Y35" i="22"/>
  <c r="Y8" i="22"/>
  <c r="Z35" i="22"/>
  <c r="Z8" i="22"/>
  <c r="F248" i="18"/>
  <c r="E80" i="2" s="1"/>
  <c r="AQ3" i="18"/>
  <c r="F259" i="18"/>
  <c r="F235" i="18"/>
  <c r="AQ26" i="18"/>
  <c r="AS26" i="18"/>
  <c r="G248" i="18"/>
  <c r="F80" i="2" s="1"/>
  <c r="AR3" i="18"/>
  <c r="AR26" i="18"/>
  <c r="AS3" i="18"/>
  <c r="AT26" i="18"/>
  <c r="H248" i="18"/>
  <c r="AU26" i="18"/>
  <c r="AT3" i="18"/>
  <c r="AV26" i="18"/>
  <c r="AU3" i="18"/>
  <c r="K248" i="18"/>
  <c r="AV3" i="18"/>
  <c r="AW26" i="18"/>
  <c r="AW3" i="18"/>
  <c r="AX26" i="18"/>
  <c r="M248" i="18"/>
  <c r="L248" i="18"/>
  <c r="AY26" i="18"/>
  <c r="AX3" i="18"/>
  <c r="N248" i="18"/>
  <c r="AY3" i="18"/>
  <c r="AZ26" i="18"/>
  <c r="O248" i="18"/>
  <c r="BA26" i="18"/>
  <c r="P248" i="18"/>
  <c r="AZ3" i="18"/>
  <c r="BB26" i="18"/>
  <c r="Q248" i="18"/>
  <c r="BA3" i="18"/>
  <c r="BC26" i="18"/>
  <c r="BB3" i="18"/>
  <c r="R248" i="18"/>
  <c r="BC3" i="18"/>
  <c r="BD26" i="18"/>
  <c r="S248" i="18"/>
  <c r="BE26" i="18"/>
  <c r="BD3" i="18"/>
  <c r="T248" i="18"/>
  <c r="BF26" i="18"/>
  <c r="BE3" i="18"/>
  <c r="U248" i="18"/>
  <c r="BG26" i="18"/>
  <c r="V248" i="18"/>
  <c r="BF3" i="18"/>
  <c r="BH26" i="18"/>
  <c r="W248" i="18"/>
  <c r="BG3" i="18"/>
  <c r="BI26" i="18"/>
  <c r="X248" i="18"/>
  <c r="BH3" i="18"/>
  <c r="BJ26" i="18"/>
  <c r="Y248" i="18"/>
  <c r="BI3" i="18"/>
  <c r="BK26" i="18"/>
  <c r="Z248" i="18"/>
  <c r="BJ3" i="18"/>
  <c r="BK3" i="18"/>
  <c r="F31" i="18"/>
  <c r="G31" i="18"/>
  <c r="H31" i="18"/>
  <c r="K31" i="18"/>
  <c r="L31" i="18"/>
  <c r="M31" i="18"/>
  <c r="N31" i="18"/>
  <c r="O31" i="18"/>
  <c r="P31" i="18"/>
  <c r="Q31" i="18"/>
  <c r="R31" i="18"/>
  <c r="F8" i="18"/>
  <c r="S31" i="18"/>
  <c r="G8" i="18"/>
  <c r="T31" i="18"/>
  <c r="H8" i="18"/>
  <c r="U31" i="18"/>
  <c r="V31" i="18"/>
  <c r="K8" i="18"/>
  <c r="W31" i="18"/>
  <c r="L8" i="18"/>
  <c r="X31" i="18"/>
  <c r="M8" i="18"/>
  <c r="Y31" i="18"/>
  <c r="Z31" i="18"/>
  <c r="N8" i="18"/>
  <c r="O8" i="18"/>
  <c r="P8" i="18"/>
  <c r="Q8" i="18"/>
  <c r="R8" i="18"/>
  <c r="S8" i="18"/>
  <c r="T8" i="18"/>
  <c r="U8" i="18"/>
  <c r="V8" i="18"/>
  <c r="W8" i="18"/>
  <c r="X8" i="18"/>
  <c r="Y8" i="18"/>
  <c r="Z8" i="18"/>
  <c r="F511" i="23"/>
  <c r="F500" i="23"/>
  <c r="G500" i="23"/>
  <c r="H500" i="23"/>
  <c r="I500" i="23"/>
  <c r="J500" i="23"/>
  <c r="L500" i="23"/>
  <c r="K500" i="23"/>
  <c r="M500" i="23"/>
  <c r="N500" i="23"/>
  <c r="O500" i="23"/>
  <c r="P500" i="23"/>
  <c r="Q500" i="23"/>
  <c r="R500" i="23"/>
  <c r="S500" i="23"/>
  <c r="T500" i="23"/>
  <c r="U500" i="23"/>
  <c r="V500" i="23"/>
  <c r="W500" i="23"/>
  <c r="X500" i="23"/>
  <c r="Y500" i="23"/>
  <c r="Z500" i="23"/>
  <c r="F62" i="23"/>
  <c r="F89" i="23"/>
  <c r="G62" i="23"/>
  <c r="G89" i="23"/>
  <c r="H89" i="23"/>
  <c r="H62" i="23"/>
  <c r="I89" i="23"/>
  <c r="I62" i="23"/>
  <c r="J89" i="23"/>
  <c r="J62" i="23"/>
  <c r="K89" i="23"/>
  <c r="K62" i="23"/>
  <c r="L62" i="23"/>
  <c r="L89" i="23"/>
  <c r="M89" i="23"/>
  <c r="M62" i="23"/>
  <c r="N62" i="23"/>
  <c r="N89" i="23"/>
  <c r="O62" i="23"/>
  <c r="O89" i="23"/>
  <c r="F35" i="23"/>
  <c r="P62" i="23"/>
  <c r="F8" i="23"/>
  <c r="P89" i="23"/>
  <c r="Q89" i="23"/>
  <c r="G35" i="23"/>
  <c r="G8" i="23"/>
  <c r="Q62" i="23"/>
  <c r="H35" i="23"/>
  <c r="H8" i="23"/>
  <c r="R62" i="23"/>
  <c r="R89" i="23"/>
  <c r="S62" i="23"/>
  <c r="S89" i="23"/>
  <c r="T62" i="23"/>
  <c r="T89" i="23"/>
  <c r="J8" i="23"/>
  <c r="J35" i="23"/>
  <c r="U62" i="23"/>
  <c r="U89" i="23"/>
  <c r="K35" i="23"/>
  <c r="K8" i="23"/>
  <c r="L35" i="23"/>
  <c r="V89" i="23"/>
  <c r="V62" i="23"/>
  <c r="L8" i="23"/>
  <c r="W62" i="23"/>
  <c r="W89" i="23"/>
  <c r="M35" i="23"/>
  <c r="M8" i="23"/>
  <c r="X89" i="23"/>
  <c r="X62" i="23"/>
  <c r="N35" i="23"/>
  <c r="N8" i="23"/>
  <c r="Y62" i="23"/>
  <c r="O8" i="23"/>
  <c r="Y89" i="23"/>
  <c r="O35" i="23"/>
  <c r="Z89" i="23"/>
  <c r="Z62" i="23"/>
  <c r="P8" i="23"/>
  <c r="P35" i="23"/>
  <c r="Q35" i="23"/>
  <c r="Q8" i="23"/>
  <c r="R35" i="23"/>
  <c r="R8" i="23"/>
  <c r="S35" i="23"/>
  <c r="S8" i="23"/>
  <c r="T35" i="23"/>
  <c r="T8" i="23"/>
  <c r="U35" i="23"/>
  <c r="U8" i="23"/>
  <c r="V8" i="23"/>
  <c r="V35" i="23"/>
  <c r="W8" i="23"/>
  <c r="W35" i="23"/>
  <c r="X8" i="23"/>
  <c r="X35" i="23"/>
  <c r="Y8" i="23"/>
  <c r="Y35" i="23"/>
  <c r="Z35" i="23"/>
  <c r="Z8" i="23"/>
  <c r="AF247" i="1"/>
  <c r="AF246" i="1" s="1"/>
  <c r="G134" i="1"/>
  <c r="AF253" i="1"/>
  <c r="G342" i="22"/>
  <c r="H342" i="22"/>
  <c r="I342" i="22"/>
  <c r="J342" i="22"/>
  <c r="K342" i="22"/>
  <c r="L342" i="22"/>
  <c r="P342" i="22"/>
  <c r="Q342" i="22"/>
  <c r="R342" i="22"/>
  <c r="S342" i="22"/>
  <c r="T342" i="22"/>
  <c r="U342" i="22"/>
  <c r="V342" i="22"/>
  <c r="W342" i="22"/>
  <c r="X342" i="22"/>
  <c r="Y342" i="22"/>
  <c r="Z342" i="22"/>
  <c r="AG247" i="1"/>
  <c r="AG246" i="1" s="1"/>
  <c r="AG242" i="1"/>
  <c r="H134" i="1"/>
  <c r="I355" i="22"/>
  <c r="P158" i="22"/>
  <c r="Q158" i="22"/>
  <c r="R158" i="22"/>
  <c r="S158" i="22"/>
  <c r="T158" i="22"/>
  <c r="U158" i="22"/>
  <c r="V158" i="22"/>
  <c r="W158" i="22"/>
  <c r="X158" i="22"/>
  <c r="Y158" i="22"/>
  <c r="Z158" i="22"/>
  <c r="AJ18" i="3"/>
  <c r="Z358" i="22"/>
  <c r="X359" i="22"/>
  <c r="V355" i="22"/>
  <c r="T360" i="22"/>
  <c r="T404" i="22" s="1"/>
  <c r="R360" i="22"/>
  <c r="R404" i="22" s="1"/>
  <c r="P358" i="22"/>
  <c r="N358" i="22"/>
  <c r="L356" i="22"/>
  <c r="J358" i="22"/>
  <c r="Q291" i="18"/>
  <c r="R291" i="18"/>
  <c r="S291" i="18"/>
  <c r="T291" i="18"/>
  <c r="U291" i="18"/>
  <c r="V291" i="18"/>
  <c r="W291" i="18"/>
  <c r="X291" i="18"/>
  <c r="Y291" i="18"/>
  <c r="Z291" i="18"/>
  <c r="Z360" i="22"/>
  <c r="Z404" i="22" s="1"/>
  <c r="X355" i="22"/>
  <c r="V360" i="22"/>
  <c r="V404" i="22" s="1"/>
  <c r="T355" i="22"/>
  <c r="R359" i="22"/>
  <c r="P356" i="22"/>
  <c r="N355" i="22"/>
  <c r="L357" i="22"/>
  <c r="L401" i="22" s="1"/>
  <c r="J357" i="22"/>
  <c r="J401" i="22" s="1"/>
  <c r="Z357" i="22"/>
  <c r="Z401" i="22" s="1"/>
  <c r="X356" i="22"/>
  <c r="V357" i="22"/>
  <c r="V401" i="22" s="1"/>
  <c r="T356" i="22"/>
  <c r="R355" i="22"/>
  <c r="P360" i="22"/>
  <c r="P404" i="22" s="1"/>
  <c r="N359" i="22"/>
  <c r="L358" i="22"/>
  <c r="J360" i="22"/>
  <c r="Z359" i="22"/>
  <c r="X357" i="22"/>
  <c r="X401" i="22" s="1"/>
  <c r="V358" i="22"/>
  <c r="T357" i="22"/>
  <c r="T401" i="22" s="1"/>
  <c r="R356" i="22"/>
  <c r="P355" i="22"/>
  <c r="N360" i="22"/>
  <c r="L359" i="22"/>
  <c r="J355" i="22"/>
  <c r="G355" i="22"/>
  <c r="Y355" i="22"/>
  <c r="W357" i="22"/>
  <c r="W401" i="22" s="1"/>
  <c r="U359" i="22"/>
  <c r="S355" i="22"/>
  <c r="Q358" i="22"/>
  <c r="O358" i="22"/>
  <c r="M356" i="22"/>
  <c r="K360" i="22"/>
  <c r="I356" i="22"/>
  <c r="H356" i="22"/>
  <c r="Y360" i="22"/>
  <c r="Y404" i="22" s="1"/>
  <c r="W359" i="22"/>
  <c r="U360" i="22"/>
  <c r="U404" i="22" s="1"/>
  <c r="S357" i="22"/>
  <c r="S401" i="22" s="1"/>
  <c r="Q356" i="22"/>
  <c r="O355" i="22"/>
  <c r="M359" i="22"/>
  <c r="K356" i="22"/>
  <c r="I357" i="22"/>
  <c r="I401" i="22" s="1"/>
  <c r="F342" i="22"/>
  <c r="P345" i="22"/>
  <c r="Q345" i="22"/>
  <c r="R345" i="22"/>
  <c r="S345" i="22"/>
  <c r="T345" i="22"/>
  <c r="U345" i="22"/>
  <c r="V345" i="22"/>
  <c r="W345" i="22"/>
  <c r="X345" i="22"/>
  <c r="Y345" i="22"/>
  <c r="Z345" i="22"/>
  <c r="H355" i="22"/>
  <c r="Y358" i="22"/>
  <c r="W355" i="22"/>
  <c r="U358" i="22"/>
  <c r="S359" i="22"/>
  <c r="Q357" i="22"/>
  <c r="Q401" i="22" s="1"/>
  <c r="O356" i="22"/>
  <c r="M358" i="22"/>
  <c r="K355" i="22"/>
  <c r="I359" i="22"/>
  <c r="F540" i="23"/>
  <c r="G540" i="23"/>
  <c r="H540" i="23"/>
  <c r="I540" i="23"/>
  <c r="J540" i="23"/>
  <c r="N540" i="23"/>
  <c r="N543" i="23"/>
  <c r="O543" i="23"/>
  <c r="O540" i="23"/>
  <c r="P543" i="23"/>
  <c r="P540" i="23"/>
  <c r="Q543" i="23"/>
  <c r="Q540" i="23"/>
  <c r="R540" i="23"/>
  <c r="R543" i="23"/>
  <c r="S540" i="23"/>
  <c r="S543" i="23"/>
  <c r="T540" i="23"/>
  <c r="T543" i="23"/>
  <c r="U540" i="23"/>
  <c r="U543" i="23"/>
  <c r="V543" i="23"/>
  <c r="V540" i="23"/>
  <c r="W543" i="23"/>
  <c r="W540" i="23"/>
  <c r="X540" i="23"/>
  <c r="X543" i="23"/>
  <c r="Y540" i="23"/>
  <c r="Y543" i="23"/>
  <c r="Z543" i="23"/>
  <c r="Z540" i="23"/>
  <c r="G356" i="22"/>
  <c r="Y356" i="22"/>
  <c r="W360" i="22"/>
  <c r="W404" i="22" s="1"/>
  <c r="U355" i="22"/>
  <c r="S358" i="22"/>
  <c r="Q360" i="22"/>
  <c r="Q404" i="22" s="1"/>
  <c r="O359" i="22"/>
  <c r="M360" i="22"/>
  <c r="K359" i="22"/>
  <c r="I358" i="22"/>
  <c r="Y357" i="22"/>
  <c r="Y401" i="22" s="1"/>
  <c r="W356" i="22"/>
  <c r="U357" i="22"/>
  <c r="U401" i="22" s="1"/>
  <c r="S360" i="22"/>
  <c r="S404" i="22" s="1"/>
  <c r="Q359" i="22"/>
  <c r="O357" i="22"/>
  <c r="O401" i="22" s="1"/>
  <c r="M355" i="22"/>
  <c r="K357" i="22"/>
  <c r="K401" i="22" s="1"/>
  <c r="I360" i="22"/>
  <c r="Y359" i="22"/>
  <c r="W358" i="22"/>
  <c r="U356" i="22"/>
  <c r="S356" i="22"/>
  <c r="Q355" i="22"/>
  <c r="O360" i="22"/>
  <c r="O404" i="22" s="1"/>
  <c r="M357" i="22"/>
  <c r="M401" i="22" s="1"/>
  <c r="K358" i="22"/>
  <c r="F327" i="22"/>
  <c r="G327" i="22"/>
  <c r="G335" i="22" s="1"/>
  <c r="H327" i="22"/>
  <c r="H335" i="22" s="1"/>
  <c r="J327" i="22"/>
  <c r="J335" i="22" s="1"/>
  <c r="K327" i="22"/>
  <c r="K335" i="22" s="1"/>
  <c r="L327" i="22"/>
  <c r="L335" i="22" s="1"/>
  <c r="M327" i="22"/>
  <c r="M335" i="22" s="1"/>
  <c r="N327" i="22"/>
  <c r="N335" i="22" s="1"/>
  <c r="O327" i="22"/>
  <c r="O335" i="22" s="1"/>
  <c r="P327" i="22"/>
  <c r="P335" i="22" s="1"/>
  <c r="Q327" i="22"/>
  <c r="Q335" i="22" s="1"/>
  <c r="R327" i="22"/>
  <c r="R335" i="22" s="1"/>
  <c r="S327" i="22"/>
  <c r="S335" i="22" s="1"/>
  <c r="T327" i="22"/>
  <c r="T335" i="22" s="1"/>
  <c r="U327" i="22"/>
  <c r="U335" i="22" s="1"/>
  <c r="V327" i="22"/>
  <c r="V335" i="22" s="1"/>
  <c r="W327" i="22"/>
  <c r="W335" i="22" s="1"/>
  <c r="X327" i="22"/>
  <c r="X335" i="22" s="1"/>
  <c r="Y327" i="22"/>
  <c r="Y335" i="22" s="1"/>
  <c r="Z327" i="22"/>
  <c r="Z335" i="22" s="1"/>
  <c r="Z356" i="22"/>
  <c r="X358" i="22"/>
  <c r="V359" i="22"/>
  <c r="T359" i="22"/>
  <c r="R357" i="22"/>
  <c r="R401" i="22" s="1"/>
  <c r="P359" i="22"/>
  <c r="N356" i="22"/>
  <c r="L360" i="22"/>
  <c r="J359" i="22"/>
  <c r="J553" i="23"/>
  <c r="J597" i="23" s="1"/>
  <c r="F525" i="23"/>
  <c r="G525" i="23"/>
  <c r="G533" i="23" s="1"/>
  <c r="H525" i="23"/>
  <c r="H533" i="23" s="1"/>
  <c r="J525" i="23"/>
  <c r="J533" i="23" s="1"/>
  <c r="K525" i="23"/>
  <c r="K533" i="23" s="1"/>
  <c r="L525" i="23"/>
  <c r="L533" i="23" s="1"/>
  <c r="M525" i="23"/>
  <c r="M533" i="23" s="1"/>
  <c r="N525" i="23"/>
  <c r="N533" i="23" s="1"/>
  <c r="O525" i="23"/>
  <c r="O533" i="23" s="1"/>
  <c r="P525" i="23"/>
  <c r="P533" i="23" s="1"/>
  <c r="Q525" i="23"/>
  <c r="Q533" i="23" s="1"/>
  <c r="R525" i="23"/>
  <c r="R533" i="23" s="1"/>
  <c r="S525" i="23"/>
  <c r="S533" i="23" s="1"/>
  <c r="T525" i="23"/>
  <c r="T533" i="23" s="1"/>
  <c r="U525" i="23"/>
  <c r="U533" i="23" s="1"/>
  <c r="V525" i="23"/>
  <c r="V533" i="23" s="1"/>
  <c r="W525" i="23"/>
  <c r="W533" i="23" s="1"/>
  <c r="X525" i="23"/>
  <c r="X533" i="23" s="1"/>
  <c r="Y525" i="23"/>
  <c r="Y533" i="23" s="1"/>
  <c r="Z525" i="23"/>
  <c r="Z533" i="23" s="1"/>
  <c r="Z355" i="22"/>
  <c r="X360" i="22"/>
  <c r="X404" i="22" s="1"/>
  <c r="V356" i="22"/>
  <c r="T358" i="22"/>
  <c r="R358" i="22"/>
  <c r="P357" i="22"/>
  <c r="P401" i="22" s="1"/>
  <c r="N357" i="22"/>
  <c r="L355" i="22"/>
  <c r="J356" i="22"/>
  <c r="F273" i="18"/>
  <c r="F281" i="18" s="1"/>
  <c r="G273" i="18"/>
  <c r="G281" i="18" s="1"/>
  <c r="H273" i="18"/>
  <c r="H281" i="18" s="1"/>
  <c r="K273" i="18"/>
  <c r="K281" i="18" s="1"/>
  <c r="L273" i="18"/>
  <c r="L281" i="18" s="1"/>
  <c r="M273" i="18"/>
  <c r="M281" i="18" s="1"/>
  <c r="N273" i="18"/>
  <c r="N281" i="18" s="1"/>
  <c r="O273" i="18"/>
  <c r="O281" i="18" s="1"/>
  <c r="P273" i="18"/>
  <c r="P281" i="18" s="1"/>
  <c r="Q273" i="18"/>
  <c r="Q281" i="18" s="1"/>
  <c r="R273" i="18"/>
  <c r="R281" i="18" s="1"/>
  <c r="S273" i="18"/>
  <c r="S281" i="18" s="1"/>
  <c r="T273" i="18"/>
  <c r="T281" i="18" s="1"/>
  <c r="U273" i="18"/>
  <c r="U281" i="18" s="1"/>
  <c r="V273" i="18"/>
  <c r="V281" i="18" s="1"/>
  <c r="W273" i="18"/>
  <c r="W281" i="18" s="1"/>
  <c r="X273" i="18"/>
  <c r="X281" i="18" s="1"/>
  <c r="Y273" i="18"/>
  <c r="Y281" i="18" s="1"/>
  <c r="Z273" i="18"/>
  <c r="Z281" i="18" s="1"/>
  <c r="F288" i="18"/>
  <c r="G288" i="18"/>
  <c r="H288" i="18"/>
  <c r="I288" i="18"/>
  <c r="K288" i="18"/>
  <c r="J288" i="18"/>
  <c r="L288" i="18"/>
  <c r="M288" i="18"/>
  <c r="N288" i="18"/>
  <c r="O288" i="18"/>
  <c r="Q288" i="18"/>
  <c r="R288" i="18"/>
  <c r="S288" i="18"/>
  <c r="T288" i="18"/>
  <c r="U288" i="18"/>
  <c r="V288" i="18"/>
  <c r="W288" i="18"/>
  <c r="X288" i="18"/>
  <c r="Y288" i="18"/>
  <c r="Z288" i="18"/>
  <c r="AG258" i="1"/>
  <c r="AG253" i="1"/>
  <c r="H153" i="1"/>
  <c r="AF258" i="1"/>
  <c r="G153" i="1"/>
  <c r="AF237" i="1"/>
  <c r="AG237" i="1"/>
  <c r="J49" i="5"/>
  <c r="J9" i="4" s="1"/>
  <c r="Z553" i="23"/>
  <c r="Y558" i="23"/>
  <c r="Y602" i="23" s="1"/>
  <c r="U555" i="23"/>
  <c r="U599" i="23" s="1"/>
  <c r="T553" i="23"/>
  <c r="R557" i="23"/>
  <c r="P554" i="23"/>
  <c r="P598" i="23" s="1"/>
  <c r="N557" i="23"/>
  <c r="M558" i="23"/>
  <c r="M602" i="23" s="1"/>
  <c r="K553" i="23"/>
  <c r="I553" i="23"/>
  <c r="I597" i="23" s="1"/>
  <c r="R12" i="20"/>
  <c r="Y557" i="23"/>
  <c r="W557" i="23"/>
  <c r="S553" i="23"/>
  <c r="R553" i="23"/>
  <c r="P556" i="23"/>
  <c r="P600" i="23" s="1"/>
  <c r="N555" i="23"/>
  <c r="N599" i="23" s="1"/>
  <c r="M557" i="23"/>
  <c r="K558" i="23"/>
  <c r="K602" i="23" s="1"/>
  <c r="I558" i="23"/>
  <c r="I602" i="23" s="1"/>
  <c r="Q366" i="18"/>
  <c r="R366" i="18"/>
  <c r="F401" i="18"/>
  <c r="F390" i="18"/>
  <c r="F391" i="18"/>
  <c r="F410" i="18"/>
  <c r="F382" i="18" s="1"/>
  <c r="F395" i="18" s="1"/>
  <c r="F450" i="18"/>
  <c r="F422" i="18" s="1"/>
  <c r="F435" i="18" s="1"/>
  <c r="F441" i="18"/>
  <c r="G391" i="18"/>
  <c r="F431" i="18"/>
  <c r="S366" i="18"/>
  <c r="G401" i="18"/>
  <c r="G390" i="18"/>
  <c r="G410" i="18"/>
  <c r="G382" i="18" s="1"/>
  <c r="G395" i="18" s="1"/>
  <c r="F430" i="18"/>
  <c r="G430" i="18"/>
  <c r="T366" i="18"/>
  <c r="H401" i="18"/>
  <c r="H391" i="18"/>
  <c r="H390" i="18"/>
  <c r="H410" i="18"/>
  <c r="H382" i="18" s="1"/>
  <c r="H395" i="18" s="1"/>
  <c r="G450" i="18"/>
  <c r="G422" i="18" s="1"/>
  <c r="G435" i="18" s="1"/>
  <c r="G441" i="18"/>
  <c r="G431" i="18"/>
  <c r="H431" i="18"/>
  <c r="H441" i="18"/>
  <c r="H430" i="18"/>
  <c r="H450" i="18"/>
  <c r="H422" i="18" s="1"/>
  <c r="H435" i="18" s="1"/>
  <c r="I401" i="18"/>
  <c r="U366" i="18"/>
  <c r="I410" i="18"/>
  <c r="I382" i="18" s="1"/>
  <c r="I395" i="18" s="1"/>
  <c r="V366" i="18"/>
  <c r="J410" i="18"/>
  <c r="J382" i="18" s="1"/>
  <c r="J395" i="18" s="1"/>
  <c r="J401" i="18"/>
  <c r="I441" i="18"/>
  <c r="I450" i="18"/>
  <c r="I422" i="18" s="1"/>
  <c r="I435" i="18" s="1"/>
  <c r="J441" i="18"/>
  <c r="J450" i="18"/>
  <c r="J422" i="18" s="1"/>
  <c r="J435" i="18" s="1"/>
  <c r="K390" i="18"/>
  <c r="K391" i="18"/>
  <c r="K410" i="18"/>
  <c r="K382" i="18" s="1"/>
  <c r="K395" i="18" s="1"/>
  <c r="W366" i="18"/>
  <c r="L410" i="18"/>
  <c r="L382" i="18" s="1"/>
  <c r="L395" i="18" s="1"/>
  <c r="L391" i="18"/>
  <c r="L390" i="18"/>
  <c r="X366" i="18"/>
  <c r="K450" i="18"/>
  <c r="K422" i="18" s="1"/>
  <c r="K435" i="18" s="1"/>
  <c r="K431" i="18"/>
  <c r="K430" i="18"/>
  <c r="Y366" i="18"/>
  <c r="L450" i="18"/>
  <c r="L422" i="18" s="1"/>
  <c r="L435" i="18" s="1"/>
  <c r="M391" i="18"/>
  <c r="L431" i="18"/>
  <c r="L430" i="18"/>
  <c r="M410" i="18"/>
  <c r="M382" i="18" s="1"/>
  <c r="M395" i="18" s="1"/>
  <c r="M390" i="18"/>
  <c r="M450" i="18"/>
  <c r="M422" i="18" s="1"/>
  <c r="M435" i="18" s="1"/>
  <c r="N410" i="18"/>
  <c r="N382" i="18" s="1"/>
  <c r="N395" i="18" s="1"/>
  <c r="M431" i="18"/>
  <c r="N391" i="18"/>
  <c r="M430" i="18"/>
  <c r="Z366" i="18"/>
  <c r="N390" i="18"/>
  <c r="N431" i="18"/>
  <c r="N430" i="18"/>
  <c r="N450" i="18"/>
  <c r="N422" i="18" s="1"/>
  <c r="N435" i="18" s="1"/>
  <c r="O391" i="18"/>
  <c r="O410" i="18"/>
  <c r="O382" i="18" s="1"/>
  <c r="O395" i="18" s="1"/>
  <c r="O390" i="18"/>
  <c r="O431" i="18"/>
  <c r="O430" i="18"/>
  <c r="P391" i="18"/>
  <c r="O450" i="18"/>
  <c r="O422" i="18" s="1"/>
  <c r="O435" i="18" s="1"/>
  <c r="P390" i="18"/>
  <c r="Q391" i="18"/>
  <c r="Q401" i="18"/>
  <c r="P431" i="18"/>
  <c r="P430" i="18"/>
  <c r="Q410" i="18"/>
  <c r="Q382" i="18" s="1"/>
  <c r="Q380" i="18"/>
  <c r="Q381" i="18"/>
  <c r="Q421" i="18"/>
  <c r="Q434" i="18" s="1"/>
  <c r="Q390" i="18"/>
  <c r="Q406" i="18"/>
  <c r="Q446" i="18"/>
  <c r="R401" i="18"/>
  <c r="R421" i="18"/>
  <c r="R434" i="18" s="1"/>
  <c r="R406" i="18"/>
  <c r="R380" i="18"/>
  <c r="R391" i="18"/>
  <c r="Q430" i="18"/>
  <c r="Q450" i="18"/>
  <c r="Q422" i="18" s="1"/>
  <c r="R390" i="18"/>
  <c r="Q431" i="18"/>
  <c r="R410" i="18"/>
  <c r="R382" i="18" s="1"/>
  <c r="Q441" i="18"/>
  <c r="R381" i="18"/>
  <c r="R431" i="18"/>
  <c r="S401" i="18"/>
  <c r="S381" i="18"/>
  <c r="S390" i="18"/>
  <c r="S410" i="18"/>
  <c r="S382" i="18" s="1"/>
  <c r="S406" i="18"/>
  <c r="S391" i="18"/>
  <c r="S380" i="18"/>
  <c r="R446" i="18"/>
  <c r="S421" i="18"/>
  <c r="S434" i="18" s="1"/>
  <c r="R441" i="18"/>
  <c r="R430" i="18"/>
  <c r="R450" i="18"/>
  <c r="R422" i="18" s="1"/>
  <c r="S430" i="18"/>
  <c r="T381" i="18"/>
  <c r="S441" i="18"/>
  <c r="S450" i="18"/>
  <c r="S422" i="18" s="1"/>
  <c r="T421" i="18"/>
  <c r="T434" i="18" s="1"/>
  <c r="S446" i="18"/>
  <c r="S431" i="18"/>
  <c r="T380" i="18"/>
  <c r="T390" i="18"/>
  <c r="T401" i="18"/>
  <c r="T410" i="18"/>
  <c r="T382" i="18" s="1"/>
  <c r="T406" i="18"/>
  <c r="T391" i="18"/>
  <c r="T431" i="18"/>
  <c r="U406" i="18"/>
  <c r="U421" i="18"/>
  <c r="U434" i="18" s="1"/>
  <c r="U401" i="18"/>
  <c r="U410" i="18"/>
  <c r="U382" i="18" s="1"/>
  <c r="U380" i="18"/>
  <c r="T430" i="18"/>
  <c r="U381" i="18"/>
  <c r="U391" i="18"/>
  <c r="U390" i="18"/>
  <c r="T450" i="18"/>
  <c r="T422" i="18" s="1"/>
  <c r="T446" i="18"/>
  <c r="T441" i="18"/>
  <c r="U431" i="18"/>
  <c r="V421" i="18"/>
  <c r="V434" i="18" s="1"/>
  <c r="V401" i="18"/>
  <c r="U446" i="18"/>
  <c r="V381" i="18"/>
  <c r="U441" i="18"/>
  <c r="U450" i="18"/>
  <c r="U422" i="18" s="1"/>
  <c r="V390" i="18"/>
  <c r="U430" i="18"/>
  <c r="V391" i="18"/>
  <c r="V380" i="18"/>
  <c r="V406" i="18"/>
  <c r="V410" i="18"/>
  <c r="V382" i="18" s="1"/>
  <c r="V430" i="18"/>
  <c r="W421" i="18"/>
  <c r="W434" i="18" s="1"/>
  <c r="W390" i="18"/>
  <c r="W381" i="18"/>
  <c r="V446" i="18"/>
  <c r="W380" i="18"/>
  <c r="V431" i="18"/>
  <c r="W406" i="18"/>
  <c r="V441" i="18"/>
  <c r="W401" i="18"/>
  <c r="V450" i="18"/>
  <c r="V422" i="18" s="1"/>
  <c r="W391" i="18"/>
  <c r="W410" i="18"/>
  <c r="W382" i="18" s="1"/>
  <c r="X380" i="18"/>
  <c r="X381" i="18"/>
  <c r="W441" i="18"/>
  <c r="W430" i="18"/>
  <c r="X401" i="18"/>
  <c r="X421" i="18"/>
  <c r="X434" i="18" s="1"/>
  <c r="X410" i="18"/>
  <c r="X382" i="18" s="1"/>
  <c r="X390" i="18"/>
  <c r="W450" i="18"/>
  <c r="W422" i="18" s="1"/>
  <c r="W446" i="18"/>
  <c r="X391" i="18"/>
  <c r="X406" i="18"/>
  <c r="W431" i="18"/>
  <c r="X441" i="18"/>
  <c r="Z421" i="18"/>
  <c r="Z434" i="18" s="1"/>
  <c r="Z381" i="18"/>
  <c r="Y410" i="18"/>
  <c r="Y382" i="18" s="1"/>
  <c r="Y391" i="18"/>
  <c r="Y381" i="18"/>
  <c r="X430" i="18"/>
  <c r="Z406" i="18"/>
  <c r="Y380" i="18"/>
  <c r="Z390" i="18"/>
  <c r="Z380" i="18"/>
  <c r="Y406" i="18"/>
  <c r="X446" i="18"/>
  <c r="Z410" i="18"/>
  <c r="Z382" i="18" s="1"/>
  <c r="Y390" i="18"/>
  <c r="Y421" i="18"/>
  <c r="Y434" i="18" s="1"/>
  <c r="Y401" i="18"/>
  <c r="X450" i="18"/>
  <c r="X422" i="18" s="1"/>
  <c r="X431" i="18"/>
  <c r="Z391" i="18"/>
  <c r="Z401" i="18"/>
  <c r="Z431" i="18"/>
  <c r="Z450" i="18"/>
  <c r="Z422" i="18" s="1"/>
  <c r="Z446" i="18"/>
  <c r="Z430" i="18"/>
  <c r="Z441" i="18"/>
  <c r="Y446" i="18"/>
  <c r="Y450" i="18"/>
  <c r="Y422" i="18" s="1"/>
  <c r="Y430" i="18"/>
  <c r="Y441" i="18"/>
  <c r="Y431" i="18"/>
  <c r="F215" i="18"/>
  <c r="F147" i="18"/>
  <c r="F213" i="18"/>
  <c r="F214" i="18" s="1"/>
  <c r="G213" i="18"/>
  <c r="G214" i="18" s="1"/>
  <c r="G147" i="18"/>
  <c r="G215" i="18"/>
  <c r="I215" i="18"/>
  <c r="I147" i="18"/>
  <c r="I213" i="18"/>
  <c r="H147" i="18"/>
  <c r="H215" i="18"/>
  <c r="H213" i="18"/>
  <c r="J215" i="18"/>
  <c r="J147" i="18"/>
  <c r="J213" i="18"/>
  <c r="J214" i="18" s="1"/>
  <c r="K147" i="18"/>
  <c r="K213" i="18"/>
  <c r="K214" i="18" s="1"/>
  <c r="K215" i="18"/>
  <c r="L215" i="18"/>
  <c r="L213" i="18"/>
  <c r="L214" i="18" s="1"/>
  <c r="L147" i="18"/>
  <c r="M215" i="18"/>
  <c r="M213" i="18"/>
  <c r="M214" i="18" s="1"/>
  <c r="M147" i="18"/>
  <c r="N215" i="18"/>
  <c r="N147" i="18"/>
  <c r="N213" i="18"/>
  <c r="O215" i="18"/>
  <c r="O213" i="18"/>
  <c r="O147" i="18"/>
  <c r="Q219" i="18"/>
  <c r="Q150" i="18"/>
  <c r="Q147" i="18"/>
  <c r="Q215" i="18"/>
  <c r="Q213" i="18"/>
  <c r="Q214" i="18" s="1"/>
  <c r="R147" i="18"/>
  <c r="R213" i="18"/>
  <c r="R219" i="18"/>
  <c r="R215" i="18"/>
  <c r="R150" i="18"/>
  <c r="S215" i="18"/>
  <c r="S150" i="18"/>
  <c r="S213" i="18"/>
  <c r="S214" i="18" s="1"/>
  <c r="S147" i="18"/>
  <c r="S219" i="18"/>
  <c r="T213" i="18"/>
  <c r="T214" i="18" s="1"/>
  <c r="T219" i="18"/>
  <c r="T150" i="18"/>
  <c r="T147" i="18"/>
  <c r="T215" i="18"/>
  <c r="U150" i="18"/>
  <c r="U219" i="18"/>
  <c r="U147" i="18"/>
  <c r="U215" i="18"/>
  <c r="U213" i="18"/>
  <c r="V219" i="18"/>
  <c r="V215" i="18"/>
  <c r="V150" i="18"/>
  <c r="V147" i="18"/>
  <c r="V213" i="18"/>
  <c r="V214" i="18" s="1"/>
  <c r="W213" i="18"/>
  <c r="W147" i="18"/>
  <c r="W215" i="18"/>
  <c r="W150" i="18"/>
  <c r="W219" i="18"/>
  <c r="X150" i="18"/>
  <c r="X147" i="18"/>
  <c r="X219" i="18"/>
  <c r="X215" i="18"/>
  <c r="X213" i="18"/>
  <c r="X214" i="18" s="1"/>
  <c r="Y215" i="18"/>
  <c r="Y147" i="18"/>
  <c r="Y150" i="18"/>
  <c r="Y219" i="18"/>
  <c r="Y213" i="18"/>
  <c r="Y214" i="18" s="1"/>
  <c r="Z213" i="18"/>
  <c r="Z150" i="18"/>
  <c r="Z219" i="18"/>
  <c r="Z215" i="18"/>
  <c r="Z147" i="18"/>
  <c r="Z555" i="23"/>
  <c r="Z599" i="23" s="1"/>
  <c r="W554" i="23"/>
  <c r="W598" i="23" s="1"/>
  <c r="U557" i="23"/>
  <c r="S556" i="23"/>
  <c r="S600" i="23" s="1"/>
  <c r="R555" i="23"/>
  <c r="R599" i="23" s="1"/>
  <c r="P553" i="23"/>
  <c r="N554" i="23"/>
  <c r="N598" i="23" s="1"/>
  <c r="L557" i="23"/>
  <c r="K555" i="23"/>
  <c r="K599" i="23" s="1"/>
  <c r="I555" i="23"/>
  <c r="I599" i="23" s="1"/>
  <c r="Z558" i="23"/>
  <c r="Z602" i="23" s="1"/>
  <c r="X557" i="23"/>
  <c r="W556" i="23"/>
  <c r="W600" i="23" s="1"/>
  <c r="U556" i="23"/>
  <c r="U600" i="23" s="1"/>
  <c r="S558" i="23"/>
  <c r="S602" i="23" s="1"/>
  <c r="Q553" i="23"/>
  <c r="P558" i="23"/>
  <c r="P602" i="23" s="1"/>
  <c r="N556" i="23"/>
  <c r="N600" i="23" s="1"/>
  <c r="L556" i="23"/>
  <c r="L600" i="23" s="1"/>
  <c r="I557" i="23"/>
  <c r="Z557" i="23"/>
  <c r="X554" i="23"/>
  <c r="X598" i="23" s="1"/>
  <c r="V556" i="23"/>
  <c r="V600" i="23" s="1"/>
  <c r="U554" i="23"/>
  <c r="U598" i="23" s="1"/>
  <c r="S555" i="23"/>
  <c r="S599" i="23" s="1"/>
  <c r="Q555" i="23"/>
  <c r="Q599" i="23" s="1"/>
  <c r="P555" i="23"/>
  <c r="P599" i="23" s="1"/>
  <c r="N553" i="23"/>
  <c r="L554" i="23"/>
  <c r="L598" i="23" s="1"/>
  <c r="J558" i="23"/>
  <c r="J602" i="23" s="1"/>
  <c r="H554" i="23"/>
  <c r="H598" i="23" s="1"/>
  <c r="F47" i="24"/>
  <c r="F1" i="24"/>
  <c r="G2" i="24"/>
  <c r="F32" i="24"/>
  <c r="F4" i="24"/>
  <c r="F13" i="24"/>
  <c r="F14" i="24"/>
  <c r="F22" i="24"/>
  <c r="F5" i="24"/>
  <c r="F23" i="24"/>
  <c r="F31" i="24"/>
  <c r="Z554" i="23"/>
  <c r="Z598" i="23" s="1"/>
  <c r="X556" i="23"/>
  <c r="X600" i="23" s="1"/>
  <c r="V554" i="23"/>
  <c r="V598" i="23" s="1"/>
  <c r="U553" i="23"/>
  <c r="N558" i="23"/>
  <c r="N602" i="23" s="1"/>
  <c r="L553" i="23"/>
  <c r="J557" i="23"/>
  <c r="G554" i="23"/>
  <c r="G598" i="23" s="1"/>
  <c r="G468" i="23"/>
  <c r="F653" i="23"/>
  <c r="G353" i="23"/>
  <c r="F662" i="23"/>
  <c r="F634" i="23" s="1"/>
  <c r="F647" i="23" s="1"/>
  <c r="G422" i="23"/>
  <c r="F420" i="23"/>
  <c r="G466" i="23"/>
  <c r="F468" i="23"/>
  <c r="G420" i="23"/>
  <c r="F422" i="23"/>
  <c r="F466" i="23"/>
  <c r="F353" i="23"/>
  <c r="H420" i="23"/>
  <c r="F693" i="23"/>
  <c r="H353" i="23"/>
  <c r="F702" i="23"/>
  <c r="F674" i="23" s="1"/>
  <c r="F687" i="23" s="1"/>
  <c r="H422" i="23"/>
  <c r="H468" i="23"/>
  <c r="H466" i="23"/>
  <c r="G642" i="23"/>
  <c r="G662" i="23"/>
  <c r="G634" i="23" s="1"/>
  <c r="G647" i="23" s="1"/>
  <c r="G643" i="23"/>
  <c r="I466" i="23"/>
  <c r="I353" i="23"/>
  <c r="I420" i="23"/>
  <c r="I422" i="23"/>
  <c r="I468" i="23"/>
  <c r="G653" i="23"/>
  <c r="J422" i="23"/>
  <c r="H662" i="23"/>
  <c r="H634" i="23" s="1"/>
  <c r="H647" i="23" s="1"/>
  <c r="G702" i="23"/>
  <c r="G674" i="23" s="1"/>
  <c r="G687" i="23" s="1"/>
  <c r="G682" i="23"/>
  <c r="G683" i="23"/>
  <c r="J466" i="23"/>
  <c r="H643" i="23"/>
  <c r="J353" i="23"/>
  <c r="J420" i="23"/>
  <c r="H642" i="23"/>
  <c r="J468" i="23"/>
  <c r="G693" i="23"/>
  <c r="H653" i="23"/>
  <c r="H702" i="23"/>
  <c r="H674" i="23" s="1"/>
  <c r="H687" i="23" s="1"/>
  <c r="H682" i="23"/>
  <c r="I642" i="23"/>
  <c r="H683" i="23"/>
  <c r="I662" i="23"/>
  <c r="I634" i="23" s="1"/>
  <c r="I647" i="23" s="1"/>
  <c r="I643" i="23"/>
  <c r="I653" i="23"/>
  <c r="K466" i="23"/>
  <c r="H693" i="23"/>
  <c r="J643" i="23"/>
  <c r="J653" i="23"/>
  <c r="I702" i="23"/>
  <c r="I674" i="23" s="1"/>
  <c r="I687" i="23" s="1"/>
  <c r="I682" i="23"/>
  <c r="I683" i="23"/>
  <c r="I693" i="23"/>
  <c r="J642" i="23"/>
  <c r="J662" i="23"/>
  <c r="J634" i="23" s="1"/>
  <c r="J647" i="23" s="1"/>
  <c r="J693" i="23"/>
  <c r="M466" i="23"/>
  <c r="K642" i="23"/>
  <c r="K643" i="23"/>
  <c r="J682" i="23"/>
  <c r="J702" i="23"/>
  <c r="J674" i="23" s="1"/>
  <c r="J687" i="23" s="1"/>
  <c r="J683" i="23"/>
  <c r="N468" i="23"/>
  <c r="N422" i="23"/>
  <c r="K682" i="23"/>
  <c r="N471" i="23"/>
  <c r="K683" i="23"/>
  <c r="N353" i="23"/>
  <c r="N420" i="23"/>
  <c r="L642" i="23"/>
  <c r="N618" i="23"/>
  <c r="N426" i="23"/>
  <c r="L643" i="23"/>
  <c r="N466" i="23"/>
  <c r="O466" i="23"/>
  <c r="M653" i="23"/>
  <c r="O420" i="23"/>
  <c r="O422" i="23"/>
  <c r="O426" i="23"/>
  <c r="O468" i="23"/>
  <c r="M642" i="23"/>
  <c r="O618" i="23"/>
  <c r="L682" i="23"/>
  <c r="L683" i="23"/>
  <c r="O353" i="23"/>
  <c r="M643" i="23"/>
  <c r="O471" i="23"/>
  <c r="P618" i="23"/>
  <c r="N653" i="23"/>
  <c r="N632" i="23"/>
  <c r="P471" i="23"/>
  <c r="N673" i="23"/>
  <c r="N686" i="23" s="1"/>
  <c r="N658" i="23"/>
  <c r="M682" i="23"/>
  <c r="N633" i="23"/>
  <c r="M683" i="23"/>
  <c r="P420" i="23"/>
  <c r="P421" i="23" s="1"/>
  <c r="M693" i="23"/>
  <c r="P468" i="23"/>
  <c r="N642" i="23"/>
  <c r="P422" i="23"/>
  <c r="N662" i="23"/>
  <c r="N634" i="23" s="1"/>
  <c r="N647" i="23" s="1"/>
  <c r="P426" i="23"/>
  <c r="N643" i="23"/>
  <c r="P466" i="23"/>
  <c r="P467" i="23" s="1"/>
  <c r="P353" i="23"/>
  <c r="Q618" i="23"/>
  <c r="Q353" i="23"/>
  <c r="O662" i="23"/>
  <c r="O634" i="23" s="1"/>
  <c r="O647" i="23" s="1"/>
  <c r="O643" i="23"/>
  <c r="Q468" i="23"/>
  <c r="O653" i="23"/>
  <c r="N702" i="23"/>
  <c r="N674" i="23" s="1"/>
  <c r="N687" i="23" s="1"/>
  <c r="Q422" i="23"/>
  <c r="O632" i="23"/>
  <c r="N682" i="23"/>
  <c r="Q471" i="23"/>
  <c r="O673" i="23"/>
  <c r="O686" i="23" s="1"/>
  <c r="N683" i="23"/>
  <c r="Q426" i="23"/>
  <c r="O658" i="23"/>
  <c r="N693" i="23"/>
  <c r="Q466" i="23"/>
  <c r="O633" i="23"/>
  <c r="N698" i="23"/>
  <c r="Q420" i="23"/>
  <c r="O642" i="23"/>
  <c r="R471" i="23"/>
  <c r="R426" i="23"/>
  <c r="P653" i="23"/>
  <c r="R466" i="23"/>
  <c r="P632" i="23"/>
  <c r="P662" i="23"/>
  <c r="R353" i="23"/>
  <c r="P673" i="23"/>
  <c r="R618" i="23"/>
  <c r="R420" i="23"/>
  <c r="P658" i="23"/>
  <c r="O683" i="23"/>
  <c r="P633" i="23"/>
  <c r="O693" i="23"/>
  <c r="O698" i="23"/>
  <c r="P642" i="23"/>
  <c r="O702" i="23"/>
  <c r="O674" i="23" s="1"/>
  <c r="O687" i="23" s="1"/>
  <c r="R468" i="23"/>
  <c r="O682" i="23"/>
  <c r="R422" i="23"/>
  <c r="P643" i="23"/>
  <c r="S471" i="23"/>
  <c r="P682" i="23"/>
  <c r="Q658" i="23"/>
  <c r="S426" i="23"/>
  <c r="Q633" i="23"/>
  <c r="S466" i="23"/>
  <c r="S420" i="23"/>
  <c r="Q642" i="23"/>
  <c r="P698" i="23"/>
  <c r="S468" i="23"/>
  <c r="Q632" i="23"/>
  <c r="S353" i="23"/>
  <c r="Q662" i="23"/>
  <c r="Q634" i="23" s="1"/>
  <c r="Q643" i="23"/>
  <c r="S618" i="23"/>
  <c r="P683" i="23"/>
  <c r="P693" i="23"/>
  <c r="Q653" i="23"/>
  <c r="S422" i="23"/>
  <c r="P702" i="23"/>
  <c r="Q673" i="23"/>
  <c r="Q686" i="23" s="1"/>
  <c r="R643" i="23"/>
  <c r="T422" i="23"/>
  <c r="Q683" i="23"/>
  <c r="T471" i="23"/>
  <c r="Q693" i="23"/>
  <c r="T426" i="23"/>
  <c r="T618" i="23"/>
  <c r="Q698" i="23"/>
  <c r="T466" i="23"/>
  <c r="R653" i="23"/>
  <c r="Q702" i="23"/>
  <c r="Q674" i="23" s="1"/>
  <c r="T353" i="23"/>
  <c r="R632" i="23"/>
  <c r="Q682" i="23"/>
  <c r="T420" i="23"/>
  <c r="R673" i="23"/>
  <c r="R686" i="23" s="1"/>
  <c r="R658" i="23"/>
  <c r="R633" i="23"/>
  <c r="R642" i="23"/>
  <c r="R662" i="23"/>
  <c r="R634" i="23" s="1"/>
  <c r="T468" i="23"/>
  <c r="S633" i="23"/>
  <c r="U466" i="23"/>
  <c r="U353" i="23"/>
  <c r="S642" i="23"/>
  <c r="U420" i="23"/>
  <c r="S673" i="23"/>
  <c r="S686" i="23" s="1"/>
  <c r="S662" i="23"/>
  <c r="S634" i="23" s="1"/>
  <c r="S643" i="23"/>
  <c r="U471" i="23"/>
  <c r="U618" i="23"/>
  <c r="R693" i="23"/>
  <c r="U468" i="23"/>
  <c r="R698" i="23"/>
  <c r="U422" i="23"/>
  <c r="R702" i="23"/>
  <c r="R674" i="23" s="1"/>
  <c r="S653" i="23"/>
  <c r="R682" i="23"/>
  <c r="S632" i="23"/>
  <c r="R683" i="23"/>
  <c r="S658" i="23"/>
  <c r="U426" i="23"/>
  <c r="V471" i="23"/>
  <c r="T653" i="23"/>
  <c r="V618" i="23"/>
  <c r="T632" i="23"/>
  <c r="T673" i="23"/>
  <c r="T686" i="23" s="1"/>
  <c r="T658" i="23"/>
  <c r="V422" i="23"/>
  <c r="T633" i="23"/>
  <c r="V426" i="23"/>
  <c r="V466" i="23"/>
  <c r="S693" i="23"/>
  <c r="T642" i="23"/>
  <c r="V353" i="23"/>
  <c r="S698" i="23"/>
  <c r="T662" i="23"/>
  <c r="T634" i="23" s="1"/>
  <c r="V420" i="23"/>
  <c r="S702" i="23"/>
  <c r="S674" i="23" s="1"/>
  <c r="T643" i="23"/>
  <c r="V468" i="23"/>
  <c r="S682" i="23"/>
  <c r="S683" i="23"/>
  <c r="W618" i="23"/>
  <c r="W422" i="23"/>
  <c r="U653" i="23"/>
  <c r="T693" i="23"/>
  <c r="T698" i="23"/>
  <c r="W471" i="23"/>
  <c r="U673" i="23"/>
  <c r="U686" i="23" s="1"/>
  <c r="T702" i="23"/>
  <c r="T674" i="23" s="1"/>
  <c r="W426" i="23"/>
  <c r="U658" i="23"/>
  <c r="T682" i="23"/>
  <c r="W466" i="23"/>
  <c r="U633" i="23"/>
  <c r="T683" i="23"/>
  <c r="W353" i="23"/>
  <c r="W420" i="23"/>
  <c r="U642" i="23"/>
  <c r="U662" i="23"/>
  <c r="U634" i="23" s="1"/>
  <c r="U643" i="23"/>
  <c r="W468" i="23"/>
  <c r="U632" i="23"/>
  <c r="X420" i="23"/>
  <c r="V658" i="23"/>
  <c r="U683" i="23"/>
  <c r="V633" i="23"/>
  <c r="U693" i="23"/>
  <c r="X468" i="23"/>
  <c r="V642" i="23"/>
  <c r="X426" i="23"/>
  <c r="V662" i="23"/>
  <c r="V634" i="23" s="1"/>
  <c r="X471" i="23"/>
  <c r="V643" i="23"/>
  <c r="X422" i="23"/>
  <c r="V632" i="23"/>
  <c r="X353" i="23"/>
  <c r="U702" i="23"/>
  <c r="U674" i="23" s="1"/>
  <c r="V653" i="23"/>
  <c r="U698" i="23"/>
  <c r="X618" i="23"/>
  <c r="X466" i="23"/>
  <c r="V673" i="23"/>
  <c r="V686" i="23" s="1"/>
  <c r="U682" i="23"/>
  <c r="V693" i="23"/>
  <c r="W673" i="23"/>
  <c r="W686" i="23" s="1"/>
  <c r="W632" i="23"/>
  <c r="W658" i="23"/>
  <c r="Y468" i="23"/>
  <c r="W633" i="23"/>
  <c r="Y422" i="23"/>
  <c r="Y471" i="23"/>
  <c r="V682" i="23"/>
  <c r="W642" i="23"/>
  <c r="Y353" i="23"/>
  <c r="Y618" i="23"/>
  <c r="W662" i="23"/>
  <c r="W634" i="23" s="1"/>
  <c r="Y420" i="23"/>
  <c r="W643" i="23"/>
  <c r="Y466" i="23"/>
  <c r="V698" i="23"/>
  <c r="W653" i="23"/>
  <c r="V702" i="23"/>
  <c r="V674" i="23" s="1"/>
  <c r="Y426" i="23"/>
  <c r="V683" i="23"/>
  <c r="X642" i="23"/>
  <c r="X662" i="23"/>
  <c r="X634" i="23" s="1"/>
  <c r="Z468" i="23"/>
  <c r="W698" i="23"/>
  <c r="X643" i="23"/>
  <c r="Z422" i="23"/>
  <c r="Z618" i="23"/>
  <c r="W702" i="23"/>
  <c r="W674" i="23" s="1"/>
  <c r="Z471" i="23"/>
  <c r="W682" i="23"/>
  <c r="X653" i="23"/>
  <c r="Z426" i="23"/>
  <c r="W683" i="23"/>
  <c r="X632" i="23"/>
  <c r="Z353" i="23"/>
  <c r="W693" i="23"/>
  <c r="X673" i="23"/>
  <c r="X686" i="23" s="1"/>
  <c r="Z420" i="23"/>
  <c r="X658" i="23"/>
  <c r="X633" i="23"/>
  <c r="Z466" i="23"/>
  <c r="X693" i="23"/>
  <c r="X698" i="23"/>
  <c r="Y642" i="23"/>
  <c r="Y662" i="23"/>
  <c r="Y634" i="23" s="1"/>
  <c r="Z642" i="23"/>
  <c r="Y643" i="23"/>
  <c r="Z662" i="23"/>
  <c r="Z634" i="23" s="1"/>
  <c r="Z658" i="23"/>
  <c r="Z643" i="23"/>
  <c r="Y653" i="23"/>
  <c r="Y632" i="23"/>
  <c r="Z653" i="23"/>
  <c r="Y673" i="23"/>
  <c r="Y686" i="23" s="1"/>
  <c r="X682" i="23"/>
  <c r="Z633" i="23"/>
  <c r="Z632" i="23"/>
  <c r="Y658" i="23"/>
  <c r="X683" i="23"/>
  <c r="X702" i="23"/>
  <c r="X674" i="23" s="1"/>
  <c r="Z673" i="23"/>
  <c r="Z686" i="23" s="1"/>
  <c r="Y633" i="23"/>
  <c r="Y693" i="23"/>
  <c r="Y682" i="23"/>
  <c r="Z702" i="23"/>
  <c r="Z674" i="23" s="1"/>
  <c r="Z682" i="23"/>
  <c r="Z683" i="23"/>
  <c r="Z693" i="23"/>
  <c r="Z698" i="23"/>
  <c r="Y702" i="23"/>
  <c r="Y674" i="23" s="1"/>
  <c r="Y683" i="23"/>
  <c r="Y698" i="23"/>
  <c r="Z556" i="23"/>
  <c r="Z600" i="23" s="1"/>
  <c r="X553" i="23"/>
  <c r="V553" i="23"/>
  <c r="T558" i="23"/>
  <c r="T602" i="23" s="1"/>
  <c r="S557" i="23"/>
  <c r="Q557" i="23"/>
  <c r="O555" i="23"/>
  <c r="O599" i="23" s="1"/>
  <c r="L558" i="23"/>
  <c r="L602" i="23" s="1"/>
  <c r="J556" i="23"/>
  <c r="J600" i="23" s="1"/>
  <c r="F598" i="23"/>
  <c r="G553" i="23"/>
  <c r="G597" i="23" s="1"/>
  <c r="Y555" i="23"/>
  <c r="Y599" i="23" s="1"/>
  <c r="X558" i="23"/>
  <c r="X602" i="23" s="1"/>
  <c r="V558" i="23"/>
  <c r="V602" i="23" s="1"/>
  <c r="T554" i="23"/>
  <c r="T598" i="23" s="1"/>
  <c r="S554" i="23"/>
  <c r="S598" i="23" s="1"/>
  <c r="Q554" i="23"/>
  <c r="Q598" i="23" s="1"/>
  <c r="O556" i="23"/>
  <c r="O600" i="23" s="1"/>
  <c r="M555" i="23"/>
  <c r="M599" i="23" s="1"/>
  <c r="L555" i="23"/>
  <c r="L599" i="23" s="1"/>
  <c r="J554" i="23"/>
  <c r="J598" i="23" s="1"/>
  <c r="F222" i="22"/>
  <c r="F155" i="22"/>
  <c r="F224" i="22"/>
  <c r="G155" i="22"/>
  <c r="G222" i="22"/>
  <c r="F464" i="22"/>
  <c r="F436" i="22" s="1"/>
  <c r="F449" i="22" s="1"/>
  <c r="G224" i="22"/>
  <c r="F455" i="22"/>
  <c r="G445" i="22"/>
  <c r="H222" i="22"/>
  <c r="H155" i="22"/>
  <c r="H224" i="22"/>
  <c r="G464" i="22"/>
  <c r="G436" i="22" s="1"/>
  <c r="G449" i="22" s="1"/>
  <c r="F495" i="22"/>
  <c r="F504" i="22"/>
  <c r="F476" i="22" s="1"/>
  <c r="F489" i="22" s="1"/>
  <c r="G455" i="22"/>
  <c r="G444" i="22"/>
  <c r="I155" i="22"/>
  <c r="H455" i="22"/>
  <c r="G504" i="22"/>
  <c r="G476" i="22" s="1"/>
  <c r="G489" i="22" s="1"/>
  <c r="G484" i="22"/>
  <c r="I222" i="22"/>
  <c r="H464" i="22"/>
  <c r="H436" i="22" s="1"/>
  <c r="H449" i="22" s="1"/>
  <c r="G495" i="22"/>
  <c r="G485" i="22"/>
  <c r="I224" i="22"/>
  <c r="J224" i="22"/>
  <c r="H495" i="22"/>
  <c r="H504" i="22"/>
  <c r="H476" i="22" s="1"/>
  <c r="H489" i="22" s="1"/>
  <c r="J222" i="22"/>
  <c r="I455" i="22"/>
  <c r="J155" i="22"/>
  <c r="I444" i="22"/>
  <c r="I464" i="22"/>
  <c r="I436" i="22" s="1"/>
  <c r="I449" i="22" s="1"/>
  <c r="I445" i="22"/>
  <c r="K222" i="22"/>
  <c r="J444" i="22"/>
  <c r="I504" i="22"/>
  <c r="I476" i="22" s="1"/>
  <c r="I489" i="22" s="1"/>
  <c r="K224" i="22"/>
  <c r="J464" i="22"/>
  <c r="J436" i="22" s="1"/>
  <c r="J449" i="22" s="1"/>
  <c r="I484" i="22"/>
  <c r="J445" i="22"/>
  <c r="I485" i="22"/>
  <c r="K155" i="22"/>
  <c r="I495" i="22"/>
  <c r="J455" i="22"/>
  <c r="J495" i="22"/>
  <c r="L222" i="22"/>
  <c r="J484" i="22"/>
  <c r="K444" i="22"/>
  <c r="K464" i="22"/>
  <c r="K436" i="22" s="1"/>
  <c r="K449" i="22" s="1"/>
  <c r="K445" i="22"/>
  <c r="L155" i="22"/>
  <c r="J504" i="22"/>
  <c r="J476" i="22" s="1"/>
  <c r="J489" i="22" s="1"/>
  <c r="J485" i="22"/>
  <c r="L224" i="22"/>
  <c r="L445" i="22"/>
  <c r="L444" i="22"/>
  <c r="K504" i="22"/>
  <c r="K476" i="22" s="1"/>
  <c r="K489" i="22" s="1"/>
  <c r="K484" i="22"/>
  <c r="K485" i="22"/>
  <c r="L464" i="22"/>
  <c r="L436" i="22" s="1"/>
  <c r="L449" i="22" s="1"/>
  <c r="M445" i="22"/>
  <c r="L504" i="22"/>
  <c r="L476" i="22" s="1"/>
  <c r="L489" i="22" s="1"/>
  <c r="L484" i="22"/>
  <c r="L485" i="22"/>
  <c r="M444" i="22"/>
  <c r="N444" i="22"/>
  <c r="P420" i="22"/>
  <c r="M484" i="22"/>
  <c r="M485" i="22"/>
  <c r="N445" i="22"/>
  <c r="P222" i="22"/>
  <c r="P223" i="22" s="1"/>
  <c r="O444" i="22"/>
  <c r="P224" i="22"/>
  <c r="O445" i="22"/>
  <c r="P228" i="22"/>
  <c r="Q420" i="22"/>
  <c r="O455" i="22"/>
  <c r="P155" i="22"/>
  <c r="N484" i="22"/>
  <c r="N485" i="22"/>
  <c r="Q155" i="22"/>
  <c r="P460" i="22"/>
  <c r="P464" i="22"/>
  <c r="Q222" i="22"/>
  <c r="P445" i="22"/>
  <c r="O495" i="22"/>
  <c r="P455" i="22"/>
  <c r="Q228" i="22"/>
  <c r="P475" i="22"/>
  <c r="O485" i="22"/>
  <c r="P434" i="22"/>
  <c r="P435" i="22"/>
  <c r="R420" i="22"/>
  <c r="P444" i="22"/>
  <c r="Q224" i="22"/>
  <c r="O484" i="22"/>
  <c r="P484" i="22"/>
  <c r="R228" i="22"/>
  <c r="Q475" i="22"/>
  <c r="Q488" i="22" s="1"/>
  <c r="P485" i="22"/>
  <c r="Q455" i="22"/>
  <c r="R222" i="22"/>
  <c r="S420" i="22"/>
  <c r="Q434" i="22"/>
  <c r="Q460" i="22"/>
  <c r="Q435" i="22"/>
  <c r="P500" i="22"/>
  <c r="Q464" i="22"/>
  <c r="Q436" i="22" s="1"/>
  <c r="Q444" i="22"/>
  <c r="P495" i="22"/>
  <c r="R155" i="22"/>
  <c r="Q445" i="22"/>
  <c r="P504" i="22"/>
  <c r="R224" i="22"/>
  <c r="T420" i="22"/>
  <c r="Q485" i="22"/>
  <c r="R444" i="22"/>
  <c r="Q495" i="22"/>
  <c r="R434" i="22"/>
  <c r="Q500" i="22"/>
  <c r="R464" i="22"/>
  <c r="R436" i="22" s="1"/>
  <c r="Q504" i="22"/>
  <c r="Q476" i="22" s="1"/>
  <c r="R445" i="22"/>
  <c r="Q484" i="22"/>
  <c r="S224" i="22"/>
  <c r="S228" i="22"/>
  <c r="R455" i="22"/>
  <c r="S155" i="22"/>
  <c r="R475" i="22"/>
  <c r="R488" i="22" s="1"/>
  <c r="S222" i="22"/>
  <c r="R460" i="22"/>
  <c r="R435" i="22"/>
  <c r="S444" i="22"/>
  <c r="R484" i="22"/>
  <c r="S460" i="22"/>
  <c r="U420" i="22"/>
  <c r="S464" i="22"/>
  <c r="S436" i="22" s="1"/>
  <c r="R495" i="22"/>
  <c r="S434" i="22"/>
  <c r="S435" i="22"/>
  <c r="S445" i="22"/>
  <c r="R504" i="22"/>
  <c r="R476" i="22" s="1"/>
  <c r="T228" i="22"/>
  <c r="R500" i="22"/>
  <c r="S455" i="22"/>
  <c r="T222" i="22"/>
  <c r="S475" i="22"/>
  <c r="S488" i="22" s="1"/>
  <c r="T155" i="22"/>
  <c r="R485" i="22"/>
  <c r="T224" i="22"/>
  <c r="T435" i="22"/>
  <c r="U222" i="22"/>
  <c r="S495" i="22"/>
  <c r="T444" i="22"/>
  <c r="T460" i="22"/>
  <c r="U224" i="22"/>
  <c r="S500" i="22"/>
  <c r="T464" i="22"/>
  <c r="T436" i="22" s="1"/>
  <c r="T445" i="22"/>
  <c r="S504" i="22"/>
  <c r="S476" i="22" s="1"/>
  <c r="S485" i="22"/>
  <c r="U155" i="22"/>
  <c r="S484" i="22"/>
  <c r="T475" i="22"/>
  <c r="T488" i="22" s="1"/>
  <c r="T455" i="22"/>
  <c r="V420" i="22"/>
  <c r="U228" i="22"/>
  <c r="T434" i="22"/>
  <c r="W420" i="22"/>
  <c r="U475" i="22"/>
  <c r="U488" i="22" s="1"/>
  <c r="V224" i="22"/>
  <c r="U460" i="22"/>
  <c r="V155" i="22"/>
  <c r="U455" i="22"/>
  <c r="V228" i="22"/>
  <c r="U444" i="22"/>
  <c r="U464" i="22"/>
  <c r="U436" i="22" s="1"/>
  <c r="V222" i="22"/>
  <c r="U445" i="22"/>
  <c r="T495" i="22"/>
  <c r="U434" i="22"/>
  <c r="T485" i="22"/>
  <c r="T500" i="22"/>
  <c r="T504" i="22"/>
  <c r="T476" i="22" s="1"/>
  <c r="U435" i="22"/>
  <c r="T484" i="22"/>
  <c r="V445" i="22"/>
  <c r="W228" i="22"/>
  <c r="V435" i="22"/>
  <c r="V444" i="22"/>
  <c r="V460" i="22"/>
  <c r="X420" i="22"/>
  <c r="W155" i="22"/>
  <c r="V434" i="22"/>
  <c r="U500" i="22"/>
  <c r="U504" i="22"/>
  <c r="U476" i="22" s="1"/>
  <c r="V455" i="22"/>
  <c r="U484" i="22"/>
  <c r="U495" i="22"/>
  <c r="W224" i="22"/>
  <c r="U485" i="22"/>
  <c r="V475" i="22"/>
  <c r="V488" i="22" s="1"/>
  <c r="W222" i="22"/>
  <c r="V464" i="22"/>
  <c r="V436" i="22" s="1"/>
  <c r="W460" i="22"/>
  <c r="V495" i="22"/>
  <c r="W435" i="22"/>
  <c r="V504" i="22"/>
  <c r="V476" i="22" s="1"/>
  <c r="W455" i="22"/>
  <c r="X222" i="22"/>
  <c r="X228" i="22"/>
  <c r="W445" i="22"/>
  <c r="X155" i="22"/>
  <c r="W444" i="22"/>
  <c r="W464" i="22"/>
  <c r="W436" i="22" s="1"/>
  <c r="V500" i="22"/>
  <c r="V484" i="22"/>
  <c r="X224" i="22"/>
  <c r="V485" i="22"/>
  <c r="W434" i="22"/>
  <c r="Y420" i="22"/>
  <c r="W475" i="22"/>
  <c r="W488" i="22" s="1"/>
  <c r="X434" i="22"/>
  <c r="Y228" i="22"/>
  <c r="Y224" i="22"/>
  <c r="X435" i="22"/>
  <c r="W504" i="22"/>
  <c r="W476" i="22" s="1"/>
  <c r="W495" i="22"/>
  <c r="X475" i="22"/>
  <c r="X488" i="22" s="1"/>
  <c r="Y155" i="22"/>
  <c r="X460" i="22"/>
  <c r="X464" i="22"/>
  <c r="X436" i="22" s="1"/>
  <c r="W485" i="22"/>
  <c r="W500" i="22"/>
  <c r="X444" i="22"/>
  <c r="W484" i="22"/>
  <c r="Z420" i="22"/>
  <c r="X445" i="22"/>
  <c r="Y222" i="22"/>
  <c r="X455" i="22"/>
  <c r="Y475" i="22"/>
  <c r="Y488" i="22" s="1"/>
  <c r="X504" i="22"/>
  <c r="X476" i="22" s="1"/>
  <c r="Z475" i="22"/>
  <c r="Z488" i="22" s="1"/>
  <c r="Z224" i="22"/>
  <c r="Y435" i="22"/>
  <c r="X484" i="22"/>
  <c r="Z460" i="22"/>
  <c r="Y434" i="22"/>
  <c r="X485" i="22"/>
  <c r="Z435" i="22"/>
  <c r="Z155" i="22"/>
  <c r="X495" i="22"/>
  <c r="X500" i="22"/>
  <c r="Z445" i="22"/>
  <c r="Z455" i="22"/>
  <c r="Y444" i="22"/>
  <c r="Y464" i="22"/>
  <c r="Y436" i="22" s="1"/>
  <c r="Z444" i="22"/>
  <c r="Z434" i="22"/>
  <c r="Y445" i="22"/>
  <c r="Z228" i="22"/>
  <c r="Z464" i="22"/>
  <c r="Z436" i="22" s="1"/>
  <c r="Z222" i="22"/>
  <c r="Y455" i="22"/>
  <c r="Y460" i="22"/>
  <c r="Z485" i="22"/>
  <c r="Y495" i="22"/>
  <c r="Z495" i="22"/>
  <c r="Y485" i="22"/>
  <c r="Z500" i="22"/>
  <c r="Y484" i="22"/>
  <c r="Z484" i="22"/>
  <c r="Y504" i="22"/>
  <c r="Y476" i="22" s="1"/>
  <c r="Z504" i="22"/>
  <c r="Z476" i="22" s="1"/>
  <c r="Y500" i="22"/>
  <c r="H553" i="23"/>
  <c r="H597" i="23" s="1"/>
  <c r="X555" i="23"/>
  <c r="X599" i="23" s="1"/>
  <c r="V555" i="23"/>
  <c r="V599" i="23" s="1"/>
  <c r="T555" i="23"/>
  <c r="T599" i="23" s="1"/>
  <c r="Q556" i="23"/>
  <c r="Q600" i="23" s="1"/>
  <c r="O553" i="23"/>
  <c r="J555" i="23"/>
  <c r="J599" i="23" s="1"/>
  <c r="F407" i="18"/>
  <c r="F447" i="18" s="1"/>
  <c r="G407" i="18"/>
  <c r="G447" i="18" s="1"/>
  <c r="H407" i="18"/>
  <c r="H447" i="18" s="1"/>
  <c r="I407" i="18"/>
  <c r="I447" i="18" s="1"/>
  <c r="Q407" i="18"/>
  <c r="Q447" i="18" s="1"/>
  <c r="R407" i="18"/>
  <c r="R447" i="18" s="1"/>
  <c r="S407" i="18"/>
  <c r="S447" i="18" s="1"/>
  <c r="T407" i="18"/>
  <c r="T447" i="18" s="1"/>
  <c r="U407" i="18"/>
  <c r="U447" i="18" s="1"/>
  <c r="V407" i="18"/>
  <c r="V447" i="18" s="1"/>
  <c r="W407" i="18"/>
  <c r="W447" i="18" s="1"/>
  <c r="X407" i="18"/>
  <c r="X447" i="18" s="1"/>
  <c r="Y407" i="18"/>
  <c r="Y447" i="18" s="1"/>
  <c r="Z407" i="18"/>
  <c r="Z447" i="18" s="1"/>
  <c r="H9" i="20"/>
  <c r="AQ166" i="18"/>
  <c r="F131" i="18"/>
  <c r="F139" i="18" s="1"/>
  <c r="F145" i="18"/>
  <c r="F200" i="18"/>
  <c r="G145" i="18"/>
  <c r="G131" i="18"/>
  <c r="G139" i="18" s="1"/>
  <c r="H145" i="18"/>
  <c r="AR166" i="18"/>
  <c r="AR174" i="18" s="1"/>
  <c r="G200" i="18"/>
  <c r="H131" i="18"/>
  <c r="H139" i="18" s="1"/>
  <c r="H200" i="18"/>
  <c r="AS166" i="18"/>
  <c r="AS174" i="18" s="1"/>
  <c r="K145" i="18"/>
  <c r="K131" i="18"/>
  <c r="K139" i="18" s="1"/>
  <c r="K200" i="18"/>
  <c r="AV166" i="18"/>
  <c r="AV174" i="18" s="1"/>
  <c r="L200" i="18"/>
  <c r="AW166" i="18"/>
  <c r="AW174" i="18" s="1"/>
  <c r="L145" i="18"/>
  <c r="L131" i="18"/>
  <c r="L139" i="18" s="1"/>
  <c r="M131" i="18"/>
  <c r="M139" i="18" s="1"/>
  <c r="M145" i="18"/>
  <c r="AX166" i="18"/>
  <c r="AX174" i="18" s="1"/>
  <c r="M200" i="18"/>
  <c r="N145" i="18"/>
  <c r="N131" i="18"/>
  <c r="N139" i="18" s="1"/>
  <c r="N200" i="18"/>
  <c r="AY166" i="18"/>
  <c r="AY174" i="18" s="1"/>
  <c r="O145" i="18"/>
  <c r="O200" i="18"/>
  <c r="AZ166" i="18"/>
  <c r="AZ174" i="18" s="1"/>
  <c r="O131" i="18"/>
  <c r="O139" i="18" s="1"/>
  <c r="P131" i="18"/>
  <c r="P139" i="18" s="1"/>
  <c r="P145" i="18"/>
  <c r="P200" i="18"/>
  <c r="BA166" i="18"/>
  <c r="BA174" i="18" s="1"/>
  <c r="Q131" i="18"/>
  <c r="Q139" i="18" s="1"/>
  <c r="Q145" i="18"/>
  <c r="BB166" i="18"/>
  <c r="BB174" i="18" s="1"/>
  <c r="Q200" i="18"/>
  <c r="R131" i="18"/>
  <c r="R139" i="18" s="1"/>
  <c r="BC166" i="18"/>
  <c r="BC174" i="18" s="1"/>
  <c r="R145" i="18"/>
  <c r="R200" i="18"/>
  <c r="BD166" i="18"/>
  <c r="BD174" i="18" s="1"/>
  <c r="S200" i="18"/>
  <c r="S131" i="18"/>
  <c r="S139" i="18" s="1"/>
  <c r="S145" i="18"/>
  <c r="BE166" i="18"/>
  <c r="BE174" i="18" s="1"/>
  <c r="T131" i="18"/>
  <c r="T139" i="18" s="1"/>
  <c r="T145" i="18"/>
  <c r="T200" i="18"/>
  <c r="U145" i="18"/>
  <c r="U131" i="18"/>
  <c r="U139" i="18" s="1"/>
  <c r="U200" i="18"/>
  <c r="BF166" i="18"/>
  <c r="BF174" i="18" s="1"/>
  <c r="V145" i="18"/>
  <c r="V131" i="18"/>
  <c r="V139" i="18" s="1"/>
  <c r="BG166" i="18"/>
  <c r="BG174" i="18" s="1"/>
  <c r="V200" i="18"/>
  <c r="W200" i="18"/>
  <c r="W145" i="18"/>
  <c r="W131" i="18"/>
  <c r="W139" i="18" s="1"/>
  <c r="BH166" i="18"/>
  <c r="BH174" i="18" s="1"/>
  <c r="X131" i="18"/>
  <c r="X139" i="18" s="1"/>
  <c r="BI166" i="18"/>
  <c r="BI174" i="18" s="1"/>
  <c r="X145" i="18"/>
  <c r="X200" i="18"/>
  <c r="Y131" i="18"/>
  <c r="Y139" i="18" s="1"/>
  <c r="Y145" i="18"/>
  <c r="Y200" i="18"/>
  <c r="BJ166" i="18"/>
  <c r="BJ174" i="18" s="1"/>
  <c r="Z131" i="18"/>
  <c r="Z139" i="18" s="1"/>
  <c r="Z200" i="18"/>
  <c r="BK166" i="18"/>
  <c r="BK174" i="18" s="1"/>
  <c r="Z145" i="18"/>
  <c r="J305" i="18"/>
  <c r="L302" i="18"/>
  <c r="L346" i="18" s="1"/>
  <c r="M305" i="18"/>
  <c r="O304" i="18"/>
  <c r="O348" i="18" s="1"/>
  <c r="Q306" i="18"/>
  <c r="Q350" i="18" s="1"/>
  <c r="S304" i="18"/>
  <c r="S348" i="18" s="1"/>
  <c r="V304" i="18"/>
  <c r="V348" i="18" s="1"/>
  <c r="X306" i="18"/>
  <c r="X350" i="18" s="1"/>
  <c r="Y304" i="18"/>
  <c r="Y348" i="18" s="1"/>
  <c r="V305" i="18"/>
  <c r="Z304" i="18"/>
  <c r="Z348" i="18" s="1"/>
  <c r="Z303" i="18"/>
  <c r="Z347" i="18" s="1"/>
  <c r="K302" i="18"/>
  <c r="K346" i="18" s="1"/>
  <c r="R301" i="18"/>
  <c r="J304" i="18"/>
  <c r="J348" i="18" s="1"/>
  <c r="L306" i="18"/>
  <c r="N305" i="18"/>
  <c r="O305" i="18"/>
  <c r="Q301" i="18"/>
  <c r="S306" i="18"/>
  <c r="S350" i="18" s="1"/>
  <c r="T304" i="18"/>
  <c r="T348" i="18" s="1"/>
  <c r="X303" i="18"/>
  <c r="X347" i="18" s="1"/>
  <c r="Z302" i="18"/>
  <c r="X301" i="18"/>
  <c r="R303" i="18"/>
  <c r="R347" i="18" s="1"/>
  <c r="R305" i="18"/>
  <c r="J302" i="18"/>
  <c r="O306" i="18"/>
  <c r="Q302" i="18"/>
  <c r="Q346" i="18" s="1"/>
  <c r="S303" i="18"/>
  <c r="S347" i="18" s="1"/>
  <c r="V302" i="18"/>
  <c r="V346" i="18" s="1"/>
  <c r="X302" i="18"/>
  <c r="X346" i="18" s="1"/>
  <c r="M306" i="18"/>
  <c r="J306" i="18"/>
  <c r="L305" i="18"/>
  <c r="N301" i="18"/>
  <c r="P304" i="18"/>
  <c r="P348" i="18" s="1"/>
  <c r="Q303" i="18"/>
  <c r="Q347" i="18" s="1"/>
  <c r="S305" i="18"/>
  <c r="U304" i="18"/>
  <c r="U348" i="18" s="1"/>
  <c r="V306" i="18"/>
  <c r="V350" i="18" s="1"/>
  <c r="Z306" i="18"/>
  <c r="Z350" i="18" s="1"/>
  <c r="Z305" i="18"/>
  <c r="J301" i="18"/>
  <c r="K304" i="18"/>
  <c r="K348" i="18" s="1"/>
  <c r="L303" i="18"/>
  <c r="N304" i="18"/>
  <c r="N348" i="18" s="1"/>
  <c r="P306" i="18"/>
  <c r="Q305" i="18"/>
  <c r="S301" i="18"/>
  <c r="U305" i="18"/>
  <c r="W301" i="18"/>
  <c r="P302" i="18"/>
  <c r="Y306" i="18"/>
  <c r="Y350" i="18" s="1"/>
  <c r="O301" i="18"/>
  <c r="I302" i="18"/>
  <c r="K306" i="18"/>
  <c r="L301" i="18"/>
  <c r="N302" i="18"/>
  <c r="P301" i="18"/>
  <c r="R304" i="18"/>
  <c r="R348" i="18" s="1"/>
  <c r="U303" i="18"/>
  <c r="U347" i="18" s="1"/>
  <c r="W304" i="18"/>
  <c r="W348" i="18" s="1"/>
  <c r="X305" i="18"/>
  <c r="Z301" i="18"/>
  <c r="Y305" i="18"/>
  <c r="Q304" i="18"/>
  <c r="Q348" i="18" s="1"/>
  <c r="K303" i="18"/>
  <c r="M304" i="18"/>
  <c r="M348" i="18" s="1"/>
  <c r="N306" i="18"/>
  <c r="R306" i="18"/>
  <c r="R350" i="18" s="1"/>
  <c r="S302" i="18"/>
  <c r="S346" i="18" s="1"/>
  <c r="U302" i="18"/>
  <c r="U346" i="18" s="1"/>
  <c r="W303" i="18"/>
  <c r="W347" i="18" s="1"/>
  <c r="Y301" i="18"/>
  <c r="V301" i="18"/>
  <c r="W306" i="18"/>
  <c r="W350" i="18" s="1"/>
  <c r="X304" i="18"/>
  <c r="X348" i="18" s="1"/>
  <c r="K301" i="18"/>
  <c r="M301" i="18"/>
  <c r="N303" i="18"/>
  <c r="P303" i="18"/>
  <c r="R302" i="18"/>
  <c r="R346" i="18" s="1"/>
  <c r="T305" i="18"/>
  <c r="U301" i="18"/>
  <c r="W305" i="18"/>
  <c r="T303" i="18"/>
  <c r="T347" i="18" s="1"/>
  <c r="V303" i="18"/>
  <c r="V347" i="18" s="1"/>
  <c r="K305" i="18"/>
  <c r="O302" i="18"/>
  <c r="P305" i="18"/>
  <c r="T306" i="18"/>
  <c r="T350" i="18" s="1"/>
  <c r="U306" i="18"/>
  <c r="U350" i="18" s="1"/>
  <c r="Y303" i="18"/>
  <c r="Y347" i="18" s="1"/>
  <c r="M303" i="18"/>
  <c r="I301" i="18"/>
  <c r="M302" i="18"/>
  <c r="O303" i="18"/>
  <c r="W302" i="18"/>
  <c r="W346" i="18" s="1"/>
  <c r="Y302" i="18"/>
  <c r="Y346" i="18" s="1"/>
  <c r="T301" i="18"/>
  <c r="J303" i="18"/>
  <c r="L304" i="18"/>
  <c r="L348" i="18" s="1"/>
  <c r="T302" i="18"/>
  <c r="T346" i="18" s="1"/>
  <c r="G302" i="18"/>
  <c r="E41" i="2" s="1"/>
  <c r="H302" i="18"/>
  <c r="G301" i="18"/>
  <c r="E40" i="2" s="1"/>
  <c r="H301" i="18"/>
  <c r="F597" i="23"/>
  <c r="Y554" i="23"/>
  <c r="Y598" i="23" s="1"/>
  <c r="W553" i="23"/>
  <c r="R554" i="23"/>
  <c r="R598" i="23" s="1"/>
  <c r="Q558" i="23"/>
  <c r="Q602" i="23" s="1"/>
  <c r="O558" i="23"/>
  <c r="O602" i="23" s="1"/>
  <c r="M554" i="23"/>
  <c r="M598" i="23" s="1"/>
  <c r="K557" i="23"/>
  <c r="H33" i="1"/>
  <c r="G431" i="23" s="1"/>
  <c r="F2" i="23"/>
  <c r="G2" i="23" s="1"/>
  <c r="F453" i="23"/>
  <c r="F659" i="23"/>
  <c r="F699" i="23" s="1"/>
  <c r="G453" i="23"/>
  <c r="G461" i="23" s="1"/>
  <c r="F351" i="23"/>
  <c r="F337" i="23"/>
  <c r="F345" i="23" s="1"/>
  <c r="G351" i="23"/>
  <c r="G337" i="23"/>
  <c r="G345" i="23" s="1"/>
  <c r="H453" i="23"/>
  <c r="H461" i="23" s="1"/>
  <c r="H337" i="23"/>
  <c r="H345" i="23" s="1"/>
  <c r="H351" i="23"/>
  <c r="G659" i="23"/>
  <c r="G699" i="23" s="1"/>
  <c r="J453" i="23"/>
  <c r="J461" i="23" s="1"/>
  <c r="J337" i="23"/>
  <c r="J345" i="23" s="1"/>
  <c r="J351" i="23"/>
  <c r="H659" i="23"/>
  <c r="H699" i="23" s="1"/>
  <c r="I659" i="23"/>
  <c r="I699" i="23" s="1"/>
  <c r="K453" i="23"/>
  <c r="K461" i="23" s="1"/>
  <c r="K337" i="23"/>
  <c r="K345" i="23" s="1"/>
  <c r="K351" i="23"/>
  <c r="L351" i="23"/>
  <c r="L453" i="23"/>
  <c r="L461" i="23" s="1"/>
  <c r="L337" i="23"/>
  <c r="L345" i="23" s="1"/>
  <c r="M453" i="23"/>
  <c r="M461" i="23" s="1"/>
  <c r="M337" i="23"/>
  <c r="M345" i="23" s="1"/>
  <c r="M351" i="23"/>
  <c r="N453" i="23"/>
  <c r="N461" i="23" s="1"/>
  <c r="N337" i="23"/>
  <c r="N345" i="23" s="1"/>
  <c r="N351" i="23"/>
  <c r="O453" i="23"/>
  <c r="O461" i="23" s="1"/>
  <c r="O337" i="23"/>
  <c r="O345" i="23" s="1"/>
  <c r="O351" i="23"/>
  <c r="P453" i="23"/>
  <c r="P461" i="23" s="1"/>
  <c r="P337" i="23"/>
  <c r="P345" i="23" s="1"/>
  <c r="P351" i="23"/>
  <c r="N659" i="23"/>
  <c r="Q351" i="23"/>
  <c r="Q337" i="23"/>
  <c r="Q345" i="23" s="1"/>
  <c r="O659" i="23"/>
  <c r="Q453" i="23"/>
  <c r="Q461" i="23" s="1"/>
  <c r="R453" i="23"/>
  <c r="R461" i="23" s="1"/>
  <c r="R337" i="23"/>
  <c r="R345" i="23" s="1"/>
  <c r="R351" i="23"/>
  <c r="P659" i="23"/>
  <c r="Q659" i="23"/>
  <c r="Q699" i="23" s="1"/>
  <c r="S351" i="23"/>
  <c r="S337" i="23"/>
  <c r="S345" i="23" s="1"/>
  <c r="S453" i="23"/>
  <c r="S461" i="23" s="1"/>
  <c r="T351" i="23"/>
  <c r="R659" i="23"/>
  <c r="T453" i="23"/>
  <c r="T461" i="23" s="1"/>
  <c r="T337" i="23"/>
  <c r="T345" i="23" s="1"/>
  <c r="U453" i="23"/>
  <c r="U461" i="23" s="1"/>
  <c r="S659" i="23"/>
  <c r="S699" i="23" s="1"/>
  <c r="U337" i="23"/>
  <c r="U345" i="23" s="1"/>
  <c r="U351" i="23"/>
  <c r="T659" i="23"/>
  <c r="T699" i="23" s="1"/>
  <c r="V351" i="23"/>
  <c r="V453" i="23"/>
  <c r="V461" i="23" s="1"/>
  <c r="V337" i="23"/>
  <c r="V345" i="23" s="1"/>
  <c r="W453" i="23"/>
  <c r="W461" i="23" s="1"/>
  <c r="W337" i="23"/>
  <c r="W345" i="23" s="1"/>
  <c r="W351" i="23"/>
  <c r="U659" i="23"/>
  <c r="U699" i="23" s="1"/>
  <c r="V659" i="23"/>
  <c r="V699" i="23" s="1"/>
  <c r="X351" i="23"/>
  <c r="X453" i="23"/>
  <c r="X461" i="23" s="1"/>
  <c r="X337" i="23"/>
  <c r="X345" i="23" s="1"/>
  <c r="Y453" i="23"/>
  <c r="Y461" i="23" s="1"/>
  <c r="W659" i="23"/>
  <c r="W699" i="23" s="1"/>
  <c r="Y337" i="23"/>
  <c r="Y345" i="23" s="1"/>
  <c r="Y351" i="23"/>
  <c r="Z453" i="23"/>
  <c r="Z461" i="23" s="1"/>
  <c r="Z337" i="23"/>
  <c r="Z345" i="23" s="1"/>
  <c r="Z351" i="23"/>
  <c r="X659" i="23"/>
  <c r="X699" i="23" s="1"/>
  <c r="Y659" i="23"/>
  <c r="Y699" i="23" s="1"/>
  <c r="Z659" i="23"/>
  <c r="Z699" i="23" s="1"/>
  <c r="AM9" i="20"/>
  <c r="AL11" i="20" s="1"/>
  <c r="AN11" i="20" s="1"/>
  <c r="AP11" i="20" s="1"/>
  <c r="Y556" i="23"/>
  <c r="Y600" i="23" s="1"/>
  <c r="W558" i="23"/>
  <c r="W602" i="23" s="1"/>
  <c r="V557" i="23"/>
  <c r="T557" i="23"/>
  <c r="R556" i="23"/>
  <c r="R600" i="23" s="1"/>
  <c r="O557" i="23"/>
  <c r="M556" i="23"/>
  <c r="M600" i="23" s="1"/>
  <c r="K554" i="23"/>
  <c r="K598" i="23" s="1"/>
  <c r="I556" i="23"/>
  <c r="I600" i="23" s="1"/>
  <c r="G33" i="1"/>
  <c r="F139" i="22"/>
  <c r="F147" i="22" s="1"/>
  <c r="F209" i="22"/>
  <c r="F255" i="22"/>
  <c r="F153" i="22"/>
  <c r="F2" i="22"/>
  <c r="G2" i="22" s="1"/>
  <c r="G255" i="22"/>
  <c r="G263" i="22" s="1"/>
  <c r="G153" i="22"/>
  <c r="G139" i="22"/>
  <c r="G147" i="22" s="1"/>
  <c r="G209" i="22"/>
  <c r="F461" i="22"/>
  <c r="F501" i="22" s="1"/>
  <c r="G461" i="22"/>
  <c r="G501" i="22" s="1"/>
  <c r="H153" i="22"/>
  <c r="H255" i="22"/>
  <c r="H263" i="22" s="1"/>
  <c r="H209" i="22"/>
  <c r="H139" i="22"/>
  <c r="H147" i="22" s="1"/>
  <c r="H461" i="22"/>
  <c r="H501" i="22" s="1"/>
  <c r="J153" i="22"/>
  <c r="I461" i="22"/>
  <c r="I501" i="22" s="1"/>
  <c r="J255" i="22"/>
  <c r="J263" i="22" s="1"/>
  <c r="J139" i="22"/>
  <c r="J147" i="22" s="1"/>
  <c r="J209" i="22"/>
  <c r="K255" i="22"/>
  <c r="K263" i="22" s="1"/>
  <c r="K139" i="22"/>
  <c r="K147" i="22" s="1"/>
  <c r="K153" i="22"/>
  <c r="K209" i="22"/>
  <c r="L139" i="22"/>
  <c r="L147" i="22" s="1"/>
  <c r="L255" i="22"/>
  <c r="L263" i="22" s="1"/>
  <c r="L209" i="22"/>
  <c r="L153" i="22"/>
  <c r="M255" i="22"/>
  <c r="M263" i="22" s="1"/>
  <c r="M209" i="22"/>
  <c r="M139" i="22"/>
  <c r="M147" i="22" s="1"/>
  <c r="M153" i="22"/>
  <c r="N209" i="22"/>
  <c r="N255" i="22"/>
  <c r="N263" i="22" s="1"/>
  <c r="N139" i="22"/>
  <c r="N147" i="22" s="1"/>
  <c r="N153" i="22"/>
  <c r="O139" i="22"/>
  <c r="O147" i="22" s="1"/>
  <c r="O209" i="22"/>
  <c r="O153" i="22"/>
  <c r="O255" i="22"/>
  <c r="O263" i="22" s="1"/>
  <c r="P153" i="22"/>
  <c r="P209" i="22"/>
  <c r="P139" i="22"/>
  <c r="P147" i="22" s="1"/>
  <c r="P255" i="22"/>
  <c r="P263" i="22" s="1"/>
  <c r="Q209" i="22"/>
  <c r="Q139" i="22"/>
  <c r="Q147" i="22" s="1"/>
  <c r="Q255" i="22"/>
  <c r="Q263" i="22" s="1"/>
  <c r="P461" i="22"/>
  <c r="Q153" i="22"/>
  <c r="Q461" i="22"/>
  <c r="Q501" i="22" s="1"/>
  <c r="R255" i="22"/>
  <c r="R263" i="22" s="1"/>
  <c r="R153" i="22"/>
  <c r="R209" i="22"/>
  <c r="R139" i="22"/>
  <c r="R147" i="22" s="1"/>
  <c r="R461" i="22"/>
  <c r="R501" i="22" s="1"/>
  <c r="S209" i="22"/>
  <c r="S255" i="22"/>
  <c r="S263" i="22" s="1"/>
  <c r="S153" i="22"/>
  <c r="S139" i="22"/>
  <c r="S147" i="22" s="1"/>
  <c r="T255" i="22"/>
  <c r="T263" i="22" s="1"/>
  <c r="T153" i="22"/>
  <c r="T209" i="22"/>
  <c r="T139" i="22"/>
  <c r="T147" i="22" s="1"/>
  <c r="S461" i="22"/>
  <c r="S501" i="22" s="1"/>
  <c r="T461" i="22"/>
  <c r="T501" i="22" s="1"/>
  <c r="U153" i="22"/>
  <c r="U209" i="22"/>
  <c r="U139" i="22"/>
  <c r="U147" i="22" s="1"/>
  <c r="U255" i="22"/>
  <c r="U263" i="22" s="1"/>
  <c r="V139" i="22"/>
  <c r="V147" i="22" s="1"/>
  <c r="V153" i="22"/>
  <c r="V255" i="22"/>
  <c r="V263" i="22" s="1"/>
  <c r="U461" i="22"/>
  <c r="U501" i="22" s="1"/>
  <c r="V209" i="22"/>
  <c r="W209" i="22"/>
  <c r="V461" i="22"/>
  <c r="V501" i="22" s="1"/>
  <c r="W255" i="22"/>
  <c r="W263" i="22" s="1"/>
  <c r="W139" i="22"/>
  <c r="W147" i="22" s="1"/>
  <c r="W153" i="22"/>
  <c r="W461" i="22"/>
  <c r="W501" i="22" s="1"/>
  <c r="X209" i="22"/>
  <c r="X139" i="22"/>
  <c r="X147" i="22" s="1"/>
  <c r="X153" i="22"/>
  <c r="X255" i="22"/>
  <c r="X263" i="22" s="1"/>
  <c r="Y255" i="22"/>
  <c r="Y263" i="22" s="1"/>
  <c r="X461" i="22"/>
  <c r="X501" i="22" s="1"/>
  <c r="Y209" i="22"/>
  <c r="Y139" i="22"/>
  <c r="Y147" i="22" s="1"/>
  <c r="Y153" i="22"/>
  <c r="Z255" i="22"/>
  <c r="Z263" i="22" s="1"/>
  <c r="Z461" i="22"/>
  <c r="Z501" i="22" s="1"/>
  <c r="Y461" i="22"/>
  <c r="Y501" i="22" s="1"/>
  <c r="Z209" i="22"/>
  <c r="Z139" i="22"/>
  <c r="Z147" i="22" s="1"/>
  <c r="Z153" i="22"/>
  <c r="W9" i="20"/>
  <c r="V11" i="20" s="1"/>
  <c r="X11" i="20" s="1"/>
  <c r="Z11" i="20" s="1"/>
  <c r="AH12" i="20"/>
  <c r="Y553" i="23"/>
  <c r="W555" i="23"/>
  <c r="W599" i="23" s="1"/>
  <c r="U558" i="23"/>
  <c r="U602" i="23" s="1"/>
  <c r="T556" i="23"/>
  <c r="T600" i="23" s="1"/>
  <c r="R558" i="23"/>
  <c r="R602" i="23" s="1"/>
  <c r="P557" i="23"/>
  <c r="O554" i="23"/>
  <c r="O598" i="23" s="1"/>
  <c r="M553" i="23"/>
  <c r="K556" i="23"/>
  <c r="K600" i="23" s="1"/>
  <c r="I554" i="23"/>
  <c r="I598" i="23" s="1"/>
  <c r="AJ29" i="20"/>
  <c r="AR28" i="20"/>
  <c r="T31" i="20"/>
  <c r="AB30" i="20"/>
  <c r="F2" i="18"/>
  <c r="BR24" i="5"/>
  <c r="CM24" i="5"/>
  <c r="F33" i="1"/>
  <c r="AZ144" i="18" s="1"/>
  <c r="I67" i="5"/>
  <c r="I65" i="5"/>
  <c r="BT65" i="5" s="1"/>
  <c r="BT68" i="5" s="1"/>
  <c r="I66" i="5"/>
  <c r="BU66" i="5" s="1"/>
  <c r="BU68" i="5" s="1"/>
  <c r="J66" i="5"/>
  <c r="CP66" i="5" s="1"/>
  <c r="J67" i="5"/>
  <c r="J65" i="5"/>
  <c r="CO65" i="5" s="1"/>
  <c r="H4" i="3"/>
  <c r="AG139" i="1"/>
  <c r="AG138" i="1" s="1"/>
  <c r="AG105" i="1"/>
  <c r="AG72" i="1"/>
  <c r="AG41" i="1"/>
  <c r="AG40" i="1" s="1"/>
  <c r="AG32" i="1"/>
  <c r="AG135" i="1"/>
  <c r="AG100" i="1"/>
  <c r="AG99" i="1" s="1"/>
  <c r="AG68" i="1"/>
  <c r="AG67" i="1" s="1"/>
  <c r="AG27" i="1"/>
  <c r="AG26" i="1" s="1"/>
  <c r="AG130" i="1"/>
  <c r="AG129" i="1" s="1"/>
  <c r="AG96" i="1"/>
  <c r="AG57" i="1"/>
  <c r="AG56" i="1" s="1"/>
  <c r="AG23" i="1"/>
  <c r="AG22" i="1" s="1"/>
  <c r="AG126" i="1"/>
  <c r="AG84" i="1"/>
  <c r="AG83" i="1" s="1"/>
  <c r="AG53" i="1"/>
  <c r="AG114" i="1"/>
  <c r="AG113" i="1" s="1"/>
  <c r="AG80" i="1"/>
  <c r="AG49" i="1"/>
  <c r="AG144" i="1"/>
  <c r="AG143" i="1" s="1"/>
  <c r="AG109" i="1"/>
  <c r="AG108" i="1" s="1"/>
  <c r="AG76" i="1"/>
  <c r="AG45" i="1"/>
  <c r="AG201" i="1"/>
  <c r="AG202" i="1" s="1"/>
  <c r="AG187" i="1"/>
  <c r="AG188" i="1" s="1"/>
  <c r="J64" i="5"/>
  <c r="CN64" i="5" s="1"/>
  <c r="AG225" i="1"/>
  <c r="AG226" i="1" s="1"/>
  <c r="AG175" i="1"/>
  <c r="AG176" i="1" s="1"/>
  <c r="AG208" i="1"/>
  <c r="AG209" i="1" s="1"/>
  <c r="AG191" i="1"/>
  <c r="AG192" i="1" s="1"/>
  <c r="AG229" i="1"/>
  <c r="AG230" i="1" s="1"/>
  <c r="J52" i="5"/>
  <c r="CB52" i="5" s="1"/>
  <c r="J53" i="5"/>
  <c r="CC53" i="5" s="1"/>
  <c r="J54" i="5"/>
  <c r="CD54" i="5" s="1"/>
  <c r="J55" i="5"/>
  <c r="CE55" i="5" s="1"/>
  <c r="J56" i="5"/>
  <c r="CF56" i="5" s="1"/>
  <c r="J57" i="5"/>
  <c r="CG57" i="5" s="1"/>
  <c r="J62" i="5"/>
  <c r="CL62" i="5" s="1"/>
  <c r="AG169" i="1"/>
  <c r="AG170" i="1" s="1"/>
  <c r="G4" i="3"/>
  <c r="I49" i="5"/>
  <c r="AF201" i="1"/>
  <c r="AF53" i="1"/>
  <c r="AF139" i="1"/>
  <c r="AF138" i="1" s="1"/>
  <c r="AF105" i="1"/>
  <c r="AF72" i="1"/>
  <c r="AF41" i="1"/>
  <c r="AF40" i="1" s="1"/>
  <c r="AF135" i="1"/>
  <c r="AF100" i="1"/>
  <c r="AF99" i="1" s="1"/>
  <c r="AF68" i="1"/>
  <c r="AF67" i="1" s="1"/>
  <c r="AF130" i="1"/>
  <c r="AF129" i="1" s="1"/>
  <c r="AF96" i="1"/>
  <c r="AF57" i="1"/>
  <c r="AF27" i="1"/>
  <c r="AF26" i="1" s="1"/>
  <c r="G197" i="1"/>
  <c r="AF225" i="1"/>
  <c r="AF226" i="1" s="1"/>
  <c r="AF114" i="1"/>
  <c r="AF80" i="1"/>
  <c r="AF49" i="1"/>
  <c r="AF23" i="1"/>
  <c r="AF22" i="1" s="1"/>
  <c r="AF126" i="1"/>
  <c r="AF84" i="1"/>
  <c r="AF32" i="1"/>
  <c r="AF144" i="1"/>
  <c r="AF109" i="1"/>
  <c r="AF108" i="1" s="1"/>
  <c r="AF76" i="1"/>
  <c r="AF45" i="1"/>
  <c r="AF208" i="1"/>
  <c r="AF187" i="1"/>
  <c r="AF188" i="1" s="1"/>
  <c r="AF229" i="1"/>
  <c r="AF230" i="1" s="1"/>
  <c r="AF191" i="1"/>
  <c r="I63" i="5"/>
  <c r="I64" i="5"/>
  <c r="AF175" i="1"/>
  <c r="I52" i="5"/>
  <c r="I53" i="5"/>
  <c r="BH53" i="5" s="1"/>
  <c r="BH68" i="5" s="1"/>
  <c r="I54" i="5"/>
  <c r="I55" i="5"/>
  <c r="I56" i="5"/>
  <c r="I57" i="5"/>
  <c r="I59" i="5"/>
  <c r="BN59" i="5" s="1"/>
  <c r="BN68" i="5" s="1"/>
  <c r="I61" i="5"/>
  <c r="BP61" i="5" s="1"/>
  <c r="BP68" i="5" s="1"/>
  <c r="I62" i="5"/>
  <c r="AF169" i="1"/>
  <c r="G105" i="1"/>
  <c r="G109" i="1"/>
  <c r="I9" i="4" l="1"/>
  <c r="S41" i="27" s="1"/>
  <c r="G49" i="5"/>
  <c r="H105" i="1"/>
  <c r="P109" i="1"/>
  <c r="AE105" i="32" s="1"/>
  <c r="I49" i="27"/>
  <c r="H189" i="1"/>
  <c r="H187" i="1"/>
  <c r="H164" i="1"/>
  <c r="I50" i="27" s="1"/>
  <c r="I40" i="2"/>
  <c r="BH213" i="3"/>
  <c r="BI212" i="3"/>
  <c r="BH215" i="3"/>
  <c r="AK18" i="3"/>
  <c r="M40" i="2"/>
  <c r="R15" i="3"/>
  <c r="Q18" i="3"/>
  <c r="L40" i="2"/>
  <c r="T512" i="23"/>
  <c r="K40" i="2"/>
  <c r="BM225" i="3"/>
  <c r="BN225" i="3"/>
  <c r="O260" i="18"/>
  <c r="R314" i="22"/>
  <c r="N290" i="22"/>
  <c r="Q512" i="23"/>
  <c r="BN220" i="3"/>
  <c r="BM220" i="3"/>
  <c r="J40" i="2"/>
  <c r="U512" i="23"/>
  <c r="O314" i="22"/>
  <c r="G314" i="22"/>
  <c r="X290" i="22"/>
  <c r="O512" i="23"/>
  <c r="X510" i="23"/>
  <c r="X512" i="23" s="1"/>
  <c r="R510" i="23"/>
  <c r="R512" i="23" s="1"/>
  <c r="L510" i="23"/>
  <c r="L512" i="23" s="1"/>
  <c r="Q476" i="23"/>
  <c r="L476" i="23"/>
  <c r="V476" i="23"/>
  <c r="M510" i="23"/>
  <c r="M512" i="23" s="1"/>
  <c r="W510" i="23"/>
  <c r="W512" i="23" s="1"/>
  <c r="K476" i="23"/>
  <c r="V510" i="23"/>
  <c r="V512" i="23" s="1"/>
  <c r="P476" i="23"/>
  <c r="J476" i="23"/>
  <c r="N82" i="2" s="1"/>
  <c r="K510" i="23"/>
  <c r="K512" i="23" s="1"/>
  <c r="I476" i="23"/>
  <c r="M82" i="2" s="1"/>
  <c r="U476" i="23"/>
  <c r="J510" i="23"/>
  <c r="J512" i="23" s="1"/>
  <c r="Z476" i="23"/>
  <c r="O476" i="23"/>
  <c r="Y476" i="23"/>
  <c r="P512" i="23"/>
  <c r="H510" i="23"/>
  <c r="H512" i="23" s="1"/>
  <c r="T476" i="23"/>
  <c r="H476" i="23"/>
  <c r="L82" i="2" s="1"/>
  <c r="Z510" i="23"/>
  <c r="Z512" i="23" s="1"/>
  <c r="N476" i="23"/>
  <c r="G476" i="23"/>
  <c r="K82" i="2" s="1"/>
  <c r="X476" i="23"/>
  <c r="S476" i="23"/>
  <c r="M476" i="23"/>
  <c r="Y510" i="23"/>
  <c r="Y512" i="23" s="1"/>
  <c r="R476" i="23"/>
  <c r="G510" i="23"/>
  <c r="G512" i="23" s="1"/>
  <c r="S510" i="23"/>
  <c r="S512" i="23" s="1"/>
  <c r="N510" i="23"/>
  <c r="N512" i="23" s="1"/>
  <c r="W476" i="23"/>
  <c r="F476" i="23"/>
  <c r="J82" i="2" s="1"/>
  <c r="S312" i="22"/>
  <c r="S314" i="22" s="1"/>
  <c r="Z288" i="22"/>
  <c r="Z290" i="22" s="1"/>
  <c r="J288" i="22"/>
  <c r="J290" i="22" s="1"/>
  <c r="V312" i="22"/>
  <c r="V314" i="22" s="1"/>
  <c r="R288" i="22"/>
  <c r="R290" i="22" s="1"/>
  <c r="N312" i="22"/>
  <c r="N314" i="22" s="1"/>
  <c r="Z312" i="22"/>
  <c r="Z314" i="22" s="1"/>
  <c r="V288" i="22"/>
  <c r="V290" i="22" s="1"/>
  <c r="J312" i="22"/>
  <c r="J314" i="22" s="1"/>
  <c r="Q312" i="22"/>
  <c r="Q314" i="22" s="1"/>
  <c r="M312" i="22"/>
  <c r="M314" i="22" s="1"/>
  <c r="H288" i="22"/>
  <c r="H290" i="22" s="1"/>
  <c r="Y312" i="22"/>
  <c r="Y314" i="22" s="1"/>
  <c r="U288" i="22"/>
  <c r="U290" i="22" s="1"/>
  <c r="Q288" i="22"/>
  <c r="Q290" i="22" s="1"/>
  <c r="Y288" i="22"/>
  <c r="Y290" i="22" s="1"/>
  <c r="H312" i="22"/>
  <c r="H314" i="22" s="1"/>
  <c r="U314" i="22"/>
  <c r="T312" i="22"/>
  <c r="T314" i="22" s="1"/>
  <c r="P312" i="22"/>
  <c r="P314" i="22" s="1"/>
  <c r="L288" i="22"/>
  <c r="L290" i="22" s="1"/>
  <c r="M290" i="22"/>
  <c r="X314" i="22"/>
  <c r="T288" i="22"/>
  <c r="T290" i="22" s="1"/>
  <c r="K312" i="22"/>
  <c r="K314" i="22" s="1"/>
  <c r="P288" i="22"/>
  <c r="P290" i="22" s="1"/>
  <c r="L312" i="22"/>
  <c r="L314" i="22" s="1"/>
  <c r="G290" i="22"/>
  <c r="W314" i="22"/>
  <c r="W288" i="22"/>
  <c r="W290" i="22" s="1"/>
  <c r="S288" i="22"/>
  <c r="S290" i="22" s="1"/>
  <c r="O288" i="22"/>
  <c r="O290" i="22" s="1"/>
  <c r="K288" i="22"/>
  <c r="K290" i="22" s="1"/>
  <c r="P346" i="18"/>
  <c r="N41" i="2"/>
  <c r="M346" i="18"/>
  <c r="K41" i="2"/>
  <c r="T347" i="22"/>
  <c r="W258" i="18"/>
  <c r="W260" i="18" s="1"/>
  <c r="M234" i="18"/>
  <c r="M236" i="18" s="1"/>
  <c r="S347" i="22"/>
  <c r="Z258" i="18"/>
  <c r="Z260" i="18" s="1"/>
  <c r="Q258" i="18"/>
  <c r="Q260" i="18" s="1"/>
  <c r="BM218" i="3"/>
  <c r="BN218" i="3"/>
  <c r="Q347" i="22"/>
  <c r="V234" i="18"/>
  <c r="V236" i="18" s="1"/>
  <c r="T260" i="18"/>
  <c r="H258" i="18"/>
  <c r="H260" i="18" s="1"/>
  <c r="P347" i="22"/>
  <c r="Y234" i="18"/>
  <c r="Y236" i="18" s="1"/>
  <c r="R234" i="18"/>
  <c r="R236" i="18" s="1"/>
  <c r="P258" i="18"/>
  <c r="P260" i="18" s="1"/>
  <c r="L258" i="18"/>
  <c r="L260" i="18" s="1"/>
  <c r="U234" i="18"/>
  <c r="U236" i="18" s="1"/>
  <c r="O234" i="18"/>
  <c r="O236" i="18" s="1"/>
  <c r="H236" i="18"/>
  <c r="Y258" i="18"/>
  <c r="Y260" i="18" s="1"/>
  <c r="H346" i="18"/>
  <c r="F41" i="2"/>
  <c r="O346" i="18"/>
  <c r="M41" i="2"/>
  <c r="S258" i="18"/>
  <c r="S260" i="18" s="1"/>
  <c r="L234" i="18"/>
  <c r="L236" i="18" s="1"/>
  <c r="G258" i="18"/>
  <c r="G260" i="18" s="1"/>
  <c r="N346" i="18"/>
  <c r="L41" i="2"/>
  <c r="X234" i="18"/>
  <c r="X236" i="18" s="1"/>
  <c r="V258" i="18"/>
  <c r="V260" i="18" s="1"/>
  <c r="Q234" i="18"/>
  <c r="Q236" i="18" s="1"/>
  <c r="N234" i="18"/>
  <c r="N236" i="18" s="1"/>
  <c r="K258" i="18"/>
  <c r="K260" i="18" s="1"/>
  <c r="G234" i="18"/>
  <c r="G236" i="18" s="1"/>
  <c r="J346" i="18"/>
  <c r="H41" i="2"/>
  <c r="Z347" i="22"/>
  <c r="T234" i="18"/>
  <c r="T236" i="18" s="1"/>
  <c r="K234" i="18"/>
  <c r="K236" i="18" s="1"/>
  <c r="Y347" i="22"/>
  <c r="I346" i="18"/>
  <c r="G41" i="2"/>
  <c r="X347" i="22"/>
  <c r="X258" i="18"/>
  <c r="X260" i="18" s="1"/>
  <c r="W347" i="22"/>
  <c r="R258" i="18"/>
  <c r="R260" i="18" s="1"/>
  <c r="M260" i="18"/>
  <c r="Z346" i="18"/>
  <c r="I41" i="2"/>
  <c r="J41" i="2"/>
  <c r="V347" i="22"/>
  <c r="W234" i="18"/>
  <c r="W236" i="18" s="1"/>
  <c r="U260" i="18"/>
  <c r="N260" i="18"/>
  <c r="U347" i="22"/>
  <c r="Z234" i="18"/>
  <c r="Z236" i="18" s="1"/>
  <c r="S234" i="18"/>
  <c r="S236" i="18" s="1"/>
  <c r="P234" i="18"/>
  <c r="P236" i="18" s="1"/>
  <c r="I345" i="18"/>
  <c r="G40" i="2"/>
  <c r="M347" i="18"/>
  <c r="O347" i="18"/>
  <c r="K347" i="18"/>
  <c r="P347" i="18"/>
  <c r="H345" i="18"/>
  <c r="F40" i="2"/>
  <c r="N347" i="18"/>
  <c r="L347" i="18"/>
  <c r="N40" i="2"/>
  <c r="J345" i="18"/>
  <c r="H40" i="2"/>
  <c r="J347" i="18"/>
  <c r="P350" i="18"/>
  <c r="N42" i="2"/>
  <c r="M350" i="18"/>
  <c r="L350" i="18"/>
  <c r="J350" i="18"/>
  <c r="O350" i="18"/>
  <c r="M42" i="2"/>
  <c r="K350" i="18"/>
  <c r="N350" i="18"/>
  <c r="L42" i="2"/>
  <c r="R347" i="22"/>
  <c r="T545" i="23"/>
  <c r="T576" i="23" s="1"/>
  <c r="N545" i="23"/>
  <c r="Z545" i="23"/>
  <c r="Z576" i="23" s="1"/>
  <c r="Y545" i="23"/>
  <c r="Y576" i="23" s="1"/>
  <c r="S545" i="23"/>
  <c r="S576" i="23" s="1"/>
  <c r="X545" i="23"/>
  <c r="X576" i="23" s="1"/>
  <c r="R545" i="23"/>
  <c r="R576" i="23" s="1"/>
  <c r="W545" i="23"/>
  <c r="W576" i="23" s="1"/>
  <c r="Q545" i="23"/>
  <c r="Q576" i="23" s="1"/>
  <c r="V545" i="23"/>
  <c r="V576" i="23" s="1"/>
  <c r="P545" i="23"/>
  <c r="U545" i="23"/>
  <c r="U576" i="23" s="1"/>
  <c r="O545" i="23"/>
  <c r="H2" i="23"/>
  <c r="H366" i="23" s="1"/>
  <c r="H368" i="23" s="1"/>
  <c r="G295" i="23"/>
  <c r="G435" i="23"/>
  <c r="G82" i="2"/>
  <c r="G292" i="23"/>
  <c r="H2" i="22"/>
  <c r="I2" i="22" s="1"/>
  <c r="J2" i="22" s="1"/>
  <c r="J168" i="22" s="1"/>
  <c r="J170" i="22" s="1"/>
  <c r="G237" i="22"/>
  <c r="AF48" i="1"/>
  <c r="AG44" i="1"/>
  <c r="G145" i="1"/>
  <c r="AG75" i="1"/>
  <c r="H236" i="1"/>
  <c r="G244" i="1"/>
  <c r="AF44" i="1"/>
  <c r="AF134" i="1"/>
  <c r="AG71" i="1"/>
  <c r="AG252" i="1"/>
  <c r="G240" i="1"/>
  <c r="AF75" i="1"/>
  <c r="AG95" i="1"/>
  <c r="AG104" i="1"/>
  <c r="H149" i="1"/>
  <c r="H248" i="1"/>
  <c r="G236" i="1"/>
  <c r="H221" i="1"/>
  <c r="AG48" i="1"/>
  <c r="H145" i="1"/>
  <c r="I26" i="27"/>
  <c r="H244" i="1"/>
  <c r="G248" i="1"/>
  <c r="AF71" i="1"/>
  <c r="AG79" i="1"/>
  <c r="H240" i="1"/>
  <c r="AF79" i="1"/>
  <c r="G217" i="1"/>
  <c r="AF252" i="1"/>
  <c r="AF104" i="1"/>
  <c r="AF125" i="1"/>
  <c r="AF52" i="1"/>
  <c r="AG52" i="1"/>
  <c r="H217" i="1"/>
  <c r="G221" i="1"/>
  <c r="AF95" i="1"/>
  <c r="G213" i="1"/>
  <c r="AG125" i="1"/>
  <c r="AG134" i="1"/>
  <c r="G149" i="1"/>
  <c r="H26" i="27" s="1"/>
  <c r="H213" i="1"/>
  <c r="P114" i="22"/>
  <c r="CE68" i="5"/>
  <c r="BJ55" i="5"/>
  <c r="BJ68" i="5" s="1"/>
  <c r="CB68" i="5"/>
  <c r="BG52" i="5"/>
  <c r="BG68" i="5" s="1"/>
  <c r="CL68" i="5"/>
  <c r="BQ62" i="5"/>
  <c r="BQ68" i="5" s="1"/>
  <c r="CN68" i="5"/>
  <c r="BS64" i="5"/>
  <c r="BS68" i="5" s="1"/>
  <c r="CD68" i="5"/>
  <c r="BI54" i="5"/>
  <c r="BI68" i="5" s="1"/>
  <c r="CM68" i="5"/>
  <c r="BR63" i="5"/>
  <c r="BR68" i="5" s="1"/>
  <c r="CG68" i="5"/>
  <c r="BL57" i="5"/>
  <c r="BL68" i="5" s="1"/>
  <c r="CF68" i="5"/>
  <c r="BK56" i="5"/>
  <c r="BK68" i="5" s="1"/>
  <c r="CP68" i="5"/>
  <c r="CO68" i="5"/>
  <c r="CC68" i="5"/>
  <c r="F555" i="23"/>
  <c r="F599" i="23" s="1"/>
  <c r="U41" i="27"/>
  <c r="P41" i="27" s="1"/>
  <c r="AQ73" i="18"/>
  <c r="AR73" i="18" s="1"/>
  <c r="AS73" i="18" s="1"/>
  <c r="AT73" i="18" s="1"/>
  <c r="AU73" i="18" s="1"/>
  <c r="AV73" i="18" s="1"/>
  <c r="AW73" i="18" s="1"/>
  <c r="AX73" i="18" s="1"/>
  <c r="AY73" i="18" s="1"/>
  <c r="AZ73" i="18" s="1"/>
  <c r="BA73" i="18" s="1"/>
  <c r="BB73" i="18" s="1"/>
  <c r="BC73" i="18" s="1"/>
  <c r="BD73" i="18" s="1"/>
  <c r="BE73" i="18" s="1"/>
  <c r="BF73" i="18" s="1"/>
  <c r="BG73" i="18" s="1"/>
  <c r="BH73" i="18" s="1"/>
  <c r="BI73" i="18" s="1"/>
  <c r="BJ73" i="18" s="1"/>
  <c r="BK73" i="18" s="1"/>
  <c r="AQ50" i="18"/>
  <c r="AQ53" i="18" s="1"/>
  <c r="AQ58" i="18" s="1"/>
  <c r="AQ60" i="18" s="1"/>
  <c r="AW71" i="22"/>
  <c r="AX71" i="22" s="1"/>
  <c r="AW98" i="22"/>
  <c r="AX98" i="22" s="1"/>
  <c r="G117" i="23"/>
  <c r="H117" i="23" s="1"/>
  <c r="F120" i="23"/>
  <c r="F119" i="23" s="1"/>
  <c r="G144" i="23"/>
  <c r="F147" i="23"/>
  <c r="F146" i="23" s="1"/>
  <c r="BM221" i="3"/>
  <c r="BM216" i="3"/>
  <c r="BN221" i="3"/>
  <c r="BM222" i="3"/>
  <c r="BN216" i="3"/>
  <c r="BN222" i="3"/>
  <c r="BM223" i="3"/>
  <c r="BN224" i="3"/>
  <c r="BN223" i="3"/>
  <c r="BM224" i="3"/>
  <c r="R312" i="23"/>
  <c r="I114" i="22"/>
  <c r="O114" i="22"/>
  <c r="T106" i="18"/>
  <c r="Q312" i="23"/>
  <c r="Z114" i="22"/>
  <c r="N114" i="22"/>
  <c r="S106" i="18"/>
  <c r="N46" i="2"/>
  <c r="N55" i="2" s="1"/>
  <c r="I312" i="23"/>
  <c r="P312" i="23"/>
  <c r="Y114" i="22"/>
  <c r="M114" i="22"/>
  <c r="R106" i="18"/>
  <c r="J312" i="23"/>
  <c r="O312" i="23"/>
  <c r="X114" i="22"/>
  <c r="L114" i="22"/>
  <c r="Q106" i="18"/>
  <c r="L46" i="2"/>
  <c r="L55" i="2" s="1"/>
  <c r="Z312" i="23"/>
  <c r="N312" i="23"/>
  <c r="W114" i="22"/>
  <c r="K114" i="22"/>
  <c r="P106" i="18"/>
  <c r="Y312" i="23"/>
  <c r="M312" i="23"/>
  <c r="V114" i="22"/>
  <c r="H114" i="22"/>
  <c r="O106" i="18"/>
  <c r="X312" i="23"/>
  <c r="L312" i="23"/>
  <c r="U114" i="22"/>
  <c r="G114" i="22"/>
  <c r="Z106" i="18"/>
  <c r="N106" i="18"/>
  <c r="W312" i="23"/>
  <c r="K312" i="23"/>
  <c r="T114" i="22"/>
  <c r="F114" i="22"/>
  <c r="F117" i="22" s="1"/>
  <c r="Y106" i="18"/>
  <c r="M106" i="18"/>
  <c r="V312" i="23"/>
  <c r="H312" i="23"/>
  <c r="S114" i="22"/>
  <c r="X106" i="18"/>
  <c r="L106" i="18"/>
  <c r="M46" i="2"/>
  <c r="M55" i="2" s="1"/>
  <c r="U312" i="23"/>
  <c r="G312" i="23"/>
  <c r="R114" i="22"/>
  <c r="W106" i="18"/>
  <c r="T312" i="23"/>
  <c r="F312" i="23"/>
  <c r="F315" i="23" s="1"/>
  <c r="Q114" i="22"/>
  <c r="V106" i="18"/>
  <c r="H106" i="18"/>
  <c r="S312" i="23"/>
  <c r="J114" i="22"/>
  <c r="U106" i="18"/>
  <c r="G106" i="18"/>
  <c r="L80" i="2"/>
  <c r="M80" i="2"/>
  <c r="N80" i="2"/>
  <c r="J80" i="2"/>
  <c r="G80" i="2"/>
  <c r="K80" i="2"/>
  <c r="P485" i="23"/>
  <c r="Q487" i="23"/>
  <c r="O485" i="23"/>
  <c r="Y485" i="23"/>
  <c r="M485" i="23"/>
  <c r="X485" i="23"/>
  <c r="W485" i="23"/>
  <c r="BG216" i="3"/>
  <c r="V485" i="23"/>
  <c r="U485" i="23"/>
  <c r="T487" i="23"/>
  <c r="S485" i="23"/>
  <c r="F485" i="23"/>
  <c r="R485" i="23"/>
  <c r="U487" i="23"/>
  <c r="W487" i="23"/>
  <c r="O487" i="23"/>
  <c r="M487" i="23"/>
  <c r="F225" i="18"/>
  <c r="G485" i="23"/>
  <c r="Y487" i="23"/>
  <c r="G487" i="23"/>
  <c r="F279" i="22"/>
  <c r="X487" i="23"/>
  <c r="T485" i="23"/>
  <c r="R487" i="23"/>
  <c r="N485" i="23"/>
  <c r="L485" i="23"/>
  <c r="F487" i="23"/>
  <c r="H487" i="23"/>
  <c r="P487" i="23"/>
  <c r="N487" i="23"/>
  <c r="L487" i="23"/>
  <c r="H485" i="23"/>
  <c r="F501" i="23"/>
  <c r="Z487" i="23"/>
  <c r="V487" i="23"/>
  <c r="Z485" i="23"/>
  <c r="F303" i="22"/>
  <c r="S487" i="23"/>
  <c r="Q485" i="23"/>
  <c r="F90" i="23"/>
  <c r="F63" i="23"/>
  <c r="AW44" i="22"/>
  <c r="Q62" i="22"/>
  <c r="Q81" i="22" s="1"/>
  <c r="AW17" i="22"/>
  <c r="R62" i="22"/>
  <c r="R81" i="22" s="1"/>
  <c r="I62" i="22"/>
  <c r="I81" i="22" s="1"/>
  <c r="P62" i="22"/>
  <c r="P81" i="22" s="1"/>
  <c r="J62" i="22"/>
  <c r="J81" i="22" s="1"/>
  <c r="O62" i="22"/>
  <c r="O81" i="22" s="1"/>
  <c r="Z62" i="22"/>
  <c r="Z81" i="22" s="1"/>
  <c r="N62" i="22"/>
  <c r="N81" i="22" s="1"/>
  <c r="Y62" i="22"/>
  <c r="Y81" i="22" s="1"/>
  <c r="M62" i="22"/>
  <c r="M81" i="22" s="1"/>
  <c r="X62" i="22"/>
  <c r="X81" i="22" s="1"/>
  <c r="L62" i="22"/>
  <c r="L81" i="22" s="1"/>
  <c r="BQ124" i="22"/>
  <c r="W62" i="22"/>
  <c r="W81" i="22" s="1"/>
  <c r="K62" i="22"/>
  <c r="K81" i="22" s="1"/>
  <c r="V62" i="22"/>
  <c r="V81" i="22" s="1"/>
  <c r="H62" i="22"/>
  <c r="H81" i="22" s="1"/>
  <c r="U62" i="22"/>
  <c r="U81" i="22" s="1"/>
  <c r="G62" i="22"/>
  <c r="G81" i="22" s="1"/>
  <c r="T62" i="22"/>
  <c r="T81" i="22" s="1"/>
  <c r="F62" i="22"/>
  <c r="F81" i="22" s="1"/>
  <c r="S62" i="22"/>
  <c r="S81" i="22" s="1"/>
  <c r="S352" i="23"/>
  <c r="S354" i="23" s="1"/>
  <c r="Y352" i="23"/>
  <c r="Y354" i="23" s="1"/>
  <c r="R352" i="23"/>
  <c r="R354" i="23" s="1"/>
  <c r="X352" i="23"/>
  <c r="X354" i="23" s="1"/>
  <c r="J352" i="23"/>
  <c r="J354" i="23" s="1"/>
  <c r="W352" i="23"/>
  <c r="W354" i="23" s="1"/>
  <c r="Q352" i="23"/>
  <c r="Q354" i="23" s="1"/>
  <c r="H352" i="23"/>
  <c r="H354" i="23" s="1"/>
  <c r="P352" i="23"/>
  <c r="P354" i="23" s="1"/>
  <c r="G352" i="23"/>
  <c r="G354" i="23" s="1"/>
  <c r="V352" i="23"/>
  <c r="V354" i="23" s="1"/>
  <c r="U352" i="23"/>
  <c r="U354" i="23" s="1"/>
  <c r="O352" i="23"/>
  <c r="O354" i="23" s="1"/>
  <c r="T352" i="23"/>
  <c r="T354" i="23" s="1"/>
  <c r="Z352" i="23"/>
  <c r="Z354" i="23" s="1"/>
  <c r="N352" i="23"/>
  <c r="N354" i="23" s="1"/>
  <c r="Z164" i="22"/>
  <c r="AL113" i="22"/>
  <c r="X164" i="22"/>
  <c r="BQ148" i="22"/>
  <c r="Y233" i="22"/>
  <c r="U233" i="22"/>
  <c r="BI148" i="22"/>
  <c r="BP148" i="22"/>
  <c r="T88" i="22"/>
  <c r="T107" i="22" s="1"/>
  <c r="X88" i="22"/>
  <c r="X107" i="22" s="1"/>
  <c r="BL148" i="22"/>
  <c r="BC113" i="22"/>
  <c r="Y164" i="22"/>
  <c r="X233" i="22"/>
  <c r="W164" i="22"/>
  <c r="AY113" i="22"/>
  <c r="Z88" i="22"/>
  <c r="Z107" i="22" s="1"/>
  <c r="W88" i="22"/>
  <c r="W107" i="22" s="1"/>
  <c r="Z233" i="22"/>
  <c r="Y88" i="22"/>
  <c r="Y107" i="22" s="1"/>
  <c r="BN148" i="22"/>
  <c r="BM124" i="22"/>
  <c r="BJ148" i="22"/>
  <c r="W233" i="22"/>
  <c r="BB113" i="22"/>
  <c r="BO148" i="22"/>
  <c r="V233" i="22"/>
  <c r="BI124" i="22"/>
  <c r="AM113" i="22"/>
  <c r="BA113" i="22"/>
  <c r="T164" i="22"/>
  <c r="V164" i="22"/>
  <c r="P233" i="22"/>
  <c r="BK148" i="22"/>
  <c r="BO124" i="22"/>
  <c r="BN124" i="22"/>
  <c r="U88" i="22"/>
  <c r="U107" i="22" s="1"/>
  <c r="S88" i="22"/>
  <c r="S107" i="22" s="1"/>
  <c r="BM148" i="22"/>
  <c r="U164" i="22"/>
  <c r="S233" i="22"/>
  <c r="BP124" i="22"/>
  <c r="BL124" i="22"/>
  <c r="R164" i="22"/>
  <c r="Q164" i="22"/>
  <c r="N233" i="22"/>
  <c r="R233" i="22"/>
  <c r="O164" i="22"/>
  <c r="N164" i="22"/>
  <c r="V88" i="22"/>
  <c r="V107" i="22" s="1"/>
  <c r="AZ113" i="22"/>
  <c r="T233" i="22"/>
  <c r="AW113" i="22"/>
  <c r="R88" i="22"/>
  <c r="R107" i="22" s="1"/>
  <c r="P88" i="22"/>
  <c r="P107" i="22" s="1"/>
  <c r="BG124" i="22"/>
  <c r="AX113" i="22"/>
  <c r="AV113" i="22"/>
  <c r="BH124" i="22"/>
  <c r="Q233" i="22"/>
  <c r="BH148" i="22"/>
  <c r="S164" i="22"/>
  <c r="BJ124" i="22"/>
  <c r="P164" i="22"/>
  <c r="AS113" i="22"/>
  <c r="BE148" i="22"/>
  <c r="O88" i="22"/>
  <c r="O107" i="22" s="1"/>
  <c r="AP113" i="22"/>
  <c r="D356" i="22"/>
  <c r="D355" i="22"/>
  <c r="F335" i="22"/>
  <c r="F329" i="22"/>
  <c r="F331" i="22" s="1"/>
  <c r="F533" i="23"/>
  <c r="F527" i="23"/>
  <c r="AR113" i="22"/>
  <c r="AN113" i="22"/>
  <c r="BF218" i="3"/>
  <c r="F357" i="22"/>
  <c r="F401" i="22" s="1"/>
  <c r="Y293" i="18"/>
  <c r="Y324" i="18" s="1"/>
  <c r="X293" i="18"/>
  <c r="X324" i="18" s="1"/>
  <c r="U293" i="18"/>
  <c r="U324" i="18" s="1"/>
  <c r="Z293" i="18"/>
  <c r="Z324" i="18" s="1"/>
  <c r="T293" i="18"/>
  <c r="T324" i="18" s="1"/>
  <c r="R293" i="18"/>
  <c r="R324" i="18" s="1"/>
  <c r="Q293" i="18"/>
  <c r="Q324" i="18" s="1"/>
  <c r="V293" i="18"/>
  <c r="V324" i="18" s="1"/>
  <c r="S293" i="18"/>
  <c r="S324" i="18" s="1"/>
  <c r="W293" i="18"/>
  <c r="W324" i="18" s="1"/>
  <c r="AQ27" i="18"/>
  <c r="F249" i="18"/>
  <c r="G249" i="18" s="1"/>
  <c r="AQ4" i="18"/>
  <c r="T194" i="23"/>
  <c r="W218" i="23"/>
  <c r="W237" i="23" s="1"/>
  <c r="X431" i="23"/>
  <c r="AT113" i="22"/>
  <c r="M164" i="22"/>
  <c r="G233" i="22"/>
  <c r="T270" i="23"/>
  <c r="Q170" i="23"/>
  <c r="Z362" i="23"/>
  <c r="I218" i="23"/>
  <c r="I237" i="23" s="1"/>
  <c r="U194" i="23"/>
  <c r="W194" i="23"/>
  <c r="Q88" i="22"/>
  <c r="Q107" i="22" s="1"/>
  <c r="L233" i="22"/>
  <c r="AO113" i="22"/>
  <c r="F36" i="22"/>
  <c r="G36" i="22" s="1"/>
  <c r="M88" i="22"/>
  <c r="M107" i="22" s="1"/>
  <c r="S270" i="23"/>
  <c r="O244" i="23"/>
  <c r="O263" i="23" s="1"/>
  <c r="K88" i="22"/>
  <c r="K107" i="22" s="1"/>
  <c r="L88" i="22"/>
  <c r="L107" i="22" s="1"/>
  <c r="AJ113" i="22"/>
  <c r="O233" i="22"/>
  <c r="N88" i="22"/>
  <c r="N107" i="22" s="1"/>
  <c r="BE124" i="22"/>
  <c r="K233" i="22"/>
  <c r="S170" i="23"/>
  <c r="N218" i="23"/>
  <c r="N237" i="23" s="1"/>
  <c r="M233" i="22"/>
  <c r="L164" i="22"/>
  <c r="AK113" i="22"/>
  <c r="F9" i="22"/>
  <c r="K164" i="22"/>
  <c r="F88" i="22"/>
  <c r="F107" i="22" s="1"/>
  <c r="BE119" i="18"/>
  <c r="M244" i="23"/>
  <c r="M263" i="23" s="1"/>
  <c r="F218" i="23"/>
  <c r="O270" i="23"/>
  <c r="G194" i="23"/>
  <c r="S244" i="23"/>
  <c r="S263" i="23" s="1"/>
  <c r="M362" i="23"/>
  <c r="X170" i="23"/>
  <c r="V244" i="23"/>
  <c r="V263" i="23" s="1"/>
  <c r="R218" i="23"/>
  <c r="R237" i="23" s="1"/>
  <c r="Q244" i="23"/>
  <c r="Q263" i="23" s="1"/>
  <c r="F244" i="23"/>
  <c r="J218" i="23"/>
  <c r="J237" i="23" s="1"/>
  <c r="X194" i="23"/>
  <c r="Y244" i="23"/>
  <c r="Y263" i="23" s="1"/>
  <c r="W244" i="23"/>
  <c r="W263" i="23" s="1"/>
  <c r="U431" i="23"/>
  <c r="U218" i="23"/>
  <c r="U237" i="23" s="1"/>
  <c r="P431" i="23"/>
  <c r="N194" i="23"/>
  <c r="N431" i="23"/>
  <c r="L194" i="23"/>
  <c r="L431" i="23"/>
  <c r="G270" i="23"/>
  <c r="F431" i="23"/>
  <c r="F432" i="23" s="1"/>
  <c r="G432" i="23" s="1"/>
  <c r="Z194" i="23"/>
  <c r="Y170" i="23"/>
  <c r="X362" i="23"/>
  <c r="W170" i="23"/>
  <c r="T170" i="23"/>
  <c r="O431" i="23"/>
  <c r="N170" i="23"/>
  <c r="Z431" i="23"/>
  <c r="X218" i="23"/>
  <c r="X237" i="23" s="1"/>
  <c r="W362" i="23"/>
  <c r="V362" i="23"/>
  <c r="S431" i="23"/>
  <c r="Q270" i="23"/>
  <c r="Q431" i="23"/>
  <c r="O194" i="23"/>
  <c r="N270" i="23"/>
  <c r="G170" i="23"/>
  <c r="R170" i="23"/>
  <c r="Y270" i="23"/>
  <c r="W431" i="23"/>
  <c r="V431" i="23"/>
  <c r="U244" i="23"/>
  <c r="U263" i="23" s="1"/>
  <c r="T362" i="23"/>
  <c r="S218" i="23"/>
  <c r="S237" i="23" s="1"/>
  <c r="P270" i="23"/>
  <c r="K218" i="23"/>
  <c r="K237" i="23" s="1"/>
  <c r="H170" i="23"/>
  <c r="H362" i="23"/>
  <c r="F36" i="23"/>
  <c r="Z270" i="23"/>
  <c r="V194" i="23"/>
  <c r="V270" i="23"/>
  <c r="T218" i="23"/>
  <c r="T237" i="23" s="1"/>
  <c r="S362" i="23"/>
  <c r="R362" i="23"/>
  <c r="P194" i="23"/>
  <c r="L170" i="23"/>
  <c r="M80" i="18"/>
  <c r="M99" i="18" s="1"/>
  <c r="J170" i="23"/>
  <c r="Z244" i="23"/>
  <c r="Z263" i="23" s="1"/>
  <c r="Y362" i="23"/>
  <c r="V218" i="23"/>
  <c r="V237" i="23" s="1"/>
  <c r="U170" i="23"/>
  <c r="Q194" i="23"/>
  <c r="R244" i="23"/>
  <c r="R263" i="23" s="1"/>
  <c r="M170" i="23"/>
  <c r="K362" i="23"/>
  <c r="H218" i="23"/>
  <c r="H237" i="23" s="1"/>
  <c r="M431" i="23"/>
  <c r="X270" i="23"/>
  <c r="H164" i="22"/>
  <c r="F164" i="22"/>
  <c r="J194" i="23"/>
  <c r="J270" i="23"/>
  <c r="Y194" i="23"/>
  <c r="Z170" i="23"/>
  <c r="Y431" i="23"/>
  <c r="U270" i="23"/>
  <c r="R194" i="23"/>
  <c r="O218" i="23"/>
  <c r="O237" i="23" s="1"/>
  <c r="N362" i="23"/>
  <c r="K270" i="23"/>
  <c r="K170" i="23"/>
  <c r="F270" i="23"/>
  <c r="F271" i="23" s="1"/>
  <c r="F282" i="23" s="1"/>
  <c r="I170" i="23"/>
  <c r="M270" i="23"/>
  <c r="H194" i="23"/>
  <c r="H88" i="22"/>
  <c r="H107" i="22" s="1"/>
  <c r="I194" i="23"/>
  <c r="I270" i="23"/>
  <c r="Z218" i="23"/>
  <c r="Z237" i="23" s="1"/>
  <c r="Y218" i="23"/>
  <c r="Y237" i="23" s="1"/>
  <c r="X244" i="23"/>
  <c r="X263" i="23" s="1"/>
  <c r="U362" i="23"/>
  <c r="S194" i="23"/>
  <c r="Q218" i="23"/>
  <c r="Q237" i="23" s="1"/>
  <c r="M218" i="23"/>
  <c r="M237" i="23" s="1"/>
  <c r="L218" i="23"/>
  <c r="L237" i="23" s="1"/>
  <c r="H244" i="23"/>
  <c r="H263" i="23" s="1"/>
  <c r="G244" i="23"/>
  <c r="G263" i="23" s="1"/>
  <c r="T431" i="23"/>
  <c r="P170" i="23"/>
  <c r="K431" i="23"/>
  <c r="W270" i="23"/>
  <c r="V170" i="23"/>
  <c r="T244" i="23"/>
  <c r="T263" i="23" s="1"/>
  <c r="R270" i="23"/>
  <c r="R431" i="23"/>
  <c r="Q362" i="23"/>
  <c r="P362" i="23"/>
  <c r="O362" i="23"/>
  <c r="L270" i="23"/>
  <c r="K194" i="23"/>
  <c r="G362" i="23"/>
  <c r="H270" i="23"/>
  <c r="F194" i="23"/>
  <c r="F195" i="23" s="1"/>
  <c r="F233" i="22"/>
  <c r="F362" i="23"/>
  <c r="F363" i="23" s="1"/>
  <c r="L459" i="18"/>
  <c r="F170" i="23"/>
  <c r="F171" i="23" s="1"/>
  <c r="U419" i="18"/>
  <c r="U432" i="18" s="1"/>
  <c r="BH219" i="3"/>
  <c r="V216" i="18"/>
  <c r="F216" i="18"/>
  <c r="S216" i="18"/>
  <c r="L216" i="18"/>
  <c r="J216" i="18"/>
  <c r="X216" i="18"/>
  <c r="M216" i="18"/>
  <c r="Q216" i="18"/>
  <c r="AD11" i="20"/>
  <c r="AE11" i="20" s="1"/>
  <c r="AF11" i="20" s="1"/>
  <c r="AC11" i="20"/>
  <c r="V459" i="18"/>
  <c r="G88" i="22"/>
  <c r="G107" i="22" s="1"/>
  <c r="G218" i="23"/>
  <c r="G237" i="23" s="1"/>
  <c r="M345" i="18"/>
  <c r="L345" i="18"/>
  <c r="Y155" i="18"/>
  <c r="O155" i="18"/>
  <c r="BK144" i="18"/>
  <c r="BE144" i="18"/>
  <c r="Z223" i="22"/>
  <c r="Z225" i="22" s="1"/>
  <c r="X473" i="22"/>
  <c r="X486" i="22" s="1"/>
  <c r="W473" i="22"/>
  <c r="W486" i="22" s="1"/>
  <c r="U447" i="22"/>
  <c r="U462" i="22"/>
  <c r="J223" i="22"/>
  <c r="J225" i="22" s="1"/>
  <c r="Z661" i="23"/>
  <c r="Z646" i="23"/>
  <c r="W671" i="23"/>
  <c r="W684" i="23" s="1"/>
  <c r="W660" i="23"/>
  <c r="W645" i="23"/>
  <c r="V685" i="23"/>
  <c r="V700" i="23"/>
  <c r="V661" i="23"/>
  <c r="V646" i="23"/>
  <c r="W421" i="23"/>
  <c r="W423" i="23" s="1"/>
  <c r="S700" i="23"/>
  <c r="S685" i="23"/>
  <c r="U421" i="23"/>
  <c r="U423" i="23" s="1"/>
  <c r="Q646" i="23"/>
  <c r="Q661" i="23"/>
  <c r="R467" i="23"/>
  <c r="R469" i="23" s="1"/>
  <c r="O467" i="23"/>
  <c r="O469" i="23" s="1"/>
  <c r="G467" i="23"/>
  <c r="G469" i="23" s="1"/>
  <c r="X146" i="18"/>
  <c r="R146" i="18"/>
  <c r="H146" i="18"/>
  <c r="X419" i="18"/>
  <c r="X432" i="18" s="1"/>
  <c r="W393" i="18"/>
  <c r="W408" i="18"/>
  <c r="T379" i="18"/>
  <c r="T392" i="18" s="1"/>
  <c r="S409" i="18"/>
  <c r="S394" i="18"/>
  <c r="R408" i="18"/>
  <c r="R393" i="18"/>
  <c r="V12" i="20"/>
  <c r="X12" i="20" s="1"/>
  <c r="Z12" i="20" s="1"/>
  <c r="S12" i="20"/>
  <c r="R13" i="20"/>
  <c r="T80" i="18"/>
  <c r="T99" i="18" s="1"/>
  <c r="K345" i="18"/>
  <c r="BJ144" i="18"/>
  <c r="Y502" i="22"/>
  <c r="Y487" i="22"/>
  <c r="X462" i="22"/>
  <c r="X447" i="22"/>
  <c r="W502" i="22"/>
  <c r="W487" i="22"/>
  <c r="U223" i="22"/>
  <c r="U225" i="22" s="1"/>
  <c r="S502" i="22"/>
  <c r="S487" i="22"/>
  <c r="Q448" i="22"/>
  <c r="Q463" i="22"/>
  <c r="L223" i="22"/>
  <c r="L225" i="22" s="1"/>
  <c r="G154" i="22"/>
  <c r="X645" i="23"/>
  <c r="X660" i="23"/>
  <c r="Y421" i="23"/>
  <c r="Y423" i="23" s="1"/>
  <c r="V421" i="23"/>
  <c r="V423" i="23" s="1"/>
  <c r="T645" i="23"/>
  <c r="T660" i="23"/>
  <c r="T421" i="23"/>
  <c r="T423" i="23" s="1"/>
  <c r="F352" i="23"/>
  <c r="F354" i="23" s="1"/>
  <c r="U146" i="18"/>
  <c r="T146" i="18"/>
  <c r="N214" i="18"/>
  <c r="N216" i="18" s="1"/>
  <c r="I214" i="18"/>
  <c r="I216" i="18" s="1"/>
  <c r="Z419" i="18"/>
  <c r="Z432" i="18" s="1"/>
  <c r="Y379" i="18"/>
  <c r="Y392" i="18" s="1"/>
  <c r="Y433" i="18"/>
  <c r="Y448" i="18"/>
  <c r="W433" i="18"/>
  <c r="W448" i="18"/>
  <c r="R379" i="18"/>
  <c r="R392" i="18" s="1"/>
  <c r="R597" i="23"/>
  <c r="U459" i="18"/>
  <c r="T345" i="18"/>
  <c r="BD144" i="18"/>
  <c r="Z473" i="22"/>
  <c r="Z486" i="22" s="1"/>
  <c r="Y154" i="22"/>
  <c r="Y156" i="22" s="1"/>
  <c r="W433" i="22"/>
  <c r="W446" i="22" s="1"/>
  <c r="T463" i="22"/>
  <c r="T448" i="22"/>
  <c r="Q433" i="22"/>
  <c r="Q446" i="22" s="1"/>
  <c r="Q487" i="22"/>
  <c r="Q502" i="22"/>
  <c r="V660" i="23"/>
  <c r="V645" i="23"/>
  <c r="U700" i="23"/>
  <c r="U685" i="23"/>
  <c r="Q631" i="23"/>
  <c r="Q644" i="23" s="1"/>
  <c r="N467" i="23"/>
  <c r="N469" i="23" s="1"/>
  <c r="J421" i="23"/>
  <c r="J423" i="23" s="1"/>
  <c r="F421" i="23"/>
  <c r="F423" i="23" s="1"/>
  <c r="D598" i="23"/>
  <c r="N597" i="23"/>
  <c r="Y146" i="18"/>
  <c r="T216" i="18"/>
  <c r="L146" i="18"/>
  <c r="J146" i="18"/>
  <c r="Z408" i="18"/>
  <c r="Z393" i="18"/>
  <c r="V419" i="18"/>
  <c r="V432" i="18" s="1"/>
  <c r="U409" i="18"/>
  <c r="U394" i="18"/>
  <c r="S597" i="23"/>
  <c r="Q459" i="18"/>
  <c r="O345" i="18"/>
  <c r="F106" i="18"/>
  <c r="F109" i="18" s="1"/>
  <c r="L155" i="18"/>
  <c r="G155" i="18"/>
  <c r="F74" i="2" s="1"/>
  <c r="F86" i="2" s="1"/>
  <c r="AS144" i="18"/>
  <c r="O597" i="23"/>
  <c r="V487" i="22"/>
  <c r="V502" i="22"/>
  <c r="R463" i="22"/>
  <c r="R448" i="22"/>
  <c r="G223" i="22"/>
  <c r="G225" i="22" s="1"/>
  <c r="X671" i="23"/>
  <c r="X684" i="23" s="1"/>
  <c r="V631" i="23"/>
  <c r="V644" i="23" s="1"/>
  <c r="U661" i="23"/>
  <c r="U646" i="23"/>
  <c r="S671" i="23"/>
  <c r="S684" i="23" s="1"/>
  <c r="U467" i="23"/>
  <c r="U469" i="23" s="1"/>
  <c r="R645" i="23"/>
  <c r="R660" i="23"/>
  <c r="Q146" i="18"/>
  <c r="F146" i="18"/>
  <c r="X409" i="18"/>
  <c r="X394" i="18"/>
  <c r="W409" i="18"/>
  <c r="W394" i="18"/>
  <c r="V394" i="18"/>
  <c r="V409" i="18"/>
  <c r="S433" i="18"/>
  <c r="S448" i="18"/>
  <c r="R394" i="18"/>
  <c r="R409" i="18"/>
  <c r="K597" i="23"/>
  <c r="W54" i="18"/>
  <c r="W73" i="18" s="1"/>
  <c r="P80" i="18"/>
  <c r="P99" i="18" s="1"/>
  <c r="BK124" i="22"/>
  <c r="BF148" i="22"/>
  <c r="BF124" i="22"/>
  <c r="BD124" i="22"/>
  <c r="H233" i="22"/>
  <c r="F172" i="22"/>
  <c r="F168" i="22"/>
  <c r="F170" i="22" s="1"/>
  <c r="M194" i="23"/>
  <c r="F366" i="23"/>
  <c r="F368" i="23" s="1"/>
  <c r="F370" i="23"/>
  <c r="Q345" i="18"/>
  <c r="R155" i="18"/>
  <c r="F202" i="18"/>
  <c r="BI144" i="18"/>
  <c r="BC144" i="18"/>
  <c r="AR144" i="18"/>
  <c r="F87" i="2" s="1"/>
  <c r="Z448" i="22"/>
  <c r="Z463" i="22"/>
  <c r="X433" i="22"/>
  <c r="X446" i="22" s="1"/>
  <c r="W154" i="22"/>
  <c r="W156" i="22" s="1"/>
  <c r="V223" i="22"/>
  <c r="V225" i="22" s="1"/>
  <c r="T462" i="22"/>
  <c r="T447" i="22"/>
  <c r="Q462" i="22"/>
  <c r="Q447" i="22"/>
  <c r="L154" i="22"/>
  <c r="K223" i="22"/>
  <c r="K225" i="22" s="1"/>
  <c r="I154" i="22"/>
  <c r="Y645" i="23"/>
  <c r="Y660" i="23"/>
  <c r="X421" i="23"/>
  <c r="X423" i="23" s="1"/>
  <c r="W467" i="23"/>
  <c r="W469" i="23" s="1"/>
  <c r="S661" i="23"/>
  <c r="S646" i="23"/>
  <c r="I421" i="23"/>
  <c r="I423" i="23" s="1"/>
  <c r="N146" i="18"/>
  <c r="Y393" i="18"/>
  <c r="Y408" i="18"/>
  <c r="X379" i="18"/>
  <c r="X392" i="18" s="1"/>
  <c r="X408" i="18"/>
  <c r="X393" i="18"/>
  <c r="V448" i="18"/>
  <c r="V433" i="18"/>
  <c r="U408" i="18"/>
  <c r="U393" i="18"/>
  <c r="T393" i="18"/>
  <c r="T408" i="18"/>
  <c r="Q419" i="18"/>
  <c r="Q432" i="18" s="1"/>
  <c r="BE95" i="18"/>
  <c r="P459" i="18"/>
  <c r="Y597" i="23"/>
  <c r="F3" i="23"/>
  <c r="P559" i="23"/>
  <c r="P603" i="23" s="1"/>
  <c r="T559" i="23"/>
  <c r="T603" i="23" s="1"/>
  <c r="V559" i="23"/>
  <c r="V603" i="23" s="1"/>
  <c r="L559" i="23"/>
  <c r="L603" i="23" s="1"/>
  <c r="M559" i="23"/>
  <c r="M603" i="23" s="1"/>
  <c r="R559" i="23"/>
  <c r="R603" i="23" s="1"/>
  <c r="Y559" i="23"/>
  <c r="Y603" i="23" s="1"/>
  <c r="N559" i="23"/>
  <c r="N603" i="23" s="1"/>
  <c r="O559" i="23"/>
  <c r="O603" i="23" s="1"/>
  <c r="Q559" i="23"/>
  <c r="Q603" i="23" s="1"/>
  <c r="S559" i="23"/>
  <c r="S603" i="23" s="1"/>
  <c r="K559" i="23"/>
  <c r="K603" i="23" s="1"/>
  <c r="X559" i="23"/>
  <c r="X603" i="23" s="1"/>
  <c r="U559" i="23"/>
  <c r="U603" i="23" s="1"/>
  <c r="Z559" i="23"/>
  <c r="Z603" i="23" s="1"/>
  <c r="W559" i="23"/>
  <c r="W603" i="23" s="1"/>
  <c r="V345" i="18"/>
  <c r="Z345" i="18"/>
  <c r="V155" i="18"/>
  <c r="T155" i="18"/>
  <c r="N155" i="18"/>
  <c r="BH144" i="18"/>
  <c r="BB144" i="18"/>
  <c r="Z447" i="22"/>
  <c r="Z462" i="22"/>
  <c r="X487" i="22"/>
  <c r="X502" i="22"/>
  <c r="W447" i="22"/>
  <c r="W462" i="22"/>
  <c r="U473" i="22"/>
  <c r="U486" i="22" s="1"/>
  <c r="U463" i="22"/>
  <c r="U448" i="22"/>
  <c r="R433" i="22"/>
  <c r="R446" i="22" s="1"/>
  <c r="J154" i="22"/>
  <c r="H223" i="22"/>
  <c r="H225" i="22" s="1"/>
  <c r="V597" i="23"/>
  <c r="Z685" i="23"/>
  <c r="Z700" i="23"/>
  <c r="U645" i="23"/>
  <c r="U660" i="23"/>
  <c r="T700" i="23"/>
  <c r="T685" i="23"/>
  <c r="Q660" i="23"/>
  <c r="Q645" i="23"/>
  <c r="H421" i="23"/>
  <c r="H423" i="23" s="1"/>
  <c r="F44" i="24"/>
  <c r="F43" i="24"/>
  <c r="V146" i="18"/>
  <c r="R214" i="18"/>
  <c r="R216" i="18" s="1"/>
  <c r="I146" i="18"/>
  <c r="Z379" i="18"/>
  <c r="Z392" i="18" s="1"/>
  <c r="U448" i="18"/>
  <c r="U433" i="18"/>
  <c r="Q379" i="18"/>
  <c r="Q392" i="18" s="1"/>
  <c r="AL12" i="20"/>
  <c r="AN12" i="20" s="1"/>
  <c r="AP12" i="20" s="1"/>
  <c r="AI12" i="20"/>
  <c r="AH13" i="20"/>
  <c r="F263" i="22"/>
  <c r="F257" i="22"/>
  <c r="F409" i="23"/>
  <c r="Y345" i="18"/>
  <c r="W345" i="18"/>
  <c r="P155" i="18"/>
  <c r="H155" i="18"/>
  <c r="BA144" i="18"/>
  <c r="AQ144" i="18"/>
  <c r="Y223" i="22"/>
  <c r="Y225" i="22" s="1"/>
  <c r="W223" i="22"/>
  <c r="W225" i="22" s="1"/>
  <c r="V447" i="22"/>
  <c r="V462" i="22"/>
  <c r="S463" i="22"/>
  <c r="S448" i="22"/>
  <c r="S223" i="22"/>
  <c r="S225" i="22" s="1"/>
  <c r="Q473" i="22"/>
  <c r="Q486" i="22" s="1"/>
  <c r="X597" i="23"/>
  <c r="Y661" i="23"/>
  <c r="Y646" i="23"/>
  <c r="Z467" i="23"/>
  <c r="Z469" i="23" s="1"/>
  <c r="U631" i="23"/>
  <c r="U644" i="23" s="1"/>
  <c r="S631" i="23"/>
  <c r="S644" i="23" s="1"/>
  <c r="R421" i="23"/>
  <c r="R423" i="23" s="1"/>
  <c r="N661" i="23"/>
  <c r="N646" i="23"/>
  <c r="J467" i="23"/>
  <c r="J469" i="23" s="1"/>
  <c r="I467" i="23"/>
  <c r="I469" i="23" s="1"/>
  <c r="P597" i="23"/>
  <c r="Z146" i="18"/>
  <c r="K146" i="18"/>
  <c r="G146" i="18"/>
  <c r="W419" i="18"/>
  <c r="W432" i="18" s="1"/>
  <c r="T433" i="18"/>
  <c r="T448" i="18"/>
  <c r="R419" i="18"/>
  <c r="R432" i="18" s="1"/>
  <c r="AT11" i="20"/>
  <c r="AU11" i="20" s="1"/>
  <c r="AV11" i="20" s="1"/>
  <c r="AS11" i="20"/>
  <c r="R631" i="23"/>
  <c r="R644" i="23" s="1"/>
  <c r="R699" i="23"/>
  <c r="R671" i="23" s="1"/>
  <c r="R684" i="23" s="1"/>
  <c r="U345" i="18"/>
  <c r="AQ168" i="18"/>
  <c r="AQ174" i="18"/>
  <c r="Y433" i="22"/>
  <c r="Y446" i="22" s="1"/>
  <c r="Y462" i="22"/>
  <c r="Y447" i="22"/>
  <c r="S473" i="22"/>
  <c r="S486" i="22" s="1"/>
  <c r="T223" i="22"/>
  <c r="T225" i="22" s="1"/>
  <c r="S462" i="22"/>
  <c r="S447" i="22"/>
  <c r="R447" i="22"/>
  <c r="R462" i="22"/>
  <c r="X661" i="23"/>
  <c r="X646" i="23"/>
  <c r="X685" i="23"/>
  <c r="X700" i="23"/>
  <c r="X467" i="23"/>
  <c r="X469" i="23" s="1"/>
  <c r="V467" i="23"/>
  <c r="V469" i="23" s="1"/>
  <c r="T467" i="23"/>
  <c r="T469" i="23" s="1"/>
  <c r="F467" i="23"/>
  <c r="F469" i="23" s="1"/>
  <c r="W146" i="18"/>
  <c r="Z433" i="18"/>
  <c r="Z448" i="18"/>
  <c r="S419" i="18"/>
  <c r="S432" i="18" s="1"/>
  <c r="S408" i="18"/>
  <c r="S393" i="18"/>
  <c r="F459" i="18"/>
  <c r="T307" i="18"/>
  <c r="T351" i="18" s="1"/>
  <c r="Z307" i="18"/>
  <c r="Z351" i="18" s="1"/>
  <c r="L307" i="18"/>
  <c r="L351" i="18" s="1"/>
  <c r="N307" i="18"/>
  <c r="N351" i="18" s="1"/>
  <c r="U307" i="18"/>
  <c r="U351" i="18" s="1"/>
  <c r="Y307" i="18"/>
  <c r="Y351" i="18" s="1"/>
  <c r="Q307" i="18"/>
  <c r="Q351" i="18" s="1"/>
  <c r="X307" i="18"/>
  <c r="X351" i="18" s="1"/>
  <c r="S307" i="18"/>
  <c r="S351" i="18" s="1"/>
  <c r="P307" i="18"/>
  <c r="O307" i="18"/>
  <c r="M307" i="18"/>
  <c r="M351" i="18" s="1"/>
  <c r="R307" i="18"/>
  <c r="R351" i="18" s="1"/>
  <c r="W307" i="18"/>
  <c r="W351" i="18" s="1"/>
  <c r="V307" i="18"/>
  <c r="V351" i="18" s="1"/>
  <c r="R54" i="18"/>
  <c r="R73" i="18" s="1"/>
  <c r="I80" i="18"/>
  <c r="I99" i="18" s="1"/>
  <c r="F3" i="22"/>
  <c r="Y361" i="22"/>
  <c r="Y405" i="22" s="1"/>
  <c r="Q361" i="22"/>
  <c r="Q405" i="22" s="1"/>
  <c r="L361" i="22"/>
  <c r="L405" i="22" s="1"/>
  <c r="S361" i="22"/>
  <c r="S405" i="22" s="1"/>
  <c r="X361" i="22"/>
  <c r="X405" i="22" s="1"/>
  <c r="V361" i="22"/>
  <c r="V405" i="22" s="1"/>
  <c r="K361" i="22"/>
  <c r="K405" i="22" s="1"/>
  <c r="U361" i="22"/>
  <c r="U405" i="22" s="1"/>
  <c r="W361" i="22"/>
  <c r="W405" i="22" s="1"/>
  <c r="Z361" i="22"/>
  <c r="Z405" i="22" s="1"/>
  <c r="N361" i="22"/>
  <c r="N405" i="22" s="1"/>
  <c r="R361" i="22"/>
  <c r="R405" i="22" s="1"/>
  <c r="T361" i="22"/>
  <c r="T405" i="22" s="1"/>
  <c r="M361" i="22"/>
  <c r="M405" i="22" s="1"/>
  <c r="O361" i="22"/>
  <c r="O405" i="22" s="1"/>
  <c r="P361" i="22"/>
  <c r="P405" i="22" s="1"/>
  <c r="G274" i="23"/>
  <c r="G248" i="23"/>
  <c r="G366" i="23"/>
  <c r="G368" i="23" s="1"/>
  <c r="G370" i="23"/>
  <c r="G222" i="23"/>
  <c r="G345" i="18"/>
  <c r="D301" i="18"/>
  <c r="S345" i="18"/>
  <c r="X155" i="18"/>
  <c r="F155" i="18"/>
  <c r="BG144" i="18"/>
  <c r="AY144" i="18"/>
  <c r="Z433" i="22"/>
  <c r="Z446" i="22" s="1"/>
  <c r="X223" i="22"/>
  <c r="X225" i="22" s="1"/>
  <c r="U502" i="22"/>
  <c r="U487" i="22"/>
  <c r="T154" i="22"/>
  <c r="S154" i="22"/>
  <c r="R223" i="22"/>
  <c r="R225" i="22" s="1"/>
  <c r="Y671" i="23"/>
  <c r="Y684" i="23" s="1"/>
  <c r="Z631" i="23"/>
  <c r="Z644" i="23" s="1"/>
  <c r="X631" i="23"/>
  <c r="X644" i="23" s="1"/>
  <c r="S660" i="23"/>
  <c r="S645" i="23"/>
  <c r="R646" i="23"/>
  <c r="R661" i="23"/>
  <c r="Q671" i="23"/>
  <c r="Q684" i="23" s="1"/>
  <c r="Q421" i="23"/>
  <c r="Q423" i="23" s="1"/>
  <c r="N421" i="23"/>
  <c r="N423" i="23" s="1"/>
  <c r="Z214" i="18"/>
  <c r="Z216" i="18" s="1"/>
  <c r="H214" i="18"/>
  <c r="H216" i="18" s="1"/>
  <c r="Y394" i="18"/>
  <c r="Y409" i="18"/>
  <c r="V379" i="18"/>
  <c r="V392" i="18" s="1"/>
  <c r="Q394" i="18"/>
  <c r="Q409" i="18"/>
  <c r="T597" i="23"/>
  <c r="Y80" i="18"/>
  <c r="Y99" i="18" s="1"/>
  <c r="I459" i="18"/>
  <c r="G66" i="22"/>
  <c r="G172" i="22"/>
  <c r="G92" i="22"/>
  <c r="G168" i="22"/>
  <c r="G170" i="22" s="1"/>
  <c r="AJ117" i="22"/>
  <c r="W597" i="23"/>
  <c r="R345" i="18"/>
  <c r="F11" i="20"/>
  <c r="H11" i="20" s="1"/>
  <c r="J11" i="20" s="1"/>
  <c r="F12" i="20"/>
  <c r="H12" i="20" s="1"/>
  <c r="J12" i="20" s="1"/>
  <c r="C12" i="20"/>
  <c r="C13" i="20" s="1"/>
  <c r="C14" i="20" s="1"/>
  <c r="C15" i="20" s="1"/>
  <c r="C16" i="20" s="1"/>
  <c r="C17" i="20" s="1"/>
  <c r="C18" i="20" s="1"/>
  <c r="C19" i="20" s="1"/>
  <c r="C20" i="20" s="1"/>
  <c r="C21" i="20" s="1"/>
  <c r="C22" i="20" s="1"/>
  <c r="C23" i="20" s="1"/>
  <c r="C24" i="20" s="1"/>
  <c r="C25" i="20" s="1"/>
  <c r="C26" i="20" s="1"/>
  <c r="C27" i="20" s="1"/>
  <c r="C28" i="20" s="1"/>
  <c r="C29" i="20" s="1"/>
  <c r="C30" i="20" s="1"/>
  <c r="C31" i="20" s="1"/>
  <c r="C32" i="20" s="1"/>
  <c r="C33" i="20" s="1"/>
  <c r="C34" i="20" s="1"/>
  <c r="C35" i="20" s="1"/>
  <c r="C36" i="20" s="1"/>
  <c r="C37" i="20" s="1"/>
  <c r="C38" i="20" s="1"/>
  <c r="C39" i="20" s="1"/>
  <c r="C40" i="20" s="1"/>
  <c r="C41" i="20" s="1"/>
  <c r="C42" i="20" s="1"/>
  <c r="C43" i="20" s="1"/>
  <c r="C44" i="20" s="1"/>
  <c r="C45" i="20" s="1"/>
  <c r="BF144" i="18"/>
  <c r="AX144" i="18"/>
  <c r="Y473" i="22"/>
  <c r="Y486" i="22" s="1"/>
  <c r="Z502" i="22"/>
  <c r="Z487" i="22"/>
  <c r="V433" i="22"/>
  <c r="V446" i="22" s="1"/>
  <c r="V154" i="22"/>
  <c r="T502" i="22"/>
  <c r="T487" i="22"/>
  <c r="T433" i="22"/>
  <c r="T446" i="22" s="1"/>
  <c r="Q154" i="22"/>
  <c r="K154" i="22"/>
  <c r="F154" i="22"/>
  <c r="F156" i="22" s="1"/>
  <c r="D554" i="23"/>
  <c r="Y700" i="23"/>
  <c r="Y685" i="23"/>
  <c r="Z421" i="23"/>
  <c r="Z423" i="23" s="1"/>
  <c r="V671" i="23"/>
  <c r="V684" i="23" s="1"/>
  <c r="W646" i="23"/>
  <c r="W661" i="23"/>
  <c r="U671" i="23"/>
  <c r="U684" i="23" s="1"/>
  <c r="T661" i="23"/>
  <c r="T646" i="23"/>
  <c r="R700" i="23"/>
  <c r="R685" i="23"/>
  <c r="M467" i="23"/>
  <c r="L597" i="23"/>
  <c r="F41" i="24"/>
  <c r="F42" i="24"/>
  <c r="U214" i="18"/>
  <c r="U216" i="18" s="1"/>
  <c r="O214" i="18"/>
  <c r="O216" i="18" s="1"/>
  <c r="M146" i="18"/>
  <c r="K216" i="18"/>
  <c r="G216" i="18"/>
  <c r="V393" i="18"/>
  <c r="V408" i="18"/>
  <c r="U379" i="18"/>
  <c r="U392" i="18" s="1"/>
  <c r="S379" i="18"/>
  <c r="S392" i="18" s="1"/>
  <c r="Q393" i="18"/>
  <c r="Q408" i="18"/>
  <c r="X80" i="18"/>
  <c r="X99" i="18" s="1"/>
  <c r="M597" i="23"/>
  <c r="F211" i="22"/>
  <c r="G346" i="18"/>
  <c r="D302" i="18"/>
  <c r="P345" i="18"/>
  <c r="Z155" i="18"/>
  <c r="Q155" i="18"/>
  <c r="M155" i="18"/>
  <c r="AW144" i="18"/>
  <c r="Z154" i="22"/>
  <c r="Y448" i="22"/>
  <c r="Y463" i="22"/>
  <c r="X463" i="22"/>
  <c r="X448" i="22"/>
  <c r="X154" i="22"/>
  <c r="T473" i="22"/>
  <c r="T486" i="22" s="1"/>
  <c r="U154" i="22"/>
  <c r="R154" i="22"/>
  <c r="I223" i="22"/>
  <c r="I225" i="22" s="1"/>
  <c r="Y631" i="23"/>
  <c r="Y644" i="23" s="1"/>
  <c r="W685" i="23"/>
  <c r="W700" i="23"/>
  <c r="Q685" i="23"/>
  <c r="Q700" i="23"/>
  <c r="S421" i="23"/>
  <c r="S423" i="23" s="1"/>
  <c r="O646" i="23"/>
  <c r="O661" i="23"/>
  <c r="O421" i="23"/>
  <c r="O423" i="23" s="1"/>
  <c r="H467" i="23"/>
  <c r="H469" i="23" s="1"/>
  <c r="G421" i="23"/>
  <c r="G423" i="23" s="1"/>
  <c r="Y216" i="18"/>
  <c r="S146" i="18"/>
  <c r="O146" i="18"/>
  <c r="Y419" i="18"/>
  <c r="Y432" i="18" s="1"/>
  <c r="X448" i="18"/>
  <c r="X433" i="18"/>
  <c r="W379" i="18"/>
  <c r="W392" i="18" s="1"/>
  <c r="T419" i="18"/>
  <c r="T432" i="18" s="1"/>
  <c r="R448" i="18"/>
  <c r="R433" i="18"/>
  <c r="Y459" i="18"/>
  <c r="AU113" i="22"/>
  <c r="BG148" i="22"/>
  <c r="AQ113" i="22"/>
  <c r="G164" i="22"/>
  <c r="AI113" i="22"/>
  <c r="P218" i="23"/>
  <c r="P237" i="23" s="1"/>
  <c r="P244" i="23"/>
  <c r="P263" i="23" s="1"/>
  <c r="O170" i="23"/>
  <c r="N244" i="23"/>
  <c r="N263" i="23" s="1"/>
  <c r="L362" i="23"/>
  <c r="L244" i="23"/>
  <c r="L263" i="23" s="1"/>
  <c r="K244" i="23"/>
  <c r="K263" i="23" s="1"/>
  <c r="H431" i="23"/>
  <c r="F9" i="23"/>
  <c r="F461" i="23"/>
  <c r="F455" i="23"/>
  <c r="D553" i="23"/>
  <c r="N345" i="18"/>
  <c r="X345" i="18"/>
  <c r="W155" i="18"/>
  <c r="U155" i="18"/>
  <c r="S155" i="18"/>
  <c r="V473" i="22"/>
  <c r="V486" i="22" s="1"/>
  <c r="W448" i="22"/>
  <c r="W463" i="22"/>
  <c r="V448" i="22"/>
  <c r="V463" i="22"/>
  <c r="U433" i="22"/>
  <c r="U446" i="22" s="1"/>
  <c r="R473" i="22"/>
  <c r="R486" i="22" s="1"/>
  <c r="S433" i="22"/>
  <c r="S446" i="22" s="1"/>
  <c r="R502" i="22"/>
  <c r="R487" i="22"/>
  <c r="Q223" i="22"/>
  <c r="Q225" i="22" s="1"/>
  <c r="H154" i="22"/>
  <c r="H156" i="22" s="1"/>
  <c r="F223" i="22"/>
  <c r="F225" i="22" s="1"/>
  <c r="Z671" i="23"/>
  <c r="Z684" i="23" s="1"/>
  <c r="Z645" i="23"/>
  <c r="Z660" i="23"/>
  <c r="Y467" i="23"/>
  <c r="Y469" i="23" s="1"/>
  <c r="W631" i="23"/>
  <c r="W644" i="23" s="1"/>
  <c r="T671" i="23"/>
  <c r="T684" i="23" s="1"/>
  <c r="T631" i="23"/>
  <c r="T644" i="23" s="1"/>
  <c r="S467" i="23"/>
  <c r="S469" i="23" s="1"/>
  <c r="Q467" i="23"/>
  <c r="Q469" i="23" s="1"/>
  <c r="K467" i="23"/>
  <c r="U597" i="23"/>
  <c r="G47" i="24"/>
  <c r="H2" i="24"/>
  <c r="G1" i="24"/>
  <c r="G14" i="24"/>
  <c r="G32" i="24"/>
  <c r="G23" i="24"/>
  <c r="G5" i="24"/>
  <c r="Q597" i="23"/>
  <c r="W214" i="18"/>
  <c r="W216" i="18" s="1"/>
  <c r="Z409" i="18"/>
  <c r="Z394" i="18"/>
  <c r="T409" i="18"/>
  <c r="T394" i="18"/>
  <c r="Q433" i="18"/>
  <c r="Q448" i="18"/>
  <c r="Z597" i="23"/>
  <c r="BF219" i="3"/>
  <c r="BE221" i="3"/>
  <c r="BE218" i="3"/>
  <c r="BE219" i="3"/>
  <c r="BG218" i="3"/>
  <c r="BG217" i="3"/>
  <c r="BE226" i="3"/>
  <c r="BG219" i="3"/>
  <c r="G9" i="4"/>
  <c r="AJ30" i="20"/>
  <c r="AR29" i="20"/>
  <c r="T32" i="20"/>
  <c r="AB31" i="20"/>
  <c r="F163" i="18"/>
  <c r="F159" i="18"/>
  <c r="F161" i="18" s="1"/>
  <c r="G2" i="18"/>
  <c r="H459" i="18"/>
  <c r="X459" i="18"/>
  <c r="S80" i="18"/>
  <c r="S99" i="18" s="1"/>
  <c r="L80" i="18"/>
  <c r="L99" i="18" s="1"/>
  <c r="H80" i="18"/>
  <c r="H99" i="18" s="1"/>
  <c r="BA119" i="18"/>
  <c r="W80" i="18"/>
  <c r="W99" i="18" s="1"/>
  <c r="T459" i="18"/>
  <c r="O80" i="18"/>
  <c r="O99" i="18" s="1"/>
  <c r="K459" i="18"/>
  <c r="G459" i="18"/>
  <c r="F85" i="2" s="1"/>
  <c r="AX119" i="18"/>
  <c r="V80" i="18"/>
  <c r="V99" i="18" s="1"/>
  <c r="R80" i="18"/>
  <c r="R99" i="18" s="1"/>
  <c r="O459" i="18"/>
  <c r="G80" i="18"/>
  <c r="AT119" i="18"/>
  <c r="S459" i="18"/>
  <c r="N459" i="18"/>
  <c r="J459" i="18"/>
  <c r="Z80" i="18"/>
  <c r="Z99" i="18" s="1"/>
  <c r="W459" i="18"/>
  <c r="U80" i="18"/>
  <c r="U99" i="18" s="1"/>
  <c r="Q80" i="18"/>
  <c r="Q99" i="18" s="1"/>
  <c r="N80" i="18"/>
  <c r="N99" i="18" s="1"/>
  <c r="BH95" i="18"/>
  <c r="Z459" i="18"/>
  <c r="R459" i="18"/>
  <c r="M459" i="18"/>
  <c r="F80" i="18"/>
  <c r="F99" i="18" s="1"/>
  <c r="AF31" i="1"/>
  <c r="AG31" i="1"/>
  <c r="BI95" i="18"/>
  <c r="BD95" i="18"/>
  <c r="AZ95" i="18"/>
  <c r="AY95" i="18"/>
  <c r="F3" i="18"/>
  <c r="BJ95" i="18"/>
  <c r="Y54" i="18"/>
  <c r="Y73" i="18" s="1"/>
  <c r="X54" i="18"/>
  <c r="X73" i="18" s="1"/>
  <c r="F9" i="18"/>
  <c r="BC119" i="18"/>
  <c r="P54" i="18"/>
  <c r="P73" i="18" s="1"/>
  <c r="BF95" i="18"/>
  <c r="AU119" i="18"/>
  <c r="BA95" i="18"/>
  <c r="AX95" i="18"/>
  <c r="M54" i="18"/>
  <c r="M73" i="18" s="1"/>
  <c r="F54" i="18"/>
  <c r="BJ119" i="18"/>
  <c r="T54" i="18"/>
  <c r="T73" i="18" s="1"/>
  <c r="S54" i="18"/>
  <c r="S73" i="18" s="1"/>
  <c r="BB119" i="18"/>
  <c r="AY119" i="18"/>
  <c r="AV119" i="18"/>
  <c r="AR95" i="18"/>
  <c r="F81" i="2" s="1"/>
  <c r="AQ119" i="18"/>
  <c r="E79" i="2" s="1"/>
  <c r="BI119" i="18"/>
  <c r="BH119" i="18"/>
  <c r="AV95" i="18"/>
  <c r="AS95" i="18"/>
  <c r="G81" i="2" s="1"/>
  <c r="H54" i="18"/>
  <c r="H73" i="18" s="1"/>
  <c r="AR119" i="18"/>
  <c r="F79" i="2" s="1"/>
  <c r="Z54" i="18"/>
  <c r="Z73" i="18" s="1"/>
  <c r="BG119" i="18"/>
  <c r="BF119" i="18"/>
  <c r="N54" i="18"/>
  <c r="N73" i="18" s="1"/>
  <c r="AU95" i="18"/>
  <c r="AQ95" i="18"/>
  <c r="E81" i="2" s="1"/>
  <c r="V54" i="18"/>
  <c r="V73" i="18" s="1"/>
  <c r="Q54" i="18"/>
  <c r="Q73" i="18" s="1"/>
  <c r="BK95" i="18"/>
  <c r="BK119" i="18"/>
  <c r="BC95" i="18"/>
  <c r="BD119" i="18"/>
  <c r="AZ119" i="18"/>
  <c r="L54" i="18"/>
  <c r="L73" i="18" s="1"/>
  <c r="AW119" i="18"/>
  <c r="AS119" i="18"/>
  <c r="G79" i="2" s="1"/>
  <c r="G54" i="18"/>
  <c r="G67" i="1"/>
  <c r="U54" i="18"/>
  <c r="U73" i="18" s="1"/>
  <c r="O54" i="18"/>
  <c r="O73" i="18" s="1"/>
  <c r="AW95" i="18"/>
  <c r="AT95" i="18"/>
  <c r="F32" i="18"/>
  <c r="H67" i="1"/>
  <c r="BG95" i="18"/>
  <c r="BB95" i="18"/>
  <c r="AF176" i="1"/>
  <c r="AF143" i="1"/>
  <c r="AD146" i="1" s="1"/>
  <c r="AD147" i="1"/>
  <c r="AF83" i="1"/>
  <c r="AD86" i="1" s="1"/>
  <c r="AD87" i="1"/>
  <c r="AF192" i="1"/>
  <c r="AF193" i="1" s="1"/>
  <c r="AF56" i="1"/>
  <c r="AD59" i="1" s="1"/>
  <c r="AD60" i="1"/>
  <c r="AF202" i="1"/>
  <c r="AD204" i="1" s="1"/>
  <c r="AF170" i="1"/>
  <c r="G110" i="1" s="1"/>
  <c r="AF113" i="1"/>
  <c r="AD116" i="1" s="1"/>
  <c r="AD117" i="1"/>
  <c r="AF209" i="1"/>
  <c r="AF231" i="1" s="1"/>
  <c r="AD232" i="1"/>
  <c r="H78" i="1"/>
  <c r="G63" i="1"/>
  <c r="G90" i="1"/>
  <c r="H90" i="1"/>
  <c r="H82" i="1"/>
  <c r="G82" i="1"/>
  <c r="AF152" i="1"/>
  <c r="H63" i="1"/>
  <c r="G78" i="1"/>
  <c r="H86" i="1"/>
  <c r="AG152" i="1"/>
  <c r="G86" i="1"/>
  <c r="BG220" i="3"/>
  <c r="BH225" i="3"/>
  <c r="BF222" i="3"/>
  <c r="BG224" i="3"/>
  <c r="BG221" i="3"/>
  <c r="BF223" i="3"/>
  <c r="BH226" i="3"/>
  <c r="BF221" i="3"/>
  <c r="BG229" i="3"/>
  <c r="BG227" i="3"/>
  <c r="BF228" i="3"/>
  <c r="BF229" i="3"/>
  <c r="BG226" i="3"/>
  <c r="BF225" i="3"/>
  <c r="BE224" i="3"/>
  <c r="BG225" i="3"/>
  <c r="BF227" i="3"/>
  <c r="BH229" i="3"/>
  <c r="BE228" i="3"/>
  <c r="BG228" i="3"/>
  <c r="BG223" i="3"/>
  <c r="BF226" i="3"/>
  <c r="BH228" i="3"/>
  <c r="BE222" i="3"/>
  <c r="BG222" i="3"/>
  <c r="BF224" i="3"/>
  <c r="BH227" i="3"/>
  <c r="BE223" i="3"/>
  <c r="G67" i="5"/>
  <c r="H110" i="1"/>
  <c r="G55" i="5"/>
  <c r="G65" i="5"/>
  <c r="G54" i="5"/>
  <c r="G64" i="5"/>
  <c r="G53" i="5"/>
  <c r="H198" i="1"/>
  <c r="G52" i="5"/>
  <c r="G66" i="5"/>
  <c r="G62" i="5"/>
  <c r="AG231" i="1"/>
  <c r="BE225" i="3"/>
  <c r="BE229" i="3"/>
  <c r="BE227" i="3"/>
  <c r="BI229" i="3"/>
  <c r="BI228" i="3"/>
  <c r="BI227" i="3"/>
  <c r="BI226" i="3"/>
  <c r="Q50" i="3" l="1"/>
  <c r="H155" i="1"/>
  <c r="H25" i="27"/>
  <c r="G155" i="1"/>
  <c r="AE107" i="32"/>
  <c r="AB105" i="32"/>
  <c r="AB107" i="32" s="1"/>
  <c r="I25" i="27"/>
  <c r="H168" i="22"/>
  <c r="H170" i="22" s="1"/>
  <c r="I27" i="27"/>
  <c r="AG58" i="1"/>
  <c r="AG62" i="1" s="1"/>
  <c r="AG115" i="1"/>
  <c r="AG118" i="1" s="1"/>
  <c r="BH19" i="3"/>
  <c r="S15" i="3"/>
  <c r="R18" i="3"/>
  <c r="BI213" i="3"/>
  <c r="BJ212" i="3"/>
  <c r="BI215" i="3"/>
  <c r="BM241" i="3"/>
  <c r="H248" i="23"/>
  <c r="H274" i="23"/>
  <c r="H370" i="23"/>
  <c r="H371" i="23" s="1"/>
  <c r="H222" i="23"/>
  <c r="N79" i="2"/>
  <c r="D346" i="18"/>
  <c r="F477" i="23"/>
  <c r="G477" i="23" s="1"/>
  <c r="H477" i="23" s="1"/>
  <c r="I477" i="23" s="1"/>
  <c r="J477" i="23" s="1"/>
  <c r="K477" i="23" s="1"/>
  <c r="L477" i="23" s="1"/>
  <c r="M477" i="23" s="1"/>
  <c r="N477" i="23" s="1"/>
  <c r="O477" i="23" s="1"/>
  <c r="P477" i="23" s="1"/>
  <c r="Q477" i="23" s="1"/>
  <c r="R477" i="23" s="1"/>
  <c r="S477" i="23" s="1"/>
  <c r="T477" i="23" s="1"/>
  <c r="U477" i="23" s="1"/>
  <c r="V477" i="23" s="1"/>
  <c r="W477" i="23" s="1"/>
  <c r="X477" i="23" s="1"/>
  <c r="Y477" i="23" s="1"/>
  <c r="Z477" i="23" s="1"/>
  <c r="N81" i="2"/>
  <c r="AG145" i="1"/>
  <c r="AG148" i="1" s="1"/>
  <c r="H254" i="1"/>
  <c r="H258" i="1" s="1"/>
  <c r="AQ76" i="18"/>
  <c r="AQ75" i="18" s="1"/>
  <c r="G227" i="1"/>
  <c r="G231" i="1" s="1"/>
  <c r="H172" i="22"/>
  <c r="AK117" i="22"/>
  <c r="AL117" i="22" s="1"/>
  <c r="AM117" i="22" s="1"/>
  <c r="I168" i="22"/>
  <c r="I170" i="22" s="1"/>
  <c r="H92" i="22"/>
  <c r="I92" i="22" s="1"/>
  <c r="J92" i="22" s="1"/>
  <c r="I172" i="22"/>
  <c r="AG85" i="1"/>
  <c r="AG88" i="1" s="1"/>
  <c r="G254" i="1"/>
  <c r="G257" i="1" s="1"/>
  <c r="H292" i="23"/>
  <c r="K2" i="22"/>
  <c r="K168" i="22" s="1"/>
  <c r="K170" i="22" s="1"/>
  <c r="J172" i="22"/>
  <c r="J173" i="22" s="1"/>
  <c r="I2" i="23"/>
  <c r="H295" i="23"/>
  <c r="F245" i="23"/>
  <c r="G245" i="23" s="1"/>
  <c r="G256" i="23" s="1"/>
  <c r="F263" i="23"/>
  <c r="E83" i="2"/>
  <c r="F73" i="18"/>
  <c r="F83" i="2"/>
  <c r="G73" i="18"/>
  <c r="F219" i="23"/>
  <c r="F230" i="23" s="1"/>
  <c r="F237" i="23"/>
  <c r="F84" i="2"/>
  <c r="G99" i="18"/>
  <c r="H227" i="1"/>
  <c r="F125" i="23" s="1"/>
  <c r="AB65" i="5"/>
  <c r="AB68" i="5" s="1"/>
  <c r="R55" i="5"/>
  <c r="R68" i="5" s="1"/>
  <c r="AA64" i="5"/>
  <c r="AA68" i="5" s="1"/>
  <c r="Y62" i="5"/>
  <c r="Y68" i="5" s="1"/>
  <c r="AC66" i="5"/>
  <c r="AC68" i="5" s="1"/>
  <c r="O52" i="5"/>
  <c r="O68" i="5" s="1"/>
  <c r="Q54" i="5"/>
  <c r="Q68" i="5" s="1"/>
  <c r="P53" i="5"/>
  <c r="P68" i="5" s="1"/>
  <c r="AR50" i="18"/>
  <c r="AS50" i="18" s="1"/>
  <c r="AT50" i="18" s="1"/>
  <c r="AT53" i="18" s="1"/>
  <c r="AT58" i="18" s="1"/>
  <c r="AT59" i="18" s="1"/>
  <c r="AW74" i="22"/>
  <c r="AW73" i="22" s="1"/>
  <c r="AW84" i="22" s="1"/>
  <c r="AW101" i="22"/>
  <c r="AW100" i="22" s="1"/>
  <c r="AW110" i="22" s="1"/>
  <c r="AY98" i="22"/>
  <c r="AX101" i="22"/>
  <c r="AX100" i="22" s="1"/>
  <c r="F156" i="23"/>
  <c r="F161" i="23"/>
  <c r="F155" i="23"/>
  <c r="F157" i="23"/>
  <c r="F158" i="23"/>
  <c r="F145" i="23"/>
  <c r="H144" i="23"/>
  <c r="G147" i="23"/>
  <c r="G146" i="23" s="1"/>
  <c r="F129" i="23"/>
  <c r="F130" i="23"/>
  <c r="F131" i="23"/>
  <c r="F118" i="23"/>
  <c r="F128" i="23"/>
  <c r="F134" i="23"/>
  <c r="I117" i="23"/>
  <c r="H120" i="23"/>
  <c r="H119" i="23" s="1"/>
  <c r="G120" i="23"/>
  <c r="G119" i="23" s="1"/>
  <c r="AY71" i="22"/>
  <c r="AX74" i="22"/>
  <c r="AX73" i="22" s="1"/>
  <c r="AQ52" i="18"/>
  <c r="AR76" i="18"/>
  <c r="BN243" i="3"/>
  <c r="BM243" i="3"/>
  <c r="BN242" i="3"/>
  <c r="BM242" i="3"/>
  <c r="BM240" i="3"/>
  <c r="G315" i="23"/>
  <c r="F316" i="23"/>
  <c r="F314" i="23" s="1"/>
  <c r="F325" i="23" s="1"/>
  <c r="G117" i="22"/>
  <c r="F118" i="22"/>
  <c r="F116" i="22" s="1"/>
  <c r="F156" i="18"/>
  <c r="G156" i="18" s="1"/>
  <c r="E74" i="2"/>
  <c r="E86" i="2" s="1"/>
  <c r="AQ145" i="18"/>
  <c r="AQ156" i="18" s="1"/>
  <c r="E87" i="2"/>
  <c r="M83" i="2"/>
  <c r="N83" i="2"/>
  <c r="K83" i="2"/>
  <c r="L83" i="2"/>
  <c r="M85" i="2"/>
  <c r="I85" i="2"/>
  <c r="H85" i="2"/>
  <c r="N85" i="2"/>
  <c r="J85" i="2"/>
  <c r="F460" i="18"/>
  <c r="F471" i="18" s="1"/>
  <c r="E85" i="2"/>
  <c r="L85" i="2"/>
  <c r="K85" i="2"/>
  <c r="G109" i="18"/>
  <c r="H84" i="2"/>
  <c r="F81" i="18"/>
  <c r="G81" i="18" s="1"/>
  <c r="E84" i="2"/>
  <c r="AQ96" i="18"/>
  <c r="AQ99" i="18" s="1"/>
  <c r="AQ120" i="18"/>
  <c r="AR120" i="18" s="1"/>
  <c r="AR123" i="18" s="1"/>
  <c r="F165" i="22"/>
  <c r="G165" i="22" s="1"/>
  <c r="F89" i="22"/>
  <c r="F100" i="22" s="1"/>
  <c r="G84" i="2"/>
  <c r="F234" i="22"/>
  <c r="G87" i="2"/>
  <c r="F63" i="22"/>
  <c r="F74" i="22" s="1"/>
  <c r="G83" i="2"/>
  <c r="AI114" i="22"/>
  <c r="AJ114" i="22" s="1"/>
  <c r="G85" i="2"/>
  <c r="O351" i="18"/>
  <c r="O352" i="18" s="1"/>
  <c r="P351" i="18"/>
  <c r="P352" i="18" s="1"/>
  <c r="N20" i="2"/>
  <c r="H66" i="22"/>
  <c r="G225" i="18"/>
  <c r="H225" i="18" s="1"/>
  <c r="G303" i="22"/>
  <c r="F306" i="22"/>
  <c r="G501" i="23"/>
  <c r="F504" i="23"/>
  <c r="F503" i="23" s="1"/>
  <c r="G279" i="22"/>
  <c r="F282" i="22"/>
  <c r="H249" i="18"/>
  <c r="H159" i="1"/>
  <c r="G63" i="23"/>
  <c r="H63" i="23" s="1"/>
  <c r="G90" i="23"/>
  <c r="H90" i="23" s="1"/>
  <c r="F529" i="23"/>
  <c r="F530" i="23" s="1"/>
  <c r="G524" i="23"/>
  <c r="G527" i="23" s="1"/>
  <c r="F332" i="22"/>
  <c r="G326" i="22"/>
  <c r="BH223" i="3"/>
  <c r="BH220" i="3"/>
  <c r="BH221" i="3"/>
  <c r="BH222" i="3"/>
  <c r="BH224" i="3"/>
  <c r="G271" i="23"/>
  <c r="G282" i="23" s="1"/>
  <c r="G195" i="23"/>
  <c r="H195" i="23" s="1"/>
  <c r="F66" i="23"/>
  <c r="G363" i="23"/>
  <c r="H363" i="23" s="1"/>
  <c r="AQ7" i="18"/>
  <c r="F93" i="23"/>
  <c r="AR27" i="18"/>
  <c r="AQ30" i="18"/>
  <c r="AX17" i="22"/>
  <c r="AW20" i="22"/>
  <c r="AF58" i="1"/>
  <c r="AF62" i="1" s="1"/>
  <c r="AR4" i="18"/>
  <c r="AR7" i="18" s="1"/>
  <c r="AX44" i="22"/>
  <c r="AW47" i="22"/>
  <c r="G3" i="23"/>
  <c r="H3" i="23" s="1"/>
  <c r="I3" i="23" s="1"/>
  <c r="J3" i="23" s="1"/>
  <c r="K3" i="23" s="1"/>
  <c r="L3" i="23" s="1"/>
  <c r="M3" i="23" s="1"/>
  <c r="N3" i="23" s="1"/>
  <c r="O3" i="23" s="1"/>
  <c r="P3" i="23" s="1"/>
  <c r="Q3" i="23" s="1"/>
  <c r="R3" i="23" s="1"/>
  <c r="S3" i="23" s="1"/>
  <c r="T3" i="23" s="1"/>
  <c r="U3" i="23" s="1"/>
  <c r="V3" i="23" s="1"/>
  <c r="W3" i="23" s="1"/>
  <c r="X3" i="23" s="1"/>
  <c r="Y3" i="23" s="1"/>
  <c r="Z3" i="23" s="1"/>
  <c r="G3" i="22"/>
  <c r="H3" i="22" s="1"/>
  <c r="I3" i="22" s="1"/>
  <c r="J3" i="22" s="1"/>
  <c r="K3" i="22" s="1"/>
  <c r="L3" i="22" s="1"/>
  <c r="M3" i="22" s="1"/>
  <c r="N3" i="22" s="1"/>
  <c r="O3" i="22" s="1"/>
  <c r="P3" i="22" s="1"/>
  <c r="Q3" i="22" s="1"/>
  <c r="R3" i="22" s="1"/>
  <c r="S3" i="22" s="1"/>
  <c r="T3" i="22" s="1"/>
  <c r="U3" i="22" s="1"/>
  <c r="V3" i="22" s="1"/>
  <c r="W3" i="22" s="1"/>
  <c r="X3" i="22" s="1"/>
  <c r="Y3" i="22" s="1"/>
  <c r="Z3" i="22" s="1"/>
  <c r="H36" i="22"/>
  <c r="N308" i="18"/>
  <c r="N352" i="18"/>
  <c r="G171" i="23"/>
  <c r="G174" i="23" s="1"/>
  <c r="G173" i="23" s="1"/>
  <c r="G36" i="23"/>
  <c r="H36" i="23" s="1"/>
  <c r="X308" i="18"/>
  <c r="G9" i="23"/>
  <c r="H9" i="23" s="1"/>
  <c r="AF115" i="1"/>
  <c r="AF118" i="1" s="1"/>
  <c r="AF145" i="1"/>
  <c r="AF149" i="1" s="1"/>
  <c r="H158" i="1"/>
  <c r="G9" i="22"/>
  <c r="H9" i="22" s="1"/>
  <c r="T560" i="23"/>
  <c r="Z604" i="23"/>
  <c r="Z560" i="23"/>
  <c r="P560" i="23"/>
  <c r="F272" i="23"/>
  <c r="F277" i="23" s="1"/>
  <c r="F278" i="23" s="1"/>
  <c r="F198" i="23"/>
  <c r="F197" i="23" s="1"/>
  <c r="F209" i="23" s="1"/>
  <c r="F174" i="23"/>
  <c r="Q560" i="23"/>
  <c r="Q604" i="23"/>
  <c r="BH217" i="3"/>
  <c r="BH216" i="3"/>
  <c r="BH218" i="3"/>
  <c r="W604" i="23"/>
  <c r="F371" i="23"/>
  <c r="F372" i="23" s="1"/>
  <c r="F381" i="23" s="1"/>
  <c r="M604" i="23"/>
  <c r="P308" i="18"/>
  <c r="L604" i="23"/>
  <c r="L560" i="23"/>
  <c r="W560" i="23"/>
  <c r="X560" i="23"/>
  <c r="X604" i="23"/>
  <c r="T604" i="23"/>
  <c r="H432" i="23"/>
  <c r="U604" i="23"/>
  <c r="U560" i="23"/>
  <c r="P604" i="23"/>
  <c r="X352" i="18"/>
  <c r="R352" i="18"/>
  <c r="M560" i="23"/>
  <c r="U156" i="22"/>
  <c r="U503" i="22" s="1"/>
  <c r="S156" i="22"/>
  <c r="S503" i="22" s="1"/>
  <c r="X701" i="23"/>
  <c r="V560" i="23"/>
  <c r="V604" i="23"/>
  <c r="S352" i="18"/>
  <c r="S308" i="18"/>
  <c r="Q701" i="23"/>
  <c r="F503" i="22"/>
  <c r="F475" i="22" s="1"/>
  <c r="F488" i="22" s="1"/>
  <c r="S604" i="23"/>
  <c r="V701" i="23"/>
  <c r="R156" i="22"/>
  <c r="R503" i="22" s="1"/>
  <c r="K156" i="22"/>
  <c r="K503" i="22" s="1"/>
  <c r="K475" i="22" s="1"/>
  <c r="K488" i="22" s="1"/>
  <c r="Y503" i="22"/>
  <c r="Y701" i="23"/>
  <c r="H503" i="22"/>
  <c r="H475" i="22" s="1"/>
  <c r="H488" i="22" s="1"/>
  <c r="U308" i="18"/>
  <c r="F173" i="22"/>
  <c r="G173" i="22"/>
  <c r="R701" i="23"/>
  <c r="Z156" i="22"/>
  <c r="Z503" i="22" s="1"/>
  <c r="T156" i="22"/>
  <c r="T503" i="22" s="1"/>
  <c r="G701" i="23"/>
  <c r="G673" i="23" s="1"/>
  <c r="G686" i="23" s="1"/>
  <c r="T701" i="23"/>
  <c r="X156" i="22"/>
  <c r="X503" i="22" s="1"/>
  <c r="D345" i="18"/>
  <c r="AQ170" i="18"/>
  <c r="AQ171" i="18" s="1"/>
  <c r="AR165" i="18"/>
  <c r="AR168" i="18" s="1"/>
  <c r="Y352" i="18"/>
  <c r="AI13" i="20"/>
  <c r="AH14" i="20"/>
  <c r="Z352" i="18"/>
  <c r="Q352" i="18"/>
  <c r="K604" i="23"/>
  <c r="S560" i="23"/>
  <c r="T352" i="18"/>
  <c r="G156" i="22"/>
  <c r="G503" i="22" s="1"/>
  <c r="G475" i="22" s="1"/>
  <c r="G488" i="22" s="1"/>
  <c r="V352" i="18"/>
  <c r="Q308" i="18"/>
  <c r="H47" i="24"/>
  <c r="H1" i="24"/>
  <c r="I2" i="24"/>
  <c r="H5" i="24"/>
  <c r="H23" i="24"/>
  <c r="H32" i="24"/>
  <c r="H14" i="24"/>
  <c r="F411" i="23"/>
  <c r="F412" i="23" s="1"/>
  <c r="G406" i="23"/>
  <c r="G409" i="23" s="1"/>
  <c r="AT12" i="20"/>
  <c r="AU12" i="20" s="1"/>
  <c r="AV12" i="20" s="1"/>
  <c r="AS12" i="20"/>
  <c r="V308" i="18"/>
  <c r="O308" i="18"/>
  <c r="D597" i="23"/>
  <c r="U352" i="18"/>
  <c r="Z701" i="23"/>
  <c r="H701" i="23"/>
  <c r="H673" i="23" s="1"/>
  <c r="H686" i="23" s="1"/>
  <c r="V156" i="22"/>
  <c r="V503" i="22" s="1"/>
  <c r="F701" i="23"/>
  <c r="F673" i="23" s="1"/>
  <c r="F686" i="23" s="1"/>
  <c r="W503" i="22"/>
  <c r="R14" i="20"/>
  <c r="S13" i="20"/>
  <c r="G43" i="24"/>
  <c r="G44" i="24"/>
  <c r="F205" i="18"/>
  <c r="G199" i="18"/>
  <c r="G202" i="18" s="1"/>
  <c r="O560" i="23"/>
  <c r="O701" i="23"/>
  <c r="AD12" i="20"/>
  <c r="AE12" i="20" s="1"/>
  <c r="AF12" i="20" s="1"/>
  <c r="AC12" i="20"/>
  <c r="L352" i="18"/>
  <c r="F50" i="24"/>
  <c r="O604" i="23"/>
  <c r="N560" i="23"/>
  <c r="L308" i="18"/>
  <c r="F457" i="23"/>
  <c r="F458" i="23" s="1"/>
  <c r="G452" i="23"/>
  <c r="G455" i="23" s="1"/>
  <c r="N12" i="20"/>
  <c r="O12" i="20" s="1"/>
  <c r="P12" i="20" s="1"/>
  <c r="M12" i="20"/>
  <c r="Y560" i="23"/>
  <c r="N701" i="23"/>
  <c r="L156" i="22"/>
  <c r="L503" i="22" s="1"/>
  <c r="L475" i="22" s="1"/>
  <c r="L488" i="22" s="1"/>
  <c r="N604" i="23"/>
  <c r="M352" i="18"/>
  <c r="F214" i="22"/>
  <c r="G208" i="22"/>
  <c r="G211" i="22" s="1"/>
  <c r="F49" i="24"/>
  <c r="N11" i="20"/>
  <c r="O11" i="20" s="1"/>
  <c r="P11" i="20" s="1"/>
  <c r="M11" i="20"/>
  <c r="G371" i="23"/>
  <c r="W308" i="18"/>
  <c r="Y604" i="23"/>
  <c r="M308" i="18"/>
  <c r="Q156" i="22"/>
  <c r="Q503" i="22" s="1"/>
  <c r="W352" i="18"/>
  <c r="F259" i="22"/>
  <c r="F260" i="22" s="1"/>
  <c r="G254" i="22"/>
  <c r="G257" i="22" s="1"/>
  <c r="J156" i="22"/>
  <c r="J503" i="22" s="1"/>
  <c r="J475" i="22" s="1"/>
  <c r="J488" i="22" s="1"/>
  <c r="S701" i="23"/>
  <c r="R560" i="23"/>
  <c r="R308" i="18"/>
  <c r="W701" i="23"/>
  <c r="U701" i="23"/>
  <c r="Y308" i="18"/>
  <c r="Z308" i="18"/>
  <c r="K560" i="23"/>
  <c r="T308" i="18"/>
  <c r="R604" i="23"/>
  <c r="J701" i="23"/>
  <c r="J673" i="23" s="1"/>
  <c r="J686" i="23" s="1"/>
  <c r="AR148" i="18"/>
  <c r="G463" i="18"/>
  <c r="G84" i="18"/>
  <c r="G58" i="18"/>
  <c r="BG241" i="3"/>
  <c r="AG233" i="1"/>
  <c r="H200" i="1"/>
  <c r="H112" i="1"/>
  <c r="F164" i="18"/>
  <c r="T33" i="20"/>
  <c r="AB32" i="20"/>
  <c r="AJ31" i="20"/>
  <c r="AR30" i="20"/>
  <c r="G163" i="18"/>
  <c r="G159" i="18"/>
  <c r="G161" i="18" s="1"/>
  <c r="H2" i="18"/>
  <c r="G3" i="18"/>
  <c r="H3" i="18" s="1"/>
  <c r="I3" i="18" s="1"/>
  <c r="J3" i="18" s="1"/>
  <c r="K3" i="18" s="1"/>
  <c r="L3" i="18" s="1"/>
  <c r="M3" i="18" s="1"/>
  <c r="N3" i="18" s="1"/>
  <c r="O3" i="18" s="1"/>
  <c r="P3" i="18" s="1"/>
  <c r="Q3" i="18" s="1"/>
  <c r="R3" i="18" s="1"/>
  <c r="S3" i="18" s="1"/>
  <c r="T3" i="18" s="1"/>
  <c r="U3" i="18" s="1"/>
  <c r="V3" i="18" s="1"/>
  <c r="W3" i="18" s="1"/>
  <c r="X3" i="18" s="1"/>
  <c r="Y3" i="18" s="1"/>
  <c r="Z3" i="18" s="1"/>
  <c r="AF85" i="1"/>
  <c r="F55" i="18"/>
  <c r="G32" i="18"/>
  <c r="G9" i="18"/>
  <c r="G198" i="1"/>
  <c r="BG242" i="3"/>
  <c r="BG240" i="3"/>
  <c r="BG243" i="3"/>
  <c r="G112" i="1"/>
  <c r="AF233" i="1"/>
  <c r="AD231" i="1"/>
  <c r="AD233" i="1" s="1"/>
  <c r="BJ229" i="3"/>
  <c r="BJ228" i="3"/>
  <c r="BJ227" i="3"/>
  <c r="BJ226" i="3"/>
  <c r="BK226" i="3"/>
  <c r="BK227" i="3"/>
  <c r="BK228" i="3"/>
  <c r="BK229" i="3"/>
  <c r="AI29" i="3"/>
  <c r="AG119" i="1" l="1"/>
  <c r="AG149" i="1"/>
  <c r="R50" i="3"/>
  <c r="I28" i="27"/>
  <c r="G159" i="1"/>
  <c r="H27" i="27"/>
  <c r="H28" i="27" s="1"/>
  <c r="H173" i="22"/>
  <c r="AG61" i="1"/>
  <c r="F480" i="23"/>
  <c r="F479" i="23" s="1"/>
  <c r="G480" i="23"/>
  <c r="G479" i="23" s="1"/>
  <c r="AG89" i="1"/>
  <c r="BJ213" i="3"/>
  <c r="BK212" i="3"/>
  <c r="BJ215" i="3"/>
  <c r="BI19" i="3"/>
  <c r="T15" i="3"/>
  <c r="S18" i="3"/>
  <c r="G158" i="1"/>
  <c r="AN117" i="22"/>
  <c r="H257" i="1"/>
  <c r="G258" i="1"/>
  <c r="F256" i="23"/>
  <c r="K92" i="22"/>
  <c r="I173" i="22"/>
  <c r="F152" i="23"/>
  <c r="F154" i="23" s="1"/>
  <c r="H231" i="1"/>
  <c r="AQ81" i="18"/>
  <c r="AQ83" i="18" s="1"/>
  <c r="E227" i="1"/>
  <c r="E230" i="1" s="1"/>
  <c r="H230" i="1"/>
  <c r="E254" i="1"/>
  <c r="E258" i="1" s="1"/>
  <c r="G61" i="19"/>
  <c r="G66" i="19"/>
  <c r="G230" i="1"/>
  <c r="F66" i="19"/>
  <c r="F61" i="19"/>
  <c r="F220" i="23"/>
  <c r="F225" i="23" s="1"/>
  <c r="F226" i="23" s="1"/>
  <c r="G219" i="23"/>
  <c r="G230" i="23" s="1"/>
  <c r="L2" i="22"/>
  <c r="M2" i="22" s="1"/>
  <c r="I292" i="23"/>
  <c r="K172" i="22"/>
  <c r="K173" i="22" s="1"/>
  <c r="I295" i="23"/>
  <c r="I366" i="23"/>
  <c r="I368" i="23" s="1"/>
  <c r="J2" i="23"/>
  <c r="I370" i="23"/>
  <c r="I274" i="23"/>
  <c r="G234" i="22"/>
  <c r="G245" i="22" s="1"/>
  <c r="F245" i="22"/>
  <c r="AW79" i="22"/>
  <c r="AW80" i="22" s="1"/>
  <c r="I222" i="23"/>
  <c r="I248" i="23"/>
  <c r="AW72" i="22"/>
  <c r="AW88" i="22"/>
  <c r="H237" i="22"/>
  <c r="H435" i="23"/>
  <c r="AW82" i="22"/>
  <c r="AW83" i="22"/>
  <c r="AW85" i="22"/>
  <c r="F174" i="22"/>
  <c r="F183" i="22" s="1"/>
  <c r="AW109" i="22"/>
  <c r="AT60" i="18"/>
  <c r="AR53" i="18"/>
  <c r="AR58" i="18" s="1"/>
  <c r="AR60" i="18" s="1"/>
  <c r="AS53" i="18"/>
  <c r="AS58" i="18" s="1"/>
  <c r="AS60" i="18" s="1"/>
  <c r="AU50" i="18"/>
  <c r="AU53" i="18" s="1"/>
  <c r="AU58" i="18" s="1"/>
  <c r="AU60" i="18" s="1"/>
  <c r="AT52" i="18"/>
  <c r="AW99" i="22"/>
  <c r="H125" i="23"/>
  <c r="H127" i="23" s="1"/>
  <c r="AW106" i="22"/>
  <c r="AW108" i="22" s="1"/>
  <c r="AW111" i="22"/>
  <c r="AR96" i="18"/>
  <c r="AR99" i="18" s="1"/>
  <c r="AR104" i="18" s="1"/>
  <c r="AR105" i="18" s="1"/>
  <c r="AR108" i="18" s="1"/>
  <c r="AX106" i="22"/>
  <c r="AX108" i="22" s="1"/>
  <c r="G125" i="23"/>
  <c r="G127" i="23" s="1"/>
  <c r="AX84" i="22"/>
  <c r="AX85" i="22"/>
  <c r="AX72" i="22"/>
  <c r="AX82" i="22"/>
  <c r="AX88" i="22"/>
  <c r="AX83" i="22"/>
  <c r="AZ71" i="22"/>
  <c r="AY74" i="22"/>
  <c r="AX99" i="22"/>
  <c r="AX110" i="22"/>
  <c r="AX109" i="22"/>
  <c r="AX111" i="22"/>
  <c r="AZ98" i="22"/>
  <c r="AY101" i="22"/>
  <c r="G161" i="23"/>
  <c r="G155" i="23"/>
  <c r="G158" i="23"/>
  <c r="G157" i="23"/>
  <c r="G145" i="23"/>
  <c r="G156" i="23"/>
  <c r="I144" i="23"/>
  <c r="H147" i="23"/>
  <c r="G131" i="23"/>
  <c r="G129" i="23"/>
  <c r="G134" i="23"/>
  <c r="G130" i="23"/>
  <c r="G118" i="23"/>
  <c r="G128" i="23"/>
  <c r="G152" i="23"/>
  <c r="G153" i="23" s="1"/>
  <c r="AX79" i="22"/>
  <c r="AX81" i="22" s="1"/>
  <c r="H131" i="23"/>
  <c r="H118" i="23"/>
  <c r="H129" i="23"/>
  <c r="H130" i="23"/>
  <c r="H128" i="23"/>
  <c r="H134" i="23"/>
  <c r="J117" i="23"/>
  <c r="I120" i="23"/>
  <c r="AR75" i="18"/>
  <c r="AR81" i="18"/>
  <c r="F126" i="23"/>
  <c r="F127" i="23"/>
  <c r="AR145" i="18"/>
  <c r="AR156" i="18" s="1"/>
  <c r="AQ86" i="18"/>
  <c r="AQ63" i="18"/>
  <c r="F173" i="23"/>
  <c r="F172" i="23" s="1"/>
  <c r="AQ59" i="18"/>
  <c r="AI115" i="22"/>
  <c r="AI120" i="22" s="1"/>
  <c r="AI121" i="22" s="1"/>
  <c r="AI125" i="22"/>
  <c r="AS76" i="18"/>
  <c r="AQ74" i="18"/>
  <c r="AQ51" i="18"/>
  <c r="AQ123" i="18"/>
  <c r="AQ122" i="18" s="1"/>
  <c r="F92" i="18"/>
  <c r="G460" i="18"/>
  <c r="G471" i="18" s="1"/>
  <c r="F165" i="18"/>
  <c r="F174" i="18" s="1"/>
  <c r="F461" i="18"/>
  <c r="F466" i="18" s="1"/>
  <c r="F467" i="18" s="1"/>
  <c r="G63" i="22"/>
  <c r="G74" i="22" s="1"/>
  <c r="F64" i="22"/>
  <c r="F69" i="22" s="1"/>
  <c r="H117" i="22"/>
  <c r="G118" i="22"/>
  <c r="G116" i="22" s="1"/>
  <c r="H315" i="23"/>
  <c r="G316" i="23"/>
  <c r="G314" i="23" s="1"/>
  <c r="G325" i="23" s="1"/>
  <c r="H109" i="18"/>
  <c r="G89" i="22"/>
  <c r="H89" i="22" s="1"/>
  <c r="H100" i="22" s="1"/>
  <c r="G66" i="23"/>
  <c r="G65" i="23" s="1"/>
  <c r="I66" i="22"/>
  <c r="F281" i="22"/>
  <c r="H279" i="22"/>
  <c r="G282" i="22"/>
  <c r="F502" i="23"/>
  <c r="F514" i="23"/>
  <c r="F517" i="23" s="1"/>
  <c r="H501" i="23"/>
  <c r="G504" i="23"/>
  <c r="F305" i="22"/>
  <c r="H303" i="22"/>
  <c r="G306" i="22"/>
  <c r="F71" i="23"/>
  <c r="F72" i="23" s="1"/>
  <c r="F65" i="23"/>
  <c r="F98" i="23"/>
  <c r="F99" i="23" s="1"/>
  <c r="F92" i="23"/>
  <c r="AW46" i="22"/>
  <c r="AW52" i="22"/>
  <c r="AW54" i="22" s="1"/>
  <c r="AW19" i="22"/>
  <c r="AW25" i="22"/>
  <c r="G93" i="23"/>
  <c r="G372" i="23"/>
  <c r="G381" i="23" s="1"/>
  <c r="G272" i="23"/>
  <c r="G277" i="23" s="1"/>
  <c r="G278" i="23" s="1"/>
  <c r="H271" i="23"/>
  <c r="H282" i="23" s="1"/>
  <c r="G529" i="23"/>
  <c r="G530" i="23" s="1"/>
  <c r="H524" i="23"/>
  <c r="H527" i="23" s="1"/>
  <c r="BH242" i="3"/>
  <c r="BH241" i="3"/>
  <c r="G198" i="23"/>
  <c r="G197" i="23" s="1"/>
  <c r="G209" i="23" s="1"/>
  <c r="AF61" i="1"/>
  <c r="AD58" i="1"/>
  <c r="AD61" i="1" s="1"/>
  <c r="H171" i="23"/>
  <c r="I171" i="23" s="1"/>
  <c r="AD85" i="1"/>
  <c r="AD88" i="1" s="1"/>
  <c r="H245" i="23"/>
  <c r="H256" i="23" s="1"/>
  <c r="AS4" i="18"/>
  <c r="AT4" i="18" s="1"/>
  <c r="AS27" i="18"/>
  <c r="AR30" i="18"/>
  <c r="AD115" i="1"/>
  <c r="AD118" i="1" s="1"/>
  <c r="AR12" i="18"/>
  <c r="AR6" i="18"/>
  <c r="AQ12" i="18"/>
  <c r="AQ6" i="18"/>
  <c r="AF119" i="1"/>
  <c r="I90" i="23"/>
  <c r="H93" i="23"/>
  <c r="AY44" i="22"/>
  <c r="AX47" i="22"/>
  <c r="AY17" i="22"/>
  <c r="AX20" i="22"/>
  <c r="AQ35" i="18"/>
  <c r="AQ29" i="18"/>
  <c r="I63" i="23"/>
  <c r="H66" i="23"/>
  <c r="F203" i="23"/>
  <c r="F204" i="23" s="1"/>
  <c r="F207" i="23" s="1"/>
  <c r="G174" i="22"/>
  <c r="G183" i="22" s="1"/>
  <c r="H165" i="22"/>
  <c r="F179" i="23"/>
  <c r="F180" i="23" s="1"/>
  <c r="F183" i="23" s="1"/>
  <c r="AD145" i="1"/>
  <c r="AD148" i="1" s="1"/>
  <c r="AF148" i="1"/>
  <c r="F196" i="23"/>
  <c r="G179" i="23"/>
  <c r="G180" i="23" s="1"/>
  <c r="G183" i="23" s="1"/>
  <c r="BH240" i="3"/>
  <c r="BH243" i="3"/>
  <c r="BI224" i="3"/>
  <c r="BI225" i="3"/>
  <c r="BI220" i="3"/>
  <c r="BI221" i="3"/>
  <c r="BI222" i="3"/>
  <c r="BI216" i="3"/>
  <c r="BI217" i="3"/>
  <c r="BI223" i="3"/>
  <c r="BI219" i="3"/>
  <c r="BI218" i="3"/>
  <c r="BJ225" i="3"/>
  <c r="AS206" i="1"/>
  <c r="AU206" i="1"/>
  <c r="F321" i="23"/>
  <c r="F322" i="23" s="1"/>
  <c r="F323" i="23" s="1"/>
  <c r="AF88" i="1"/>
  <c r="AW158" i="22"/>
  <c r="AW161" i="22" s="1"/>
  <c r="AF89" i="1"/>
  <c r="H372" i="23"/>
  <c r="H381" i="23" s="1"/>
  <c r="G50" i="24"/>
  <c r="G185" i="23"/>
  <c r="AH15" i="20"/>
  <c r="AI14" i="20"/>
  <c r="R15" i="20"/>
  <c r="S14" i="20"/>
  <c r="AK114" i="22"/>
  <c r="AJ125" i="22"/>
  <c r="AJ115" i="22"/>
  <c r="AJ120" i="22" s="1"/>
  <c r="AJ121" i="22" s="1"/>
  <c r="G457" i="23"/>
  <c r="G458" i="23" s="1"/>
  <c r="H452" i="23"/>
  <c r="H455" i="23" s="1"/>
  <c r="H198" i="23"/>
  <c r="I195" i="23"/>
  <c r="G205" i="18"/>
  <c r="H199" i="18"/>
  <c r="H202" i="18" s="1"/>
  <c r="H156" i="18"/>
  <c r="H44" i="24"/>
  <c r="H43" i="24"/>
  <c r="G214" i="22"/>
  <c r="H208" i="22"/>
  <c r="H211" i="22" s="1"/>
  <c r="G411" i="23"/>
  <c r="G412" i="23" s="1"/>
  <c r="H406" i="23"/>
  <c r="H409" i="23" s="1"/>
  <c r="J2" i="24"/>
  <c r="I1" i="24"/>
  <c r="I47" i="24"/>
  <c r="AR170" i="18"/>
  <c r="AR171" i="18" s="1"/>
  <c r="AS165" i="18"/>
  <c r="AS168" i="18" s="1"/>
  <c r="G259" i="22"/>
  <c r="G260" i="22" s="1"/>
  <c r="H254" i="22"/>
  <c r="H257" i="22" s="1"/>
  <c r="G164" i="18"/>
  <c r="G165" i="18" s="1"/>
  <c r="G174" i="18" s="1"/>
  <c r="H58" i="18"/>
  <c r="H84" i="18"/>
  <c r="H463" i="18"/>
  <c r="AS148" i="18"/>
  <c r="F66" i="18"/>
  <c r="H32" i="18"/>
  <c r="F123" i="22"/>
  <c r="T34" i="20"/>
  <c r="AB33" i="20"/>
  <c r="AJ32" i="20"/>
  <c r="AR31" i="20"/>
  <c r="H159" i="18"/>
  <c r="H161" i="18" s="1"/>
  <c r="H163" i="18"/>
  <c r="I2" i="18"/>
  <c r="G92" i="18"/>
  <c r="H81" i="18"/>
  <c r="G55" i="18"/>
  <c r="G66" i="18" s="1"/>
  <c r="AS120" i="18"/>
  <c r="AS123" i="18" s="1"/>
  <c r="H9" i="18"/>
  <c r="AQ104" i="18"/>
  <c r="AQ105" i="18" s="1"/>
  <c r="AQ108" i="18" s="1"/>
  <c r="AQ98" i="18"/>
  <c r="G200" i="1"/>
  <c r="BG244" i="3"/>
  <c r="BG245" i="3" s="1"/>
  <c r="BL226" i="3"/>
  <c r="BL227" i="3"/>
  <c r="BL228" i="3"/>
  <c r="BL229" i="3"/>
  <c r="AI33" i="3"/>
  <c r="S50" i="3" l="1"/>
  <c r="E231" i="1"/>
  <c r="AO117" i="22"/>
  <c r="L172" i="22"/>
  <c r="L168" i="22"/>
  <c r="L170" i="22" s="1"/>
  <c r="F153" i="23"/>
  <c r="F159" i="23" s="1"/>
  <c r="L92" i="22"/>
  <c r="E257" i="1"/>
  <c r="G220" i="23"/>
  <c r="G225" i="23" s="1"/>
  <c r="H219" i="23"/>
  <c r="H230" i="23" s="1"/>
  <c r="BJ19" i="3"/>
  <c r="BD189" i="3" s="1"/>
  <c r="U15" i="3"/>
  <c r="T18" i="3"/>
  <c r="BK213" i="3"/>
  <c r="BL212" i="3"/>
  <c r="BK215" i="3"/>
  <c r="AW81" i="22"/>
  <c r="AW86" i="22" s="1"/>
  <c r="AQ82" i="18"/>
  <c r="AQ84" i="18" s="1"/>
  <c r="G478" i="23"/>
  <c r="J295" i="23"/>
  <c r="J366" i="23"/>
  <c r="J368" i="23" s="1"/>
  <c r="J248" i="23"/>
  <c r="J274" i="23"/>
  <c r="K2" i="23"/>
  <c r="J222" i="23"/>
  <c r="J370" i="23"/>
  <c r="H234" i="22"/>
  <c r="I371" i="23"/>
  <c r="J292" i="23"/>
  <c r="I237" i="22"/>
  <c r="I435" i="23"/>
  <c r="AR98" i="18"/>
  <c r="AR110" i="18" s="1"/>
  <c r="F70" i="22"/>
  <c r="AS96" i="18"/>
  <c r="AS99" i="18" s="1"/>
  <c r="G64" i="22"/>
  <c r="G69" i="22" s="1"/>
  <c r="G70" i="22" s="1"/>
  <c r="AT63" i="18"/>
  <c r="H126" i="23"/>
  <c r="H132" i="23" s="1"/>
  <c r="AU52" i="18"/>
  <c r="AV50" i="18"/>
  <c r="AV53" i="18" s="1"/>
  <c r="AV58" i="18" s="1"/>
  <c r="AV60" i="18" s="1"/>
  <c r="AW107" i="22"/>
  <c r="AS59" i="18"/>
  <c r="AU59" i="18"/>
  <c r="AR52" i="18"/>
  <c r="G154" i="23"/>
  <c r="G159" i="23" s="1"/>
  <c r="AR59" i="18"/>
  <c r="AS52" i="18"/>
  <c r="AX107" i="22"/>
  <c r="G126" i="23"/>
  <c r="G132" i="23" s="1"/>
  <c r="F132" i="23"/>
  <c r="AS145" i="18"/>
  <c r="AS156" i="18" s="1"/>
  <c r="AX80" i="22"/>
  <c r="AX86" i="22" s="1"/>
  <c r="H63" i="22"/>
  <c r="H74" i="22" s="1"/>
  <c r="H146" i="23"/>
  <c r="H152" i="23"/>
  <c r="J144" i="23"/>
  <c r="I147" i="23"/>
  <c r="AY73" i="22"/>
  <c r="AY79" i="22"/>
  <c r="BA71" i="22"/>
  <c r="AZ74" i="22"/>
  <c r="I119" i="23"/>
  <c r="I125" i="23"/>
  <c r="K117" i="23"/>
  <c r="J120" i="23"/>
  <c r="AY100" i="22"/>
  <c r="AY106" i="22"/>
  <c r="BA98" i="22"/>
  <c r="AZ101" i="22"/>
  <c r="AR83" i="18"/>
  <c r="AR82" i="18"/>
  <c r="AR74" i="18"/>
  <c r="AR86" i="18"/>
  <c r="AS75" i="18"/>
  <c r="AS81" i="18"/>
  <c r="AW27" i="22"/>
  <c r="AW26" i="22"/>
  <c r="G172" i="23"/>
  <c r="F185" i="23"/>
  <c r="AQ61" i="18"/>
  <c r="AQ128" i="18"/>
  <c r="AQ129" i="18" s="1"/>
  <c r="AQ132" i="18" s="1"/>
  <c r="G461" i="18"/>
  <c r="G466" i="18" s="1"/>
  <c r="G467" i="18" s="1"/>
  <c r="H460" i="18"/>
  <c r="H461" i="18" s="1"/>
  <c r="H466" i="18" s="1"/>
  <c r="H467" i="18" s="1"/>
  <c r="AT76" i="18"/>
  <c r="H316" i="23"/>
  <c r="I315" i="23"/>
  <c r="I117" i="22"/>
  <c r="H118" i="22"/>
  <c r="G71" i="23"/>
  <c r="G100" i="22"/>
  <c r="AQ13" i="18"/>
  <c r="AQ36" i="18"/>
  <c r="AR13" i="18"/>
  <c r="F100" i="23"/>
  <c r="F102" i="23"/>
  <c r="F103" i="23"/>
  <c r="F104" i="23"/>
  <c r="F73" i="23"/>
  <c r="G75" i="23"/>
  <c r="G76" i="23"/>
  <c r="G77" i="23"/>
  <c r="F64" i="23"/>
  <c r="F75" i="23"/>
  <c r="F77" i="23"/>
  <c r="F76" i="23"/>
  <c r="AW56" i="22"/>
  <c r="AW57" i="22"/>
  <c r="AW58" i="22"/>
  <c r="AW29" i="22"/>
  <c r="AW30" i="22"/>
  <c r="AW31" i="22"/>
  <c r="AQ40" i="18"/>
  <c r="AQ37" i="18"/>
  <c r="AR14" i="18"/>
  <c r="J66" i="22"/>
  <c r="H480" i="23"/>
  <c r="H479" i="23" s="1"/>
  <c r="H478" i="23" s="1"/>
  <c r="F512" i="23"/>
  <c r="F519" i="23" s="1"/>
  <c r="F520" i="23" s="1"/>
  <c r="I501" i="23"/>
  <c r="H504" i="23"/>
  <c r="G305" i="22"/>
  <c r="G316" i="22" s="1"/>
  <c r="G319" i="22" s="1"/>
  <c r="G321" i="22" s="1"/>
  <c r="F490" i="23"/>
  <c r="F493" i="23" s="1"/>
  <c r="F478" i="23"/>
  <c r="H306" i="22"/>
  <c r="I303" i="22"/>
  <c r="G281" i="22"/>
  <c r="G292" i="22" s="1"/>
  <c r="G295" i="22" s="1"/>
  <c r="G297" i="22" s="1"/>
  <c r="F316" i="22"/>
  <c r="F319" i="22" s="1"/>
  <c r="F314" i="22"/>
  <c r="F304" i="22"/>
  <c r="I279" i="22"/>
  <c r="H282" i="22"/>
  <c r="G490" i="23"/>
  <c r="G493" i="23" s="1"/>
  <c r="F280" i="22"/>
  <c r="F292" i="22"/>
  <c r="F295" i="22" s="1"/>
  <c r="G503" i="23"/>
  <c r="G514" i="23" s="1"/>
  <c r="G517" i="23" s="1"/>
  <c r="G519" i="23" s="1"/>
  <c r="I480" i="23"/>
  <c r="F260" i="18"/>
  <c r="G123" i="22"/>
  <c r="G124" i="22" s="1"/>
  <c r="G125" i="22" s="1"/>
  <c r="AW28" i="22"/>
  <c r="G74" i="23"/>
  <c r="F74" i="23"/>
  <c r="AW61" i="22"/>
  <c r="AW55" i="22"/>
  <c r="F101" i="23"/>
  <c r="F107" i="23"/>
  <c r="G98" i="23"/>
  <c r="G99" i="23" s="1"/>
  <c r="G92" i="23"/>
  <c r="H98" i="23"/>
  <c r="H99" i="23" s="1"/>
  <c r="H92" i="23"/>
  <c r="H71" i="23"/>
  <c r="H72" i="23" s="1"/>
  <c r="H65" i="23"/>
  <c r="AX46" i="22"/>
  <c r="AX52" i="22"/>
  <c r="AX54" i="22" s="1"/>
  <c r="AX19" i="22"/>
  <c r="AX25" i="22"/>
  <c r="G203" i="23"/>
  <c r="G204" i="23" s="1"/>
  <c r="G207" i="23" s="1"/>
  <c r="G196" i="23"/>
  <c r="I271" i="23"/>
  <c r="I272" i="23" s="1"/>
  <c r="I277" i="23" s="1"/>
  <c r="I278" i="23" s="1"/>
  <c r="H272" i="23"/>
  <c r="H277" i="23" s="1"/>
  <c r="H278" i="23" s="1"/>
  <c r="G321" i="23"/>
  <c r="G322" i="23" s="1"/>
  <c r="G323" i="23" s="1"/>
  <c r="H529" i="23"/>
  <c r="H530" i="23" s="1"/>
  <c r="I524" i="23"/>
  <c r="AD62" i="1"/>
  <c r="BH244" i="3"/>
  <c r="BH245" i="3" s="1"/>
  <c r="AD89" i="1"/>
  <c r="H174" i="23"/>
  <c r="AD119" i="1"/>
  <c r="AS7" i="18"/>
  <c r="AS12" i="18" s="1"/>
  <c r="H174" i="22"/>
  <c r="H183" i="22" s="1"/>
  <c r="F91" i="23"/>
  <c r="J63" i="23"/>
  <c r="I66" i="23"/>
  <c r="AQ28" i="18"/>
  <c r="AR29" i="18"/>
  <c r="AR35" i="18"/>
  <c r="G64" i="23"/>
  <c r="I93" i="23"/>
  <c r="J90" i="23"/>
  <c r="AT27" i="18"/>
  <c r="AS30" i="18"/>
  <c r="AY20" i="22"/>
  <c r="AZ17" i="22"/>
  <c r="AW45" i="22"/>
  <c r="AT7" i="18"/>
  <c r="AU4" i="18"/>
  <c r="AQ5" i="18"/>
  <c r="AW18" i="22"/>
  <c r="AQ14" i="18"/>
  <c r="AR5" i="18"/>
  <c r="AZ44" i="22"/>
  <c r="AY47" i="22"/>
  <c r="AD149" i="1"/>
  <c r="BI242" i="3"/>
  <c r="BI241" i="3"/>
  <c r="BI240" i="3"/>
  <c r="BI243" i="3"/>
  <c r="BJ224" i="3"/>
  <c r="BJ218" i="3"/>
  <c r="BJ217" i="3"/>
  <c r="BJ223" i="3"/>
  <c r="BJ222" i="3"/>
  <c r="BJ221" i="3"/>
  <c r="BJ220" i="3"/>
  <c r="BJ219" i="3"/>
  <c r="BJ216" i="3"/>
  <c r="AS219" i="1"/>
  <c r="AT206" i="1"/>
  <c r="I174" i="23"/>
  <c r="J171" i="23"/>
  <c r="I199" i="18"/>
  <c r="H205" i="18"/>
  <c r="AK125" i="22"/>
  <c r="AL114" i="22"/>
  <c r="AK115" i="22"/>
  <c r="AK120" i="22" s="1"/>
  <c r="AK121" i="22" s="1"/>
  <c r="J1" i="24"/>
  <c r="K2" i="24"/>
  <c r="J47" i="24"/>
  <c r="H259" i="22"/>
  <c r="H260" i="22" s="1"/>
  <c r="I254" i="22"/>
  <c r="H411" i="23"/>
  <c r="H412" i="23" s="1"/>
  <c r="I406" i="23"/>
  <c r="AP117" i="22"/>
  <c r="M172" i="22"/>
  <c r="M168" i="22"/>
  <c r="M170" i="22" s="1"/>
  <c r="M92" i="22"/>
  <c r="N2" i="22"/>
  <c r="AY158" i="22"/>
  <c r="AY161" i="22" s="1"/>
  <c r="AS170" i="18"/>
  <c r="AS171" i="18" s="1"/>
  <c r="AT165" i="18"/>
  <c r="H50" i="24"/>
  <c r="I198" i="23"/>
  <c r="J195" i="23"/>
  <c r="H197" i="23"/>
  <c r="H203" i="23"/>
  <c r="H204" i="23" s="1"/>
  <c r="H207" i="23" s="1"/>
  <c r="H214" i="22"/>
  <c r="I208" i="22"/>
  <c r="H457" i="23"/>
  <c r="H458" i="23" s="1"/>
  <c r="I452" i="23"/>
  <c r="S15" i="20"/>
  <c r="R16" i="20"/>
  <c r="AH16" i="20"/>
  <c r="AI15" i="20"/>
  <c r="AT148" i="18"/>
  <c r="I463" i="18"/>
  <c r="I84" i="18"/>
  <c r="I58" i="18"/>
  <c r="F124" i="22"/>
  <c r="F125" i="22" s="1"/>
  <c r="T35" i="20"/>
  <c r="AB34" i="20"/>
  <c r="AJ33" i="20"/>
  <c r="AR32" i="20"/>
  <c r="I159" i="18"/>
  <c r="I161" i="18" s="1"/>
  <c r="I163" i="18"/>
  <c r="H164" i="18"/>
  <c r="H165" i="18" s="1"/>
  <c r="J2" i="18"/>
  <c r="H92" i="18"/>
  <c r="I81" i="18"/>
  <c r="H55" i="18"/>
  <c r="H66" i="18" s="1"/>
  <c r="AR122" i="18"/>
  <c r="AR128" i="18"/>
  <c r="AT120" i="18"/>
  <c r="AT123" i="18" s="1"/>
  <c r="AQ134" i="18"/>
  <c r="AQ121" i="18"/>
  <c r="AQ110" i="18"/>
  <c r="AQ97" i="18"/>
  <c r="BO227" i="3"/>
  <c r="BO229" i="3"/>
  <c r="BO226" i="3"/>
  <c r="BO228" i="3"/>
  <c r="AI41" i="3"/>
  <c r="AI37" i="3"/>
  <c r="T50" i="3" l="1"/>
  <c r="L173" i="22"/>
  <c r="H220" i="23"/>
  <c r="AR129" i="18"/>
  <c r="AR132" i="18" s="1"/>
  <c r="AR97" i="18"/>
  <c r="I219" i="23"/>
  <c r="I220" i="23" s="1"/>
  <c r="AT96" i="18"/>
  <c r="AT99" i="18" s="1"/>
  <c r="BL213" i="3"/>
  <c r="BM212" i="3"/>
  <c r="BL215" i="3"/>
  <c r="BK19" i="3"/>
  <c r="BD182" i="3" s="1"/>
  <c r="V15" i="3"/>
  <c r="U18" i="3"/>
  <c r="AX158" i="22"/>
  <c r="AX161" i="22" s="1"/>
  <c r="G322" i="22"/>
  <c r="G323" i="22"/>
  <c r="G299" i="22"/>
  <c r="G298" i="22"/>
  <c r="G520" i="23"/>
  <c r="G521" i="23"/>
  <c r="K292" i="23"/>
  <c r="H245" i="22"/>
  <c r="K295" i="23"/>
  <c r="K248" i="23"/>
  <c r="K366" i="23"/>
  <c r="K368" i="23" s="1"/>
  <c r="K370" i="23"/>
  <c r="K222" i="23"/>
  <c r="L2" i="23"/>
  <c r="K274" i="23"/>
  <c r="J371" i="23"/>
  <c r="J237" i="22"/>
  <c r="J435" i="23"/>
  <c r="G226" i="23"/>
  <c r="AU63" i="18"/>
  <c r="AU51" i="18"/>
  <c r="H64" i="22"/>
  <c r="H69" i="22" s="1"/>
  <c r="H70" i="22" s="1"/>
  <c r="I63" i="22"/>
  <c r="I74" i="22" s="1"/>
  <c r="AT61" i="18"/>
  <c r="H123" i="22"/>
  <c r="H124" i="22" s="1"/>
  <c r="H125" i="22" s="1"/>
  <c r="H116" i="22"/>
  <c r="H321" i="23"/>
  <c r="H322" i="23" s="1"/>
  <c r="H323" i="23" s="1"/>
  <c r="H314" i="23"/>
  <c r="H325" i="23" s="1"/>
  <c r="AV59" i="18"/>
  <c r="AW50" i="18"/>
  <c r="AV52" i="18"/>
  <c r="AR63" i="18"/>
  <c r="AR51" i="18"/>
  <c r="AT51" i="18"/>
  <c r="AS63" i="18"/>
  <c r="AS51" i="18"/>
  <c r="H471" i="18"/>
  <c r="I460" i="18"/>
  <c r="I461" i="18" s="1"/>
  <c r="I466" i="18" s="1"/>
  <c r="I467" i="18" s="1"/>
  <c r="J119" i="23"/>
  <c r="J125" i="23"/>
  <c r="L117" i="23"/>
  <c r="K120" i="23"/>
  <c r="I127" i="23"/>
  <c r="I126" i="23"/>
  <c r="I118" i="23"/>
  <c r="I131" i="23"/>
  <c r="I130" i="23"/>
  <c r="I129" i="23"/>
  <c r="I134" i="23"/>
  <c r="I128" i="23"/>
  <c r="AZ73" i="22"/>
  <c r="AZ79" i="22"/>
  <c r="BB71" i="22"/>
  <c r="BA74" i="22"/>
  <c r="AY80" i="22"/>
  <c r="AY81" i="22"/>
  <c r="AZ100" i="22"/>
  <c r="AZ106" i="22"/>
  <c r="AY84" i="22"/>
  <c r="AY85" i="22"/>
  <c r="AY82" i="22"/>
  <c r="AY72" i="22"/>
  <c r="AY88" i="22"/>
  <c r="AY83" i="22"/>
  <c r="BB98" i="22"/>
  <c r="BA101" i="22"/>
  <c r="I146" i="23"/>
  <c r="I152" i="23"/>
  <c r="AY107" i="22"/>
  <c r="AY108" i="22"/>
  <c r="K144" i="23"/>
  <c r="J147" i="23"/>
  <c r="AY110" i="22"/>
  <c r="AY109" i="22"/>
  <c r="AY99" i="22"/>
  <c r="AY111" i="22"/>
  <c r="H154" i="23"/>
  <c r="H153" i="23"/>
  <c r="H161" i="23"/>
  <c r="H155" i="23"/>
  <c r="H158" i="23"/>
  <c r="H145" i="23"/>
  <c r="H156" i="23"/>
  <c r="H157" i="23"/>
  <c r="AR84" i="18"/>
  <c r="G73" i="23"/>
  <c r="G72" i="23"/>
  <c r="AX27" i="22"/>
  <c r="AX26" i="22"/>
  <c r="AS74" i="18"/>
  <c r="AS86" i="18"/>
  <c r="AT75" i="18"/>
  <c r="AT81" i="18"/>
  <c r="AS83" i="18"/>
  <c r="AS82" i="18"/>
  <c r="H179" i="23"/>
  <c r="H180" i="23" s="1"/>
  <c r="H183" i="23" s="1"/>
  <c r="AU76" i="18"/>
  <c r="I118" i="22"/>
  <c r="I116" i="22" s="1"/>
  <c r="J117" i="22"/>
  <c r="J315" i="23"/>
  <c r="I316" i="23"/>
  <c r="AS13" i="18"/>
  <c r="AR15" i="18"/>
  <c r="AR36" i="18"/>
  <c r="F78" i="23"/>
  <c r="AW59" i="22"/>
  <c r="AQ15" i="18"/>
  <c r="AQ38" i="18"/>
  <c r="F105" i="23"/>
  <c r="H100" i="23"/>
  <c r="AW32" i="22"/>
  <c r="G100" i="23"/>
  <c r="H73" i="23"/>
  <c r="H102" i="23"/>
  <c r="H103" i="23"/>
  <c r="H104" i="23"/>
  <c r="G91" i="23"/>
  <c r="G102" i="23"/>
  <c r="G103" i="23"/>
  <c r="G104" i="23"/>
  <c r="J219" i="23"/>
  <c r="J220" i="23" s="1"/>
  <c r="H75" i="23"/>
  <c r="H76" i="23"/>
  <c r="H77" i="23"/>
  <c r="AX57" i="22"/>
  <c r="AX56" i="22"/>
  <c r="AX58" i="22"/>
  <c r="AX29" i="22"/>
  <c r="AX30" i="22"/>
  <c r="AX31" i="22"/>
  <c r="AR40" i="18"/>
  <c r="K66" i="22"/>
  <c r="I282" i="23"/>
  <c r="I230" i="23"/>
  <c r="H173" i="23"/>
  <c r="H172" i="23" s="1"/>
  <c r="J271" i="23"/>
  <c r="J282" i="23" s="1"/>
  <c r="F521" i="23"/>
  <c r="F321" i="22"/>
  <c r="F323" i="22" s="1"/>
  <c r="G280" i="22"/>
  <c r="H490" i="23"/>
  <c r="H493" i="23" s="1"/>
  <c r="I306" i="22"/>
  <c r="I311" i="22" s="1"/>
  <c r="I312" i="22" s="1"/>
  <c r="J303" i="22"/>
  <c r="H305" i="22"/>
  <c r="H316" i="22" s="1"/>
  <c r="H319" i="22" s="1"/>
  <c r="H321" i="22" s="1"/>
  <c r="J480" i="23"/>
  <c r="H281" i="22"/>
  <c r="H292" i="22" s="1"/>
  <c r="H295" i="22" s="1"/>
  <c r="H297" i="22" s="1"/>
  <c r="I479" i="23"/>
  <c r="J279" i="22"/>
  <c r="I282" i="22"/>
  <c r="G304" i="22"/>
  <c r="G502" i="23"/>
  <c r="H503" i="23"/>
  <c r="H514" i="23" s="1"/>
  <c r="H517" i="23" s="1"/>
  <c r="H519" i="23" s="1"/>
  <c r="J501" i="23"/>
  <c r="I504" i="23"/>
  <c r="AX28" i="22"/>
  <c r="H74" i="23"/>
  <c r="AX61" i="22"/>
  <c r="AX55" i="22"/>
  <c r="H101" i="23"/>
  <c r="H107" i="23"/>
  <c r="G101" i="23"/>
  <c r="G107" i="23"/>
  <c r="I92" i="23"/>
  <c r="I98" i="23"/>
  <c r="I99" i="23" s="1"/>
  <c r="I65" i="23"/>
  <c r="I71" i="23"/>
  <c r="I72" i="23" s="1"/>
  <c r="AY46" i="22"/>
  <c r="AY52" i="22"/>
  <c r="AY54" i="22" s="1"/>
  <c r="AY19" i="22"/>
  <c r="AY25" i="22"/>
  <c r="H225" i="23"/>
  <c r="H226" i="23" s="1"/>
  <c r="I225" i="23"/>
  <c r="AS6" i="18"/>
  <c r="H91" i="23"/>
  <c r="AX45" i="22"/>
  <c r="J66" i="23"/>
  <c r="K63" i="23"/>
  <c r="J93" i="23"/>
  <c r="K90" i="23"/>
  <c r="BA17" i="22"/>
  <c r="AZ20" i="22"/>
  <c r="AS35" i="18"/>
  <c r="AS29" i="18"/>
  <c r="AX18" i="22"/>
  <c r="AU27" i="18"/>
  <c r="AT30" i="18"/>
  <c r="H64" i="23"/>
  <c r="BA44" i="22"/>
  <c r="AZ47" i="22"/>
  <c r="AU7" i="18"/>
  <c r="AV4" i="18"/>
  <c r="AS14" i="18"/>
  <c r="AR37" i="18"/>
  <c r="AT12" i="18"/>
  <c r="AT6" i="18"/>
  <c r="AR28" i="18"/>
  <c r="BK225" i="3"/>
  <c r="BK224" i="3"/>
  <c r="BI244" i="3"/>
  <c r="BI245" i="3" s="1"/>
  <c r="BJ241" i="3"/>
  <c r="BJ242" i="3"/>
  <c r="BJ243" i="3"/>
  <c r="BJ240" i="3"/>
  <c r="BK223" i="3"/>
  <c r="BK216" i="3"/>
  <c r="BK218" i="3"/>
  <c r="BK219" i="3"/>
  <c r="BK220" i="3"/>
  <c r="BK222" i="3"/>
  <c r="BK221" i="3"/>
  <c r="M173" i="22"/>
  <c r="AQ117" i="22"/>
  <c r="N168" i="22"/>
  <c r="N170" i="22" s="1"/>
  <c r="N92" i="22"/>
  <c r="N172" i="22"/>
  <c r="O2" i="22"/>
  <c r="J174" i="23"/>
  <c r="K171" i="23"/>
  <c r="I173" i="23"/>
  <c r="I179" i="23"/>
  <c r="I180" i="23" s="1"/>
  <c r="I183" i="23" s="1"/>
  <c r="AZ158" i="22"/>
  <c r="AZ161" i="22" s="1"/>
  <c r="J198" i="23"/>
  <c r="K195" i="23"/>
  <c r="I197" i="23"/>
  <c r="I203" i="23"/>
  <c r="I204" i="23" s="1"/>
  <c r="I207" i="23" s="1"/>
  <c r="K47" i="24"/>
  <c r="K1" i="24"/>
  <c r="L2" i="24"/>
  <c r="AH17" i="20"/>
  <c r="AI16" i="20"/>
  <c r="H209" i="23"/>
  <c r="H196" i="23"/>
  <c r="R17" i="20"/>
  <c r="S16" i="20"/>
  <c r="AL115" i="22"/>
  <c r="AL120" i="22" s="1"/>
  <c r="AL121" i="22" s="1"/>
  <c r="AL125" i="22"/>
  <c r="AM114" i="22"/>
  <c r="J463" i="18"/>
  <c r="J58" i="18"/>
  <c r="J84" i="18"/>
  <c r="AU148" i="18"/>
  <c r="AJ34" i="20"/>
  <c r="AR33" i="20"/>
  <c r="T36" i="20"/>
  <c r="AB35" i="20"/>
  <c r="J159" i="18"/>
  <c r="J161" i="18" s="1"/>
  <c r="J163" i="18"/>
  <c r="H174" i="18"/>
  <c r="I164" i="18"/>
  <c r="K2" i="18"/>
  <c r="I92" i="18"/>
  <c r="AS122" i="18"/>
  <c r="AS128" i="18"/>
  <c r="AU120" i="18"/>
  <c r="AU123" i="18" s="1"/>
  <c r="AS104" i="18"/>
  <c r="AS105" i="18" s="1"/>
  <c r="AS108" i="18" s="1"/>
  <c r="AS98" i="18"/>
  <c r="AU96" i="18"/>
  <c r="AU99" i="18" s="1"/>
  <c r="AR121" i="18"/>
  <c r="AR134" i="18"/>
  <c r="BP226" i="3"/>
  <c r="BP227" i="3"/>
  <c r="BP228" i="3"/>
  <c r="BP229" i="3"/>
  <c r="U50" i="3" l="1"/>
  <c r="AS129" i="18"/>
  <c r="AS132" i="18" s="1"/>
  <c r="AL18" i="3"/>
  <c r="W15" i="3"/>
  <c r="V18" i="3"/>
  <c r="BM213" i="3"/>
  <c r="BN212" i="3"/>
  <c r="BM215" i="3"/>
  <c r="K371" i="23"/>
  <c r="H323" i="22"/>
  <c r="H322" i="22"/>
  <c r="H299" i="22"/>
  <c r="H298" i="22"/>
  <c r="H521" i="23"/>
  <c r="H520" i="23"/>
  <c r="I487" i="23"/>
  <c r="I478" i="23"/>
  <c r="L292" i="23"/>
  <c r="L295" i="23"/>
  <c r="L370" i="23"/>
  <c r="L248" i="23"/>
  <c r="L274" i="23"/>
  <c r="M2" i="23"/>
  <c r="L222" i="23"/>
  <c r="L366" i="23"/>
  <c r="L368" i="23" s="1"/>
  <c r="AU61" i="18"/>
  <c r="K237" i="22"/>
  <c r="K435" i="23"/>
  <c r="BA158" i="22"/>
  <c r="BA161" i="22" s="1"/>
  <c r="I226" i="23"/>
  <c r="I64" i="22"/>
  <c r="I69" i="22" s="1"/>
  <c r="J63" i="22"/>
  <c r="J74" i="22" s="1"/>
  <c r="AV51" i="18"/>
  <c r="AV63" i="18"/>
  <c r="AR61" i="18"/>
  <c r="I471" i="18"/>
  <c r="J460" i="18"/>
  <c r="J461" i="18" s="1"/>
  <c r="J466" i="18" s="1"/>
  <c r="J467" i="18" s="1"/>
  <c r="I321" i="23"/>
  <c r="I322" i="23" s="1"/>
  <c r="I323" i="23" s="1"/>
  <c r="I314" i="23"/>
  <c r="I325" i="23" s="1"/>
  <c r="I123" i="22"/>
  <c r="I124" i="22" s="1"/>
  <c r="I125" i="22" s="1"/>
  <c r="AX50" i="18"/>
  <c r="AW53" i="18"/>
  <c r="AS61" i="18"/>
  <c r="AY86" i="22"/>
  <c r="I132" i="23"/>
  <c r="AZ107" i="22"/>
  <c r="AZ108" i="22"/>
  <c r="AZ110" i="22"/>
  <c r="AZ111" i="22"/>
  <c r="AZ109" i="22"/>
  <c r="AZ99" i="22"/>
  <c r="G78" i="23"/>
  <c r="H159" i="23"/>
  <c r="I154" i="23"/>
  <c r="I153" i="23"/>
  <c r="I155" i="23"/>
  <c r="I157" i="23"/>
  <c r="I156" i="23"/>
  <c r="I158" i="23"/>
  <c r="I145" i="23"/>
  <c r="I161" i="23"/>
  <c r="BA100" i="22"/>
  <c r="BA106" i="22"/>
  <c r="BA73" i="22"/>
  <c r="BA79" i="22"/>
  <c r="BC98" i="22"/>
  <c r="BB101" i="22"/>
  <c r="BC71" i="22"/>
  <c r="BB74" i="22"/>
  <c r="AZ80" i="22"/>
  <c r="AZ81" i="22"/>
  <c r="AZ83" i="22"/>
  <c r="AZ82" i="22"/>
  <c r="AZ84" i="22"/>
  <c r="AZ88" i="22"/>
  <c r="AZ85" i="22"/>
  <c r="AZ72" i="22"/>
  <c r="K119" i="23"/>
  <c r="K125" i="23"/>
  <c r="M117" i="23"/>
  <c r="L120" i="23"/>
  <c r="J146" i="23"/>
  <c r="J152" i="23"/>
  <c r="J126" i="23"/>
  <c r="J127" i="23"/>
  <c r="K147" i="23"/>
  <c r="L144" i="23"/>
  <c r="J130" i="23"/>
  <c r="J131" i="23"/>
  <c r="J129" i="23"/>
  <c r="J128" i="23"/>
  <c r="J134" i="23"/>
  <c r="J118" i="23"/>
  <c r="AU75" i="18"/>
  <c r="AU81" i="18"/>
  <c r="AT83" i="18"/>
  <c r="AT82" i="18"/>
  <c r="AT74" i="18"/>
  <c r="AT86" i="18"/>
  <c r="AY27" i="22"/>
  <c r="AY26" i="22"/>
  <c r="AS84" i="18"/>
  <c r="AV76" i="18"/>
  <c r="H185" i="23"/>
  <c r="K315" i="23"/>
  <c r="J316" i="23"/>
  <c r="J314" i="23" s="1"/>
  <c r="J325" i="23" s="1"/>
  <c r="K117" i="22"/>
  <c r="J118" i="22"/>
  <c r="J116" i="22" s="1"/>
  <c r="AT13" i="18"/>
  <c r="AS36" i="18"/>
  <c r="H105" i="23"/>
  <c r="J230" i="23"/>
  <c r="G105" i="23"/>
  <c r="AX59" i="22"/>
  <c r="J272" i="23"/>
  <c r="J277" i="23" s="1"/>
  <c r="J278" i="23" s="1"/>
  <c r="K271" i="23"/>
  <c r="K272" i="23" s="1"/>
  <c r="K277" i="23" s="1"/>
  <c r="K278" i="23" s="1"/>
  <c r="AR38" i="18"/>
  <c r="K219" i="23"/>
  <c r="K220" i="23" s="1"/>
  <c r="I100" i="23"/>
  <c r="AX32" i="22"/>
  <c r="H78" i="23"/>
  <c r="I102" i="23"/>
  <c r="I103" i="23"/>
  <c r="I104" i="23"/>
  <c r="I73" i="23"/>
  <c r="I76" i="23"/>
  <c r="I77" i="23"/>
  <c r="I75" i="23"/>
  <c r="AY57" i="22"/>
  <c r="AY56" i="22"/>
  <c r="AY58" i="22"/>
  <c r="AY30" i="22"/>
  <c r="AY29" i="22"/>
  <c r="AY31" i="22"/>
  <c r="AS40" i="18"/>
  <c r="AT14" i="18"/>
  <c r="AS5" i="18"/>
  <c r="L66" i="22"/>
  <c r="F322" i="22"/>
  <c r="I503" i="23"/>
  <c r="H304" i="22"/>
  <c r="I281" i="22"/>
  <c r="I305" i="22"/>
  <c r="K303" i="22"/>
  <c r="J306" i="22"/>
  <c r="H502" i="23"/>
  <c r="K279" i="22"/>
  <c r="J282" i="22"/>
  <c r="K501" i="23"/>
  <c r="J504" i="23"/>
  <c r="I490" i="23"/>
  <c r="I493" i="23" s="1"/>
  <c r="H280" i="22"/>
  <c r="J479" i="23"/>
  <c r="K480" i="23"/>
  <c r="AY28" i="22"/>
  <c r="I74" i="23"/>
  <c r="AY61" i="22"/>
  <c r="AY55" i="22"/>
  <c r="I101" i="23"/>
  <c r="I107" i="23"/>
  <c r="J92" i="23"/>
  <c r="J98" i="23"/>
  <c r="J99" i="23" s="1"/>
  <c r="J65" i="23"/>
  <c r="J71" i="23"/>
  <c r="J72" i="23" s="1"/>
  <c r="AZ52" i="22"/>
  <c r="AZ54" i="22" s="1"/>
  <c r="AZ46" i="22"/>
  <c r="AZ19" i="22"/>
  <c r="AZ25" i="22"/>
  <c r="J225" i="23"/>
  <c r="J226" i="23" s="1"/>
  <c r="BB44" i="22"/>
  <c r="BA47" i="22"/>
  <c r="AS28" i="18"/>
  <c r="L90" i="23"/>
  <c r="K93" i="23"/>
  <c r="AS37" i="18"/>
  <c r="AY18" i="22"/>
  <c r="AW4" i="18"/>
  <c r="AV7" i="18"/>
  <c r="AT35" i="18"/>
  <c r="AT29" i="18"/>
  <c r="AU6" i="18"/>
  <c r="AU12" i="18"/>
  <c r="AU30" i="18"/>
  <c r="AV27" i="18"/>
  <c r="L63" i="23"/>
  <c r="K66" i="23"/>
  <c r="AY45" i="22"/>
  <c r="BB17" i="22"/>
  <c r="BA20" i="22"/>
  <c r="I91" i="23"/>
  <c r="AT5" i="18"/>
  <c r="I64" i="23"/>
  <c r="BL224" i="3"/>
  <c r="BL225" i="3"/>
  <c r="BK242" i="3"/>
  <c r="BK243" i="3"/>
  <c r="BL216" i="3"/>
  <c r="BL218" i="3"/>
  <c r="BL219" i="3"/>
  <c r="BL220" i="3"/>
  <c r="BL222" i="3"/>
  <c r="BL221" i="3"/>
  <c r="BL223" i="3"/>
  <c r="BJ244" i="3"/>
  <c r="BJ245" i="3" s="1"/>
  <c r="N173" i="22"/>
  <c r="O92" i="22"/>
  <c r="R18" i="20"/>
  <c r="S17" i="20"/>
  <c r="I185" i="23"/>
  <c r="I172" i="23"/>
  <c r="K174" i="23"/>
  <c r="L171" i="23"/>
  <c r="I196" i="23"/>
  <c r="I209" i="23"/>
  <c r="J173" i="23"/>
  <c r="J179" i="23"/>
  <c r="J180" i="23" s="1"/>
  <c r="J183" i="23" s="1"/>
  <c r="K198" i="23"/>
  <c r="L195" i="23"/>
  <c r="AM115" i="22"/>
  <c r="AM120" i="22" s="1"/>
  <c r="AM121" i="22" s="1"/>
  <c r="AM125" i="22"/>
  <c r="AN114" i="22"/>
  <c r="AH18" i="20"/>
  <c r="AI17" i="20"/>
  <c r="J197" i="23"/>
  <c r="J203" i="23"/>
  <c r="J204" i="23" s="1"/>
  <c r="J207" i="23" s="1"/>
  <c r="L47" i="24"/>
  <c r="L1" i="24"/>
  <c r="M2" i="24"/>
  <c r="AR117" i="22"/>
  <c r="O168" i="22"/>
  <c r="O170" i="22" s="1"/>
  <c r="O172" i="22"/>
  <c r="P2" i="22"/>
  <c r="K463" i="18"/>
  <c r="AV148" i="18"/>
  <c r="K84" i="18"/>
  <c r="K58" i="18"/>
  <c r="T37" i="20"/>
  <c r="AB36" i="20"/>
  <c r="AJ35" i="20"/>
  <c r="AR34" i="20"/>
  <c r="K159" i="18"/>
  <c r="K161" i="18" s="1"/>
  <c r="K163" i="18"/>
  <c r="J164" i="18"/>
  <c r="L2" i="18"/>
  <c r="AS110" i="18"/>
  <c r="AS97" i="18"/>
  <c r="AS121" i="18"/>
  <c r="AS134" i="18"/>
  <c r="AT104" i="18"/>
  <c r="AT105" i="18" s="1"/>
  <c r="AT108" i="18" s="1"/>
  <c r="AT98" i="18"/>
  <c r="AV96" i="18"/>
  <c r="AV99" i="18" s="1"/>
  <c r="AT122" i="18"/>
  <c r="AT128" i="18"/>
  <c r="AV120" i="18"/>
  <c r="AV123" i="18" s="1"/>
  <c r="BQ226" i="3"/>
  <c r="BW226" i="3" s="1"/>
  <c r="BQ227" i="3"/>
  <c r="BW227" i="3" s="1"/>
  <c r="BQ228" i="3"/>
  <c r="BW228" i="3" s="1"/>
  <c r="BQ229" i="3"/>
  <c r="BW229" i="3" s="1"/>
  <c r="V50" i="3" l="1"/>
  <c r="AT129" i="18"/>
  <c r="AT132" i="18" s="1"/>
  <c r="K63" i="22"/>
  <c r="K74" i="22" s="1"/>
  <c r="BN213" i="3"/>
  <c r="BN217" i="3" s="1"/>
  <c r="BO212" i="3"/>
  <c r="BN215" i="3"/>
  <c r="AM18" i="3"/>
  <c r="X15" i="3"/>
  <c r="W18" i="3"/>
  <c r="J64" i="22"/>
  <c r="J69" i="22" s="1"/>
  <c r="J70" i="22" s="1"/>
  <c r="L371" i="23"/>
  <c r="I313" i="22"/>
  <c r="I314" i="22" s="1"/>
  <c r="I316" i="22"/>
  <c r="I319" i="22" s="1"/>
  <c r="I292" i="22"/>
  <c r="I295" i="22" s="1"/>
  <c r="I289" i="22"/>
  <c r="I511" i="23"/>
  <c r="I514" i="23"/>
  <c r="I517" i="23" s="1"/>
  <c r="J487" i="23"/>
  <c r="J478" i="23"/>
  <c r="M295" i="23"/>
  <c r="M248" i="23"/>
  <c r="M222" i="23"/>
  <c r="M274" i="23"/>
  <c r="M366" i="23"/>
  <c r="M368" i="23" s="1"/>
  <c r="M370" i="23"/>
  <c r="N2" i="23"/>
  <c r="M292" i="23"/>
  <c r="L237" i="22"/>
  <c r="L435" i="23"/>
  <c r="I70" i="22"/>
  <c r="J471" i="18"/>
  <c r="AV61" i="18"/>
  <c r="K460" i="18"/>
  <c r="K461" i="18" s="1"/>
  <c r="K466" i="18" s="1"/>
  <c r="K467" i="18" s="1"/>
  <c r="J321" i="23"/>
  <c r="J322" i="23" s="1"/>
  <c r="J323" i="23" s="1"/>
  <c r="AW58" i="18"/>
  <c r="AW52" i="18"/>
  <c r="AY50" i="18"/>
  <c r="AX53" i="18"/>
  <c r="AZ86" i="22"/>
  <c r="J154" i="23"/>
  <c r="J153" i="23"/>
  <c r="L119" i="23"/>
  <c r="L125" i="23"/>
  <c r="N117" i="23"/>
  <c r="M120" i="23"/>
  <c r="BB73" i="22"/>
  <c r="BB79" i="22"/>
  <c r="K127" i="23"/>
  <c r="K126" i="23"/>
  <c r="BD71" i="22"/>
  <c r="BC74" i="22"/>
  <c r="K128" i="23"/>
  <c r="K129" i="23"/>
  <c r="K134" i="23"/>
  <c r="K130" i="23"/>
  <c r="K131" i="23"/>
  <c r="K118" i="23"/>
  <c r="BB100" i="22"/>
  <c r="BB106" i="22"/>
  <c r="I159" i="23"/>
  <c r="BD98" i="22"/>
  <c r="BC101" i="22"/>
  <c r="M144" i="23"/>
  <c r="L147" i="23"/>
  <c r="BA80" i="22"/>
  <c r="BA81" i="22"/>
  <c r="J155" i="23"/>
  <c r="J156" i="23"/>
  <c r="J158" i="23"/>
  <c r="J161" i="23"/>
  <c r="J157" i="23"/>
  <c r="J145" i="23"/>
  <c r="K146" i="23"/>
  <c r="K152" i="23"/>
  <c r="BA72" i="22"/>
  <c r="BA83" i="22"/>
  <c r="BA82" i="22"/>
  <c r="BA88" i="22"/>
  <c r="BA84" i="22"/>
  <c r="BA85" i="22"/>
  <c r="BA107" i="22"/>
  <c r="BA108" i="22"/>
  <c r="J132" i="23"/>
  <c r="BA109" i="22"/>
  <c r="BA111" i="22"/>
  <c r="BA99" i="22"/>
  <c r="BA110" i="22"/>
  <c r="AV75" i="18"/>
  <c r="AV81" i="18"/>
  <c r="AU74" i="18"/>
  <c r="AU86" i="18"/>
  <c r="AU83" i="18"/>
  <c r="AU82" i="18"/>
  <c r="AT84" i="18"/>
  <c r="AZ27" i="22"/>
  <c r="AZ26" i="22"/>
  <c r="K230" i="23"/>
  <c r="L219" i="23"/>
  <c r="L220" i="23" s="1"/>
  <c r="AW76" i="18"/>
  <c r="J123" i="22"/>
  <c r="J124" i="22" s="1"/>
  <c r="J125" i="22" s="1"/>
  <c r="K118" i="22"/>
  <c r="L117" i="22"/>
  <c r="K316" i="23"/>
  <c r="L315" i="23"/>
  <c r="L271" i="23"/>
  <c r="L272" i="23" s="1"/>
  <c r="L277" i="23" s="1"/>
  <c r="L278" i="23" s="1"/>
  <c r="K282" i="23"/>
  <c r="AU13" i="18"/>
  <c r="AT36" i="18"/>
  <c r="I105" i="23"/>
  <c r="AS15" i="18"/>
  <c r="AY59" i="22"/>
  <c r="AT15" i="18"/>
  <c r="AS38" i="18"/>
  <c r="I78" i="23"/>
  <c r="AY32" i="22"/>
  <c r="J100" i="23"/>
  <c r="J103" i="23"/>
  <c r="J104" i="23"/>
  <c r="J102" i="23"/>
  <c r="J73" i="23"/>
  <c r="J76" i="23"/>
  <c r="J77" i="23"/>
  <c r="J75" i="23"/>
  <c r="AZ57" i="22"/>
  <c r="AZ58" i="22"/>
  <c r="AZ56" i="22"/>
  <c r="AZ30" i="22"/>
  <c r="AZ31" i="22"/>
  <c r="AZ29" i="22"/>
  <c r="AU14" i="18"/>
  <c r="AT40" i="18"/>
  <c r="M66" i="22"/>
  <c r="J503" i="23"/>
  <c r="J514" i="23" s="1"/>
  <c r="J517" i="23" s="1"/>
  <c r="J519" i="23" s="1"/>
  <c r="I280" i="22"/>
  <c r="L480" i="23"/>
  <c r="L501" i="23"/>
  <c r="K504" i="23"/>
  <c r="K479" i="23"/>
  <c r="J281" i="22"/>
  <c r="J292" i="22" s="1"/>
  <c r="J295" i="22" s="1"/>
  <c r="J297" i="22" s="1"/>
  <c r="J490" i="23"/>
  <c r="J493" i="23" s="1"/>
  <c r="L279" i="22"/>
  <c r="K282" i="22"/>
  <c r="J305" i="22"/>
  <c r="J316" i="22" s="1"/>
  <c r="J319" i="22" s="1"/>
  <c r="J321" i="22" s="1"/>
  <c r="I502" i="23"/>
  <c r="L303" i="22"/>
  <c r="K306" i="22"/>
  <c r="I304" i="22"/>
  <c r="J74" i="23"/>
  <c r="AZ28" i="22"/>
  <c r="AZ55" i="22"/>
  <c r="AZ61" i="22"/>
  <c r="J101" i="23"/>
  <c r="J107" i="23"/>
  <c r="K65" i="23"/>
  <c r="K71" i="23"/>
  <c r="K72" i="23" s="1"/>
  <c r="K98" i="23"/>
  <c r="K99" i="23" s="1"/>
  <c r="K92" i="23"/>
  <c r="BA52" i="22"/>
  <c r="BA54" i="22" s="1"/>
  <c r="BA46" i="22"/>
  <c r="BA25" i="22"/>
  <c r="BA19" i="22"/>
  <c r="K225" i="23"/>
  <c r="AU5" i="18"/>
  <c r="AV12" i="18"/>
  <c r="AV6" i="18"/>
  <c r="AT37" i="18"/>
  <c r="AX4" i="18"/>
  <c r="AW7" i="18"/>
  <c r="AT28" i="18"/>
  <c r="M63" i="23"/>
  <c r="L66" i="23"/>
  <c r="J64" i="23"/>
  <c r="BC17" i="22"/>
  <c r="BB20" i="22"/>
  <c r="BC44" i="22"/>
  <c r="BB47" i="22"/>
  <c r="J91" i="23"/>
  <c r="AZ45" i="22"/>
  <c r="AW27" i="18"/>
  <c r="AV30" i="18"/>
  <c r="AU35" i="18"/>
  <c r="AU29" i="18"/>
  <c r="AZ18" i="22"/>
  <c r="M90" i="23"/>
  <c r="L93" i="23"/>
  <c r="BL242" i="3"/>
  <c r="BL243" i="3"/>
  <c r="L463" i="18"/>
  <c r="O173" i="22"/>
  <c r="L174" i="23"/>
  <c r="M171" i="23"/>
  <c r="AH19" i="20"/>
  <c r="AI18" i="20"/>
  <c r="K173" i="23"/>
  <c r="K179" i="23"/>
  <c r="K180" i="23" s="1"/>
  <c r="K183" i="23" s="1"/>
  <c r="P92" i="22"/>
  <c r="P172" i="22"/>
  <c r="P168" i="22"/>
  <c r="P170" i="22" s="1"/>
  <c r="Q2" i="22"/>
  <c r="AN115" i="22"/>
  <c r="AN120" i="22" s="1"/>
  <c r="AN121" i="22" s="1"/>
  <c r="AN125" i="22"/>
  <c r="AO114" i="22"/>
  <c r="AS117" i="22"/>
  <c r="J172" i="23"/>
  <c r="J185" i="23"/>
  <c r="J209" i="23"/>
  <c r="J196" i="23"/>
  <c r="K64" i="22"/>
  <c r="K69" i="22" s="1"/>
  <c r="K70" i="22" s="1"/>
  <c r="L63" i="22"/>
  <c r="L74" i="22" s="1"/>
  <c r="BB158" i="22"/>
  <c r="BB161" i="22" s="1"/>
  <c r="N2" i="24"/>
  <c r="M47" i="24"/>
  <c r="M1" i="24"/>
  <c r="L198" i="23"/>
  <c r="M195" i="23"/>
  <c r="R19" i="20"/>
  <c r="S18" i="20"/>
  <c r="K197" i="23"/>
  <c r="K203" i="23"/>
  <c r="K204" i="23" s="1"/>
  <c r="K207" i="23" s="1"/>
  <c r="L58" i="18"/>
  <c r="L84" i="18"/>
  <c r="AW148" i="18"/>
  <c r="T38" i="20"/>
  <c r="AB37" i="20"/>
  <c r="AJ36" i="20"/>
  <c r="AR35" i="20"/>
  <c r="L159" i="18"/>
  <c r="L161" i="18" s="1"/>
  <c r="L163" i="18"/>
  <c r="K164" i="18"/>
  <c r="M2" i="18"/>
  <c r="AW96" i="18"/>
  <c r="AW99" i="18" s="1"/>
  <c r="AU104" i="18"/>
  <c r="AU105" i="18" s="1"/>
  <c r="AU108" i="18" s="1"/>
  <c r="AU98" i="18"/>
  <c r="AU122" i="18"/>
  <c r="AU128" i="18"/>
  <c r="AW120" i="18"/>
  <c r="AW123" i="18" s="1"/>
  <c r="AT121" i="18"/>
  <c r="AT134" i="18"/>
  <c r="AT110" i="18"/>
  <c r="AT97" i="18"/>
  <c r="BR229" i="3"/>
  <c r="BR226" i="3"/>
  <c r="BR227" i="3"/>
  <c r="BR228" i="3"/>
  <c r="AU129" i="18" l="1"/>
  <c r="AU132" i="18" s="1"/>
  <c r="BB19" i="3"/>
  <c r="Y15" i="3"/>
  <c r="X18" i="3"/>
  <c r="BP212" i="3"/>
  <c r="BO215" i="3"/>
  <c r="BN240" i="3"/>
  <c r="BN241" i="3"/>
  <c r="J322" i="22"/>
  <c r="J323" i="22"/>
  <c r="I321" i="22"/>
  <c r="J520" i="23"/>
  <c r="J521" i="23"/>
  <c r="J298" i="22"/>
  <c r="J299" i="22"/>
  <c r="K487" i="23"/>
  <c r="K478" i="23"/>
  <c r="L460" i="18"/>
  <c r="L461" i="18" s="1"/>
  <c r="L466" i="18" s="1"/>
  <c r="L467" i="18" s="1"/>
  <c r="N295" i="23"/>
  <c r="N370" i="23"/>
  <c r="N248" i="23"/>
  <c r="N274" i="23"/>
  <c r="N366" i="23"/>
  <c r="N368" i="23" s="1"/>
  <c r="N222" i="23"/>
  <c r="O2" i="23"/>
  <c r="M371" i="23"/>
  <c r="M435" i="23"/>
  <c r="M237" i="22"/>
  <c r="K471" i="18"/>
  <c r="K226" i="23"/>
  <c r="K321" i="23"/>
  <c r="K322" i="23" s="1"/>
  <c r="K323" i="23" s="1"/>
  <c r="K314" i="23"/>
  <c r="K325" i="23" s="1"/>
  <c r="K123" i="22"/>
  <c r="K124" i="22" s="1"/>
  <c r="K125" i="22" s="1"/>
  <c r="K116" i="22"/>
  <c r="AX58" i="18"/>
  <c r="AX52" i="18"/>
  <c r="AW63" i="18"/>
  <c r="AW51" i="18"/>
  <c r="AY53" i="18"/>
  <c r="AZ50" i="18"/>
  <c r="AW60" i="18"/>
  <c r="AW59" i="18"/>
  <c r="K132" i="23"/>
  <c r="BA86" i="22"/>
  <c r="BB107" i="22"/>
  <c r="BB108" i="22"/>
  <c r="BB80" i="22"/>
  <c r="BB81" i="22"/>
  <c r="BB85" i="22"/>
  <c r="BB82" i="22"/>
  <c r="BB88" i="22"/>
  <c r="BB84" i="22"/>
  <c r="BB72" i="22"/>
  <c r="BB83" i="22"/>
  <c r="K154" i="23"/>
  <c r="K153" i="23"/>
  <c r="M119" i="23"/>
  <c r="M125" i="23"/>
  <c r="BB111" i="22"/>
  <c r="BB110" i="22"/>
  <c r="BB109" i="22"/>
  <c r="BB99" i="22"/>
  <c r="K155" i="23"/>
  <c r="K157" i="23"/>
  <c r="K161" i="23"/>
  <c r="K145" i="23"/>
  <c r="K158" i="23"/>
  <c r="K156" i="23"/>
  <c r="L146" i="23"/>
  <c r="L152" i="23"/>
  <c r="O117" i="23"/>
  <c r="N120" i="23"/>
  <c r="N144" i="23"/>
  <c r="M147" i="23"/>
  <c r="BC73" i="22"/>
  <c r="BC79" i="22"/>
  <c r="L127" i="23"/>
  <c r="L126" i="23"/>
  <c r="BC100" i="22"/>
  <c r="BC106" i="22"/>
  <c r="BE71" i="22"/>
  <c r="BD74" i="22"/>
  <c r="L131" i="23"/>
  <c r="L118" i="23"/>
  <c r="L129" i="23"/>
  <c r="L128" i="23"/>
  <c r="L134" i="23"/>
  <c r="L130" i="23"/>
  <c r="BD101" i="22"/>
  <c r="BE98" i="22"/>
  <c r="J159" i="23"/>
  <c r="M219" i="23"/>
  <c r="M230" i="23" s="1"/>
  <c r="L230" i="23"/>
  <c r="AV83" i="18"/>
  <c r="AV82" i="18"/>
  <c r="AV74" i="18"/>
  <c r="AV86" i="18"/>
  <c r="BA27" i="22"/>
  <c r="BA26" i="22"/>
  <c r="AW75" i="18"/>
  <c r="AW81" i="18"/>
  <c r="AU84" i="18"/>
  <c r="AX76" i="18"/>
  <c r="M315" i="23"/>
  <c r="L316" i="23"/>
  <c r="L118" i="22"/>
  <c r="M117" i="22"/>
  <c r="M271" i="23"/>
  <c r="M272" i="23" s="1"/>
  <c r="M277" i="23" s="1"/>
  <c r="M278" i="23" s="1"/>
  <c r="L282" i="23"/>
  <c r="AU36" i="18"/>
  <c r="J105" i="23"/>
  <c r="AV13" i="18"/>
  <c r="AU15" i="18"/>
  <c r="AZ59" i="22"/>
  <c r="AZ32" i="22"/>
  <c r="AT38" i="18"/>
  <c r="J78" i="23"/>
  <c r="K100" i="23"/>
  <c r="K73" i="23"/>
  <c r="K103" i="23"/>
  <c r="K102" i="23"/>
  <c r="K104" i="23"/>
  <c r="K76" i="23"/>
  <c r="K75" i="23"/>
  <c r="K77" i="23"/>
  <c r="BA58" i="22"/>
  <c r="BA56" i="22"/>
  <c r="BA57" i="22"/>
  <c r="BA30" i="22"/>
  <c r="BA31" i="22"/>
  <c r="BA29" i="22"/>
  <c r="AV14" i="18"/>
  <c r="AU40" i="18"/>
  <c r="N66" i="22"/>
  <c r="K503" i="23"/>
  <c r="K514" i="23" s="1"/>
  <c r="K517" i="23" s="1"/>
  <c r="K519" i="23" s="1"/>
  <c r="K281" i="22"/>
  <c r="K292" i="22" s="1"/>
  <c r="K295" i="22" s="1"/>
  <c r="K297" i="22" s="1"/>
  <c r="M501" i="23"/>
  <c r="L504" i="23"/>
  <c r="L282" i="22"/>
  <c r="M279" i="22"/>
  <c r="M480" i="23"/>
  <c r="L479" i="23"/>
  <c r="L478" i="23" s="1"/>
  <c r="K305" i="22"/>
  <c r="K316" i="22" s="1"/>
  <c r="K319" i="22" s="1"/>
  <c r="K321" i="22" s="1"/>
  <c r="L306" i="22"/>
  <c r="M303" i="22"/>
  <c r="J280" i="22"/>
  <c r="K490" i="23"/>
  <c r="K493" i="23" s="1"/>
  <c r="J502" i="23"/>
  <c r="J304" i="22"/>
  <c r="K74" i="23"/>
  <c r="BA28" i="22"/>
  <c r="BA55" i="22"/>
  <c r="BA61" i="22"/>
  <c r="K101" i="23"/>
  <c r="K107" i="23"/>
  <c r="L92" i="23"/>
  <c r="L98" i="23"/>
  <c r="L99" i="23" s="1"/>
  <c r="L65" i="23"/>
  <c r="L71" i="23"/>
  <c r="L72" i="23" s="1"/>
  <c r="BB52" i="22"/>
  <c r="BB54" i="22" s="1"/>
  <c r="BB46" i="22"/>
  <c r="BB25" i="22"/>
  <c r="BB19" i="22"/>
  <c r="L225" i="23"/>
  <c r="L226" i="23" s="1"/>
  <c r="AV35" i="18"/>
  <c r="AV29" i="18"/>
  <c r="BD44" i="22"/>
  <c r="BC47" i="22"/>
  <c r="N63" i="23"/>
  <c r="M66" i="23"/>
  <c r="AW6" i="18"/>
  <c r="AW12" i="18"/>
  <c r="M93" i="23"/>
  <c r="N90" i="23"/>
  <c r="BA18" i="22"/>
  <c r="AY4" i="18"/>
  <c r="AX7" i="18"/>
  <c r="BD17" i="22"/>
  <c r="BC20" i="22"/>
  <c r="AU28" i="18"/>
  <c r="AU37" i="18"/>
  <c r="AX27" i="18"/>
  <c r="AW30" i="18"/>
  <c r="BA45" i="22"/>
  <c r="K64" i="23"/>
  <c r="AV5" i="18"/>
  <c r="K91" i="23"/>
  <c r="P173" i="22"/>
  <c r="BP225" i="3"/>
  <c r="BP224" i="3"/>
  <c r="M463" i="18"/>
  <c r="BP217" i="3"/>
  <c r="BP219" i="3"/>
  <c r="BP220" i="3"/>
  <c r="BP221" i="3"/>
  <c r="BP222" i="3"/>
  <c r="BP223" i="3"/>
  <c r="BD128" i="22"/>
  <c r="BE125" i="22"/>
  <c r="Q92" i="22"/>
  <c r="Q168" i="22"/>
  <c r="Q170" i="22" s="1"/>
  <c r="Q172" i="22"/>
  <c r="AT117" i="22"/>
  <c r="R2" i="22"/>
  <c r="R20" i="20"/>
  <c r="S19" i="20"/>
  <c r="AH20" i="20"/>
  <c r="AI19" i="20"/>
  <c r="M198" i="23"/>
  <c r="N195" i="23"/>
  <c r="L197" i="23"/>
  <c r="L203" i="23"/>
  <c r="L204" i="23" s="1"/>
  <c r="L207" i="23" s="1"/>
  <c r="BD152" i="22"/>
  <c r="BE149" i="22"/>
  <c r="K209" i="23"/>
  <c r="K196" i="23"/>
  <c r="O2" i="24"/>
  <c r="N47" i="24"/>
  <c r="N1" i="24"/>
  <c r="BC158" i="22"/>
  <c r="BC161" i="22" s="1"/>
  <c r="K185" i="23"/>
  <c r="K172" i="23"/>
  <c r="M174" i="23"/>
  <c r="N171" i="23"/>
  <c r="AO115" i="22"/>
  <c r="AO120" i="22" s="1"/>
  <c r="AO121" i="22" s="1"/>
  <c r="AP114" i="22"/>
  <c r="AO125" i="22"/>
  <c r="L173" i="23"/>
  <c r="L179" i="23"/>
  <c r="L180" i="23" s="1"/>
  <c r="L183" i="23" s="1"/>
  <c r="L64" i="22"/>
  <c r="L69" i="22" s="1"/>
  <c r="L70" i="22" s="1"/>
  <c r="M63" i="22"/>
  <c r="M74" i="22" s="1"/>
  <c r="M84" i="18"/>
  <c r="M58" i="18"/>
  <c r="AX148" i="18"/>
  <c r="AJ37" i="20"/>
  <c r="AR36" i="20"/>
  <c r="T39" i="20"/>
  <c r="AB38" i="20"/>
  <c r="M159" i="18"/>
  <c r="M161" i="18" s="1"/>
  <c r="M163" i="18"/>
  <c r="L164" i="18"/>
  <c r="N2" i="18"/>
  <c r="AX96" i="18"/>
  <c r="AX99" i="18" s="1"/>
  <c r="AX120" i="18"/>
  <c r="AX123" i="18" s="1"/>
  <c r="AU121" i="18"/>
  <c r="AU134" i="18"/>
  <c r="AU110" i="18"/>
  <c r="AU97" i="18"/>
  <c r="AV104" i="18"/>
  <c r="AV105" i="18" s="1"/>
  <c r="AV108" i="18" s="1"/>
  <c r="AV98" i="18"/>
  <c r="AV122" i="18"/>
  <c r="AV128" i="18"/>
  <c r="BS226" i="3"/>
  <c r="BV226" i="3" s="1"/>
  <c r="BS227" i="3"/>
  <c r="BV227" i="3" s="1"/>
  <c r="BS228" i="3"/>
  <c r="BV228" i="3" s="1"/>
  <c r="BS229" i="3"/>
  <c r="BV229" i="3" s="1"/>
  <c r="AV129" i="18" l="1"/>
  <c r="AV132" i="18" s="1"/>
  <c r="N371" i="23"/>
  <c r="BP213" i="3"/>
  <c r="BQ212" i="3"/>
  <c r="BP215" i="3"/>
  <c r="BC19" i="3"/>
  <c r="Z15" i="3"/>
  <c r="Y18" i="3"/>
  <c r="L471" i="18"/>
  <c r="M460" i="18"/>
  <c r="M461" i="18" s="1"/>
  <c r="M466" i="18" s="1"/>
  <c r="M467" i="18" s="1"/>
  <c r="K323" i="22"/>
  <c r="K322" i="22"/>
  <c r="I322" i="22"/>
  <c r="I323" i="22"/>
  <c r="K299" i="22"/>
  <c r="K298" i="22"/>
  <c r="K520" i="23"/>
  <c r="K521" i="23"/>
  <c r="O295" i="23"/>
  <c r="O370" i="23"/>
  <c r="O274" i="23"/>
  <c r="O248" i="23"/>
  <c r="O366" i="23"/>
  <c r="O368" i="23" s="1"/>
  <c r="P2" i="23"/>
  <c r="O222" i="23"/>
  <c r="N237" i="22"/>
  <c r="N435" i="23"/>
  <c r="N219" i="23"/>
  <c r="N230" i="23" s="1"/>
  <c r="M220" i="23"/>
  <c r="M225" i="23" s="1"/>
  <c r="M226" i="23" s="1"/>
  <c r="L123" i="22"/>
  <c r="L124" i="22" s="1"/>
  <c r="L125" i="22" s="1"/>
  <c r="L116" i="22"/>
  <c r="L321" i="23"/>
  <c r="L322" i="23" s="1"/>
  <c r="L323" i="23" s="1"/>
  <c r="L314" i="23"/>
  <c r="L325" i="23" s="1"/>
  <c r="AX63" i="18"/>
  <c r="AX51" i="18"/>
  <c r="AW61" i="18"/>
  <c r="AX60" i="18"/>
  <c r="AX59" i="18"/>
  <c r="AY58" i="18"/>
  <c r="AY52" i="18"/>
  <c r="AZ53" i="18"/>
  <c r="BA50" i="18"/>
  <c r="L132" i="23"/>
  <c r="BB86" i="22"/>
  <c r="BC99" i="22"/>
  <c r="BC109" i="22"/>
  <c r="BC111" i="22"/>
  <c r="BC110" i="22"/>
  <c r="BF98" i="22"/>
  <c r="BE101" i="22"/>
  <c r="M127" i="23"/>
  <c r="M126" i="23"/>
  <c r="BD100" i="22"/>
  <c r="BD106" i="22"/>
  <c r="M128" i="23"/>
  <c r="M118" i="23"/>
  <c r="M134" i="23"/>
  <c r="M129" i="23"/>
  <c r="M130" i="23"/>
  <c r="M131" i="23"/>
  <c r="BC80" i="22"/>
  <c r="BC81" i="22"/>
  <c r="BC82" i="22"/>
  <c r="BC88" i="22"/>
  <c r="BC85" i="22"/>
  <c r="BC83" i="22"/>
  <c r="BC84" i="22"/>
  <c r="BC72" i="22"/>
  <c r="K159" i="23"/>
  <c r="M146" i="23"/>
  <c r="M152" i="23"/>
  <c r="O144" i="23"/>
  <c r="N147" i="23"/>
  <c r="N119" i="23"/>
  <c r="N125" i="23"/>
  <c r="P117" i="23"/>
  <c r="O120" i="23"/>
  <c r="BD73" i="22"/>
  <c r="BD79" i="22"/>
  <c r="L154" i="23"/>
  <c r="L153" i="23"/>
  <c r="BF71" i="22"/>
  <c r="BE74" i="22"/>
  <c r="L157" i="23"/>
  <c r="L158" i="23"/>
  <c r="L156" i="23"/>
  <c r="L161" i="23"/>
  <c r="L155" i="23"/>
  <c r="L145" i="23"/>
  <c r="BC108" i="22"/>
  <c r="BC107" i="22"/>
  <c r="AX75" i="18"/>
  <c r="AX81" i="18"/>
  <c r="BB27" i="22"/>
  <c r="BB26" i="22"/>
  <c r="AV84" i="18"/>
  <c r="AW83" i="18"/>
  <c r="AW82" i="18"/>
  <c r="AW74" i="18"/>
  <c r="AW86" i="18"/>
  <c r="N271" i="23"/>
  <c r="N272" i="23" s="1"/>
  <c r="N277" i="23" s="1"/>
  <c r="N278" i="23" s="1"/>
  <c r="AY76" i="18"/>
  <c r="M282" i="23"/>
  <c r="M118" i="22"/>
  <c r="M116" i="22" s="1"/>
  <c r="N117" i="22"/>
  <c r="N315" i="23"/>
  <c r="M316" i="23"/>
  <c r="K78" i="23"/>
  <c r="AW13" i="18"/>
  <c r="AV36" i="18"/>
  <c r="K105" i="23"/>
  <c r="BA32" i="22"/>
  <c r="AU38" i="18"/>
  <c r="BA59" i="22"/>
  <c r="L100" i="23"/>
  <c r="AV15" i="18"/>
  <c r="L104" i="23"/>
  <c r="L103" i="23"/>
  <c r="L102" i="23"/>
  <c r="L73" i="23"/>
  <c r="L77" i="23"/>
  <c r="L76" i="23"/>
  <c r="L75" i="23"/>
  <c r="BB58" i="22"/>
  <c r="BB57" i="22"/>
  <c r="BB56" i="22"/>
  <c r="BB31" i="22"/>
  <c r="BB30" i="22"/>
  <c r="BB29" i="22"/>
  <c r="AV40" i="18"/>
  <c r="AV37" i="18"/>
  <c r="AW14" i="18"/>
  <c r="O66" i="22"/>
  <c r="N279" i="22"/>
  <c r="M282" i="22"/>
  <c r="L281" i="22"/>
  <c r="L292" i="22" s="1"/>
  <c r="L295" i="22" s="1"/>
  <c r="L297" i="22" s="1"/>
  <c r="L503" i="23"/>
  <c r="L514" i="23" s="1"/>
  <c r="L517" i="23" s="1"/>
  <c r="L519" i="23" s="1"/>
  <c r="N501" i="23"/>
  <c r="M504" i="23"/>
  <c r="M306" i="22"/>
  <c r="N303" i="22"/>
  <c r="L305" i="22"/>
  <c r="L316" i="22" s="1"/>
  <c r="L319" i="22" s="1"/>
  <c r="L321" i="22" s="1"/>
  <c r="K280" i="22"/>
  <c r="K304" i="22"/>
  <c r="K502" i="23"/>
  <c r="L490" i="23"/>
  <c r="L493" i="23" s="1"/>
  <c r="N480" i="23"/>
  <c r="M479" i="23"/>
  <c r="M478" i="23" s="1"/>
  <c r="BB28" i="22"/>
  <c r="L74" i="23"/>
  <c r="BB55" i="22"/>
  <c r="BB61" i="22"/>
  <c r="L101" i="23"/>
  <c r="L107" i="23"/>
  <c r="M65" i="23"/>
  <c r="M71" i="23"/>
  <c r="M72" i="23" s="1"/>
  <c r="M92" i="23"/>
  <c r="M98" i="23"/>
  <c r="M99" i="23" s="1"/>
  <c r="BC25" i="22"/>
  <c r="BC19" i="22"/>
  <c r="BC46" i="22"/>
  <c r="BC52" i="22"/>
  <c r="BC54" i="22" s="1"/>
  <c r="N463" i="18"/>
  <c r="O63" i="23"/>
  <c r="N66" i="23"/>
  <c r="AW29" i="18"/>
  <c r="AW35" i="18"/>
  <c r="AY27" i="18"/>
  <c r="AX30" i="18"/>
  <c r="BE17" i="22"/>
  <c r="BD20" i="22"/>
  <c r="AW5" i="18"/>
  <c r="BE44" i="22"/>
  <c r="BD47" i="22"/>
  <c r="L64" i="23"/>
  <c r="BB18" i="22"/>
  <c r="AX6" i="18"/>
  <c r="AX12" i="18"/>
  <c r="BB45" i="22"/>
  <c r="AZ4" i="18"/>
  <c r="AY7" i="18"/>
  <c r="AV28" i="18"/>
  <c r="L91" i="23"/>
  <c r="O90" i="23"/>
  <c r="N93" i="23"/>
  <c r="BQ224" i="3"/>
  <c r="BQ225" i="3"/>
  <c r="BQ222" i="3"/>
  <c r="BQ223" i="3"/>
  <c r="BQ220" i="3"/>
  <c r="BQ216" i="3"/>
  <c r="BQ218" i="3"/>
  <c r="BQ219" i="3"/>
  <c r="BQ221" i="3"/>
  <c r="BQ217" i="3"/>
  <c r="Q173" i="22"/>
  <c r="L172" i="23"/>
  <c r="L185" i="23"/>
  <c r="S20" i="20"/>
  <c r="R21" i="20"/>
  <c r="BE128" i="22"/>
  <c r="BF125" i="22"/>
  <c r="AP115" i="22"/>
  <c r="AP120" i="22" s="1"/>
  <c r="AP121" i="22" s="1"/>
  <c r="AP125" i="22"/>
  <c r="AQ114" i="22"/>
  <c r="N174" i="23"/>
  <c r="O171" i="23"/>
  <c r="O47" i="24"/>
  <c r="O1" i="24"/>
  <c r="P2" i="24"/>
  <c r="N198" i="23"/>
  <c r="O195" i="23"/>
  <c r="BD127" i="22"/>
  <c r="BD133" i="22"/>
  <c r="BD134" i="22" s="1"/>
  <c r="BD137" i="22" s="1"/>
  <c r="M173" i="23"/>
  <c r="M179" i="23"/>
  <c r="M180" i="23" s="1"/>
  <c r="M183" i="23" s="1"/>
  <c r="M197" i="23"/>
  <c r="M203" i="23"/>
  <c r="M204" i="23" s="1"/>
  <c r="M207" i="23" s="1"/>
  <c r="BE152" i="22"/>
  <c r="BF149" i="22"/>
  <c r="L209" i="23"/>
  <c r="L196" i="23"/>
  <c r="M64" i="22"/>
  <c r="M69" i="22" s="1"/>
  <c r="M70" i="22" s="1"/>
  <c r="N63" i="22"/>
  <c r="N74" i="22" s="1"/>
  <c r="BD151" i="22"/>
  <c r="BD157" i="22"/>
  <c r="BD158" i="22" s="1"/>
  <c r="BD161" i="22" s="1"/>
  <c r="R92" i="22"/>
  <c r="R172" i="22"/>
  <c r="AU117" i="22"/>
  <c r="R168" i="22"/>
  <c r="R170" i="22" s="1"/>
  <c r="S2" i="22"/>
  <c r="AH21" i="20"/>
  <c r="AI20" i="20"/>
  <c r="AY148" i="18"/>
  <c r="N58" i="18"/>
  <c r="N84" i="18"/>
  <c r="T40" i="20"/>
  <c r="AB39" i="20"/>
  <c r="AJ38" i="20"/>
  <c r="AR37" i="20"/>
  <c r="N159" i="18"/>
  <c r="N161" i="18" s="1"/>
  <c r="N163" i="18"/>
  <c r="M164" i="18"/>
  <c r="O2" i="18"/>
  <c r="AW104" i="18"/>
  <c r="AW105" i="18" s="1"/>
  <c r="AW108" i="18" s="1"/>
  <c r="AW98" i="18"/>
  <c r="AW122" i="18"/>
  <c r="AW128" i="18"/>
  <c r="AY120" i="18"/>
  <c r="AY123" i="18" s="1"/>
  <c r="AY96" i="18"/>
  <c r="AY99" i="18" s="1"/>
  <c r="AV121" i="18"/>
  <c r="AV134" i="18"/>
  <c r="AV110" i="18"/>
  <c r="AV97" i="18"/>
  <c r="AW129" i="18" l="1"/>
  <c r="AW132" i="18" s="1"/>
  <c r="O371" i="23"/>
  <c r="AN18" i="3"/>
  <c r="AA15" i="3"/>
  <c r="Z18" i="3"/>
  <c r="BQ213" i="3"/>
  <c r="BR212" i="3"/>
  <c r="BQ215" i="3"/>
  <c r="O219" i="23"/>
  <c r="O220" i="23" s="1"/>
  <c r="N220" i="23"/>
  <c r="N225" i="23" s="1"/>
  <c r="N226" i="23" s="1"/>
  <c r="M471" i="18"/>
  <c r="N460" i="18"/>
  <c r="N461" i="18" s="1"/>
  <c r="N466" i="18" s="1"/>
  <c r="N467" i="18" s="1"/>
  <c r="L322" i="22"/>
  <c r="L323" i="22"/>
  <c r="L520" i="23"/>
  <c r="L521" i="23"/>
  <c r="L299" i="22"/>
  <c r="L298" i="22"/>
  <c r="P295" i="23"/>
  <c r="P248" i="23"/>
  <c r="P222" i="23"/>
  <c r="P274" i="23"/>
  <c r="Q2" i="23"/>
  <c r="P366" i="23"/>
  <c r="P368" i="23" s="1"/>
  <c r="P370" i="23"/>
  <c r="O435" i="23"/>
  <c r="O237" i="22"/>
  <c r="M123" i="22"/>
  <c r="M124" i="22" s="1"/>
  <c r="M125" i="22" s="1"/>
  <c r="M321" i="23"/>
  <c r="M322" i="23" s="1"/>
  <c r="M323" i="23" s="1"/>
  <c r="M314" i="23"/>
  <c r="M325" i="23" s="1"/>
  <c r="AX61" i="18"/>
  <c r="AY60" i="18"/>
  <c r="AY59" i="18"/>
  <c r="BA53" i="18"/>
  <c r="BB50" i="18"/>
  <c r="AZ58" i="18"/>
  <c r="AZ52" i="18"/>
  <c r="AY63" i="18"/>
  <c r="AY51" i="18"/>
  <c r="O271" i="23"/>
  <c r="P271" i="23" s="1"/>
  <c r="N282" i="23"/>
  <c r="M132" i="23"/>
  <c r="BD80" i="22"/>
  <c r="BD81" i="22"/>
  <c r="BD85" i="22"/>
  <c r="BD72" i="22"/>
  <c r="BD82" i="22"/>
  <c r="BD88" i="22"/>
  <c r="BD83" i="22"/>
  <c r="BD84" i="22"/>
  <c r="BD107" i="22"/>
  <c r="BD108" i="22"/>
  <c r="O119" i="23"/>
  <c r="O125" i="23"/>
  <c r="BD109" i="22"/>
  <c r="BD111" i="22"/>
  <c r="BD115" i="22"/>
  <c r="BD112" i="22"/>
  <c r="BD99" i="22"/>
  <c r="BD110" i="22"/>
  <c r="Q117" i="23"/>
  <c r="P120" i="23"/>
  <c r="N127" i="23"/>
  <c r="N126" i="23"/>
  <c r="N130" i="23"/>
  <c r="N129" i="23"/>
  <c r="N131" i="23"/>
  <c r="N134" i="23"/>
  <c r="N128" i="23"/>
  <c r="N118" i="23"/>
  <c r="BC86" i="22"/>
  <c r="N146" i="23"/>
  <c r="N152" i="23"/>
  <c r="P144" i="23"/>
  <c r="O147" i="23"/>
  <c r="BE73" i="22"/>
  <c r="BE79" i="22"/>
  <c r="M154" i="23"/>
  <c r="M153" i="23"/>
  <c r="BE100" i="22"/>
  <c r="BE106" i="22"/>
  <c r="BG71" i="22"/>
  <c r="BF74" i="22"/>
  <c r="M158" i="23"/>
  <c r="M161" i="23"/>
  <c r="M155" i="23"/>
  <c r="M156" i="23"/>
  <c r="M157" i="23"/>
  <c r="M145" i="23"/>
  <c r="BG98" i="22"/>
  <c r="BF101" i="22"/>
  <c r="L159" i="23"/>
  <c r="AW84" i="18"/>
  <c r="AX83" i="18"/>
  <c r="AX82" i="18"/>
  <c r="AX74" i="18"/>
  <c r="AX86" i="18"/>
  <c r="AY75" i="18"/>
  <c r="AY81" i="18"/>
  <c r="BC27" i="22"/>
  <c r="BC26" i="22"/>
  <c r="AZ76" i="18"/>
  <c r="N316" i="23"/>
  <c r="O315" i="23"/>
  <c r="N118" i="22"/>
  <c r="O117" i="22"/>
  <c r="AX13" i="18"/>
  <c r="AW36" i="18"/>
  <c r="L105" i="23"/>
  <c r="AW15" i="18"/>
  <c r="BB59" i="22"/>
  <c r="AV38" i="18"/>
  <c r="BB32" i="22"/>
  <c r="M100" i="23"/>
  <c r="L78" i="23"/>
  <c r="M103" i="23"/>
  <c r="M104" i="23"/>
  <c r="M102" i="23"/>
  <c r="M73" i="23"/>
  <c r="M76" i="23"/>
  <c r="M77" i="23"/>
  <c r="M75" i="23"/>
  <c r="BC58" i="22"/>
  <c r="BC56" i="22"/>
  <c r="BC57" i="22"/>
  <c r="BC31" i="22"/>
  <c r="BC30" i="22"/>
  <c r="BC29" i="22"/>
  <c r="AX14" i="18"/>
  <c r="AW37" i="18"/>
  <c r="AW40" i="18"/>
  <c r="P66" i="22"/>
  <c r="O463" i="18"/>
  <c r="Z43" i="3"/>
  <c r="AO19" i="3"/>
  <c r="Z46" i="3"/>
  <c r="P19" i="3"/>
  <c r="O19" i="3"/>
  <c r="BP216" i="3"/>
  <c r="N479" i="23"/>
  <c r="N478" i="23" s="1"/>
  <c r="M503" i="23"/>
  <c r="M514" i="23" s="1"/>
  <c r="M517" i="23" s="1"/>
  <c r="M519" i="23" s="1"/>
  <c r="O480" i="23"/>
  <c r="O501" i="23"/>
  <c r="N504" i="23"/>
  <c r="L502" i="23"/>
  <c r="L280" i="22"/>
  <c r="M281" i="22"/>
  <c r="M292" i="22" s="1"/>
  <c r="M295" i="22" s="1"/>
  <c r="M297" i="22" s="1"/>
  <c r="O279" i="22"/>
  <c r="N282" i="22"/>
  <c r="L304" i="22"/>
  <c r="O303" i="22"/>
  <c r="N306" i="22"/>
  <c r="M490" i="23"/>
  <c r="M493" i="23" s="1"/>
  <c r="M305" i="22"/>
  <c r="M316" i="22" s="1"/>
  <c r="M319" i="22" s="1"/>
  <c r="M321" i="22" s="1"/>
  <c r="M74" i="23"/>
  <c r="BC28" i="22"/>
  <c r="M101" i="23"/>
  <c r="M107" i="23"/>
  <c r="BC55" i="22"/>
  <c r="BC61" i="22"/>
  <c r="N65" i="23"/>
  <c r="N71" i="23"/>
  <c r="N72" i="23" s="1"/>
  <c r="N92" i="23"/>
  <c r="N98" i="23"/>
  <c r="N99" i="23" s="1"/>
  <c r="BD46" i="22"/>
  <c r="BD52" i="22"/>
  <c r="BD54" i="22" s="1"/>
  <c r="BD19" i="22"/>
  <c r="BD25" i="22"/>
  <c r="R173" i="22"/>
  <c r="BF44" i="22"/>
  <c r="BE47" i="22"/>
  <c r="BC18" i="22"/>
  <c r="AW28" i="18"/>
  <c r="AX29" i="18"/>
  <c r="AX35" i="18"/>
  <c r="P63" i="23"/>
  <c r="O66" i="23"/>
  <c r="AY12" i="18"/>
  <c r="AY6" i="18"/>
  <c r="AZ27" i="18"/>
  <c r="AY30" i="18"/>
  <c r="M64" i="23"/>
  <c r="BA4" i="18"/>
  <c r="AZ7" i="18"/>
  <c r="BC45" i="22"/>
  <c r="M91" i="23"/>
  <c r="BF17" i="22"/>
  <c r="BE20" i="22"/>
  <c r="P90" i="23"/>
  <c r="O93" i="23"/>
  <c r="AX5" i="18"/>
  <c r="BR224" i="3"/>
  <c r="BR225" i="3"/>
  <c r="BQ243" i="3"/>
  <c r="BQ240" i="3"/>
  <c r="BR217" i="3"/>
  <c r="BR218" i="3"/>
  <c r="BR220" i="3"/>
  <c r="BR222" i="3"/>
  <c r="BR219" i="3"/>
  <c r="BR221" i="3"/>
  <c r="BR216" i="3"/>
  <c r="BR223" i="3"/>
  <c r="BQ241" i="3"/>
  <c r="BQ242" i="3"/>
  <c r="G22" i="4"/>
  <c r="R24" i="4"/>
  <c r="Q24" i="4" s="1"/>
  <c r="BE127" i="22"/>
  <c r="BE133" i="22"/>
  <c r="BE134" i="22" s="1"/>
  <c r="BE137" i="22" s="1"/>
  <c r="S21" i="20"/>
  <c r="R22" i="20"/>
  <c r="BD163" i="22"/>
  <c r="BF152" i="22"/>
  <c r="BG149" i="22"/>
  <c r="AI21" i="20"/>
  <c r="AH22" i="20"/>
  <c r="BE151" i="22"/>
  <c r="BE157" i="22"/>
  <c r="BE158" i="22" s="1"/>
  <c r="BE161" i="22" s="1"/>
  <c r="BD139" i="22"/>
  <c r="N64" i="22"/>
  <c r="N69" i="22" s="1"/>
  <c r="N70" i="22" s="1"/>
  <c r="O63" i="22"/>
  <c r="O74" i="22" s="1"/>
  <c r="O198" i="23"/>
  <c r="P195" i="23"/>
  <c r="O174" i="23"/>
  <c r="P171" i="23"/>
  <c r="N197" i="23"/>
  <c r="N203" i="23"/>
  <c r="N204" i="23" s="1"/>
  <c r="N207" i="23" s="1"/>
  <c r="N173" i="23"/>
  <c r="N179" i="23"/>
  <c r="N180" i="23" s="1"/>
  <c r="N183" i="23" s="1"/>
  <c r="P47" i="24"/>
  <c r="P1" i="24"/>
  <c r="Q2" i="24"/>
  <c r="AQ115" i="22"/>
  <c r="AQ120" i="22" s="1"/>
  <c r="AQ121" i="22" s="1"/>
  <c r="AQ125" i="22"/>
  <c r="AR114" i="22"/>
  <c r="S168" i="22"/>
  <c r="S170" i="22" s="1"/>
  <c r="S172" i="22"/>
  <c r="AV117" i="22"/>
  <c r="S92" i="22"/>
  <c r="T2" i="22"/>
  <c r="M209" i="23"/>
  <c r="M196" i="23"/>
  <c r="M185" i="23"/>
  <c r="M172" i="23"/>
  <c r="BF128" i="22"/>
  <c r="BG125" i="22"/>
  <c r="O84" i="18"/>
  <c r="O58" i="18"/>
  <c r="AZ148" i="18"/>
  <c r="T41" i="20"/>
  <c r="AB40" i="20"/>
  <c r="AJ39" i="20"/>
  <c r="AR38" i="20"/>
  <c r="O163" i="18"/>
  <c r="O159" i="18"/>
  <c r="O161" i="18" s="1"/>
  <c r="N164" i="18"/>
  <c r="P2" i="18"/>
  <c r="AZ96" i="18"/>
  <c r="AZ99" i="18" s="1"/>
  <c r="AW110" i="18"/>
  <c r="AW97" i="18"/>
  <c r="AX104" i="18"/>
  <c r="AX105" i="18" s="1"/>
  <c r="AX108" i="18" s="1"/>
  <c r="AX98" i="18"/>
  <c r="AW121" i="18"/>
  <c r="AW134" i="18"/>
  <c r="AX122" i="18"/>
  <c r="AX128" i="18"/>
  <c r="AZ120" i="18"/>
  <c r="AZ123" i="18" s="1"/>
  <c r="P219" i="23" l="1"/>
  <c r="P220" i="23" s="1"/>
  <c r="O230" i="23"/>
  <c r="AX129" i="18"/>
  <c r="AX132" i="18" s="1"/>
  <c r="N471" i="18"/>
  <c r="O460" i="18"/>
  <c r="O461" i="18" s="1"/>
  <c r="O466" i="18" s="1"/>
  <c r="O467" i="18" s="1"/>
  <c r="BR213" i="3"/>
  <c r="BS212" i="3"/>
  <c r="BR215" i="3"/>
  <c r="AO18" i="3"/>
  <c r="AB15" i="3"/>
  <c r="AA18" i="3"/>
  <c r="P43" i="1"/>
  <c r="AE100" i="32" s="1"/>
  <c r="AO45" i="3"/>
  <c r="AO44" i="3"/>
  <c r="F120" i="1" s="1"/>
  <c r="M322" i="22"/>
  <c r="M323" i="22"/>
  <c r="M298" i="22"/>
  <c r="M299" i="22"/>
  <c r="M521" i="23"/>
  <c r="M520" i="23"/>
  <c r="O272" i="23"/>
  <c r="O277" i="23" s="1"/>
  <c r="O278" i="23" s="1"/>
  <c r="Q295" i="23"/>
  <c r="Q370" i="23"/>
  <c r="Q274" i="23"/>
  <c r="R2" i="23"/>
  <c r="Q248" i="23"/>
  <c r="Q366" i="23"/>
  <c r="Q368" i="23" s="1"/>
  <c r="Q222" i="23"/>
  <c r="P371" i="23"/>
  <c r="P237" i="22"/>
  <c r="P435" i="23"/>
  <c r="O282" i="23"/>
  <c r="AF19" i="3"/>
  <c r="N321" i="23"/>
  <c r="N322" i="23" s="1"/>
  <c r="N323" i="23" s="1"/>
  <c r="N314" i="23"/>
  <c r="N325" i="23" s="1"/>
  <c r="N123" i="22"/>
  <c r="N124" i="22" s="1"/>
  <c r="N125" i="22" s="1"/>
  <c r="N116" i="22"/>
  <c r="AZ60" i="18"/>
  <c r="AZ59" i="18"/>
  <c r="BB53" i="18"/>
  <c r="BC50" i="18"/>
  <c r="BA58" i="18"/>
  <c r="BA52" i="18"/>
  <c r="AY61" i="18"/>
  <c r="AZ63" i="18"/>
  <c r="AZ51" i="18"/>
  <c r="N132" i="23"/>
  <c r="BD113" i="22"/>
  <c r="N157" i="23"/>
  <c r="N156" i="23"/>
  <c r="N161" i="23"/>
  <c r="N155" i="23"/>
  <c r="N158" i="23"/>
  <c r="N145" i="23"/>
  <c r="R117" i="23"/>
  <c r="Q120" i="23"/>
  <c r="BF73" i="22"/>
  <c r="BF79" i="22"/>
  <c r="BH71" i="22"/>
  <c r="BG74" i="22"/>
  <c r="BE107" i="22"/>
  <c r="BE108" i="22"/>
  <c r="BE109" i="22"/>
  <c r="BE115" i="22"/>
  <c r="BE99" i="22"/>
  <c r="BE110" i="22"/>
  <c r="BE111" i="22"/>
  <c r="BE112" i="22"/>
  <c r="AX84" i="18"/>
  <c r="BF100" i="22"/>
  <c r="BF106" i="22"/>
  <c r="BH98" i="22"/>
  <c r="BG101" i="22"/>
  <c r="M159" i="23"/>
  <c r="BD86" i="22"/>
  <c r="BE80" i="22"/>
  <c r="BE81" i="22"/>
  <c r="O127" i="23"/>
  <c r="O126" i="23"/>
  <c r="BE84" i="22"/>
  <c r="BE82" i="22"/>
  <c r="BE85" i="22"/>
  <c r="BE72" i="22"/>
  <c r="BE83" i="22"/>
  <c r="BE88" i="22"/>
  <c r="O131" i="23"/>
  <c r="O118" i="23"/>
  <c r="O129" i="23"/>
  <c r="O130" i="23"/>
  <c r="O134" i="23"/>
  <c r="O128" i="23"/>
  <c r="O146" i="23"/>
  <c r="O152" i="23"/>
  <c r="Q144" i="23"/>
  <c r="P147" i="23"/>
  <c r="N154" i="23"/>
  <c r="N153" i="23"/>
  <c r="P119" i="23"/>
  <c r="P125" i="23"/>
  <c r="BD27" i="22"/>
  <c r="BD26" i="22"/>
  <c r="AZ75" i="18"/>
  <c r="AZ81" i="18"/>
  <c r="AY83" i="18"/>
  <c r="AY82" i="18"/>
  <c r="AY74" i="18"/>
  <c r="AY86" i="18"/>
  <c r="BP242" i="3"/>
  <c r="BP241" i="3"/>
  <c r="BA76" i="18"/>
  <c r="P117" i="22"/>
  <c r="O118" i="22"/>
  <c r="P315" i="23"/>
  <c r="O316" i="23"/>
  <c r="O314" i="23" s="1"/>
  <c r="O325" i="23" s="1"/>
  <c r="P23" i="3"/>
  <c r="O23" i="3"/>
  <c r="AB44" i="3"/>
  <c r="AP60" i="1" s="1"/>
  <c r="AB43" i="3"/>
  <c r="BU23" i="3"/>
  <c r="P463" i="18"/>
  <c r="AY13" i="18"/>
  <c r="AX36" i="18"/>
  <c r="M105" i="23"/>
  <c r="M78" i="23"/>
  <c r="AX15" i="18"/>
  <c r="AW38" i="18"/>
  <c r="BC59" i="22"/>
  <c r="BC32" i="22"/>
  <c r="N100" i="23"/>
  <c r="N104" i="23"/>
  <c r="N102" i="23"/>
  <c r="N103" i="23"/>
  <c r="N73" i="23"/>
  <c r="N77" i="23"/>
  <c r="N75" i="23"/>
  <c r="N76" i="23"/>
  <c r="BD57" i="22"/>
  <c r="BD56" i="22"/>
  <c r="BD58" i="22"/>
  <c r="BD31" i="22"/>
  <c r="BD29" i="22"/>
  <c r="BD30" i="22"/>
  <c r="AX37" i="18"/>
  <c r="AX40" i="18"/>
  <c r="AY14" i="18"/>
  <c r="Q66" i="22"/>
  <c r="BP240" i="3"/>
  <c r="BP243" i="3"/>
  <c r="AJ19" i="3"/>
  <c r="BE216" i="3"/>
  <c r="Z47" i="3"/>
  <c r="Z48" i="3" s="1"/>
  <c r="AK19" i="3"/>
  <c r="P46" i="3"/>
  <c r="P39" i="1" s="1"/>
  <c r="BF216" i="3"/>
  <c r="AO46" i="3"/>
  <c r="AO43" i="3"/>
  <c r="AT43" i="1" s="1"/>
  <c r="AU43" i="1" s="1"/>
  <c r="N281" i="22"/>
  <c r="N292" i="22" s="1"/>
  <c r="N295" i="22" s="1"/>
  <c r="N297" i="22" s="1"/>
  <c r="N503" i="23"/>
  <c r="N514" i="23" s="1"/>
  <c r="N517" i="23" s="1"/>
  <c r="N519" i="23" s="1"/>
  <c r="M304" i="22"/>
  <c r="P279" i="22"/>
  <c r="O282" i="22"/>
  <c r="P501" i="23"/>
  <c r="O504" i="23"/>
  <c r="M280" i="22"/>
  <c r="O479" i="23"/>
  <c r="O478" i="23" s="1"/>
  <c r="N305" i="22"/>
  <c r="N316" i="22" s="1"/>
  <c r="N319" i="22" s="1"/>
  <c r="N321" i="22" s="1"/>
  <c r="P480" i="23"/>
  <c r="O306" i="22"/>
  <c r="P303" i="22"/>
  <c r="M502" i="23"/>
  <c r="N490" i="23"/>
  <c r="N493" i="23" s="1"/>
  <c r="N74" i="23"/>
  <c r="BD28" i="22"/>
  <c r="BD55" i="22"/>
  <c r="BD61" i="22"/>
  <c r="N101" i="23"/>
  <c r="N107" i="23"/>
  <c r="O92" i="23"/>
  <c r="O98" i="23"/>
  <c r="O99" i="23" s="1"/>
  <c r="O65" i="23"/>
  <c r="O71" i="23"/>
  <c r="O72" i="23" s="1"/>
  <c r="BE46" i="22"/>
  <c r="BE52" i="22"/>
  <c r="BE54" i="22" s="1"/>
  <c r="BE19" i="22"/>
  <c r="BE25" i="22"/>
  <c r="O225" i="23"/>
  <c r="O226" i="23" s="1"/>
  <c r="BB4" i="18"/>
  <c r="BA7" i="18"/>
  <c r="AX28" i="18"/>
  <c r="N91" i="23"/>
  <c r="AY29" i="18"/>
  <c r="AY35" i="18"/>
  <c r="BD18" i="22"/>
  <c r="BA27" i="18"/>
  <c r="AZ30" i="18"/>
  <c r="N64" i="23"/>
  <c r="AY5" i="18"/>
  <c r="Q90" i="23"/>
  <c r="P93" i="23"/>
  <c r="BG17" i="22"/>
  <c r="BF20" i="22"/>
  <c r="Q63" i="23"/>
  <c r="P66" i="23"/>
  <c r="BD45" i="22"/>
  <c r="AZ6" i="18"/>
  <c r="AZ12" i="18"/>
  <c r="BG44" i="22"/>
  <c r="BF47" i="22"/>
  <c r="BS224" i="3"/>
  <c r="BS225" i="3"/>
  <c r="BR241" i="3"/>
  <c r="BR242" i="3"/>
  <c r="BQ244" i="3"/>
  <c r="BQ245" i="3" s="1"/>
  <c r="BS217" i="3"/>
  <c r="BS219" i="3"/>
  <c r="BS218" i="3"/>
  <c r="BS220" i="3"/>
  <c r="BS216" i="3"/>
  <c r="BS221" i="3"/>
  <c r="BS222" i="3"/>
  <c r="BS223" i="3"/>
  <c r="BR240" i="3"/>
  <c r="BR243" i="3"/>
  <c r="O197" i="23"/>
  <c r="O203" i="23"/>
  <c r="O204" i="23" s="1"/>
  <c r="O207" i="23" s="1"/>
  <c r="N185" i="23"/>
  <c r="N172" i="23"/>
  <c r="AH23" i="20"/>
  <c r="AI22" i="20"/>
  <c r="BG128" i="22"/>
  <c r="BH125" i="22"/>
  <c r="T168" i="22"/>
  <c r="T170" i="22" s="1"/>
  <c r="AW117" i="22"/>
  <c r="T92" i="22"/>
  <c r="T172" i="22"/>
  <c r="U2" i="22"/>
  <c r="Q1" i="24"/>
  <c r="R2" i="24"/>
  <c r="Q47" i="24"/>
  <c r="BF127" i="22"/>
  <c r="BF133" i="22"/>
  <c r="BF134" i="22" s="1"/>
  <c r="BF137" i="22" s="1"/>
  <c r="N209" i="23"/>
  <c r="N196" i="23"/>
  <c r="O64" i="22"/>
  <c r="O69" i="22" s="1"/>
  <c r="O70" i="22" s="1"/>
  <c r="P63" i="22"/>
  <c r="P74" i="22" s="1"/>
  <c r="P272" i="23"/>
  <c r="P277" i="23" s="1"/>
  <c r="P278" i="23" s="1"/>
  <c r="P282" i="23"/>
  <c r="Q271" i="23"/>
  <c r="S173" i="22"/>
  <c r="BG152" i="22"/>
  <c r="BH149" i="22"/>
  <c r="BE139" i="22"/>
  <c r="BE126" i="22"/>
  <c r="BF151" i="22"/>
  <c r="BF157" i="22"/>
  <c r="BF158" i="22" s="1"/>
  <c r="BF161" i="22" s="1"/>
  <c r="P174" i="23"/>
  <c r="Q171" i="23"/>
  <c r="O173" i="23"/>
  <c r="O179" i="23"/>
  <c r="O180" i="23" s="1"/>
  <c r="O183" i="23" s="1"/>
  <c r="S22" i="20"/>
  <c r="R23" i="20"/>
  <c r="AR115" i="22"/>
  <c r="AR120" i="22" s="1"/>
  <c r="AR121" i="22" s="1"/>
  <c r="AS114" i="22"/>
  <c r="AR125" i="22"/>
  <c r="P198" i="23"/>
  <c r="Q195" i="23"/>
  <c r="BE163" i="22"/>
  <c r="BE150" i="22"/>
  <c r="O164" i="18"/>
  <c r="BA148" i="18"/>
  <c r="P58" i="18"/>
  <c r="P84" i="18"/>
  <c r="AJ40" i="20"/>
  <c r="AR39" i="20"/>
  <c r="T42" i="20"/>
  <c r="AB41" i="20"/>
  <c r="P159" i="18"/>
  <c r="P161" i="18" s="1"/>
  <c r="P163" i="18"/>
  <c r="Q2" i="18"/>
  <c r="BA96" i="18"/>
  <c r="BA99" i="18" s="1"/>
  <c r="AY104" i="18"/>
  <c r="AY105" i="18" s="1"/>
  <c r="AY108" i="18" s="1"/>
  <c r="AY98" i="18"/>
  <c r="AX121" i="18"/>
  <c r="AX134" i="18"/>
  <c r="BA120" i="18"/>
  <c r="BA123" i="18" s="1"/>
  <c r="AX110" i="18"/>
  <c r="AX97" i="18"/>
  <c r="AY122" i="18"/>
  <c r="AY128" i="18"/>
  <c r="O471" i="18" l="1"/>
  <c r="P460" i="18"/>
  <c r="P461" i="18" s="1"/>
  <c r="Q219" i="23"/>
  <c r="Q220" i="23" s="1"/>
  <c r="P230" i="23"/>
  <c r="H120" i="1"/>
  <c r="H116" i="1" s="1"/>
  <c r="F116" i="1"/>
  <c r="F124" i="1" s="1"/>
  <c r="F122" i="1"/>
  <c r="G38" i="27"/>
  <c r="G120" i="1"/>
  <c r="AY129" i="18"/>
  <c r="AY132" i="18" s="1"/>
  <c r="O45" i="3"/>
  <c r="O38" i="1" s="1"/>
  <c r="I11" i="5" s="1"/>
  <c r="O46" i="3"/>
  <c r="P38" i="1" s="1"/>
  <c r="BU45" i="3"/>
  <c r="AF179" i="1" s="1"/>
  <c r="BU46" i="3"/>
  <c r="AG179" i="1" s="1"/>
  <c r="AP18" i="3"/>
  <c r="AC15" i="3"/>
  <c r="P45" i="3"/>
  <c r="O39" i="1" s="1"/>
  <c r="I12" i="5" s="1"/>
  <c r="BS213" i="3"/>
  <c r="BT212" i="3"/>
  <c r="BS215" i="3"/>
  <c r="AE110" i="32"/>
  <c r="AE111" i="32"/>
  <c r="AB111" i="32" s="1"/>
  <c r="J22" i="5"/>
  <c r="Q371" i="23"/>
  <c r="N323" i="22"/>
  <c r="N322" i="22"/>
  <c r="N298" i="22"/>
  <c r="N299" i="22"/>
  <c r="N521" i="23"/>
  <c r="N520" i="23"/>
  <c r="R295" i="23"/>
  <c r="R248" i="23"/>
  <c r="S2" i="23"/>
  <c r="R366" i="23"/>
  <c r="R368" i="23" s="1"/>
  <c r="R274" i="23"/>
  <c r="R370" i="23"/>
  <c r="R222" i="23"/>
  <c r="Q237" i="22"/>
  <c r="Q435" i="23"/>
  <c r="O123" i="22"/>
  <c r="O124" i="22" s="1"/>
  <c r="O125" i="22" s="1"/>
  <c r="O116" i="22"/>
  <c r="AZ61" i="18"/>
  <c r="BA51" i="18"/>
  <c r="BA63" i="18"/>
  <c r="BA60" i="18"/>
  <c r="BA59" i="18"/>
  <c r="BD50" i="18"/>
  <c r="BC53" i="18"/>
  <c r="BB58" i="18"/>
  <c r="BB52" i="18"/>
  <c r="O132" i="23"/>
  <c r="N159" i="23"/>
  <c r="BE113" i="22"/>
  <c r="BE86" i="22"/>
  <c r="Q119" i="23"/>
  <c r="Q125" i="23"/>
  <c r="P146" i="23"/>
  <c r="P152" i="23"/>
  <c r="S117" i="23"/>
  <c r="R120" i="23"/>
  <c r="R144" i="23"/>
  <c r="Q147" i="23"/>
  <c r="BG100" i="22"/>
  <c r="BG106" i="22"/>
  <c r="O154" i="23"/>
  <c r="O153" i="23"/>
  <c r="BI98" i="22"/>
  <c r="BH101" i="22"/>
  <c r="O158" i="23"/>
  <c r="O145" i="23"/>
  <c r="O156" i="23"/>
  <c r="O155" i="23"/>
  <c r="O161" i="23"/>
  <c r="O157" i="23"/>
  <c r="BF107" i="22"/>
  <c r="BF108" i="22"/>
  <c r="BF109" i="22"/>
  <c r="BF115" i="22"/>
  <c r="BF111" i="22"/>
  <c r="BF110" i="22"/>
  <c r="BF112" i="22"/>
  <c r="BF99" i="22"/>
  <c r="BG73" i="22"/>
  <c r="BG79" i="22"/>
  <c r="BI71" i="22"/>
  <c r="BH74" i="22"/>
  <c r="P127" i="23"/>
  <c r="P126" i="23"/>
  <c r="P130" i="23"/>
  <c r="P131" i="23"/>
  <c r="P118" i="23"/>
  <c r="P128" i="23"/>
  <c r="P134" i="23"/>
  <c r="P129" i="23"/>
  <c r="BF80" i="22"/>
  <c r="BF81" i="22"/>
  <c r="BP244" i="3"/>
  <c r="BP245" i="3" s="1"/>
  <c r="BF72" i="22"/>
  <c r="BF83" i="22"/>
  <c r="BF82" i="22"/>
  <c r="BF88" i="22"/>
  <c r="BF85" i="22"/>
  <c r="BF84" i="22"/>
  <c r="AY84" i="18"/>
  <c r="AZ74" i="18"/>
  <c r="AZ86" i="18"/>
  <c r="BA75" i="18"/>
  <c r="BA81" i="18"/>
  <c r="BE27" i="22"/>
  <c r="BE26" i="22"/>
  <c r="AZ83" i="18"/>
  <c r="AZ82" i="18"/>
  <c r="BB76" i="18"/>
  <c r="P466" i="18"/>
  <c r="P467" i="18" s="1"/>
  <c r="Q460" i="18"/>
  <c r="Q461" i="18" s="1"/>
  <c r="Q463" i="18"/>
  <c r="O321" i="23"/>
  <c r="O322" i="23" s="1"/>
  <c r="O323" i="23" s="1"/>
  <c r="Q315" i="23"/>
  <c r="P316" i="23"/>
  <c r="Q117" i="22"/>
  <c r="P118" i="22"/>
  <c r="BU44" i="3"/>
  <c r="BU43" i="3"/>
  <c r="AB47" i="3"/>
  <c r="AB48" i="3" s="1"/>
  <c r="AJ23" i="3"/>
  <c r="AJ45" i="3" s="1"/>
  <c r="AF23" i="3"/>
  <c r="BE220" i="3"/>
  <c r="BE242" i="3" s="1"/>
  <c r="AK23" i="3"/>
  <c r="AK45" i="3" s="1"/>
  <c r="AL53" i="3" s="1"/>
  <c r="BF220" i="3"/>
  <c r="BF242" i="3" s="1"/>
  <c r="P471" i="18"/>
  <c r="AY15" i="18"/>
  <c r="N78" i="23"/>
  <c r="AZ13" i="18"/>
  <c r="AY36" i="18"/>
  <c r="N105" i="23"/>
  <c r="BD59" i="22"/>
  <c r="AX38" i="18"/>
  <c r="BD32" i="22"/>
  <c r="O100" i="23"/>
  <c r="O73" i="23"/>
  <c r="O103" i="23"/>
  <c r="O102" i="23"/>
  <c r="O104" i="23"/>
  <c r="O77" i="23"/>
  <c r="O75" i="23"/>
  <c r="O76" i="23"/>
  <c r="BE56" i="22"/>
  <c r="BE58" i="22"/>
  <c r="BE57" i="22"/>
  <c r="BE29" i="22"/>
  <c r="BE30" i="22"/>
  <c r="BE31" i="22"/>
  <c r="AY37" i="18"/>
  <c r="AY40" i="18"/>
  <c r="R66" i="22"/>
  <c r="J20" i="5"/>
  <c r="AO58" i="1"/>
  <c r="AI19" i="3"/>
  <c r="AO47" i="3"/>
  <c r="AO48" i="3" s="1"/>
  <c r="N304" i="22"/>
  <c r="O490" i="23"/>
  <c r="O493" i="23" s="1"/>
  <c r="N502" i="23"/>
  <c r="N280" i="22"/>
  <c r="Q303" i="22"/>
  <c r="P306" i="22"/>
  <c r="O503" i="23"/>
  <c r="O514" i="23" s="1"/>
  <c r="O517" i="23" s="1"/>
  <c r="O519" i="23" s="1"/>
  <c r="O305" i="22"/>
  <c r="O316" i="22" s="1"/>
  <c r="O319" i="22" s="1"/>
  <c r="O321" i="22" s="1"/>
  <c r="Q501" i="23"/>
  <c r="P504" i="23"/>
  <c r="P479" i="23"/>
  <c r="P478" i="23" s="1"/>
  <c r="O281" i="22"/>
  <c r="O292" i="22" s="1"/>
  <c r="O295" i="22" s="1"/>
  <c r="O297" i="22" s="1"/>
  <c r="Q480" i="23"/>
  <c r="Q279" i="22"/>
  <c r="P282" i="22"/>
  <c r="O74" i="23"/>
  <c r="BE28" i="22"/>
  <c r="BE55" i="22"/>
  <c r="BE61" i="22"/>
  <c r="O101" i="23"/>
  <c r="O107" i="23"/>
  <c r="P92" i="23"/>
  <c r="P98" i="23"/>
  <c r="P99" i="23" s="1"/>
  <c r="P71" i="23"/>
  <c r="P72" i="23" s="1"/>
  <c r="P65" i="23"/>
  <c r="BF46" i="22"/>
  <c r="BF52" i="22"/>
  <c r="BF54" i="22" s="1"/>
  <c r="BF19" i="22"/>
  <c r="BF25" i="22"/>
  <c r="P225" i="23"/>
  <c r="P226" i="23" s="1"/>
  <c r="BH44" i="22"/>
  <c r="BG47" i="22"/>
  <c r="AZ14" i="18"/>
  <c r="R90" i="23"/>
  <c r="Q93" i="23"/>
  <c r="BA6" i="18"/>
  <c r="BA12" i="18"/>
  <c r="AZ5" i="18"/>
  <c r="BC4" i="18"/>
  <c r="BB7" i="18"/>
  <c r="BG20" i="22"/>
  <c r="BH17" i="22"/>
  <c r="O64" i="23"/>
  <c r="AY28" i="18"/>
  <c r="AZ29" i="18"/>
  <c r="AZ35" i="18"/>
  <c r="BB27" i="18"/>
  <c r="BA30" i="18"/>
  <c r="O91" i="23"/>
  <c r="R63" i="23"/>
  <c r="Q66" i="23"/>
  <c r="BE45" i="22"/>
  <c r="BE18" i="22"/>
  <c r="BT216" i="3"/>
  <c r="BT221" i="3"/>
  <c r="BT218" i="3"/>
  <c r="BT224" i="3"/>
  <c r="BT225" i="3"/>
  <c r="BT220" i="3"/>
  <c r="BT219" i="3"/>
  <c r="BT222" i="3"/>
  <c r="BT223" i="3"/>
  <c r="BR244" i="3"/>
  <c r="BR245" i="3" s="1"/>
  <c r="BS241" i="3"/>
  <c r="BS243" i="3"/>
  <c r="BS240" i="3"/>
  <c r="BS242" i="3"/>
  <c r="T173" i="22"/>
  <c r="AS115" i="22"/>
  <c r="AS120" i="22" s="1"/>
  <c r="AS121" i="22" s="1"/>
  <c r="AS125" i="22"/>
  <c r="AT114" i="22"/>
  <c r="BG157" i="22"/>
  <c r="BG158" i="22" s="1"/>
  <c r="BG161" i="22" s="1"/>
  <c r="BG151" i="22"/>
  <c r="Q272" i="23"/>
  <c r="Q277" i="23" s="1"/>
  <c r="Q278" i="23" s="1"/>
  <c r="Q282" i="23"/>
  <c r="R271" i="23"/>
  <c r="R24" i="20"/>
  <c r="S23" i="20"/>
  <c r="BH128" i="22"/>
  <c r="BI125" i="22"/>
  <c r="BG127" i="22"/>
  <c r="BG133" i="22"/>
  <c r="BG134" i="22" s="1"/>
  <c r="BG137" i="22" s="1"/>
  <c r="Q174" i="23"/>
  <c r="R171" i="23"/>
  <c r="P64" i="22"/>
  <c r="P69" i="22" s="1"/>
  <c r="P70" i="22" s="1"/>
  <c r="Q63" i="22"/>
  <c r="Q74" i="22" s="1"/>
  <c r="O185" i="23"/>
  <c r="O172" i="23"/>
  <c r="P173" i="23"/>
  <c r="P179" i="23"/>
  <c r="P180" i="23" s="1"/>
  <c r="P183" i="23" s="1"/>
  <c r="S2" i="24"/>
  <c r="R47" i="24"/>
  <c r="R1" i="24"/>
  <c r="AI23" i="20"/>
  <c r="AH24" i="20"/>
  <c r="U168" i="22"/>
  <c r="U170" i="22" s="1"/>
  <c r="AX117" i="22"/>
  <c r="U92" i="22"/>
  <c r="U172" i="22"/>
  <c r="V2" i="22"/>
  <c r="Q198" i="23"/>
  <c r="R195" i="23"/>
  <c r="O209" i="23"/>
  <c r="O196" i="23"/>
  <c r="P197" i="23"/>
  <c r="P203" i="23"/>
  <c r="P204" i="23" s="1"/>
  <c r="P207" i="23" s="1"/>
  <c r="BF163" i="22"/>
  <c r="BF150" i="22"/>
  <c r="BH152" i="22"/>
  <c r="BI149" i="22"/>
  <c r="BF126" i="22"/>
  <c r="BF139" i="22"/>
  <c r="Q84" i="18"/>
  <c r="Q58" i="18"/>
  <c r="BB148" i="18"/>
  <c r="AJ41" i="20"/>
  <c r="AR40" i="20"/>
  <c r="T43" i="20"/>
  <c r="AB42" i="20"/>
  <c r="Q159" i="18"/>
  <c r="Q161" i="18" s="1"/>
  <c r="Q163" i="18"/>
  <c r="P164" i="18"/>
  <c r="R2" i="18"/>
  <c r="BB120" i="18"/>
  <c r="BB123" i="18" s="1"/>
  <c r="AY121" i="18"/>
  <c r="AY134" i="18"/>
  <c r="AZ104" i="18"/>
  <c r="AZ105" i="18" s="1"/>
  <c r="AZ108" i="18" s="1"/>
  <c r="AZ98" i="18"/>
  <c r="BB96" i="18"/>
  <c r="BB99" i="18" s="1"/>
  <c r="AZ122" i="18"/>
  <c r="AZ128" i="18"/>
  <c r="AY110" i="18"/>
  <c r="AY97" i="18"/>
  <c r="F118" i="1" l="1"/>
  <c r="F123" i="1" s="1"/>
  <c r="F125" i="1" s="1"/>
  <c r="G37" i="27"/>
  <c r="G39" i="27" s="1"/>
  <c r="R219" i="23"/>
  <c r="Q230" i="23"/>
  <c r="H124" i="1"/>
  <c r="P32" i="1" s="1"/>
  <c r="I37" i="27"/>
  <c r="H38" i="27"/>
  <c r="G122" i="1"/>
  <c r="G116" i="1"/>
  <c r="AF46" i="3"/>
  <c r="I38" i="27"/>
  <c r="H122" i="1"/>
  <c r="AZ129" i="18"/>
  <c r="AZ132" i="18" s="1"/>
  <c r="AF194" i="1"/>
  <c r="AR48" i="1" s="1"/>
  <c r="AK46" i="3"/>
  <c r="AL54" i="3" s="1"/>
  <c r="AJ46" i="3"/>
  <c r="AP61" i="3" s="1"/>
  <c r="AG181" i="1"/>
  <c r="AG194" i="1"/>
  <c r="BF243" i="3"/>
  <c r="BE243" i="3"/>
  <c r="AF45" i="3"/>
  <c r="BT213" i="3"/>
  <c r="BU212" i="3"/>
  <c r="BT215" i="3"/>
  <c r="BU18" i="3"/>
  <c r="AD15" i="3"/>
  <c r="CK22" i="5"/>
  <c r="J61" i="5"/>
  <c r="CK61" i="5" s="1"/>
  <c r="CK68" i="5" s="1"/>
  <c r="CK102" i="5"/>
  <c r="J102" i="5"/>
  <c r="AB110" i="32"/>
  <c r="AB112" i="32" s="1"/>
  <c r="AE112" i="32"/>
  <c r="N32" i="1"/>
  <c r="J80" i="18"/>
  <c r="K80" i="18"/>
  <c r="K99" i="18" s="1"/>
  <c r="AP53" i="3"/>
  <c r="G88" i="1" s="1"/>
  <c r="AJ53" i="3"/>
  <c r="G76" i="1" s="1"/>
  <c r="H15" i="27" s="1"/>
  <c r="AN53" i="3"/>
  <c r="G84" i="1" s="1"/>
  <c r="AW53" i="3"/>
  <c r="AF150" i="1" s="1"/>
  <c r="AL60" i="3"/>
  <c r="AF24" i="1" s="1"/>
  <c r="AN60" i="3"/>
  <c r="G61" i="1" s="1"/>
  <c r="H21" i="27" s="1"/>
  <c r="AJ60" i="3"/>
  <c r="AF20" i="1" s="1"/>
  <c r="AW60" i="3"/>
  <c r="AF29" i="1" s="1"/>
  <c r="AP60" i="3"/>
  <c r="G65" i="1" s="1"/>
  <c r="O323" i="22"/>
  <c r="O322" i="22"/>
  <c r="O520" i="23"/>
  <c r="O521" i="23"/>
  <c r="O298" i="22"/>
  <c r="O299" i="22"/>
  <c r="R371" i="23"/>
  <c r="S295" i="23"/>
  <c r="S366" i="23"/>
  <c r="S368" i="23" s="1"/>
  <c r="S274" i="23"/>
  <c r="S370" i="23"/>
  <c r="S248" i="23"/>
  <c r="S222" i="23"/>
  <c r="T2" i="23"/>
  <c r="R435" i="23"/>
  <c r="R237" i="22"/>
  <c r="O47" i="1"/>
  <c r="AU48" i="1"/>
  <c r="BF12" i="5"/>
  <c r="I51" i="5"/>
  <c r="BF51" i="5" s="1"/>
  <c r="BF68" i="5" s="1"/>
  <c r="I10" i="5"/>
  <c r="P123" i="22"/>
  <c r="P124" i="22" s="1"/>
  <c r="P125" i="22" s="1"/>
  <c r="P116" i="22"/>
  <c r="P321" i="23"/>
  <c r="P322" i="23" s="1"/>
  <c r="P323" i="23" s="1"/>
  <c r="P314" i="23"/>
  <c r="P325" i="23" s="1"/>
  <c r="BB59" i="18"/>
  <c r="BB60" i="18"/>
  <c r="BB63" i="18"/>
  <c r="BB51" i="18"/>
  <c r="BC58" i="18"/>
  <c r="BC52" i="18"/>
  <c r="BE50" i="18"/>
  <c r="BD53" i="18"/>
  <c r="BA61" i="18"/>
  <c r="R460" i="18"/>
  <c r="R461" i="18" s="1"/>
  <c r="Q471" i="18"/>
  <c r="D36" i="29"/>
  <c r="P47" i="1"/>
  <c r="BF86" i="22"/>
  <c r="P132" i="23"/>
  <c r="BF113" i="22"/>
  <c r="O159" i="23"/>
  <c r="Q126" i="23"/>
  <c r="Q127" i="23"/>
  <c r="Q134" i="23"/>
  <c r="Q128" i="23"/>
  <c r="Q130" i="23"/>
  <c r="Q129" i="23"/>
  <c r="Q131" i="23"/>
  <c r="Q118" i="23"/>
  <c r="BG108" i="22"/>
  <c r="BG107" i="22"/>
  <c r="BG112" i="22"/>
  <c r="BG99" i="22"/>
  <c r="BG110" i="22"/>
  <c r="BG109" i="22"/>
  <c r="BG115" i="22"/>
  <c r="BG111" i="22"/>
  <c r="BH73" i="22"/>
  <c r="BH79" i="22"/>
  <c r="Q146" i="23"/>
  <c r="Q152" i="23"/>
  <c r="BJ71" i="22"/>
  <c r="BI74" i="22"/>
  <c r="S144" i="23"/>
  <c r="R147" i="23"/>
  <c r="BG80" i="22"/>
  <c r="BG81" i="22"/>
  <c r="R119" i="23"/>
  <c r="R125" i="23"/>
  <c r="BG84" i="22"/>
  <c r="BG85" i="22"/>
  <c r="BG82" i="22"/>
  <c r="BG72" i="22"/>
  <c r="BG88" i="22"/>
  <c r="BG83" i="22"/>
  <c r="T117" i="23"/>
  <c r="S120" i="23"/>
  <c r="BH100" i="22"/>
  <c r="BH106" i="22"/>
  <c r="P154" i="23"/>
  <c r="P153" i="23"/>
  <c r="BJ98" i="22"/>
  <c r="BI101" i="22"/>
  <c r="P155" i="23"/>
  <c r="P161" i="23"/>
  <c r="P157" i="23"/>
  <c r="P158" i="23"/>
  <c r="P145" i="23"/>
  <c r="P156" i="23"/>
  <c r="BA74" i="18"/>
  <c r="BA86" i="18"/>
  <c r="BF27" i="22"/>
  <c r="BF26" i="22"/>
  <c r="BB75" i="18"/>
  <c r="BB81" i="18"/>
  <c r="BA83" i="18"/>
  <c r="BA82" i="18"/>
  <c r="R463" i="18"/>
  <c r="AZ84" i="18"/>
  <c r="BC76" i="18"/>
  <c r="Q118" i="22"/>
  <c r="Q116" i="22" s="1"/>
  <c r="R117" i="22"/>
  <c r="Q316" i="23"/>
  <c r="R315" i="23"/>
  <c r="AI23" i="3"/>
  <c r="AI45" i="3" s="1"/>
  <c r="H22" i="5"/>
  <c r="M43" i="1"/>
  <c r="AB100" i="32" s="1"/>
  <c r="AE179" i="1"/>
  <c r="BU47" i="3"/>
  <c r="BU48" i="3" s="1"/>
  <c r="I50" i="5"/>
  <c r="BE11" i="5"/>
  <c r="G80" i="1"/>
  <c r="H16" i="27" s="1"/>
  <c r="BE59" i="22"/>
  <c r="AZ36" i="18"/>
  <c r="O105" i="23"/>
  <c r="BA13" i="18"/>
  <c r="O78" i="23"/>
  <c r="AZ15" i="18"/>
  <c r="AY38" i="18"/>
  <c r="BE32" i="22"/>
  <c r="P100" i="23"/>
  <c r="P73" i="23"/>
  <c r="P104" i="23"/>
  <c r="P102" i="23"/>
  <c r="P103" i="23"/>
  <c r="P77" i="23"/>
  <c r="P75" i="23"/>
  <c r="P76" i="23"/>
  <c r="BF56" i="22"/>
  <c r="BF57" i="22"/>
  <c r="BF58" i="22"/>
  <c r="BF29" i="22"/>
  <c r="BF31" i="22"/>
  <c r="BF30" i="22"/>
  <c r="AZ37" i="18"/>
  <c r="AZ40" i="18"/>
  <c r="S66" i="22"/>
  <c r="J11" i="5"/>
  <c r="J50" i="5" s="1"/>
  <c r="J12" i="5"/>
  <c r="H118" i="1"/>
  <c r="CI20" i="5"/>
  <c r="G20" i="5"/>
  <c r="V20" i="5" s="1"/>
  <c r="J59" i="5"/>
  <c r="CI59" i="5" s="1"/>
  <c r="CI68" i="5" s="1"/>
  <c r="R501" i="23"/>
  <c r="Q504" i="23"/>
  <c r="P281" i="22"/>
  <c r="P292" i="22" s="1"/>
  <c r="P295" i="22" s="1"/>
  <c r="P297" i="22" s="1"/>
  <c r="O304" i="22"/>
  <c r="R279" i="22"/>
  <c r="Q282" i="22"/>
  <c r="Q479" i="23"/>
  <c r="Q478" i="23" s="1"/>
  <c r="O502" i="23"/>
  <c r="R480" i="23"/>
  <c r="P305" i="22"/>
  <c r="P316" i="22" s="1"/>
  <c r="P319" i="22" s="1"/>
  <c r="P321" i="22" s="1"/>
  <c r="R303" i="22"/>
  <c r="Q306" i="22"/>
  <c r="O280" i="22"/>
  <c r="P490" i="23"/>
  <c r="P493" i="23" s="1"/>
  <c r="P503" i="23"/>
  <c r="P514" i="23" s="1"/>
  <c r="P517" i="23" s="1"/>
  <c r="P519" i="23" s="1"/>
  <c r="P74" i="23"/>
  <c r="BF28" i="22"/>
  <c r="BF55" i="22"/>
  <c r="BF61" i="22"/>
  <c r="P101" i="23"/>
  <c r="P107" i="23"/>
  <c r="Q92" i="23"/>
  <c r="Q98" i="23"/>
  <c r="Q99" i="23" s="1"/>
  <c r="Q65" i="23"/>
  <c r="Q71" i="23"/>
  <c r="Q72" i="23" s="1"/>
  <c r="BG19" i="22"/>
  <c r="BG25" i="22"/>
  <c r="BG46" i="22"/>
  <c r="BG52" i="22"/>
  <c r="BG54" i="22" s="1"/>
  <c r="Q225" i="23"/>
  <c r="Q226" i="23" s="1"/>
  <c r="BH47" i="22"/>
  <c r="BI44" i="22"/>
  <c r="AZ28" i="18"/>
  <c r="BF18" i="22"/>
  <c r="P64" i="23"/>
  <c r="BA14" i="18"/>
  <c r="BF45" i="22"/>
  <c r="BA29" i="18"/>
  <c r="BA35" i="18"/>
  <c r="P91" i="23"/>
  <c r="BA5" i="18"/>
  <c r="BC27" i="18"/>
  <c r="BB30" i="18"/>
  <c r="S63" i="23"/>
  <c r="R66" i="23"/>
  <c r="BI17" i="22"/>
  <c r="BH20" i="22"/>
  <c r="S90" i="23"/>
  <c r="R93" i="23"/>
  <c r="BB12" i="18"/>
  <c r="BB6" i="18"/>
  <c r="BD4" i="18"/>
  <c r="BC7" i="18"/>
  <c r="BT242" i="3"/>
  <c r="BU217" i="3"/>
  <c r="BU223" i="3"/>
  <c r="BU218" i="3"/>
  <c r="BU224" i="3"/>
  <c r="BU219" i="3"/>
  <c r="BU225" i="3"/>
  <c r="BU220" i="3"/>
  <c r="BU216" i="3"/>
  <c r="BU221" i="3"/>
  <c r="BU222" i="3"/>
  <c r="BT243" i="3"/>
  <c r="BS244" i="3"/>
  <c r="BS245" i="3" s="1"/>
  <c r="AI24" i="20"/>
  <c r="AH25" i="20"/>
  <c r="P209" i="23"/>
  <c r="P196" i="23"/>
  <c r="V172" i="22"/>
  <c r="V92" i="22"/>
  <c r="AY117" i="22"/>
  <c r="V168" i="22"/>
  <c r="V170" i="22" s="1"/>
  <c r="W2" i="22"/>
  <c r="T2" i="24"/>
  <c r="S47" i="24"/>
  <c r="S1" i="24"/>
  <c r="R174" i="23"/>
  <c r="S171" i="23"/>
  <c r="R272" i="23"/>
  <c r="R277" i="23" s="1"/>
  <c r="R278" i="23" s="1"/>
  <c r="S271" i="23"/>
  <c r="R282" i="23"/>
  <c r="P185" i="23"/>
  <c r="P172" i="23"/>
  <c r="Q173" i="23"/>
  <c r="Q179" i="23"/>
  <c r="Q180" i="23" s="1"/>
  <c r="Q183" i="23" s="1"/>
  <c r="R198" i="23"/>
  <c r="S195" i="23"/>
  <c r="U173" i="22"/>
  <c r="BG139" i="22"/>
  <c r="BG126" i="22"/>
  <c r="BG163" i="22"/>
  <c r="BG150" i="22"/>
  <c r="Q197" i="23"/>
  <c r="Q203" i="23"/>
  <c r="Q204" i="23" s="1"/>
  <c r="Q207" i="23" s="1"/>
  <c r="BI128" i="22"/>
  <c r="BJ125" i="22"/>
  <c r="R25" i="20"/>
  <c r="S24" i="20"/>
  <c r="BI152" i="22"/>
  <c r="BJ149" i="22"/>
  <c r="Q64" i="22"/>
  <c r="Q69" i="22" s="1"/>
  <c r="Q70" i="22" s="1"/>
  <c r="R63" i="22"/>
  <c r="R74" i="22" s="1"/>
  <c r="BH127" i="22"/>
  <c r="BH133" i="22"/>
  <c r="BH134" i="22" s="1"/>
  <c r="BH137" i="22" s="1"/>
  <c r="R220" i="23"/>
  <c r="R230" i="23"/>
  <c r="S219" i="23"/>
  <c r="AT115" i="22"/>
  <c r="AT120" i="22" s="1"/>
  <c r="AT121" i="22" s="1"/>
  <c r="AT125" i="22"/>
  <c r="AU114" i="22"/>
  <c r="BH151" i="22"/>
  <c r="BH157" i="22"/>
  <c r="BH158" i="22" s="1"/>
  <c r="BH161" i="22" s="1"/>
  <c r="BC148" i="18"/>
  <c r="R58" i="18"/>
  <c r="R84" i="18"/>
  <c r="Q466" i="18"/>
  <c r="Q467" i="18" s="1"/>
  <c r="T44" i="20"/>
  <c r="AB43" i="20"/>
  <c r="AJ42" i="20"/>
  <c r="AR41" i="20"/>
  <c r="R159" i="18"/>
  <c r="R161" i="18" s="1"/>
  <c r="R163" i="18"/>
  <c r="Q164" i="18"/>
  <c r="S2" i="18"/>
  <c r="BC96" i="18"/>
  <c r="BC99" i="18" s="1"/>
  <c r="BA104" i="18"/>
  <c r="BA105" i="18" s="1"/>
  <c r="BA108" i="18" s="1"/>
  <c r="BA98" i="18"/>
  <c r="BC120" i="18"/>
  <c r="BC123" i="18" s="1"/>
  <c r="BA122" i="18"/>
  <c r="BA128" i="18"/>
  <c r="AZ121" i="18"/>
  <c r="AZ134" i="18"/>
  <c r="AZ110" i="18"/>
  <c r="AZ97" i="18"/>
  <c r="H123" i="1" l="1"/>
  <c r="AF195" i="1"/>
  <c r="I233" i="22"/>
  <c r="I234" i="22" s="1"/>
  <c r="J233" i="22"/>
  <c r="L87" i="2" s="1"/>
  <c r="AL61" i="3"/>
  <c r="AN61" i="3"/>
  <c r="F38" i="27"/>
  <c r="I39" i="27"/>
  <c r="AI46" i="3"/>
  <c r="AW61" i="3"/>
  <c r="AG29" i="1" s="1"/>
  <c r="AJ61" i="3"/>
  <c r="G124" i="1"/>
  <c r="E124" i="1" s="1"/>
  <c r="H37" i="27"/>
  <c r="G118" i="1"/>
  <c r="G123" i="1" s="1"/>
  <c r="E123" i="1" s="1"/>
  <c r="BA129" i="18"/>
  <c r="BA132" i="18" s="1"/>
  <c r="AP54" i="3"/>
  <c r="H88" i="1" s="1"/>
  <c r="AN54" i="3"/>
  <c r="H84" i="1" s="1"/>
  <c r="AJ54" i="3"/>
  <c r="H76" i="1" s="1"/>
  <c r="I15" i="27" s="1"/>
  <c r="AW54" i="3"/>
  <c r="AG150" i="1" s="1"/>
  <c r="AS48" i="1"/>
  <c r="I431" i="23"/>
  <c r="J431" i="23"/>
  <c r="N87" i="2" s="1"/>
  <c r="AG182" i="1"/>
  <c r="N291" i="23" s="1"/>
  <c r="AG183" i="1"/>
  <c r="AG193" i="1" s="1"/>
  <c r="AG195" i="1" s="1"/>
  <c r="J84" i="2"/>
  <c r="BV18" i="3"/>
  <c r="AE15" i="3"/>
  <c r="AE18" i="3" s="1"/>
  <c r="CB18" i="3" s="1"/>
  <c r="AD18" i="3"/>
  <c r="BU213" i="3"/>
  <c r="BU215" i="3"/>
  <c r="K87" i="2"/>
  <c r="J99" i="18"/>
  <c r="I84" i="2"/>
  <c r="G82" i="18"/>
  <c r="G87" i="18" s="1"/>
  <c r="G88" i="18" s="1"/>
  <c r="F82" i="18"/>
  <c r="F87" i="18" s="1"/>
  <c r="F88" i="18" s="1"/>
  <c r="H82" i="18"/>
  <c r="H87" i="18" s="1"/>
  <c r="H88" i="18" s="1"/>
  <c r="I82" i="18"/>
  <c r="I87" i="18" s="1"/>
  <c r="I88" i="18" s="1"/>
  <c r="J81" i="18"/>
  <c r="AQ53" i="3"/>
  <c r="AR53" i="3"/>
  <c r="AQ60" i="3"/>
  <c r="AR60" i="3"/>
  <c r="P323" i="22"/>
  <c r="P322" i="22"/>
  <c r="P520" i="23"/>
  <c r="P521" i="23"/>
  <c r="P299" i="22"/>
  <c r="P298" i="22"/>
  <c r="S460" i="18"/>
  <c r="S461" i="18" s="1"/>
  <c r="R471" i="18"/>
  <c r="T295" i="23"/>
  <c r="T366" i="23"/>
  <c r="T368" i="23" s="1"/>
  <c r="T222" i="23"/>
  <c r="T248" i="23"/>
  <c r="U2" i="23"/>
  <c r="T370" i="23"/>
  <c r="T274" i="23"/>
  <c r="S371" i="23"/>
  <c r="S435" i="23"/>
  <c r="S237" i="22"/>
  <c r="R466" i="18"/>
  <c r="R467" i="18" s="1"/>
  <c r="S463" i="18"/>
  <c r="AU102" i="5"/>
  <c r="H102" i="5"/>
  <c r="BE50" i="5"/>
  <c r="BE68" i="5" s="1"/>
  <c r="Q123" i="22"/>
  <c r="Q124" i="22" s="1"/>
  <c r="Q125" i="22" s="1"/>
  <c r="Q321" i="23"/>
  <c r="Q322" i="23" s="1"/>
  <c r="Q323" i="23" s="1"/>
  <c r="Q314" i="23"/>
  <c r="Q325" i="23" s="1"/>
  <c r="BF50" i="18"/>
  <c r="BE53" i="18"/>
  <c r="BC60" i="18"/>
  <c r="BC59" i="18"/>
  <c r="BC63" i="18"/>
  <c r="BC51" i="18"/>
  <c r="BB61" i="18"/>
  <c r="BD58" i="18"/>
  <c r="BD52" i="18"/>
  <c r="E36" i="29"/>
  <c r="BG86" i="22"/>
  <c r="BG113" i="22"/>
  <c r="P159" i="23"/>
  <c r="R127" i="23"/>
  <c r="R126" i="23"/>
  <c r="R118" i="23"/>
  <c r="R129" i="23"/>
  <c r="R134" i="23"/>
  <c r="R130" i="23"/>
  <c r="R128" i="23"/>
  <c r="R131" i="23"/>
  <c r="BH107" i="22"/>
  <c r="BH108" i="22"/>
  <c r="BH111" i="22"/>
  <c r="BH112" i="22"/>
  <c r="BH109" i="22"/>
  <c r="BH115" i="22"/>
  <c r="BH99" i="22"/>
  <c r="BH110" i="22"/>
  <c r="S119" i="23"/>
  <c r="S125" i="23"/>
  <c r="R152" i="23"/>
  <c r="R146" i="23"/>
  <c r="U117" i="23"/>
  <c r="T120" i="23"/>
  <c r="T144" i="23"/>
  <c r="S147" i="23"/>
  <c r="BI73" i="22"/>
  <c r="BI79" i="22"/>
  <c r="Q132" i="23"/>
  <c r="BK71" i="22"/>
  <c r="BJ74" i="22"/>
  <c r="Q154" i="23"/>
  <c r="Q153" i="23"/>
  <c r="Q156" i="23"/>
  <c r="Q161" i="23"/>
  <c r="Q155" i="23"/>
  <c r="Q157" i="23"/>
  <c r="Q158" i="23"/>
  <c r="Q145" i="23"/>
  <c r="BI100" i="22"/>
  <c r="BI106" i="22"/>
  <c r="BH81" i="22"/>
  <c r="BH80" i="22"/>
  <c r="BK98" i="22"/>
  <c r="BJ101" i="22"/>
  <c r="BH85" i="22"/>
  <c r="BH83" i="22"/>
  <c r="BH84" i="22"/>
  <c r="BH82" i="22"/>
  <c r="BH72" i="22"/>
  <c r="BH88" i="22"/>
  <c r="BB83" i="18"/>
  <c r="BB82" i="18"/>
  <c r="BB74" i="18"/>
  <c r="BB86" i="18"/>
  <c r="BC75" i="18"/>
  <c r="BC81" i="18"/>
  <c r="BA84" i="18"/>
  <c r="BG27" i="22"/>
  <c r="BG26" i="22"/>
  <c r="BD76" i="18"/>
  <c r="J10" i="5"/>
  <c r="N7" i="5" s="1"/>
  <c r="M6" i="5"/>
  <c r="AB6" i="5"/>
  <c r="AC6" i="5"/>
  <c r="S6" i="5"/>
  <c r="T6" i="5"/>
  <c r="Q6" i="5"/>
  <c r="R6" i="5"/>
  <c r="O6" i="5"/>
  <c r="P6" i="5"/>
  <c r="U6" i="5"/>
  <c r="W6" i="5"/>
  <c r="V6" i="5"/>
  <c r="X6" i="5"/>
  <c r="Y6" i="5"/>
  <c r="AA6" i="5"/>
  <c r="Z6" i="5"/>
  <c r="N6" i="5"/>
  <c r="BE6" i="5"/>
  <c r="BT6" i="5"/>
  <c r="BU6" i="5"/>
  <c r="BK6" i="5"/>
  <c r="BL6" i="5"/>
  <c r="BJ6" i="5"/>
  <c r="BG6" i="5"/>
  <c r="BI6" i="5"/>
  <c r="BH6" i="5"/>
  <c r="BM6" i="5"/>
  <c r="BO6" i="5"/>
  <c r="BN6" i="5"/>
  <c r="BP6" i="5"/>
  <c r="BQ6" i="5"/>
  <c r="BS6" i="5"/>
  <c r="BR6" i="5"/>
  <c r="BF6" i="5"/>
  <c r="AU22" i="5"/>
  <c r="R316" i="23"/>
  <c r="S315" i="23"/>
  <c r="R118" i="22"/>
  <c r="R116" i="22" s="1"/>
  <c r="S117" i="22"/>
  <c r="AE193" i="1"/>
  <c r="AE194" i="1"/>
  <c r="G22" i="5"/>
  <c r="H61" i="5"/>
  <c r="AG20" i="3"/>
  <c r="AQ20" i="3"/>
  <c r="BT217" i="3"/>
  <c r="G71" i="1"/>
  <c r="G70" i="1"/>
  <c r="G69" i="1"/>
  <c r="G94" i="1"/>
  <c r="O51" i="1" s="1"/>
  <c r="G92" i="1"/>
  <c r="G93" i="1"/>
  <c r="BA15" i="18"/>
  <c r="BB13" i="18"/>
  <c r="BA36" i="18"/>
  <c r="P105" i="23"/>
  <c r="BF59" i="22"/>
  <c r="AZ38" i="18"/>
  <c r="Q100" i="23"/>
  <c r="BF32" i="22"/>
  <c r="P78" i="23"/>
  <c r="Q73" i="23"/>
  <c r="Q102" i="23"/>
  <c r="Q103" i="23"/>
  <c r="Q104" i="23"/>
  <c r="Q75" i="23"/>
  <c r="Q76" i="23"/>
  <c r="Q77" i="23"/>
  <c r="BG58" i="22"/>
  <c r="BG56" i="22"/>
  <c r="BG57" i="22"/>
  <c r="BG31" i="22"/>
  <c r="BG29" i="22"/>
  <c r="BG30" i="22"/>
  <c r="BB14" i="18"/>
  <c r="BA37" i="18"/>
  <c r="BA40" i="18"/>
  <c r="T66" i="22"/>
  <c r="H80" i="1"/>
  <c r="H125" i="1"/>
  <c r="AO46" i="1"/>
  <c r="I244" i="23"/>
  <c r="J244" i="23"/>
  <c r="N84" i="2" s="1"/>
  <c r="CA12" i="5"/>
  <c r="J51" i="5"/>
  <c r="CA51" i="5" s="1"/>
  <c r="CA68" i="5" s="1"/>
  <c r="BZ11" i="5"/>
  <c r="AG24" i="1"/>
  <c r="H65" i="1"/>
  <c r="H61" i="1"/>
  <c r="I21" i="27" s="1"/>
  <c r="G59" i="5"/>
  <c r="P502" i="23"/>
  <c r="P304" i="22"/>
  <c r="R479" i="23"/>
  <c r="R478" i="23" s="1"/>
  <c r="S480" i="23"/>
  <c r="P280" i="22"/>
  <c r="Q490" i="23"/>
  <c r="Q493" i="23" s="1"/>
  <c r="Q503" i="23"/>
  <c r="Q514" i="23" s="1"/>
  <c r="Q517" i="23" s="1"/>
  <c r="Q519" i="23" s="1"/>
  <c r="Q305" i="22"/>
  <c r="Q316" i="22" s="1"/>
  <c r="Q319" i="22" s="1"/>
  <c r="Q321" i="22" s="1"/>
  <c r="S501" i="23"/>
  <c r="R504" i="23"/>
  <c r="S303" i="22"/>
  <c r="R306" i="22"/>
  <c r="Q281" i="22"/>
  <c r="Q292" i="22" s="1"/>
  <c r="Q295" i="22" s="1"/>
  <c r="Q297" i="22" s="1"/>
  <c r="S279" i="22"/>
  <c r="R282" i="22"/>
  <c r="Q74" i="23"/>
  <c r="BG28" i="22"/>
  <c r="BG55" i="22"/>
  <c r="BG61" i="22"/>
  <c r="Q101" i="23"/>
  <c r="Q107" i="23"/>
  <c r="R71" i="23"/>
  <c r="R72" i="23" s="1"/>
  <c r="R65" i="23"/>
  <c r="R98" i="23"/>
  <c r="R99" i="23" s="1"/>
  <c r="R92" i="23"/>
  <c r="BH19" i="22"/>
  <c r="BH25" i="22"/>
  <c r="BH46" i="22"/>
  <c r="BH52" i="22"/>
  <c r="BH54" i="22" s="1"/>
  <c r="R225" i="23"/>
  <c r="I238" i="23" s="1"/>
  <c r="BC12" i="18"/>
  <c r="BC6" i="18"/>
  <c r="BG18" i="22"/>
  <c r="T90" i="23"/>
  <c r="S93" i="23"/>
  <c r="BC30" i="18"/>
  <c r="BD27" i="18"/>
  <c r="BE4" i="18"/>
  <c r="BD7" i="18"/>
  <c r="BG45" i="22"/>
  <c r="BI20" i="22"/>
  <c r="BJ17" i="22"/>
  <c r="BA28" i="18"/>
  <c r="BB5" i="18"/>
  <c r="T63" i="23"/>
  <c r="S66" i="23"/>
  <c r="Q64" i="23"/>
  <c r="BB35" i="18"/>
  <c r="BB29" i="18"/>
  <c r="BJ44" i="22"/>
  <c r="BI47" i="22"/>
  <c r="Q91" i="23"/>
  <c r="V173" i="22"/>
  <c r="BU241" i="3"/>
  <c r="BU243" i="3"/>
  <c r="BU240" i="3"/>
  <c r="BU242" i="3"/>
  <c r="S25" i="20"/>
  <c r="R26" i="20"/>
  <c r="BJ128" i="22"/>
  <c r="BK125" i="22"/>
  <c r="BI127" i="22"/>
  <c r="BI133" i="22"/>
  <c r="BI134" i="22" s="1"/>
  <c r="BI137" i="22" s="1"/>
  <c r="U2" i="24"/>
  <c r="T1" i="24"/>
  <c r="T47" i="24"/>
  <c r="BH139" i="22"/>
  <c r="BH126" i="22"/>
  <c r="R64" i="22"/>
  <c r="R69" i="22" s="1"/>
  <c r="I82" i="22" s="1"/>
  <c r="S63" i="22"/>
  <c r="S74" i="22" s="1"/>
  <c r="S198" i="23"/>
  <c r="T195" i="23"/>
  <c r="R197" i="23"/>
  <c r="R203" i="23"/>
  <c r="R204" i="23" s="1"/>
  <c r="R207" i="23" s="1"/>
  <c r="S272" i="23"/>
  <c r="S277" i="23" s="1"/>
  <c r="S278" i="23" s="1"/>
  <c r="S282" i="23"/>
  <c r="T271" i="23"/>
  <c r="Q209" i="23"/>
  <c r="Q196" i="23"/>
  <c r="BH163" i="22"/>
  <c r="BH150" i="22"/>
  <c r="AU115" i="22"/>
  <c r="AU120" i="22" s="1"/>
  <c r="AU121" i="22" s="1"/>
  <c r="AU125" i="22"/>
  <c r="AV114" i="22"/>
  <c r="BJ152" i="22"/>
  <c r="BK149" i="22"/>
  <c r="Q185" i="23"/>
  <c r="Q172" i="23"/>
  <c r="AH26" i="20"/>
  <c r="AI25" i="20"/>
  <c r="BI151" i="22"/>
  <c r="BI157" i="22"/>
  <c r="BI158" i="22" s="1"/>
  <c r="BI161" i="22" s="1"/>
  <c r="S174" i="23"/>
  <c r="T171" i="23"/>
  <c r="S220" i="23"/>
  <c r="S230" i="23"/>
  <c r="T219" i="23"/>
  <c r="R173" i="23"/>
  <c r="R179" i="23"/>
  <c r="R180" i="23" s="1"/>
  <c r="R183" i="23" s="1"/>
  <c r="W168" i="22"/>
  <c r="W170" i="22" s="1"/>
  <c r="W92" i="22"/>
  <c r="W172" i="22"/>
  <c r="AZ117" i="22"/>
  <c r="X2" i="22"/>
  <c r="S84" i="18"/>
  <c r="S58" i="18"/>
  <c r="BD148" i="18"/>
  <c r="AJ43" i="20"/>
  <c r="AR42" i="20"/>
  <c r="T45" i="20"/>
  <c r="AB45" i="20" s="1"/>
  <c r="AB44" i="20"/>
  <c r="S163" i="18"/>
  <c r="S159" i="18"/>
  <c r="S161" i="18" s="1"/>
  <c r="R164" i="18"/>
  <c r="T2" i="18"/>
  <c r="BA121" i="18"/>
  <c r="BA134" i="18"/>
  <c r="BD120" i="18"/>
  <c r="BD123" i="18" s="1"/>
  <c r="BA110" i="18"/>
  <c r="BA97" i="18"/>
  <c r="BD96" i="18"/>
  <c r="BD99" i="18" s="1"/>
  <c r="BB122" i="18"/>
  <c r="BB128" i="18"/>
  <c r="BB104" i="18"/>
  <c r="BB105" i="18" s="1"/>
  <c r="BB108" i="18" s="1"/>
  <c r="BB98" i="18"/>
  <c r="F235" i="22" l="1"/>
  <c r="AQ61" i="3"/>
  <c r="I16" i="27"/>
  <c r="H17" i="27"/>
  <c r="AR61" i="3"/>
  <c r="AS61" i="3" s="1"/>
  <c r="AG20" i="1"/>
  <c r="H235" i="22"/>
  <c r="G235" i="22"/>
  <c r="G125" i="1"/>
  <c r="H39" i="27"/>
  <c r="F39" i="27" s="1"/>
  <c r="F37" i="27"/>
  <c r="O32" i="1"/>
  <c r="M32" i="1" s="1"/>
  <c r="I88" i="22"/>
  <c r="J88" i="22"/>
  <c r="J107" i="22" s="1"/>
  <c r="AQ54" i="3"/>
  <c r="AR54" i="3"/>
  <c r="BB129" i="18"/>
  <c r="BB132" i="18" s="1"/>
  <c r="F293" i="23"/>
  <c r="F298" i="23" s="1"/>
  <c r="G293" i="23"/>
  <c r="G298" i="23" s="1"/>
  <c r="H293" i="23"/>
  <c r="H298" i="23" s="1"/>
  <c r="I293" i="23"/>
  <c r="I298" i="23" s="1"/>
  <c r="J293" i="23"/>
  <c r="J298" i="23" s="1"/>
  <c r="K293" i="23"/>
  <c r="K298" i="23" s="1"/>
  <c r="L293" i="23"/>
  <c r="L298" i="23" s="1"/>
  <c r="M293" i="23"/>
  <c r="M298" i="23" s="1"/>
  <c r="N292" i="23"/>
  <c r="F433" i="23"/>
  <c r="G433" i="23"/>
  <c r="M87" i="2"/>
  <c r="I432" i="23"/>
  <c r="H433" i="23"/>
  <c r="T460" i="18"/>
  <c r="T461" i="18" s="1"/>
  <c r="AQ18" i="3"/>
  <c r="S471" i="18"/>
  <c r="AS60" i="3"/>
  <c r="BV6" i="5"/>
  <c r="J82" i="18"/>
  <c r="J87" i="18" s="1"/>
  <c r="J88" i="18" s="1"/>
  <c r="K81" i="18"/>
  <c r="J92" i="18"/>
  <c r="I235" i="22"/>
  <c r="J234" i="22"/>
  <c r="I245" i="22"/>
  <c r="AQ48" i="1"/>
  <c r="AP48" i="1" s="1"/>
  <c r="AV144" i="18"/>
  <c r="J87" i="2" s="1"/>
  <c r="Q323" i="22"/>
  <c r="Q322" i="22"/>
  <c r="Q521" i="23"/>
  <c r="Q520" i="23"/>
  <c r="Q299" i="22"/>
  <c r="Q298" i="22"/>
  <c r="T463" i="18"/>
  <c r="U295" i="23"/>
  <c r="U366" i="23"/>
  <c r="U368" i="23" s="1"/>
  <c r="U370" i="23"/>
  <c r="U222" i="23"/>
  <c r="U248" i="23"/>
  <c r="V2" i="23"/>
  <c r="U274" i="23"/>
  <c r="T371" i="23"/>
  <c r="T237" i="22"/>
  <c r="T435" i="23"/>
  <c r="BE94" i="5"/>
  <c r="AD6" i="5"/>
  <c r="M84" i="2"/>
  <c r="J263" i="23"/>
  <c r="I263" i="23"/>
  <c r="R70" i="22"/>
  <c r="AC225" i="22"/>
  <c r="R226" i="23"/>
  <c r="AC225" i="23"/>
  <c r="X22" i="5"/>
  <c r="X102" i="5"/>
  <c r="G102" i="5"/>
  <c r="BZ50" i="5"/>
  <c r="BZ68" i="5" s="1"/>
  <c r="R123" i="22"/>
  <c r="R124" i="22" s="1"/>
  <c r="R125" i="22" s="1"/>
  <c r="AU61" i="5"/>
  <c r="AU68" i="5" s="1"/>
  <c r="V59" i="5"/>
  <c r="V68" i="5" s="1"/>
  <c r="R321" i="23"/>
  <c r="R322" i="23" s="1"/>
  <c r="R323" i="23" s="1"/>
  <c r="R314" i="23"/>
  <c r="R325" i="23" s="1"/>
  <c r="BC61" i="18"/>
  <c r="BD63" i="18"/>
  <c r="BD51" i="18"/>
  <c r="BD59" i="18"/>
  <c r="BD60" i="18"/>
  <c r="BE58" i="18"/>
  <c r="BE52" i="18"/>
  <c r="BG50" i="18"/>
  <c r="BF53" i="18"/>
  <c r="S127" i="23"/>
  <c r="S126" i="23"/>
  <c r="BI108" i="22"/>
  <c r="BI107" i="22"/>
  <c r="BJ73" i="22"/>
  <c r="BJ79" i="22"/>
  <c r="S134" i="23"/>
  <c r="S128" i="23"/>
  <c r="S118" i="23"/>
  <c r="S129" i="23"/>
  <c r="S130" i="23"/>
  <c r="S131" i="23"/>
  <c r="BI109" i="22"/>
  <c r="BI115" i="22"/>
  <c r="BI99" i="22"/>
  <c r="BI110" i="22"/>
  <c r="BI111" i="22"/>
  <c r="BI112" i="22"/>
  <c r="BL71" i="22"/>
  <c r="BK74" i="22"/>
  <c r="BI81" i="22"/>
  <c r="BI80" i="22"/>
  <c r="BI83" i="22"/>
  <c r="BI84" i="22"/>
  <c r="BI85" i="22"/>
  <c r="BI82" i="22"/>
  <c r="BI72" i="22"/>
  <c r="BI88" i="22"/>
  <c r="S146" i="23"/>
  <c r="S152" i="23"/>
  <c r="R132" i="23"/>
  <c r="U144" i="23"/>
  <c r="T147" i="23"/>
  <c r="T119" i="23"/>
  <c r="T125" i="23"/>
  <c r="BJ106" i="22"/>
  <c r="BJ100" i="22"/>
  <c r="Q159" i="23"/>
  <c r="V117" i="23"/>
  <c r="U120" i="23"/>
  <c r="BL98" i="22"/>
  <c r="BK101" i="22"/>
  <c r="R158" i="23"/>
  <c r="R145" i="23"/>
  <c r="R157" i="23"/>
  <c r="R156" i="23"/>
  <c r="R161" i="23"/>
  <c r="R155" i="23"/>
  <c r="BH86" i="22"/>
  <c r="R153" i="23"/>
  <c r="R154" i="23"/>
  <c r="BH113" i="22"/>
  <c r="BH27" i="22"/>
  <c r="BH26" i="22"/>
  <c r="BB84" i="18"/>
  <c r="BD75" i="18"/>
  <c r="BD81" i="18"/>
  <c r="BC83" i="18"/>
  <c r="BC82" i="18"/>
  <c r="BC74" i="18"/>
  <c r="BC86" i="18"/>
  <c r="BE76" i="18"/>
  <c r="M7" i="5"/>
  <c r="AB7" i="5"/>
  <c r="AC7" i="5"/>
  <c r="Q7" i="5"/>
  <c r="R7" i="5"/>
  <c r="S7" i="5"/>
  <c r="T7" i="5"/>
  <c r="P7" i="5"/>
  <c r="O7" i="5"/>
  <c r="U7" i="5"/>
  <c r="W7" i="5"/>
  <c r="Y7" i="5"/>
  <c r="AA7" i="5"/>
  <c r="Z7" i="5"/>
  <c r="X7" i="5"/>
  <c r="V7" i="5"/>
  <c r="BZ7" i="5"/>
  <c r="CO7" i="5"/>
  <c r="CP7" i="5"/>
  <c r="CE7" i="5"/>
  <c r="CG7" i="5"/>
  <c r="CC7" i="5"/>
  <c r="CD7" i="5"/>
  <c r="CF7" i="5"/>
  <c r="CH7" i="5"/>
  <c r="CB7" i="5"/>
  <c r="CJ7" i="5"/>
  <c r="CL7" i="5"/>
  <c r="CN7" i="5"/>
  <c r="CM7" i="5"/>
  <c r="CK7" i="5"/>
  <c r="CI7" i="5"/>
  <c r="CA7" i="5"/>
  <c r="CA49" i="5" s="1"/>
  <c r="BU38" i="5"/>
  <c r="BU44" i="5"/>
  <c r="BU96" i="5"/>
  <c r="BU32" i="5"/>
  <c r="BU39" i="5"/>
  <c r="BU45" i="5"/>
  <c r="BU91" i="5"/>
  <c r="BU33" i="5"/>
  <c r="BU40" i="5"/>
  <c r="BU92" i="5"/>
  <c r="BU49" i="5"/>
  <c r="BU94" i="5"/>
  <c r="BU34" i="5"/>
  <c r="BU41" i="5"/>
  <c r="BU93" i="5"/>
  <c r="BU42" i="5"/>
  <c r="BU43" i="5"/>
  <c r="BU95" i="5"/>
  <c r="BT38" i="5"/>
  <c r="BT44" i="5"/>
  <c r="BT96" i="5"/>
  <c r="BT32" i="5"/>
  <c r="BT39" i="5"/>
  <c r="BT45" i="5"/>
  <c r="BT91" i="5"/>
  <c r="BT95" i="5"/>
  <c r="BT33" i="5"/>
  <c r="BT40" i="5"/>
  <c r="BT92" i="5"/>
  <c r="BT43" i="5"/>
  <c r="BT34" i="5"/>
  <c r="BT41" i="5"/>
  <c r="BT93" i="5"/>
  <c r="BT42" i="5"/>
  <c r="BT49" i="5"/>
  <c r="BT94" i="5"/>
  <c r="BB6" i="5"/>
  <c r="G61" i="5"/>
  <c r="T117" i="22"/>
  <c r="S118" i="22"/>
  <c r="S316" i="23"/>
  <c r="T315" i="23"/>
  <c r="AT144" i="18"/>
  <c r="AU144" i="18"/>
  <c r="I87" i="2" s="1"/>
  <c r="AD194" i="1"/>
  <c r="AE195" i="1"/>
  <c r="AD193" i="1"/>
  <c r="BT240" i="3"/>
  <c r="BT241" i="3"/>
  <c r="BT244" i="3" s="1"/>
  <c r="AQ44" i="3"/>
  <c r="AQ43" i="3"/>
  <c r="AT46" i="1" s="1"/>
  <c r="AU46" i="1" s="1"/>
  <c r="AD47" i="3"/>
  <c r="AD48" i="3" s="1"/>
  <c r="AG44" i="3"/>
  <c r="AG47" i="3" s="1"/>
  <c r="AG43" i="3"/>
  <c r="BE96" i="5"/>
  <c r="BE95" i="5"/>
  <c r="BE34" i="5"/>
  <c r="BE40" i="5"/>
  <c r="BE91" i="5"/>
  <c r="BE41" i="5"/>
  <c r="BE39" i="5"/>
  <c r="BE38" i="5"/>
  <c r="BE49" i="5"/>
  <c r="BE43" i="5"/>
  <c r="BE45" i="5"/>
  <c r="BE44" i="5"/>
  <c r="BE92" i="5"/>
  <c r="BE32" i="5"/>
  <c r="BE42" i="5"/>
  <c r="BE93" i="5"/>
  <c r="BW6" i="5"/>
  <c r="AG6" i="5"/>
  <c r="BE33" i="5"/>
  <c r="BI93" i="5"/>
  <c r="BI34" i="5"/>
  <c r="BI96" i="5"/>
  <c r="BI92" i="5"/>
  <c r="BI45" i="5"/>
  <c r="BI94" i="5"/>
  <c r="BI95" i="5"/>
  <c r="BI49" i="5"/>
  <c r="BI42" i="5"/>
  <c r="BI43" i="5"/>
  <c r="BI40" i="5"/>
  <c r="BI33" i="5"/>
  <c r="BI91" i="5"/>
  <c r="BI44" i="5"/>
  <c r="BI38" i="5"/>
  <c r="BI41" i="5"/>
  <c r="BI32" i="5"/>
  <c r="BI39" i="5"/>
  <c r="BF49" i="5"/>
  <c r="BF95" i="5"/>
  <c r="BF91" i="5"/>
  <c r="BF92" i="5"/>
  <c r="BF39" i="5"/>
  <c r="BF34" i="5"/>
  <c r="BF38" i="5"/>
  <c r="BF96" i="5"/>
  <c r="BF41" i="5"/>
  <c r="BF33" i="5"/>
  <c r="BF43" i="5"/>
  <c r="BF40" i="5"/>
  <c r="BF93" i="5"/>
  <c r="BF32" i="5"/>
  <c r="BF44" i="5"/>
  <c r="BF45" i="5"/>
  <c r="BF42" i="5"/>
  <c r="BF94" i="5"/>
  <c r="BQ91" i="5"/>
  <c r="BQ42" i="5"/>
  <c r="BQ40" i="5"/>
  <c r="BQ96" i="5"/>
  <c r="BQ38" i="5"/>
  <c r="BQ33" i="5"/>
  <c r="BQ49" i="5"/>
  <c r="BQ94" i="5"/>
  <c r="BQ93" i="5"/>
  <c r="BQ41" i="5"/>
  <c r="BQ43" i="5"/>
  <c r="BQ39" i="5"/>
  <c r="BQ92" i="5"/>
  <c r="BQ34" i="5"/>
  <c r="BQ32" i="5"/>
  <c r="BQ95" i="5"/>
  <c r="BQ45" i="5"/>
  <c r="BQ44" i="5"/>
  <c r="BN94" i="5"/>
  <c r="BN92" i="5"/>
  <c r="BN49" i="5"/>
  <c r="BN32" i="5"/>
  <c r="BN41" i="5"/>
  <c r="BN96" i="5"/>
  <c r="BN91" i="5"/>
  <c r="BN44" i="5"/>
  <c r="BN39" i="5"/>
  <c r="BN93" i="5"/>
  <c r="BN45" i="5"/>
  <c r="BN43" i="5"/>
  <c r="BN42" i="5"/>
  <c r="BN95" i="5"/>
  <c r="BN34" i="5"/>
  <c r="BN33" i="5"/>
  <c r="BN40" i="5"/>
  <c r="BN38" i="5"/>
  <c r="BH32" i="5"/>
  <c r="BH94" i="5"/>
  <c r="BH93" i="5"/>
  <c r="BH92" i="5"/>
  <c r="BH45" i="5"/>
  <c r="BH95" i="5"/>
  <c r="BH44" i="5"/>
  <c r="BH96" i="5"/>
  <c r="BH91" i="5"/>
  <c r="BH41" i="5"/>
  <c r="BH43" i="5"/>
  <c r="BH42" i="5"/>
  <c r="BH34" i="5"/>
  <c r="BH49" i="5"/>
  <c r="BH38" i="5"/>
  <c r="BH39" i="5"/>
  <c r="BH33" i="5"/>
  <c r="BH40" i="5"/>
  <c r="BK41" i="5"/>
  <c r="BK39" i="5"/>
  <c r="BK49" i="5"/>
  <c r="BK32" i="5"/>
  <c r="BK34" i="5"/>
  <c r="BK42" i="5"/>
  <c r="BK45" i="5"/>
  <c r="BK95" i="5"/>
  <c r="BK44" i="5"/>
  <c r="BK96" i="5"/>
  <c r="BK93" i="5"/>
  <c r="BK94" i="5"/>
  <c r="BK38" i="5"/>
  <c r="BK43" i="5"/>
  <c r="BK92" i="5"/>
  <c r="BK33" i="5"/>
  <c r="BK40" i="5"/>
  <c r="BK91" i="5"/>
  <c r="BJ94" i="5"/>
  <c r="BJ39" i="5"/>
  <c r="BJ38" i="5"/>
  <c r="BJ40" i="5"/>
  <c r="BJ49" i="5"/>
  <c r="BJ93" i="5"/>
  <c r="BJ96" i="5"/>
  <c r="BJ44" i="5"/>
  <c r="BJ34" i="5"/>
  <c r="BJ32" i="5"/>
  <c r="BJ92" i="5"/>
  <c r="BJ42" i="5"/>
  <c r="BJ43" i="5"/>
  <c r="BJ91" i="5"/>
  <c r="BJ33" i="5"/>
  <c r="BJ45" i="5"/>
  <c r="BJ95" i="5"/>
  <c r="BJ41" i="5"/>
  <c r="BO40" i="5"/>
  <c r="BO43" i="5"/>
  <c r="BO44" i="5"/>
  <c r="BO49" i="5"/>
  <c r="BO39" i="5"/>
  <c r="BO95" i="5"/>
  <c r="BO32" i="5"/>
  <c r="BO94" i="5"/>
  <c r="BO92" i="5"/>
  <c r="BO33" i="5"/>
  <c r="BO96" i="5"/>
  <c r="BO34" i="5"/>
  <c r="BO38" i="5"/>
  <c r="BO93" i="5"/>
  <c r="BO91" i="5"/>
  <c r="BO45" i="5"/>
  <c r="BO41" i="5"/>
  <c r="BO42" i="5"/>
  <c r="BL95" i="5"/>
  <c r="BL32" i="5"/>
  <c r="BL33" i="5"/>
  <c r="BL93" i="5"/>
  <c r="BL96" i="5"/>
  <c r="BL39" i="5"/>
  <c r="BL94" i="5"/>
  <c r="BL92" i="5"/>
  <c r="BL44" i="5"/>
  <c r="BL34" i="5"/>
  <c r="BL42" i="5"/>
  <c r="BL49" i="5"/>
  <c r="BL40" i="5"/>
  <c r="BL45" i="5"/>
  <c r="BL43" i="5"/>
  <c r="BL41" i="5"/>
  <c r="BL91" i="5"/>
  <c r="BL38" i="5"/>
  <c r="G95" i="1"/>
  <c r="H18" i="27" s="1"/>
  <c r="H19" i="27" s="1"/>
  <c r="G96" i="1"/>
  <c r="BP43" i="5"/>
  <c r="BP95" i="5"/>
  <c r="BP33" i="5"/>
  <c r="BP32" i="5"/>
  <c r="BP96" i="5"/>
  <c r="BP44" i="5"/>
  <c r="BP93" i="5"/>
  <c r="BP45" i="5"/>
  <c r="BP34" i="5"/>
  <c r="BP38" i="5"/>
  <c r="BP49" i="5"/>
  <c r="BP39" i="5"/>
  <c r="BP40" i="5"/>
  <c r="BP41" i="5"/>
  <c r="BP92" i="5"/>
  <c r="BP42" i="5"/>
  <c r="BP94" i="5"/>
  <c r="BP91" i="5"/>
  <c r="I35" i="22"/>
  <c r="O28" i="1"/>
  <c r="BR38" i="5"/>
  <c r="BR41" i="5"/>
  <c r="BR94" i="5"/>
  <c r="BR40" i="5"/>
  <c r="BR44" i="5"/>
  <c r="BR93" i="5"/>
  <c r="BR33" i="5"/>
  <c r="BR91" i="5"/>
  <c r="BR45" i="5"/>
  <c r="BR95" i="5"/>
  <c r="BR43" i="5"/>
  <c r="BR96" i="5"/>
  <c r="BR42" i="5"/>
  <c r="BR32" i="5"/>
  <c r="BR49" i="5"/>
  <c r="BR92" i="5"/>
  <c r="BR39" i="5"/>
  <c r="BR34" i="5"/>
  <c r="G72" i="1"/>
  <c r="G73" i="1"/>
  <c r="BM34" i="5"/>
  <c r="BM41" i="5"/>
  <c r="BM43" i="5"/>
  <c r="BM92" i="5"/>
  <c r="BM93" i="5"/>
  <c r="BM39" i="5"/>
  <c r="BM45" i="5"/>
  <c r="BM40" i="5"/>
  <c r="BM95" i="5"/>
  <c r="BM32" i="5"/>
  <c r="BM96" i="5"/>
  <c r="BM91" i="5"/>
  <c r="BM33" i="5"/>
  <c r="BM38" i="5"/>
  <c r="BM42" i="5"/>
  <c r="BM94" i="5"/>
  <c r="BM49" i="5"/>
  <c r="BM44" i="5"/>
  <c r="O174" i="1"/>
  <c r="I8" i="22"/>
  <c r="O27" i="1"/>
  <c r="BS45" i="5"/>
  <c r="BS33" i="5"/>
  <c r="BS95" i="5"/>
  <c r="BS96" i="5"/>
  <c r="BS94" i="5"/>
  <c r="BS42" i="5"/>
  <c r="BS34" i="5"/>
  <c r="BS39" i="5"/>
  <c r="BS43" i="5"/>
  <c r="BS93" i="5"/>
  <c r="BS38" i="5"/>
  <c r="BS41" i="5"/>
  <c r="BS91" i="5"/>
  <c r="BS44" i="5"/>
  <c r="BS40" i="5"/>
  <c r="BS32" i="5"/>
  <c r="BS49" i="5"/>
  <c r="BS92" i="5"/>
  <c r="BG49" i="5"/>
  <c r="BG38" i="5"/>
  <c r="BG91" i="5"/>
  <c r="BG95" i="5"/>
  <c r="BG39" i="5"/>
  <c r="BG40" i="5"/>
  <c r="BG41" i="5"/>
  <c r="BG32" i="5"/>
  <c r="BG96" i="5"/>
  <c r="BG45" i="5"/>
  <c r="BG33" i="5"/>
  <c r="BG44" i="5"/>
  <c r="BG94" i="5"/>
  <c r="BG43" i="5"/>
  <c r="BG34" i="5"/>
  <c r="BG93" i="5"/>
  <c r="BG92" i="5"/>
  <c r="BG42" i="5"/>
  <c r="O175" i="1"/>
  <c r="O50" i="1"/>
  <c r="Q78" i="23"/>
  <c r="BB36" i="18"/>
  <c r="Q105" i="23"/>
  <c r="BC13" i="18"/>
  <c r="BG59" i="22"/>
  <c r="BB15" i="18"/>
  <c r="BA38" i="18"/>
  <c r="R100" i="23"/>
  <c r="BG32" i="22"/>
  <c r="R73" i="23"/>
  <c r="R102" i="23"/>
  <c r="R103" i="23"/>
  <c r="R104" i="23"/>
  <c r="R75" i="23"/>
  <c r="R76" i="23"/>
  <c r="R77" i="23"/>
  <c r="BH56" i="22"/>
  <c r="BH57" i="22"/>
  <c r="BH58" i="22"/>
  <c r="BH29" i="22"/>
  <c r="BH31" i="22"/>
  <c r="BH30" i="22"/>
  <c r="BC14" i="18"/>
  <c r="BB40" i="18"/>
  <c r="BB37" i="18"/>
  <c r="U66" i="22"/>
  <c r="E125" i="1"/>
  <c r="F246" i="23"/>
  <c r="F251" i="23" s="1"/>
  <c r="F252" i="23" s="1"/>
  <c r="G246" i="23"/>
  <c r="G251" i="23" s="1"/>
  <c r="G252" i="23" s="1"/>
  <c r="I245" i="23"/>
  <c r="H246" i="23"/>
  <c r="H251" i="23" s="1"/>
  <c r="H252" i="23" s="1"/>
  <c r="H70" i="1"/>
  <c r="I8" i="23" s="1"/>
  <c r="H71" i="1"/>
  <c r="H69" i="1"/>
  <c r="H94" i="1"/>
  <c r="H93" i="1"/>
  <c r="I35" i="23" s="1"/>
  <c r="H92" i="1"/>
  <c r="Q502" i="23"/>
  <c r="R281" i="22"/>
  <c r="R292" i="22" s="1"/>
  <c r="R295" i="22" s="1"/>
  <c r="R297" i="22" s="1"/>
  <c r="T279" i="22"/>
  <c r="S282" i="22"/>
  <c r="Q280" i="22"/>
  <c r="R305" i="22"/>
  <c r="R316" i="22" s="1"/>
  <c r="R319" i="22" s="1"/>
  <c r="R321" i="22" s="1"/>
  <c r="T303" i="22"/>
  <c r="S306" i="22"/>
  <c r="R503" i="23"/>
  <c r="R514" i="23" s="1"/>
  <c r="R517" i="23" s="1"/>
  <c r="R519" i="23" s="1"/>
  <c r="S479" i="23"/>
  <c r="S478" i="23" s="1"/>
  <c r="T501" i="23"/>
  <c r="S504" i="23"/>
  <c r="T480" i="23"/>
  <c r="Q304" i="22"/>
  <c r="R490" i="23"/>
  <c r="R493" i="23" s="1"/>
  <c r="R74" i="23"/>
  <c r="BH28" i="22"/>
  <c r="BH55" i="22"/>
  <c r="BH61" i="22"/>
  <c r="R101" i="23"/>
  <c r="R107" i="23"/>
  <c r="S65" i="23"/>
  <c r="S71" i="23"/>
  <c r="S72" i="23" s="1"/>
  <c r="S98" i="23"/>
  <c r="S99" i="23" s="1"/>
  <c r="S92" i="23"/>
  <c r="BI19" i="22"/>
  <c r="BI25" i="22"/>
  <c r="BI46" i="22"/>
  <c r="BI52" i="22"/>
  <c r="BI54" i="22" s="1"/>
  <c r="S225" i="23"/>
  <c r="S226" i="23" s="1"/>
  <c r="R91" i="23"/>
  <c r="BK17" i="22"/>
  <c r="BJ20" i="22"/>
  <c r="BE27" i="18"/>
  <c r="BD30" i="18"/>
  <c r="BB28" i="18"/>
  <c r="U90" i="23"/>
  <c r="T93" i="23"/>
  <c r="R64" i="23"/>
  <c r="BC29" i="18"/>
  <c r="BC35" i="18"/>
  <c r="BJ47" i="22"/>
  <c r="BK44" i="22"/>
  <c r="BH18" i="22"/>
  <c r="U63" i="23"/>
  <c r="T66" i="23"/>
  <c r="BD6" i="18"/>
  <c r="BD12" i="18"/>
  <c r="BC5" i="18"/>
  <c r="BH45" i="22"/>
  <c r="BE7" i="18"/>
  <c r="BF4" i="18"/>
  <c r="BU244" i="3"/>
  <c r="BU245" i="3" s="1"/>
  <c r="AH27" i="20"/>
  <c r="AI26" i="20"/>
  <c r="AV115" i="22"/>
  <c r="AV120" i="22" s="1"/>
  <c r="AV121" i="22" s="1"/>
  <c r="AV125" i="22"/>
  <c r="AW114" i="22"/>
  <c r="R185" i="23"/>
  <c r="R172" i="23"/>
  <c r="T198" i="23"/>
  <c r="U195" i="23"/>
  <c r="V2" i="24"/>
  <c r="U47" i="24"/>
  <c r="U1" i="24"/>
  <c r="S164" i="18"/>
  <c r="T220" i="23"/>
  <c r="T230" i="23"/>
  <c r="U219" i="23"/>
  <c r="S197" i="23"/>
  <c r="S203" i="23"/>
  <c r="S204" i="23" s="1"/>
  <c r="S207" i="23" s="1"/>
  <c r="BI139" i="22"/>
  <c r="BI126" i="22"/>
  <c r="BK152" i="22"/>
  <c r="BL149" i="22"/>
  <c r="T272" i="23"/>
  <c r="T277" i="23" s="1"/>
  <c r="T278" i="23" s="1"/>
  <c r="T282" i="23"/>
  <c r="U271" i="23"/>
  <c r="BK128" i="22"/>
  <c r="BL125" i="22"/>
  <c r="X172" i="22"/>
  <c r="X168" i="22"/>
  <c r="X170" i="22" s="1"/>
  <c r="BA117" i="22"/>
  <c r="X92" i="22"/>
  <c r="Y2" i="22"/>
  <c r="T174" i="23"/>
  <c r="U171" i="23"/>
  <c r="BJ151" i="22"/>
  <c r="BJ157" i="22"/>
  <c r="BJ158" i="22" s="1"/>
  <c r="BJ161" i="22" s="1"/>
  <c r="S64" i="22"/>
  <c r="S69" i="22" s="1"/>
  <c r="S70" i="22" s="1"/>
  <c r="T63" i="22"/>
  <c r="T74" i="22" s="1"/>
  <c r="BJ127" i="22"/>
  <c r="BJ133" i="22"/>
  <c r="BJ134" i="22" s="1"/>
  <c r="BJ137" i="22" s="1"/>
  <c r="S179" i="23"/>
  <c r="S180" i="23" s="1"/>
  <c r="S183" i="23" s="1"/>
  <c r="S173" i="23"/>
  <c r="R27" i="20"/>
  <c r="S26" i="20"/>
  <c r="BI163" i="22"/>
  <c r="BI150" i="22"/>
  <c r="R209" i="23"/>
  <c r="R196" i="23"/>
  <c r="W173" i="22"/>
  <c r="BE148" i="18"/>
  <c r="T58" i="18"/>
  <c r="T84" i="18"/>
  <c r="AJ44" i="20"/>
  <c r="AR43" i="20"/>
  <c r="S466" i="18"/>
  <c r="S467" i="18" s="1"/>
  <c r="T159" i="18"/>
  <c r="T161" i="18" s="1"/>
  <c r="T163" i="18"/>
  <c r="U2" i="18"/>
  <c r="BE96" i="18"/>
  <c r="BE99" i="18" s="1"/>
  <c r="BB110" i="18"/>
  <c r="BB97" i="18"/>
  <c r="BC122" i="18"/>
  <c r="BC128" i="18"/>
  <c r="BC104" i="18"/>
  <c r="BC105" i="18" s="1"/>
  <c r="BC108" i="18" s="1"/>
  <c r="BC98" i="18"/>
  <c r="BB121" i="18"/>
  <c r="BB134" i="18"/>
  <c r="BE120" i="18"/>
  <c r="BE123" i="18" s="1"/>
  <c r="S32" i="1" l="1"/>
  <c r="H22" i="27"/>
  <c r="H23" i="27" s="1"/>
  <c r="L84" i="2"/>
  <c r="I17" i="27"/>
  <c r="U463" i="18"/>
  <c r="I107" i="22"/>
  <c r="H90" i="22"/>
  <c r="H95" i="22" s="1"/>
  <c r="H96" i="22" s="1"/>
  <c r="K84" i="2"/>
  <c r="F90" i="22"/>
  <c r="F95" i="22" s="1"/>
  <c r="F96" i="22" s="1"/>
  <c r="I89" i="22"/>
  <c r="G90" i="22"/>
  <c r="G95" i="22" s="1"/>
  <c r="G96" i="22" s="1"/>
  <c r="BC129" i="18"/>
  <c r="BC132" i="18" s="1"/>
  <c r="T466" i="18"/>
  <c r="T467" i="18" s="1"/>
  <c r="T471" i="18"/>
  <c r="J432" i="23"/>
  <c r="I433" i="23"/>
  <c r="N293" i="23"/>
  <c r="N298" i="23" s="1"/>
  <c r="O292" i="23"/>
  <c r="M303" i="23"/>
  <c r="M299" i="23"/>
  <c r="L303" i="23"/>
  <c r="L299" i="23"/>
  <c r="K303" i="23"/>
  <c r="K299" i="23"/>
  <c r="J303" i="23"/>
  <c r="J299" i="23"/>
  <c r="I303" i="23"/>
  <c r="I299" i="23"/>
  <c r="H303" i="23"/>
  <c r="H299" i="23"/>
  <c r="U460" i="18"/>
  <c r="U461" i="18" s="1"/>
  <c r="G303" i="23"/>
  <c r="G299" i="23"/>
  <c r="F299" i="23"/>
  <c r="F303" i="23"/>
  <c r="J245" i="22"/>
  <c r="J235" i="22"/>
  <c r="K234" i="22"/>
  <c r="K82" i="18"/>
  <c r="K87" i="18" s="1"/>
  <c r="K88" i="18" s="1"/>
  <c r="K92" i="18"/>
  <c r="L81" i="18"/>
  <c r="L79" i="2"/>
  <c r="M79" i="2"/>
  <c r="L81" i="2"/>
  <c r="M81" i="2"/>
  <c r="J81" i="2"/>
  <c r="K81" i="2"/>
  <c r="J79" i="2"/>
  <c r="K79" i="2"/>
  <c r="R322" i="22"/>
  <c r="R323" i="22"/>
  <c r="R521" i="23"/>
  <c r="R520" i="23"/>
  <c r="R299" i="22"/>
  <c r="R298" i="22"/>
  <c r="V295" i="23"/>
  <c r="V370" i="23"/>
  <c r="V248" i="23"/>
  <c r="V366" i="23"/>
  <c r="V368" i="23" s="1"/>
  <c r="V274" i="23"/>
  <c r="W2" i="23"/>
  <c r="V222" i="23"/>
  <c r="U371" i="23"/>
  <c r="U435" i="23"/>
  <c r="U237" i="22"/>
  <c r="CR7" i="5"/>
  <c r="AD7" i="5"/>
  <c r="X61" i="5"/>
  <c r="X68" i="5" s="1"/>
  <c r="S321" i="23"/>
  <c r="S322" i="23" s="1"/>
  <c r="S323" i="23" s="1"/>
  <c r="S314" i="23"/>
  <c r="S325" i="23" s="1"/>
  <c r="S123" i="22"/>
  <c r="S124" i="22" s="1"/>
  <c r="S125" i="22" s="1"/>
  <c r="S116" i="22"/>
  <c r="BE60" i="18"/>
  <c r="BE59" i="18"/>
  <c r="BE51" i="18"/>
  <c r="BE63" i="18"/>
  <c r="BD61" i="18"/>
  <c r="BF58" i="18"/>
  <c r="BF52" i="18"/>
  <c r="BG53" i="18"/>
  <c r="BH50" i="18"/>
  <c r="R159" i="23"/>
  <c r="S132" i="23"/>
  <c r="BI113" i="22"/>
  <c r="V144" i="23"/>
  <c r="U147" i="23"/>
  <c r="BK106" i="22"/>
  <c r="BK100" i="22"/>
  <c r="S154" i="23"/>
  <c r="S153" i="23"/>
  <c r="BK73" i="22"/>
  <c r="BK79" i="22"/>
  <c r="BM98" i="22"/>
  <c r="BL101" i="22"/>
  <c r="S157" i="23"/>
  <c r="S156" i="23"/>
  <c r="S161" i="23"/>
  <c r="S155" i="23"/>
  <c r="S158" i="23"/>
  <c r="S145" i="23"/>
  <c r="BM71" i="22"/>
  <c r="BL74" i="22"/>
  <c r="U119" i="23"/>
  <c r="U125" i="23"/>
  <c r="BJ81" i="22"/>
  <c r="BJ80" i="22"/>
  <c r="W117" i="23"/>
  <c r="V120" i="23"/>
  <c r="BJ82" i="22"/>
  <c r="BJ83" i="22"/>
  <c r="BJ88" i="22"/>
  <c r="BJ72" i="22"/>
  <c r="BJ84" i="22"/>
  <c r="BJ85" i="22"/>
  <c r="BJ109" i="22"/>
  <c r="BJ115" i="22"/>
  <c r="BJ99" i="22"/>
  <c r="BJ110" i="22"/>
  <c r="BJ111" i="22"/>
  <c r="BJ112" i="22"/>
  <c r="BJ107" i="22"/>
  <c r="BJ108" i="22"/>
  <c r="T127" i="23"/>
  <c r="T126" i="23"/>
  <c r="T118" i="23"/>
  <c r="T131" i="23"/>
  <c r="T134" i="23"/>
  <c r="T128" i="23"/>
  <c r="T129" i="23"/>
  <c r="T130" i="23"/>
  <c r="BI86" i="22"/>
  <c r="T152" i="23"/>
  <c r="T146" i="23"/>
  <c r="BE75" i="18"/>
  <c r="BE81" i="18"/>
  <c r="BI27" i="22"/>
  <c r="BI26" i="22"/>
  <c r="BD83" i="18"/>
  <c r="BD82" i="18"/>
  <c r="BD74" i="18"/>
  <c r="BD86" i="18"/>
  <c r="BC84" i="18"/>
  <c r="BF76" i="18"/>
  <c r="CP38" i="5"/>
  <c r="CP44" i="5"/>
  <c r="CP96" i="5"/>
  <c r="CP32" i="5"/>
  <c r="CP39" i="5"/>
  <c r="CP45" i="5"/>
  <c r="CP91" i="5"/>
  <c r="CP33" i="5"/>
  <c r="CP40" i="5"/>
  <c r="CP92" i="5"/>
  <c r="CP94" i="5"/>
  <c r="CP49" i="5"/>
  <c r="CP34" i="5"/>
  <c r="CP41" i="5"/>
  <c r="CP93" i="5"/>
  <c r="CP42" i="5"/>
  <c r="CP43" i="5"/>
  <c r="CP95" i="5"/>
  <c r="CO38" i="5"/>
  <c r="CO44" i="5"/>
  <c r="CO96" i="5"/>
  <c r="CO95" i="5"/>
  <c r="CO32" i="5"/>
  <c r="CO39" i="5"/>
  <c r="CO45" i="5"/>
  <c r="CO91" i="5"/>
  <c r="CO33" i="5"/>
  <c r="CO40" i="5"/>
  <c r="CO92" i="5"/>
  <c r="CO34" i="5"/>
  <c r="CO41" i="5"/>
  <c r="CO93" i="5"/>
  <c r="CO43" i="5"/>
  <c r="CO42" i="5"/>
  <c r="CO49" i="5"/>
  <c r="CO94" i="5"/>
  <c r="BT35" i="5"/>
  <c r="BT46" i="5"/>
  <c r="BU35" i="5"/>
  <c r="BU46" i="5"/>
  <c r="BB7" i="5"/>
  <c r="BM35" i="5"/>
  <c r="BM46" i="5"/>
  <c r="T316" i="23"/>
  <c r="U315" i="23"/>
  <c r="AD195" i="1"/>
  <c r="T118" i="22"/>
  <c r="U117" i="22"/>
  <c r="BT245" i="3"/>
  <c r="AQ146" i="18"/>
  <c r="H87" i="2"/>
  <c r="AR146" i="18"/>
  <c r="AS146" i="18"/>
  <c r="AT145" i="18"/>
  <c r="AG48" i="3"/>
  <c r="AO60" i="1"/>
  <c r="H24" i="5"/>
  <c r="AQ47" i="3"/>
  <c r="AQ48" i="3" s="1"/>
  <c r="AI73" i="3"/>
  <c r="BE35" i="5"/>
  <c r="BI35" i="5"/>
  <c r="BE46" i="5"/>
  <c r="BO46" i="5"/>
  <c r="BF35" i="5"/>
  <c r="BQ35" i="5"/>
  <c r="BP46" i="5"/>
  <c r="BO35" i="5"/>
  <c r="BN35" i="5"/>
  <c r="BR46" i="5"/>
  <c r="BP35" i="5"/>
  <c r="BL35" i="5"/>
  <c r="BR35" i="5"/>
  <c r="BJ35" i="5"/>
  <c r="BJ46" i="5"/>
  <c r="BN46" i="5"/>
  <c r="BF46" i="5"/>
  <c r="BS35" i="5"/>
  <c r="BI46" i="5"/>
  <c r="BG35" i="5"/>
  <c r="BK46" i="5"/>
  <c r="BG46" i="5"/>
  <c r="BK35" i="5"/>
  <c r="BH35" i="5"/>
  <c r="BQ46" i="5"/>
  <c r="BS46" i="5"/>
  <c r="BL46" i="5"/>
  <c r="BH46" i="5"/>
  <c r="F39" i="22"/>
  <c r="G39" i="22"/>
  <c r="H39" i="22"/>
  <c r="I36" i="22"/>
  <c r="F12" i="22"/>
  <c r="G12" i="22"/>
  <c r="H12" i="22"/>
  <c r="I9" i="22"/>
  <c r="O176" i="1"/>
  <c r="R78" i="23"/>
  <c r="BD13" i="18"/>
  <c r="BC36" i="18"/>
  <c r="R105" i="23"/>
  <c r="BH59" i="22"/>
  <c r="BB38" i="18"/>
  <c r="BH32" i="22"/>
  <c r="BC15" i="18"/>
  <c r="S100" i="23"/>
  <c r="S73" i="23"/>
  <c r="S102" i="23"/>
  <c r="S103" i="23"/>
  <c r="S104" i="23"/>
  <c r="S75" i="23"/>
  <c r="S76" i="23"/>
  <c r="S77" i="23"/>
  <c r="BI56" i="22"/>
  <c r="BI58" i="22"/>
  <c r="BI57" i="22"/>
  <c r="BI29" i="22"/>
  <c r="BI30" i="22"/>
  <c r="BI31" i="22"/>
  <c r="BC40" i="18"/>
  <c r="BD14" i="18"/>
  <c r="CA41" i="5"/>
  <c r="CA34" i="5"/>
  <c r="CA32" i="5"/>
  <c r="CA39" i="5"/>
  <c r="CA92" i="5"/>
  <c r="CA33" i="5"/>
  <c r="CA40" i="5"/>
  <c r="CA94" i="5"/>
  <c r="CA44" i="5"/>
  <c r="CA91" i="5"/>
  <c r="CA93" i="5"/>
  <c r="CA43" i="5"/>
  <c r="CA45" i="5"/>
  <c r="CA42" i="5"/>
  <c r="CA95" i="5"/>
  <c r="CA38" i="5"/>
  <c r="CA96" i="5"/>
  <c r="V66" i="22"/>
  <c r="AG7" i="5"/>
  <c r="H95" i="1"/>
  <c r="H96" i="1"/>
  <c r="P28" i="1"/>
  <c r="CI41" i="5"/>
  <c r="CI43" i="5"/>
  <c r="CI49" i="5"/>
  <c r="CI34" i="5"/>
  <c r="CI96" i="5"/>
  <c r="CI33" i="5"/>
  <c r="CI39" i="5"/>
  <c r="CI38" i="5"/>
  <c r="CI93" i="5"/>
  <c r="CI42" i="5"/>
  <c r="CI91" i="5"/>
  <c r="CI40" i="5"/>
  <c r="CI45" i="5"/>
  <c r="CI32" i="5"/>
  <c r="CI92" i="5"/>
  <c r="CI95" i="5"/>
  <c r="CI44" i="5"/>
  <c r="CI94" i="5"/>
  <c r="CF95" i="5"/>
  <c r="CF49" i="5"/>
  <c r="CF39" i="5"/>
  <c r="CF91" i="5"/>
  <c r="CF96" i="5"/>
  <c r="CF93" i="5"/>
  <c r="CF34" i="5"/>
  <c r="CF32" i="5"/>
  <c r="CF43" i="5"/>
  <c r="CF44" i="5"/>
  <c r="CF94" i="5"/>
  <c r="CF42" i="5"/>
  <c r="CF33" i="5"/>
  <c r="CF45" i="5"/>
  <c r="CF40" i="5"/>
  <c r="CF92" i="5"/>
  <c r="CF38" i="5"/>
  <c r="CF41" i="5"/>
  <c r="P51" i="1"/>
  <c r="CB39" i="5"/>
  <c r="CB38" i="5"/>
  <c r="CB40" i="5"/>
  <c r="CB94" i="5"/>
  <c r="CB44" i="5"/>
  <c r="CB91" i="5"/>
  <c r="CB96" i="5"/>
  <c r="CB34" i="5"/>
  <c r="CB93" i="5"/>
  <c r="CB95" i="5"/>
  <c r="CB43" i="5"/>
  <c r="CB49" i="5"/>
  <c r="CB41" i="5"/>
  <c r="CB33" i="5"/>
  <c r="CB92" i="5"/>
  <c r="CB32" i="5"/>
  <c r="CB45" i="5"/>
  <c r="CB42" i="5"/>
  <c r="CK39" i="5"/>
  <c r="CK91" i="5"/>
  <c r="CK96" i="5"/>
  <c r="CK95" i="5"/>
  <c r="CK42" i="5"/>
  <c r="CK32" i="5"/>
  <c r="CK38" i="5"/>
  <c r="CK40" i="5"/>
  <c r="CK93" i="5"/>
  <c r="CK45" i="5"/>
  <c r="CK44" i="5"/>
  <c r="CK49" i="5"/>
  <c r="CK34" i="5"/>
  <c r="CK41" i="5"/>
  <c r="CK43" i="5"/>
  <c r="CK92" i="5"/>
  <c r="CK33" i="5"/>
  <c r="CK94" i="5"/>
  <c r="CM43" i="5"/>
  <c r="CM39" i="5"/>
  <c r="CM91" i="5"/>
  <c r="CM49" i="5"/>
  <c r="CM95" i="5"/>
  <c r="CM92" i="5"/>
  <c r="CM45" i="5"/>
  <c r="CM40" i="5"/>
  <c r="CM94" i="5"/>
  <c r="CM41" i="5"/>
  <c r="CM44" i="5"/>
  <c r="CM32" i="5"/>
  <c r="CM42" i="5"/>
  <c r="CM96" i="5"/>
  <c r="CM93" i="5"/>
  <c r="CM34" i="5"/>
  <c r="CM38" i="5"/>
  <c r="CM33" i="5"/>
  <c r="CL39" i="5"/>
  <c r="CL41" i="5"/>
  <c r="CL40" i="5"/>
  <c r="CL94" i="5"/>
  <c r="CL42" i="5"/>
  <c r="CL33" i="5"/>
  <c r="CL44" i="5"/>
  <c r="CL43" i="5"/>
  <c r="CL91" i="5"/>
  <c r="CL38" i="5"/>
  <c r="CL96" i="5"/>
  <c r="CL95" i="5"/>
  <c r="CL92" i="5"/>
  <c r="CL49" i="5"/>
  <c r="CL34" i="5"/>
  <c r="CL32" i="5"/>
  <c r="CL93" i="5"/>
  <c r="CL45" i="5"/>
  <c r="BZ44" i="5"/>
  <c r="BZ43" i="5"/>
  <c r="BZ34" i="5"/>
  <c r="BZ38" i="5"/>
  <c r="BZ39" i="5"/>
  <c r="BZ92" i="5"/>
  <c r="BZ95" i="5"/>
  <c r="BZ93" i="5"/>
  <c r="BZ33" i="5"/>
  <c r="BZ45" i="5"/>
  <c r="BZ40" i="5"/>
  <c r="BZ32" i="5"/>
  <c r="BZ94" i="5"/>
  <c r="BZ49" i="5"/>
  <c r="BZ91" i="5"/>
  <c r="BZ42" i="5"/>
  <c r="BZ96" i="5"/>
  <c r="BZ41" i="5"/>
  <c r="CG43" i="5"/>
  <c r="CG95" i="5"/>
  <c r="CG94" i="5"/>
  <c r="CG33" i="5"/>
  <c r="CG41" i="5"/>
  <c r="CG44" i="5"/>
  <c r="CG39" i="5"/>
  <c r="CG40" i="5"/>
  <c r="CG96" i="5"/>
  <c r="CG49" i="5"/>
  <c r="CG45" i="5"/>
  <c r="CG92" i="5"/>
  <c r="CG42" i="5"/>
  <c r="CG32" i="5"/>
  <c r="CG91" i="5"/>
  <c r="CG93" i="5"/>
  <c r="CG34" i="5"/>
  <c r="CG38" i="5"/>
  <c r="CN49" i="5"/>
  <c r="CN94" i="5"/>
  <c r="CN38" i="5"/>
  <c r="CN45" i="5"/>
  <c r="CN95" i="5"/>
  <c r="CN40" i="5"/>
  <c r="CN92" i="5"/>
  <c r="CN44" i="5"/>
  <c r="CN32" i="5"/>
  <c r="CN33" i="5"/>
  <c r="CN41" i="5"/>
  <c r="CN96" i="5"/>
  <c r="CN34" i="5"/>
  <c r="CN91" i="5"/>
  <c r="CN93" i="5"/>
  <c r="CN39" i="5"/>
  <c r="CN42" i="5"/>
  <c r="CN43" i="5"/>
  <c r="H72" i="1"/>
  <c r="I22" i="27" s="1"/>
  <c r="H73" i="1"/>
  <c r="P175" i="1"/>
  <c r="P50" i="1"/>
  <c r="CH92" i="5"/>
  <c r="CH45" i="5"/>
  <c r="CH42" i="5"/>
  <c r="CH38" i="5"/>
  <c r="CH43" i="5"/>
  <c r="CH95" i="5"/>
  <c r="CH33" i="5"/>
  <c r="CH93" i="5"/>
  <c r="CH40" i="5"/>
  <c r="CH49" i="5"/>
  <c r="CH39" i="5"/>
  <c r="CH91" i="5"/>
  <c r="CH96" i="5"/>
  <c r="CH94" i="5"/>
  <c r="CH32" i="5"/>
  <c r="CH34" i="5"/>
  <c r="CH44" i="5"/>
  <c r="CH41" i="5"/>
  <c r="P174" i="1"/>
  <c r="P27" i="1"/>
  <c r="J245" i="23"/>
  <c r="I256" i="23"/>
  <c r="I246" i="23"/>
  <c r="I251" i="23" s="1"/>
  <c r="CE38" i="5"/>
  <c r="CE39" i="5"/>
  <c r="CE34" i="5"/>
  <c r="CE93" i="5"/>
  <c r="CE94" i="5"/>
  <c r="CE40" i="5"/>
  <c r="CE96" i="5"/>
  <c r="CE91" i="5"/>
  <c r="CE49" i="5"/>
  <c r="CE41" i="5"/>
  <c r="CE43" i="5"/>
  <c r="CE44" i="5"/>
  <c r="CE33" i="5"/>
  <c r="CE92" i="5"/>
  <c r="CE32" i="5"/>
  <c r="CE42" i="5"/>
  <c r="CE45" i="5"/>
  <c r="CE95" i="5"/>
  <c r="CJ33" i="5"/>
  <c r="CJ43" i="5"/>
  <c r="CJ49" i="5"/>
  <c r="CJ92" i="5"/>
  <c r="CJ94" i="5"/>
  <c r="CJ45" i="5"/>
  <c r="CJ93" i="5"/>
  <c r="CJ32" i="5"/>
  <c r="CJ40" i="5"/>
  <c r="CJ42" i="5"/>
  <c r="CJ41" i="5"/>
  <c r="CJ39" i="5"/>
  <c r="CJ96" i="5"/>
  <c r="CJ34" i="5"/>
  <c r="CJ44" i="5"/>
  <c r="CJ38" i="5"/>
  <c r="CJ91" i="5"/>
  <c r="CJ95" i="5"/>
  <c r="CD96" i="5"/>
  <c r="CD43" i="5"/>
  <c r="CD38" i="5"/>
  <c r="CD49" i="5"/>
  <c r="CD40" i="5"/>
  <c r="CD91" i="5"/>
  <c r="CD93" i="5"/>
  <c r="CD39" i="5"/>
  <c r="CD42" i="5"/>
  <c r="CD45" i="5"/>
  <c r="CD32" i="5"/>
  <c r="CD41" i="5"/>
  <c r="CD95" i="5"/>
  <c r="CD94" i="5"/>
  <c r="CD33" i="5"/>
  <c r="CD44" i="5"/>
  <c r="CD34" i="5"/>
  <c r="CD92" i="5"/>
  <c r="CC96" i="5"/>
  <c r="CC91" i="5"/>
  <c r="CC45" i="5"/>
  <c r="CC38" i="5"/>
  <c r="CC43" i="5"/>
  <c r="CC33" i="5"/>
  <c r="CC39" i="5"/>
  <c r="CC42" i="5"/>
  <c r="CC40" i="5"/>
  <c r="CC92" i="5"/>
  <c r="CC44" i="5"/>
  <c r="CC93" i="5"/>
  <c r="CC94" i="5"/>
  <c r="CC95" i="5"/>
  <c r="CC34" i="5"/>
  <c r="CC32" i="5"/>
  <c r="CC41" i="5"/>
  <c r="CC49" i="5"/>
  <c r="U480" i="23"/>
  <c r="U501" i="23"/>
  <c r="T504" i="23"/>
  <c r="S490" i="23"/>
  <c r="S493" i="23" s="1"/>
  <c r="S281" i="22"/>
  <c r="S292" i="22" s="1"/>
  <c r="S295" i="22" s="1"/>
  <c r="S297" i="22" s="1"/>
  <c r="T282" i="22"/>
  <c r="U279" i="22"/>
  <c r="R502" i="23"/>
  <c r="R280" i="22"/>
  <c r="S305" i="22"/>
  <c r="S316" i="22" s="1"/>
  <c r="S319" i="22" s="1"/>
  <c r="S321" i="22" s="1"/>
  <c r="U303" i="22"/>
  <c r="T306" i="22"/>
  <c r="S503" i="23"/>
  <c r="S514" i="23" s="1"/>
  <c r="S517" i="23" s="1"/>
  <c r="S519" i="23" s="1"/>
  <c r="R304" i="22"/>
  <c r="T479" i="23"/>
  <c r="T478" i="23" s="1"/>
  <c r="S74" i="23"/>
  <c r="BI28" i="22"/>
  <c r="S101" i="23"/>
  <c r="S107" i="23"/>
  <c r="BI55" i="22"/>
  <c r="BI61" i="22"/>
  <c r="T65" i="23"/>
  <c r="T71" i="23"/>
  <c r="T72" i="23" s="1"/>
  <c r="T98" i="23"/>
  <c r="T99" i="23" s="1"/>
  <c r="T92" i="23"/>
  <c r="BJ19" i="22"/>
  <c r="BJ25" i="22"/>
  <c r="BJ46" i="22"/>
  <c r="BJ52" i="22"/>
  <c r="BJ54" i="22" s="1"/>
  <c r="T225" i="23"/>
  <c r="T226" i="23" s="1"/>
  <c r="BI18" i="22"/>
  <c r="BL44" i="22"/>
  <c r="BK47" i="22"/>
  <c r="BF27" i="18"/>
  <c r="BE30" i="18"/>
  <c r="BG4" i="18"/>
  <c r="BF7" i="18"/>
  <c r="BE12" i="18"/>
  <c r="BE6" i="18"/>
  <c r="BD5" i="18"/>
  <c r="BC37" i="18"/>
  <c r="BL17" i="22"/>
  <c r="BK20" i="22"/>
  <c r="BD29" i="18"/>
  <c r="BD35" i="18"/>
  <c r="BC28" i="18"/>
  <c r="V90" i="23"/>
  <c r="U93" i="23"/>
  <c r="V63" i="23"/>
  <c r="U66" i="23"/>
  <c r="S91" i="23"/>
  <c r="S64" i="23"/>
  <c r="BI45" i="22"/>
  <c r="X173" i="22"/>
  <c r="S185" i="23"/>
  <c r="S172" i="23"/>
  <c r="U174" i="23"/>
  <c r="V171" i="23"/>
  <c r="S209" i="23"/>
  <c r="S196" i="23"/>
  <c r="T173" i="23"/>
  <c r="T179" i="23"/>
  <c r="T180" i="23" s="1"/>
  <c r="T183" i="23" s="1"/>
  <c r="U272" i="23"/>
  <c r="U277" i="23" s="1"/>
  <c r="U278" i="23" s="1"/>
  <c r="U282" i="23"/>
  <c r="V271" i="23"/>
  <c r="W2" i="24"/>
  <c r="V1" i="24"/>
  <c r="V47" i="24"/>
  <c r="Y172" i="22"/>
  <c r="Y168" i="22"/>
  <c r="Y170" i="22" s="1"/>
  <c r="Y92" i="22"/>
  <c r="Z2" i="22"/>
  <c r="BJ139" i="22"/>
  <c r="BJ126" i="22"/>
  <c r="R28" i="20"/>
  <c r="S27" i="20"/>
  <c r="BB117" i="22"/>
  <c r="BL152" i="22"/>
  <c r="BM149" i="22"/>
  <c r="U220" i="23"/>
  <c r="U230" i="23"/>
  <c r="V219" i="23"/>
  <c r="U198" i="23"/>
  <c r="V195" i="23"/>
  <c r="BK157" i="22"/>
  <c r="BK158" i="22" s="1"/>
  <c r="BK161" i="22" s="1"/>
  <c r="BK151" i="22"/>
  <c r="T197" i="23"/>
  <c r="T203" i="23"/>
  <c r="T204" i="23" s="1"/>
  <c r="T207" i="23" s="1"/>
  <c r="T64" i="22"/>
  <c r="T69" i="22" s="1"/>
  <c r="T70" i="22" s="1"/>
  <c r="U63" i="22"/>
  <c r="U74" i="22" s="1"/>
  <c r="AW115" i="22"/>
  <c r="AW120" i="22" s="1"/>
  <c r="AW121" i="22" s="1"/>
  <c r="AW125" i="22"/>
  <c r="AX114" i="22"/>
  <c r="BL128" i="22"/>
  <c r="BM125" i="22"/>
  <c r="BK127" i="22"/>
  <c r="BK133" i="22"/>
  <c r="BK134" i="22" s="1"/>
  <c r="BK137" i="22" s="1"/>
  <c r="BJ163" i="22"/>
  <c r="BJ150" i="22"/>
  <c r="AH28" i="20"/>
  <c r="AI27" i="20"/>
  <c r="U84" i="18"/>
  <c r="U58" i="18"/>
  <c r="BF148" i="18"/>
  <c r="AJ45" i="20"/>
  <c r="AR45" i="20" s="1"/>
  <c r="AR44" i="20"/>
  <c r="U159" i="18"/>
  <c r="U161" i="18" s="1"/>
  <c r="U163" i="18"/>
  <c r="T164" i="18"/>
  <c r="V2" i="18"/>
  <c r="V463" i="18" s="1"/>
  <c r="BF96" i="18"/>
  <c r="BF99" i="18" s="1"/>
  <c r="BC121" i="18"/>
  <c r="BC134" i="18"/>
  <c r="BD122" i="18"/>
  <c r="BD128" i="18"/>
  <c r="BD104" i="18"/>
  <c r="BD105" i="18" s="1"/>
  <c r="BD108" i="18" s="1"/>
  <c r="BD98" i="18"/>
  <c r="BF120" i="18"/>
  <c r="BF123" i="18" s="1"/>
  <c r="BC110" i="18"/>
  <c r="BC97" i="18"/>
  <c r="U466" i="18" l="1"/>
  <c r="U467" i="18" s="1"/>
  <c r="I18" i="27"/>
  <c r="I19" i="27" s="1"/>
  <c r="U471" i="18"/>
  <c r="I23" i="27"/>
  <c r="V460" i="18"/>
  <c r="V461" i="18" s="1"/>
  <c r="I90" i="22"/>
  <c r="I95" i="22" s="1"/>
  <c r="I96" i="22" s="1"/>
  <c r="I100" i="22"/>
  <c r="J89" i="22"/>
  <c r="BD129" i="18"/>
  <c r="BD132" i="18" s="1"/>
  <c r="O293" i="23"/>
  <c r="O298" i="23" s="1"/>
  <c r="P292" i="23"/>
  <c r="N303" i="23"/>
  <c r="N299" i="23"/>
  <c r="J433" i="23"/>
  <c r="K432" i="23"/>
  <c r="V371" i="23"/>
  <c r="L82" i="18"/>
  <c r="L87" i="18" s="1"/>
  <c r="L92" i="18"/>
  <c r="M81" i="18"/>
  <c r="K245" i="22"/>
  <c r="L234" i="22"/>
  <c r="K235" i="22"/>
  <c r="S323" i="22"/>
  <c r="S322" i="22"/>
  <c r="S299" i="22"/>
  <c r="S298" i="22"/>
  <c r="S521" i="23"/>
  <c r="S520" i="23"/>
  <c r="W295" i="23"/>
  <c r="W222" i="23"/>
  <c r="W248" i="23"/>
  <c r="W274" i="23"/>
  <c r="W366" i="23"/>
  <c r="W368" i="23" s="1"/>
  <c r="X2" i="23"/>
  <c r="W370" i="23"/>
  <c r="V435" i="23"/>
  <c r="V237" i="22"/>
  <c r="I252" i="23"/>
  <c r="BE61" i="18"/>
  <c r="T321" i="23"/>
  <c r="T322" i="23" s="1"/>
  <c r="T323" i="23" s="1"/>
  <c r="T314" i="23"/>
  <c r="T325" i="23" s="1"/>
  <c r="T123" i="22"/>
  <c r="T124" i="22" s="1"/>
  <c r="T125" i="22" s="1"/>
  <c r="T116" i="22"/>
  <c r="BF51" i="18"/>
  <c r="BF63" i="18"/>
  <c r="BF60" i="18"/>
  <c r="BF59" i="18"/>
  <c r="BI50" i="18"/>
  <c r="BH53" i="18"/>
  <c r="BG58" i="18"/>
  <c r="BG52" i="18"/>
  <c r="BJ113" i="22"/>
  <c r="S159" i="23"/>
  <c r="BK109" i="22"/>
  <c r="BK115" i="22"/>
  <c r="BK112" i="22"/>
  <c r="BK99" i="22"/>
  <c r="BK110" i="22"/>
  <c r="BK111" i="22"/>
  <c r="V119" i="23"/>
  <c r="V125" i="23"/>
  <c r="BK107" i="22"/>
  <c r="BK108" i="22"/>
  <c r="X117" i="23"/>
  <c r="W120" i="23"/>
  <c r="T132" i="23"/>
  <c r="BJ86" i="22"/>
  <c r="BL100" i="22"/>
  <c r="BL106" i="22"/>
  <c r="BN98" i="22"/>
  <c r="BM101" i="22"/>
  <c r="U146" i="23"/>
  <c r="U152" i="23"/>
  <c r="U127" i="23"/>
  <c r="U126" i="23"/>
  <c r="W144" i="23"/>
  <c r="V147" i="23"/>
  <c r="T161" i="23"/>
  <c r="T155" i="23"/>
  <c r="T158" i="23"/>
  <c r="T145" i="23"/>
  <c r="T156" i="23"/>
  <c r="T157" i="23"/>
  <c r="U134" i="23"/>
  <c r="U130" i="23"/>
  <c r="U128" i="23"/>
  <c r="U118" i="23"/>
  <c r="U129" i="23"/>
  <c r="U131" i="23"/>
  <c r="T154" i="23"/>
  <c r="T153" i="23"/>
  <c r="BL73" i="22"/>
  <c r="BL79" i="22"/>
  <c r="BK80" i="22"/>
  <c r="BK81" i="22"/>
  <c r="BN71" i="22"/>
  <c r="BM74" i="22"/>
  <c r="BK82" i="22"/>
  <c r="BK85" i="22"/>
  <c r="BK72" i="22"/>
  <c r="BK88" i="22"/>
  <c r="BK83" i="22"/>
  <c r="BK84" i="22"/>
  <c r="BD84" i="18"/>
  <c r="BF75" i="18"/>
  <c r="BF81" i="18"/>
  <c r="BE83" i="18"/>
  <c r="BE82" i="18"/>
  <c r="BJ27" i="22"/>
  <c r="BJ26" i="22"/>
  <c r="BE74" i="18"/>
  <c r="BE86" i="18"/>
  <c r="BG76" i="18"/>
  <c r="CO35" i="5"/>
  <c r="CO46" i="5"/>
  <c r="CP35" i="5"/>
  <c r="CP46" i="5"/>
  <c r="AW24" i="5"/>
  <c r="U118" i="22"/>
  <c r="V117" i="22"/>
  <c r="V315" i="23"/>
  <c r="U316" i="23"/>
  <c r="BI59" i="22"/>
  <c r="AU145" i="18"/>
  <c r="AT156" i="18"/>
  <c r="AT146" i="18"/>
  <c r="F193" i="1"/>
  <c r="F197" i="1" s="1"/>
  <c r="AI76" i="3"/>
  <c r="R55" i="1" s="1"/>
  <c r="G24" i="5"/>
  <c r="Z24" i="5" s="1"/>
  <c r="H63" i="5"/>
  <c r="BD35" i="5"/>
  <c r="BD46" i="5"/>
  <c r="I12" i="22"/>
  <c r="J9" i="22"/>
  <c r="H11" i="22"/>
  <c r="H17" i="22"/>
  <c r="H18" i="22" s="1"/>
  <c r="G11" i="22"/>
  <c r="G17" i="22"/>
  <c r="G18" i="22" s="1"/>
  <c r="F11" i="22"/>
  <c r="F17" i="22"/>
  <c r="F18" i="22" s="1"/>
  <c r="I39" i="22"/>
  <c r="J36" i="22"/>
  <c r="H38" i="22"/>
  <c r="H44" i="22"/>
  <c r="H45" i="22" s="1"/>
  <c r="G38" i="22"/>
  <c r="G44" i="22"/>
  <c r="G45" i="22" s="1"/>
  <c r="F38" i="22"/>
  <c r="F44" i="22"/>
  <c r="F45" i="22" s="1"/>
  <c r="BE13" i="18"/>
  <c r="BD36" i="18"/>
  <c r="S105" i="23"/>
  <c r="BD15" i="18"/>
  <c r="BC38" i="18"/>
  <c r="BI32" i="22"/>
  <c r="S78" i="23"/>
  <c r="T100" i="23"/>
  <c r="T102" i="23"/>
  <c r="T103" i="23"/>
  <c r="T104" i="23"/>
  <c r="T73" i="23"/>
  <c r="T75" i="23"/>
  <c r="T76" i="23"/>
  <c r="T77" i="23"/>
  <c r="BJ57" i="22"/>
  <c r="BJ56" i="22"/>
  <c r="BJ58" i="22"/>
  <c r="BJ29" i="22"/>
  <c r="BJ31" i="22"/>
  <c r="BJ30" i="22"/>
  <c r="CA35" i="5"/>
  <c r="BD40" i="18"/>
  <c r="BD37" i="18"/>
  <c r="BE14" i="18"/>
  <c r="CA46" i="5"/>
  <c r="W66" i="22"/>
  <c r="CB35" i="5"/>
  <c r="CF35" i="5"/>
  <c r="CN35" i="5"/>
  <c r="CL35" i="5"/>
  <c r="CC46" i="5"/>
  <c r="CM35" i="5"/>
  <c r="CK46" i="5"/>
  <c r="CG46" i="5"/>
  <c r="CK35" i="5"/>
  <c r="BZ46" i="5"/>
  <c r="F39" i="23"/>
  <c r="G39" i="23"/>
  <c r="H39" i="23"/>
  <c r="I36" i="23"/>
  <c r="J256" i="23"/>
  <c r="J246" i="23"/>
  <c r="J251" i="23" s="1"/>
  <c r="J252" i="23" s="1"/>
  <c r="K245" i="23"/>
  <c r="CH35" i="5"/>
  <c r="CG35" i="5"/>
  <c r="CL46" i="5"/>
  <c r="CF46" i="5"/>
  <c r="CC35" i="5"/>
  <c r="CD35" i="5"/>
  <c r="G12" i="23"/>
  <c r="H12" i="23"/>
  <c r="I9" i="23"/>
  <c r="F12" i="23"/>
  <c r="CE35" i="5"/>
  <c r="CD46" i="5"/>
  <c r="CJ46" i="5"/>
  <c r="P176" i="1"/>
  <c r="CE46" i="5"/>
  <c r="CI46" i="5"/>
  <c r="CM46" i="5"/>
  <c r="CB46" i="5"/>
  <c r="CI35" i="5"/>
  <c r="CJ35" i="5"/>
  <c r="CH46" i="5"/>
  <c r="CN46" i="5"/>
  <c r="BZ35" i="5"/>
  <c r="S304" i="22"/>
  <c r="S280" i="22"/>
  <c r="T490" i="23"/>
  <c r="T493" i="23" s="1"/>
  <c r="T503" i="23"/>
  <c r="T514" i="23" s="1"/>
  <c r="T517" i="23" s="1"/>
  <c r="T519" i="23" s="1"/>
  <c r="S502" i="23"/>
  <c r="V501" i="23"/>
  <c r="U504" i="23"/>
  <c r="U479" i="23"/>
  <c r="U478" i="23" s="1"/>
  <c r="V279" i="22"/>
  <c r="U282" i="22"/>
  <c r="V480" i="23"/>
  <c r="T305" i="22"/>
  <c r="T316" i="22" s="1"/>
  <c r="T319" i="22" s="1"/>
  <c r="T321" i="22" s="1"/>
  <c r="T281" i="22"/>
  <c r="T292" i="22" s="1"/>
  <c r="T295" i="22" s="1"/>
  <c r="T297" i="22" s="1"/>
  <c r="V303" i="22"/>
  <c r="U306" i="22"/>
  <c r="T74" i="23"/>
  <c r="BJ28" i="22"/>
  <c r="T101" i="23"/>
  <c r="T107" i="23"/>
  <c r="BJ55" i="22"/>
  <c r="BJ61" i="22"/>
  <c r="U65" i="23"/>
  <c r="U71" i="23"/>
  <c r="U72" i="23" s="1"/>
  <c r="U92" i="23"/>
  <c r="U98" i="23"/>
  <c r="U99" i="23" s="1"/>
  <c r="BK46" i="22"/>
  <c r="BK52" i="22"/>
  <c r="BK54" i="22" s="1"/>
  <c r="BK19" i="22"/>
  <c r="BK25" i="22"/>
  <c r="U225" i="23"/>
  <c r="U226" i="23" s="1"/>
  <c r="W63" i="23"/>
  <c r="V66" i="23"/>
  <c r="T91" i="23"/>
  <c r="W90" i="23"/>
  <c r="V93" i="23"/>
  <c r="BJ45" i="22"/>
  <c r="BE35" i="18"/>
  <c r="BE29" i="18"/>
  <c r="T64" i="23"/>
  <c r="BG27" i="18"/>
  <c r="BF30" i="18"/>
  <c r="BL47" i="22"/>
  <c r="BM44" i="22"/>
  <c r="BF6" i="18"/>
  <c r="BF12" i="18"/>
  <c r="BH4" i="18"/>
  <c r="BG7" i="18"/>
  <c r="BD28" i="18"/>
  <c r="BE5" i="18"/>
  <c r="BM17" i="22"/>
  <c r="BL20" i="22"/>
  <c r="BJ18" i="22"/>
  <c r="Y173" i="22"/>
  <c r="BL157" i="22"/>
  <c r="BL158" i="22" s="1"/>
  <c r="BL161" i="22" s="1"/>
  <c r="BL151" i="22"/>
  <c r="Z172" i="22"/>
  <c r="Z168" i="22"/>
  <c r="Z170" i="22" s="1"/>
  <c r="BC117" i="22"/>
  <c r="Z92" i="22"/>
  <c r="T185" i="23"/>
  <c r="T172" i="23"/>
  <c r="S28" i="20"/>
  <c r="R29" i="20"/>
  <c r="V174" i="23"/>
  <c r="W171" i="23"/>
  <c r="U64" i="22"/>
  <c r="U69" i="22" s="1"/>
  <c r="U70" i="22" s="1"/>
  <c r="V63" i="22"/>
  <c r="V74" i="22" s="1"/>
  <c r="V198" i="23"/>
  <c r="W195" i="23"/>
  <c r="W47" i="24"/>
  <c r="W1" i="24"/>
  <c r="X2" i="24"/>
  <c r="U173" i="23"/>
  <c r="U179" i="23"/>
  <c r="U180" i="23" s="1"/>
  <c r="U183" i="23" s="1"/>
  <c r="BM128" i="22"/>
  <c r="BN125" i="22"/>
  <c r="U197" i="23"/>
  <c r="U203" i="23"/>
  <c r="U204" i="23" s="1"/>
  <c r="U207" i="23" s="1"/>
  <c r="BL133" i="22"/>
  <c r="BL134" i="22" s="1"/>
  <c r="BL137" i="22" s="1"/>
  <c r="BL127" i="22"/>
  <c r="V220" i="23"/>
  <c r="V230" i="23"/>
  <c r="W219" i="23"/>
  <c r="AH29" i="20"/>
  <c r="AI28" i="20"/>
  <c r="AX115" i="22"/>
  <c r="AX120" i="22" s="1"/>
  <c r="AX121" i="22" s="1"/>
  <c r="AX125" i="22"/>
  <c r="AY114" i="22"/>
  <c r="T209" i="23"/>
  <c r="T196" i="23"/>
  <c r="V272" i="23"/>
  <c r="V277" i="23" s="1"/>
  <c r="V278" i="23" s="1"/>
  <c r="V282" i="23"/>
  <c r="W271" i="23"/>
  <c r="BK139" i="22"/>
  <c r="BK126" i="22"/>
  <c r="BK163" i="22"/>
  <c r="BK150" i="22"/>
  <c r="BM152" i="22"/>
  <c r="BN149" i="22"/>
  <c r="BG148" i="18"/>
  <c r="V58" i="18"/>
  <c r="V84" i="18"/>
  <c r="V159" i="18"/>
  <c r="V161" i="18" s="1"/>
  <c r="V163" i="18"/>
  <c r="U164" i="18"/>
  <c r="W2" i="18"/>
  <c r="W463" i="18" s="1"/>
  <c r="BE104" i="18"/>
  <c r="BE105" i="18" s="1"/>
  <c r="BE108" i="18" s="1"/>
  <c r="BE98" i="18"/>
  <c r="BD121" i="18"/>
  <c r="BD134" i="18"/>
  <c r="BG96" i="18"/>
  <c r="BG99" i="18" s="1"/>
  <c r="BD110" i="18"/>
  <c r="BD97" i="18"/>
  <c r="BG120" i="18"/>
  <c r="BG123" i="18" s="1"/>
  <c r="BE122" i="18"/>
  <c r="BE128" i="18"/>
  <c r="W460" i="18" l="1"/>
  <c r="W461" i="18" s="1"/>
  <c r="W466" i="18" s="1"/>
  <c r="W467" i="18" s="1"/>
  <c r="V471" i="18"/>
  <c r="J100" i="22"/>
  <c r="K89" i="22"/>
  <c r="J90" i="22"/>
  <c r="J95" i="22" s="1"/>
  <c r="J96" i="22" s="1"/>
  <c r="BE129" i="18"/>
  <c r="BE132" i="18" s="1"/>
  <c r="K433" i="23"/>
  <c r="L432" i="23"/>
  <c r="P293" i="23"/>
  <c r="P298" i="23" s="1"/>
  <c r="Q292" i="23"/>
  <c r="O299" i="23"/>
  <c r="O303" i="23"/>
  <c r="Z115" i="5"/>
  <c r="Z116" i="5"/>
  <c r="L245" i="22"/>
  <c r="L235" i="22"/>
  <c r="M234" i="22"/>
  <c r="M82" i="18"/>
  <c r="M87" i="18" s="1"/>
  <c r="M88" i="18" s="1"/>
  <c r="M92" i="18"/>
  <c r="N81" i="18"/>
  <c r="L88" i="18"/>
  <c r="T323" i="22"/>
  <c r="T322" i="22"/>
  <c r="T520" i="23"/>
  <c r="T521" i="23"/>
  <c r="T299" i="22"/>
  <c r="T298" i="22"/>
  <c r="X295" i="23"/>
  <c r="X274" i="23"/>
  <c r="X366" i="23"/>
  <c r="X368" i="23" s="1"/>
  <c r="X222" i="23"/>
  <c r="X248" i="23"/>
  <c r="X370" i="23"/>
  <c r="Y2" i="23"/>
  <c r="W371" i="23"/>
  <c r="W237" i="22"/>
  <c r="W435" i="23"/>
  <c r="AW63" i="5"/>
  <c r="AW68" i="5" s="1"/>
  <c r="N55" i="1"/>
  <c r="U321" i="23"/>
  <c r="U322" i="23" s="1"/>
  <c r="U323" i="23" s="1"/>
  <c r="U314" i="23"/>
  <c r="U325" i="23" s="1"/>
  <c r="U123" i="22"/>
  <c r="U124" i="22" s="1"/>
  <c r="U125" i="22" s="1"/>
  <c r="U116" i="22"/>
  <c r="BF61" i="18"/>
  <c r="BG63" i="18"/>
  <c r="BG51" i="18"/>
  <c r="BG60" i="18"/>
  <c r="BG59" i="18"/>
  <c r="BH58" i="18"/>
  <c r="BH52" i="18"/>
  <c r="BJ50" i="18"/>
  <c r="BI53" i="18"/>
  <c r="T159" i="23"/>
  <c r="BK113" i="22"/>
  <c r="U132" i="23"/>
  <c r="BN101" i="22"/>
  <c r="BO98" i="22"/>
  <c r="V128" i="23"/>
  <c r="V129" i="23"/>
  <c r="V130" i="23"/>
  <c r="V134" i="23"/>
  <c r="V131" i="23"/>
  <c r="BL108" i="22"/>
  <c r="BL107" i="22"/>
  <c r="BM73" i="22"/>
  <c r="BM79" i="22"/>
  <c r="BL109" i="22"/>
  <c r="BL115" i="22"/>
  <c r="BL110" i="22"/>
  <c r="BL99" i="22"/>
  <c r="BL111" i="22"/>
  <c r="BL112" i="22"/>
  <c r="BM106" i="22"/>
  <c r="BM100" i="22"/>
  <c r="BO71" i="22"/>
  <c r="BN74" i="22"/>
  <c r="V152" i="23"/>
  <c r="V146" i="23"/>
  <c r="BL88" i="22"/>
  <c r="BL85" i="22"/>
  <c r="BL83" i="22"/>
  <c r="BL82" i="22"/>
  <c r="BL84" i="22"/>
  <c r="BL72" i="22"/>
  <c r="W147" i="23"/>
  <c r="X144" i="23"/>
  <c r="W119" i="23"/>
  <c r="W125" i="23"/>
  <c r="Y117" i="23"/>
  <c r="X120" i="23"/>
  <c r="V127" i="23"/>
  <c r="V126" i="23"/>
  <c r="BK86" i="22"/>
  <c r="V118" i="23"/>
  <c r="U154" i="23"/>
  <c r="U153" i="23"/>
  <c r="BL80" i="22"/>
  <c r="BL81" i="22"/>
  <c r="U155" i="23"/>
  <c r="U161" i="23"/>
  <c r="U145" i="23"/>
  <c r="U156" i="23"/>
  <c r="U157" i="23"/>
  <c r="U158" i="23"/>
  <c r="BF74" i="18"/>
  <c r="BF86" i="18"/>
  <c r="BK27" i="22"/>
  <c r="BK26" i="22"/>
  <c r="BG75" i="18"/>
  <c r="BG81" i="18"/>
  <c r="BF83" i="18"/>
  <c r="BF82" i="18"/>
  <c r="BE84" i="18"/>
  <c r="BH76" i="18"/>
  <c r="V316" i="23"/>
  <c r="V314" i="23" s="1"/>
  <c r="V325" i="23" s="1"/>
  <c r="W315" i="23"/>
  <c r="W117" i="22"/>
  <c r="V118" i="22"/>
  <c r="V116" i="22" s="1"/>
  <c r="AU156" i="18"/>
  <c r="AU146" i="18"/>
  <c r="AV145" i="18"/>
  <c r="BJ59" i="22"/>
  <c r="G63" i="5"/>
  <c r="AO71" i="1"/>
  <c r="AT16" i="1" s="1"/>
  <c r="F198" i="1"/>
  <c r="F195" i="1"/>
  <c r="F199" i="1" s="1"/>
  <c r="H37" i="22"/>
  <c r="H50" i="22"/>
  <c r="H48" i="22"/>
  <c r="H47" i="22"/>
  <c r="H49" i="22"/>
  <c r="H53" i="22"/>
  <c r="J39" i="22"/>
  <c r="K36" i="22"/>
  <c r="I38" i="22"/>
  <c r="I44" i="22"/>
  <c r="I45" i="22" s="1"/>
  <c r="F19" i="22"/>
  <c r="F20" i="22"/>
  <c r="F23" i="22"/>
  <c r="F21" i="22"/>
  <c r="F10" i="22"/>
  <c r="F22" i="22"/>
  <c r="G19" i="22"/>
  <c r="F46" i="22"/>
  <c r="G20" i="22"/>
  <c r="G10" i="22"/>
  <c r="G21" i="22"/>
  <c r="G23" i="22"/>
  <c r="G22" i="22"/>
  <c r="F47" i="22"/>
  <c r="F53" i="22"/>
  <c r="F49" i="22"/>
  <c r="F37" i="22"/>
  <c r="F50" i="22"/>
  <c r="F48" i="22"/>
  <c r="H19" i="22"/>
  <c r="G46" i="22"/>
  <c r="H22" i="22"/>
  <c r="H20" i="22"/>
  <c r="H21" i="22"/>
  <c r="H23" i="22"/>
  <c r="H10" i="22"/>
  <c r="G37" i="22"/>
  <c r="G47" i="22"/>
  <c r="G48" i="22"/>
  <c r="G50" i="22"/>
  <c r="G49" i="22"/>
  <c r="G53" i="22"/>
  <c r="J12" i="22"/>
  <c r="K9" i="22"/>
  <c r="H46" i="22"/>
  <c r="I17" i="22"/>
  <c r="I18" i="22" s="1"/>
  <c r="I11" i="22"/>
  <c r="BE36" i="18"/>
  <c r="T105" i="23"/>
  <c r="BF13" i="18"/>
  <c r="BD38" i="18"/>
  <c r="BJ32" i="22"/>
  <c r="BE15" i="18"/>
  <c r="T78" i="23"/>
  <c r="U100" i="23"/>
  <c r="U103" i="23"/>
  <c r="U104" i="23"/>
  <c r="U102" i="23"/>
  <c r="U73" i="23"/>
  <c r="U76" i="23"/>
  <c r="U77" i="23"/>
  <c r="U75" i="23"/>
  <c r="BK57" i="22"/>
  <c r="BK56" i="22"/>
  <c r="BK58" i="22"/>
  <c r="BK29" i="22"/>
  <c r="BK30" i="22"/>
  <c r="BK31" i="22"/>
  <c r="BE40" i="18"/>
  <c r="BE37" i="18"/>
  <c r="X66" i="22"/>
  <c r="BY35" i="5"/>
  <c r="G11" i="23"/>
  <c r="G17" i="23"/>
  <c r="G18" i="23" s="1"/>
  <c r="I39" i="23"/>
  <c r="J36" i="23"/>
  <c r="H38" i="23"/>
  <c r="H44" i="23"/>
  <c r="H45" i="23" s="1"/>
  <c r="G38" i="23"/>
  <c r="G44" i="23"/>
  <c r="G45" i="23" s="1"/>
  <c r="F38" i="23"/>
  <c r="F44" i="23"/>
  <c r="F45" i="23" s="1"/>
  <c r="K246" i="23"/>
  <c r="K251" i="23" s="1"/>
  <c r="K252" i="23" s="1"/>
  <c r="K256" i="23"/>
  <c r="L245" i="23"/>
  <c r="F11" i="23"/>
  <c r="F17" i="23"/>
  <c r="F18" i="23" s="1"/>
  <c r="BY46" i="5"/>
  <c r="I12" i="23"/>
  <c r="J9" i="23"/>
  <c r="H11" i="23"/>
  <c r="H17" i="23"/>
  <c r="H18" i="23" s="1"/>
  <c r="W501" i="23"/>
  <c r="V504" i="23"/>
  <c r="T304" i="22"/>
  <c r="V479" i="23"/>
  <c r="V478" i="23" s="1"/>
  <c r="T280" i="22"/>
  <c r="W480" i="23"/>
  <c r="U281" i="22"/>
  <c r="U292" i="22" s="1"/>
  <c r="U295" i="22" s="1"/>
  <c r="U297" i="22" s="1"/>
  <c r="W279" i="22"/>
  <c r="V282" i="22"/>
  <c r="T502" i="23"/>
  <c r="U490" i="23"/>
  <c r="U493" i="23" s="1"/>
  <c r="U305" i="22"/>
  <c r="U316" i="22" s="1"/>
  <c r="U319" i="22" s="1"/>
  <c r="U321" i="22" s="1"/>
  <c r="W303" i="22"/>
  <c r="V306" i="22"/>
  <c r="U503" i="23"/>
  <c r="U514" i="23" s="1"/>
  <c r="U517" i="23" s="1"/>
  <c r="U519" i="23" s="1"/>
  <c r="U74" i="23"/>
  <c r="BK28" i="22"/>
  <c r="BK55" i="22"/>
  <c r="BK61" i="22"/>
  <c r="U101" i="23"/>
  <c r="U107" i="23"/>
  <c r="V98" i="23"/>
  <c r="V99" i="23" s="1"/>
  <c r="V92" i="23"/>
  <c r="V65" i="23"/>
  <c r="V71" i="23"/>
  <c r="V72" i="23" s="1"/>
  <c r="BL19" i="22"/>
  <c r="BL25" i="22"/>
  <c r="BL52" i="22"/>
  <c r="BL54" i="22" s="1"/>
  <c r="BL46" i="22"/>
  <c r="V225" i="23"/>
  <c r="V226" i="23" s="1"/>
  <c r="BM20" i="22"/>
  <c r="BN17" i="22"/>
  <c r="BK45" i="22"/>
  <c r="BE28" i="18"/>
  <c r="U64" i="23"/>
  <c r="BF14" i="18"/>
  <c r="BN44" i="22"/>
  <c r="BM47" i="22"/>
  <c r="U91" i="23"/>
  <c r="BF35" i="18"/>
  <c r="BF29" i="18"/>
  <c r="BF5" i="18"/>
  <c r="BG30" i="18"/>
  <c r="BH27" i="18"/>
  <c r="X63" i="23"/>
  <c r="W66" i="23"/>
  <c r="BK18" i="22"/>
  <c r="BG6" i="18"/>
  <c r="BG12" i="18"/>
  <c r="BH7" i="18"/>
  <c r="BI4" i="18"/>
  <c r="X90" i="23"/>
  <c r="W93" i="23"/>
  <c r="Z173" i="22"/>
  <c r="W220" i="23"/>
  <c r="W230" i="23"/>
  <c r="X219" i="23"/>
  <c r="BN128" i="22"/>
  <c r="BO125" i="22"/>
  <c r="W272" i="23"/>
  <c r="W277" i="23" s="1"/>
  <c r="W278" i="23" s="1"/>
  <c r="W282" i="23"/>
  <c r="X271" i="23"/>
  <c r="BM133" i="22"/>
  <c r="BM134" i="22" s="1"/>
  <c r="BM137" i="22" s="1"/>
  <c r="BM127" i="22"/>
  <c r="V64" i="22"/>
  <c r="V69" i="22" s="1"/>
  <c r="V70" i="22" s="1"/>
  <c r="W63" i="22"/>
  <c r="W74" i="22" s="1"/>
  <c r="U185" i="23"/>
  <c r="U172" i="23"/>
  <c r="BL139" i="22"/>
  <c r="BL126" i="22"/>
  <c r="X47" i="24"/>
  <c r="X1" i="24"/>
  <c r="Y2" i="24"/>
  <c r="BN152" i="22"/>
  <c r="BO149" i="22"/>
  <c r="W174" i="23"/>
  <c r="X171" i="23"/>
  <c r="R30" i="20"/>
  <c r="S29" i="20"/>
  <c r="BM157" i="22"/>
  <c r="BM158" i="22" s="1"/>
  <c r="BM161" i="22" s="1"/>
  <c r="BM151" i="22"/>
  <c r="V173" i="23"/>
  <c r="V179" i="23"/>
  <c r="V180" i="23" s="1"/>
  <c r="V183" i="23" s="1"/>
  <c r="AY115" i="22"/>
  <c r="AY120" i="22" s="1"/>
  <c r="AY121" i="22" s="1"/>
  <c r="AY125" i="22"/>
  <c r="AZ114" i="22"/>
  <c r="W198" i="23"/>
  <c r="X195" i="23"/>
  <c r="BL163" i="22"/>
  <c r="BL150" i="22"/>
  <c r="AH30" i="20"/>
  <c r="AI29" i="20"/>
  <c r="U209" i="23"/>
  <c r="U196" i="23"/>
  <c r="V197" i="23"/>
  <c r="V203" i="23"/>
  <c r="V204" i="23" s="1"/>
  <c r="V207" i="23" s="1"/>
  <c r="W84" i="18"/>
  <c r="W58" i="18"/>
  <c r="BH148" i="18"/>
  <c r="V466" i="18"/>
  <c r="V467" i="18" s="1"/>
  <c r="W159" i="18"/>
  <c r="W161" i="18" s="1"/>
  <c r="W163" i="18"/>
  <c r="V164" i="18"/>
  <c r="X2" i="18"/>
  <c r="X463" i="18" s="1"/>
  <c r="BH120" i="18"/>
  <c r="BH123" i="18" s="1"/>
  <c r="BF104" i="18"/>
  <c r="BF105" i="18" s="1"/>
  <c r="BF108" i="18" s="1"/>
  <c r="BF98" i="18"/>
  <c r="BH96" i="18"/>
  <c r="BH99" i="18" s="1"/>
  <c r="BF122" i="18"/>
  <c r="BF128" i="18"/>
  <c r="BE110" i="18"/>
  <c r="BE97" i="18"/>
  <c r="BE121" i="18"/>
  <c r="BE134" i="18"/>
  <c r="X460" i="18" l="1"/>
  <c r="X461" i="18" s="1"/>
  <c r="W471" i="18"/>
  <c r="K90" i="22"/>
  <c r="K95" i="22" s="1"/>
  <c r="K96" i="22" s="1"/>
  <c r="L89" i="22"/>
  <c r="K100" i="22"/>
  <c r="BF129" i="18"/>
  <c r="BF132" i="18" s="1"/>
  <c r="R292" i="23"/>
  <c r="Q293" i="23"/>
  <c r="Q298" i="23" s="1"/>
  <c r="P299" i="23"/>
  <c r="P303" i="23"/>
  <c r="L433" i="23"/>
  <c r="M432" i="23"/>
  <c r="N82" i="18"/>
  <c r="N87" i="18" s="1"/>
  <c r="N92" i="18"/>
  <c r="O81" i="18"/>
  <c r="M245" i="22"/>
  <c r="N234" i="22"/>
  <c r="M235" i="22"/>
  <c r="N34" i="1"/>
  <c r="M34" i="1" s="1"/>
  <c r="S34" i="1" s="1"/>
  <c r="K106" i="18"/>
  <c r="U323" i="22"/>
  <c r="U322" i="22"/>
  <c r="U298" i="22"/>
  <c r="U299" i="22"/>
  <c r="U521" i="23"/>
  <c r="U520" i="23"/>
  <c r="X371" i="23"/>
  <c r="Y295" i="23"/>
  <c r="Y370" i="23"/>
  <c r="Y248" i="23"/>
  <c r="Y222" i="23"/>
  <c r="Y366" i="23"/>
  <c r="Y368" i="23" s="1"/>
  <c r="Y274" i="23"/>
  <c r="Z2" i="23"/>
  <c r="X435" i="23"/>
  <c r="X237" i="22"/>
  <c r="Z63" i="5"/>
  <c r="Z68" i="5" s="1"/>
  <c r="M55" i="1"/>
  <c r="S55" i="1" s="1"/>
  <c r="BH63" i="18"/>
  <c r="BH51" i="18"/>
  <c r="BH60" i="18"/>
  <c r="BH59" i="18"/>
  <c r="BG61" i="18"/>
  <c r="BI58" i="18"/>
  <c r="BI52" i="18"/>
  <c r="BK50" i="18"/>
  <c r="BK53" i="18" s="1"/>
  <c r="BJ53" i="18"/>
  <c r="BL113" i="22"/>
  <c r="U159" i="23"/>
  <c r="X119" i="23"/>
  <c r="X125" i="23"/>
  <c r="Y120" i="23"/>
  <c r="Z117" i="23"/>
  <c r="Z120" i="23" s="1"/>
  <c r="W127" i="23"/>
  <c r="W126" i="23"/>
  <c r="BO101" i="22"/>
  <c r="BP98" i="22"/>
  <c r="W131" i="23"/>
  <c r="W130" i="23"/>
  <c r="W128" i="23"/>
  <c r="W134" i="23"/>
  <c r="W129" i="23"/>
  <c r="W118" i="23"/>
  <c r="BN106" i="22"/>
  <c r="BN100" i="22"/>
  <c r="BL86" i="22"/>
  <c r="V161" i="23"/>
  <c r="V156" i="23"/>
  <c r="V157" i="23"/>
  <c r="V158" i="23"/>
  <c r="V145" i="23"/>
  <c r="V155" i="23"/>
  <c r="BM80" i="22"/>
  <c r="BM81" i="22"/>
  <c r="V154" i="23"/>
  <c r="V153" i="23"/>
  <c r="BM84" i="22"/>
  <c r="BM85" i="22"/>
  <c r="BM83" i="22"/>
  <c r="BM72" i="22"/>
  <c r="BM82" i="22"/>
  <c r="BM88" i="22"/>
  <c r="V132" i="23"/>
  <c r="Y144" i="23"/>
  <c r="X147" i="23"/>
  <c r="BN73" i="22"/>
  <c r="BN79" i="22"/>
  <c r="W146" i="23"/>
  <c r="W152" i="23"/>
  <c r="BP71" i="22"/>
  <c r="BO74" i="22"/>
  <c r="BM109" i="22"/>
  <c r="BM115" i="22"/>
  <c r="BM111" i="22"/>
  <c r="BM112" i="22"/>
  <c r="BM99" i="22"/>
  <c r="BM110" i="22"/>
  <c r="BM107" i="22"/>
  <c r="BM108" i="22"/>
  <c r="BG83" i="18"/>
  <c r="BG82" i="18"/>
  <c r="BG74" i="18"/>
  <c r="BG86" i="18"/>
  <c r="BL27" i="22"/>
  <c r="BL26" i="22"/>
  <c r="BH75" i="18"/>
  <c r="BH81" i="18"/>
  <c r="BF84" i="18"/>
  <c r="BI76" i="18"/>
  <c r="V123" i="22"/>
  <c r="V124" i="22" s="1"/>
  <c r="V125" i="22" s="1"/>
  <c r="V321" i="23"/>
  <c r="V322" i="23" s="1"/>
  <c r="V323" i="23" s="1"/>
  <c r="W118" i="22"/>
  <c r="W116" i="22" s="1"/>
  <c r="X117" i="22"/>
  <c r="X315" i="23"/>
  <c r="W316" i="23"/>
  <c r="AV146" i="18"/>
  <c r="AW145" i="18"/>
  <c r="AV156" i="18"/>
  <c r="F200" i="1"/>
  <c r="E198" i="1"/>
  <c r="AV48" i="1"/>
  <c r="J106" i="18"/>
  <c r="I106" i="18"/>
  <c r="E199" i="1"/>
  <c r="I46" i="22"/>
  <c r="I10" i="22"/>
  <c r="I22" i="22"/>
  <c r="I21" i="22"/>
  <c r="I23" i="22"/>
  <c r="I20" i="22"/>
  <c r="I49" i="22"/>
  <c r="I48" i="22"/>
  <c r="I37" i="22"/>
  <c r="I47" i="22"/>
  <c r="I53" i="22"/>
  <c r="I50" i="22"/>
  <c r="I19" i="22"/>
  <c r="K39" i="22"/>
  <c r="L36" i="22"/>
  <c r="J44" i="22"/>
  <c r="J45" i="22" s="1"/>
  <c r="J38" i="22"/>
  <c r="K12" i="22"/>
  <c r="L9" i="22"/>
  <c r="J11" i="22"/>
  <c r="J17" i="22"/>
  <c r="J18" i="22" s="1"/>
  <c r="U78" i="23"/>
  <c r="BF36" i="18"/>
  <c r="U105" i="23"/>
  <c r="BG13" i="18"/>
  <c r="BK32" i="22"/>
  <c r="BK59" i="22"/>
  <c r="BE38" i="18"/>
  <c r="V100" i="23"/>
  <c r="BF15" i="18"/>
  <c r="V73" i="23"/>
  <c r="V103" i="23"/>
  <c r="V102" i="23"/>
  <c r="V104" i="23"/>
  <c r="V76" i="23"/>
  <c r="V77" i="23"/>
  <c r="V75" i="23"/>
  <c r="F48" i="23"/>
  <c r="F49" i="23"/>
  <c r="F50" i="23"/>
  <c r="G48" i="23"/>
  <c r="G49" i="23"/>
  <c r="G50" i="23"/>
  <c r="H48" i="23"/>
  <c r="H49" i="23"/>
  <c r="H50" i="23"/>
  <c r="H19" i="23"/>
  <c r="F19" i="23"/>
  <c r="G19" i="23"/>
  <c r="F21" i="23"/>
  <c r="F22" i="23"/>
  <c r="F23" i="23"/>
  <c r="H22" i="23"/>
  <c r="H23" i="23"/>
  <c r="H21" i="23"/>
  <c r="G21" i="23"/>
  <c r="G22" i="23"/>
  <c r="G23" i="23"/>
  <c r="BL57" i="22"/>
  <c r="BL56" i="22"/>
  <c r="BL58" i="22"/>
  <c r="BL30" i="22"/>
  <c r="BL31" i="22"/>
  <c r="BL29" i="22"/>
  <c r="BF40" i="18"/>
  <c r="BF37" i="18"/>
  <c r="BG14" i="18"/>
  <c r="Y66" i="22"/>
  <c r="H37" i="23"/>
  <c r="H47" i="23"/>
  <c r="H53" i="23"/>
  <c r="J12" i="23"/>
  <c r="K9" i="23"/>
  <c r="L256" i="23"/>
  <c r="M245" i="23"/>
  <c r="L246" i="23"/>
  <c r="L251" i="23" s="1"/>
  <c r="L252" i="23" s="1"/>
  <c r="J39" i="23"/>
  <c r="K36" i="23"/>
  <c r="I11" i="23"/>
  <c r="I17" i="23"/>
  <c r="I18" i="23" s="1"/>
  <c r="F46" i="23"/>
  <c r="I44" i="23"/>
  <c r="I45" i="23" s="1"/>
  <c r="I38" i="23"/>
  <c r="F37" i="23"/>
  <c r="F53" i="23"/>
  <c r="F47" i="23"/>
  <c r="H20" i="23"/>
  <c r="H10" i="23"/>
  <c r="F20" i="23"/>
  <c r="F10" i="23"/>
  <c r="G46" i="23"/>
  <c r="G53" i="23"/>
  <c r="G47" i="23"/>
  <c r="G37" i="23"/>
  <c r="H46" i="23"/>
  <c r="G20" i="23"/>
  <c r="G10" i="23"/>
  <c r="V490" i="23"/>
  <c r="V493" i="23" s="1"/>
  <c r="V281" i="22"/>
  <c r="V292" i="22" s="1"/>
  <c r="V295" i="22" s="1"/>
  <c r="V297" i="22" s="1"/>
  <c r="U502" i="23"/>
  <c r="X279" i="22"/>
  <c r="W282" i="22"/>
  <c r="V305" i="22"/>
  <c r="V316" i="22" s="1"/>
  <c r="V319" i="22" s="1"/>
  <c r="V321" i="22" s="1"/>
  <c r="V503" i="23"/>
  <c r="V514" i="23" s="1"/>
  <c r="V517" i="23" s="1"/>
  <c r="V519" i="23" s="1"/>
  <c r="X303" i="22"/>
  <c r="W306" i="22"/>
  <c r="U280" i="22"/>
  <c r="X501" i="23"/>
  <c r="W504" i="23"/>
  <c r="U304" i="22"/>
  <c r="W479" i="23"/>
  <c r="W478" i="23" s="1"/>
  <c r="X480" i="23"/>
  <c r="V74" i="23"/>
  <c r="BL28" i="22"/>
  <c r="BL55" i="22"/>
  <c r="BL61" i="22"/>
  <c r="V101" i="23"/>
  <c r="V107" i="23"/>
  <c r="W65" i="23"/>
  <c r="W71" i="23"/>
  <c r="W72" i="23" s="1"/>
  <c r="W98" i="23"/>
  <c r="W99" i="23" s="1"/>
  <c r="W92" i="23"/>
  <c r="BM52" i="22"/>
  <c r="BM54" i="22" s="1"/>
  <c r="BM46" i="22"/>
  <c r="BM25" i="22"/>
  <c r="BM19" i="22"/>
  <c r="W225" i="23"/>
  <c r="W226" i="23" s="1"/>
  <c r="V91" i="23"/>
  <c r="BI27" i="18"/>
  <c r="BH30" i="18"/>
  <c r="BO44" i="22"/>
  <c r="BN47" i="22"/>
  <c r="BG35" i="18"/>
  <c r="BG29" i="18"/>
  <c r="BH6" i="18"/>
  <c r="BH12" i="18"/>
  <c r="BL45" i="22"/>
  <c r="BG5" i="18"/>
  <c r="V64" i="23"/>
  <c r="BF28" i="18"/>
  <c r="X93" i="23"/>
  <c r="Y90" i="23"/>
  <c r="BO17" i="22"/>
  <c r="BN20" i="22"/>
  <c r="BJ4" i="18"/>
  <c r="BI7" i="18"/>
  <c r="BL18" i="22"/>
  <c r="X66" i="23"/>
  <c r="Y63" i="23"/>
  <c r="R31" i="20"/>
  <c r="S30" i="20"/>
  <c r="AZ115" i="22"/>
  <c r="AZ120" i="22" s="1"/>
  <c r="AZ121" i="22" s="1"/>
  <c r="BA114" i="22"/>
  <c r="AZ125" i="22"/>
  <c r="X174" i="23"/>
  <c r="Y171" i="23"/>
  <c r="X272" i="23"/>
  <c r="X277" i="23" s="1"/>
  <c r="X278" i="23" s="1"/>
  <c r="X282" i="23"/>
  <c r="Y271" i="23"/>
  <c r="W173" i="23"/>
  <c r="W179" i="23"/>
  <c r="W180" i="23" s="1"/>
  <c r="W183" i="23" s="1"/>
  <c r="X198" i="23"/>
  <c r="Y195" i="23"/>
  <c r="BM163" i="22"/>
  <c r="BM150" i="22"/>
  <c r="V209" i="23"/>
  <c r="V196" i="23"/>
  <c r="W203" i="23"/>
  <c r="W204" i="23" s="1"/>
  <c r="W207" i="23" s="1"/>
  <c r="W197" i="23"/>
  <c r="BO152" i="22"/>
  <c r="BP149" i="22"/>
  <c r="W64" i="22"/>
  <c r="W69" i="22" s="1"/>
  <c r="W70" i="22" s="1"/>
  <c r="X63" i="22"/>
  <c r="X74" i="22" s="1"/>
  <c r="BN157" i="22"/>
  <c r="BN158" i="22" s="1"/>
  <c r="BN161" i="22" s="1"/>
  <c r="BN151" i="22"/>
  <c r="BO128" i="22"/>
  <c r="BP125" i="22"/>
  <c r="BN133" i="22"/>
  <c r="BN134" i="22" s="1"/>
  <c r="BN137" i="22" s="1"/>
  <c r="BN127" i="22"/>
  <c r="AI30" i="20"/>
  <c r="AH31" i="20"/>
  <c r="BM139" i="22"/>
  <c r="BM126" i="22"/>
  <c r="X220" i="23"/>
  <c r="X230" i="23"/>
  <c r="Y219" i="23"/>
  <c r="Z2" i="24"/>
  <c r="Y47" i="24"/>
  <c r="Y1" i="24"/>
  <c r="V172" i="23"/>
  <c r="V185" i="23"/>
  <c r="BI148" i="18"/>
  <c r="X58" i="18"/>
  <c r="X84" i="18"/>
  <c r="X163" i="18"/>
  <c r="X159" i="18"/>
  <c r="X161" i="18" s="1"/>
  <c r="W164" i="18"/>
  <c r="Y2" i="18"/>
  <c r="Y463" i="18" s="1"/>
  <c r="Y460" i="18"/>
  <c r="Y461" i="18" s="1"/>
  <c r="X471" i="18"/>
  <c r="X466" i="18"/>
  <c r="X467" i="18" s="1"/>
  <c r="BG122" i="18"/>
  <c r="BG128" i="18"/>
  <c r="BI120" i="18"/>
  <c r="BI123" i="18" s="1"/>
  <c r="BG104" i="18"/>
  <c r="BG105" i="18" s="1"/>
  <c r="BG108" i="18" s="1"/>
  <c r="BG98" i="18"/>
  <c r="BI96" i="18"/>
  <c r="BI99" i="18" s="1"/>
  <c r="BF121" i="18"/>
  <c r="BF134" i="18"/>
  <c r="BF110" i="18"/>
  <c r="BF97" i="18"/>
  <c r="L100" i="22" l="1"/>
  <c r="L90" i="22"/>
  <c r="L95" i="22" s="1"/>
  <c r="L96" i="22" s="1"/>
  <c r="M89" i="22"/>
  <c r="BG129" i="18"/>
  <c r="BG132" i="18" s="1"/>
  <c r="N432" i="23"/>
  <c r="M433" i="23"/>
  <c r="Q303" i="23"/>
  <c r="Q299" i="23"/>
  <c r="R293" i="23"/>
  <c r="R298" i="23" s="1"/>
  <c r="S292" i="23"/>
  <c r="N245" i="22"/>
  <c r="N235" i="22"/>
  <c r="O234" i="22"/>
  <c r="O82" i="18"/>
  <c r="O87" i="18" s="1"/>
  <c r="O88" i="18" s="1"/>
  <c r="O92" i="18"/>
  <c r="P81" i="18"/>
  <c r="N88" i="18"/>
  <c r="V322" i="22"/>
  <c r="V323" i="22"/>
  <c r="V520" i="23"/>
  <c r="V521" i="23"/>
  <c r="V299" i="22"/>
  <c r="V298" i="22"/>
  <c r="Y371" i="23"/>
  <c r="Z295" i="23"/>
  <c r="Z366" i="23"/>
  <c r="Z368" i="23" s="1"/>
  <c r="Z274" i="23"/>
  <c r="Z248" i="23"/>
  <c r="Z222" i="23"/>
  <c r="Z370" i="23"/>
  <c r="Y435" i="23"/>
  <c r="Y237" i="22"/>
  <c r="W123" i="22"/>
  <c r="W124" i="22" s="1"/>
  <c r="W125" i="22" s="1"/>
  <c r="BH61" i="18"/>
  <c r="W321" i="23"/>
  <c r="W322" i="23" s="1"/>
  <c r="W323" i="23" s="1"/>
  <c r="W314" i="23"/>
  <c r="W325" i="23" s="1"/>
  <c r="BI51" i="18"/>
  <c r="BI63" i="18"/>
  <c r="BI60" i="18"/>
  <c r="BI59" i="18"/>
  <c r="BJ58" i="18"/>
  <c r="BJ52" i="18"/>
  <c r="BK58" i="18"/>
  <c r="BK52" i="18"/>
  <c r="BM113" i="22"/>
  <c r="V159" i="23"/>
  <c r="BP101" i="22"/>
  <c r="BQ98" i="22"/>
  <c r="BQ101" i="22" s="1"/>
  <c r="BQ71" i="22"/>
  <c r="BQ74" i="22" s="1"/>
  <c r="BP74" i="22"/>
  <c r="W154" i="23"/>
  <c r="W153" i="23"/>
  <c r="W132" i="23"/>
  <c r="W155" i="23"/>
  <c r="W161" i="23"/>
  <c r="W158" i="23"/>
  <c r="W156" i="23"/>
  <c r="W157" i="23"/>
  <c r="W145" i="23"/>
  <c r="BN110" i="22"/>
  <c r="BN111" i="22"/>
  <c r="BN112" i="22"/>
  <c r="BN99" i="22"/>
  <c r="BN109" i="22"/>
  <c r="BN115" i="22"/>
  <c r="Z119" i="23"/>
  <c r="Z125" i="23"/>
  <c r="BN80" i="22"/>
  <c r="BN81" i="22"/>
  <c r="BN108" i="22"/>
  <c r="BN107" i="22"/>
  <c r="Y119" i="23"/>
  <c r="Y125" i="23"/>
  <c r="BO100" i="22"/>
  <c r="BO106" i="22"/>
  <c r="BN88" i="22"/>
  <c r="BN83" i="22"/>
  <c r="BN84" i="22"/>
  <c r="BN85" i="22"/>
  <c r="BN82" i="22"/>
  <c r="BN72" i="22"/>
  <c r="X127" i="23"/>
  <c r="X126" i="23"/>
  <c r="X146" i="23"/>
  <c r="X152" i="23"/>
  <c r="BM86" i="22"/>
  <c r="X130" i="23"/>
  <c r="X131" i="23"/>
  <c r="X118" i="23"/>
  <c r="X129" i="23"/>
  <c r="X128" i="23"/>
  <c r="X134" i="23"/>
  <c r="BO73" i="22"/>
  <c r="BO79" i="22"/>
  <c r="Y147" i="23"/>
  <c r="Z144" i="23"/>
  <c r="Z147" i="23" s="1"/>
  <c r="BG84" i="18"/>
  <c r="BI75" i="18"/>
  <c r="BI81" i="18"/>
  <c r="BM27" i="22"/>
  <c r="BM26" i="22"/>
  <c r="BH83" i="18"/>
  <c r="BH82" i="18"/>
  <c r="BH74" i="18"/>
  <c r="BH86" i="18"/>
  <c r="BK76" i="18"/>
  <c r="BJ76" i="18"/>
  <c r="X316" i="23"/>
  <c r="Y315" i="23"/>
  <c r="X118" i="22"/>
  <c r="Y117" i="22"/>
  <c r="AW156" i="18"/>
  <c r="AW146" i="18"/>
  <c r="AX145" i="18"/>
  <c r="F110" i="18"/>
  <c r="F108" i="18" s="1"/>
  <c r="G110" i="18"/>
  <c r="G108" i="18" s="1"/>
  <c r="H110" i="18"/>
  <c r="H108" i="18" s="1"/>
  <c r="I109" i="18"/>
  <c r="E200" i="1"/>
  <c r="L12" i="22"/>
  <c r="M9" i="22"/>
  <c r="K11" i="22"/>
  <c r="K17" i="22"/>
  <c r="K18" i="22" s="1"/>
  <c r="J47" i="22"/>
  <c r="J50" i="22"/>
  <c r="J53" i="22"/>
  <c r="J37" i="22"/>
  <c r="J49" i="22"/>
  <c r="J48" i="22"/>
  <c r="J46" i="22"/>
  <c r="L39" i="22"/>
  <c r="M36" i="22"/>
  <c r="K38" i="22"/>
  <c r="K44" i="22"/>
  <c r="K45" i="22" s="1"/>
  <c r="J19" i="22"/>
  <c r="J21" i="22"/>
  <c r="J20" i="22"/>
  <c r="J22" i="22"/>
  <c r="J10" i="22"/>
  <c r="J23" i="22"/>
  <c r="BL32" i="22"/>
  <c r="BH13" i="18"/>
  <c r="BG36" i="18"/>
  <c r="V105" i="23"/>
  <c r="BG15" i="18"/>
  <c r="BL59" i="22"/>
  <c r="BF38" i="18"/>
  <c r="V78" i="23"/>
  <c r="W100" i="23"/>
  <c r="W103" i="23"/>
  <c r="W104" i="23"/>
  <c r="W102" i="23"/>
  <c r="W73" i="23"/>
  <c r="W76" i="23"/>
  <c r="W77" i="23"/>
  <c r="W75" i="23"/>
  <c r="I46" i="23"/>
  <c r="I19" i="23"/>
  <c r="I49" i="23"/>
  <c r="I48" i="23"/>
  <c r="I50" i="23"/>
  <c r="I22" i="23"/>
  <c r="I23" i="23"/>
  <c r="I21" i="23"/>
  <c r="BM57" i="22"/>
  <c r="BM58" i="22"/>
  <c r="BM56" i="22"/>
  <c r="BM30" i="22"/>
  <c r="BM29" i="22"/>
  <c r="BM31" i="22"/>
  <c r="BH14" i="18"/>
  <c r="BG40" i="18"/>
  <c r="Z66" i="22"/>
  <c r="M256" i="23"/>
  <c r="N245" i="23"/>
  <c r="M246" i="23"/>
  <c r="M251" i="23" s="1"/>
  <c r="M252" i="23" s="1"/>
  <c r="K12" i="23"/>
  <c r="L9" i="23"/>
  <c r="I20" i="23"/>
  <c r="I10" i="23"/>
  <c r="J11" i="23"/>
  <c r="J17" i="23"/>
  <c r="J18" i="23" s="1"/>
  <c r="K39" i="23"/>
  <c r="L36" i="23"/>
  <c r="I47" i="23"/>
  <c r="I53" i="23"/>
  <c r="I37" i="23"/>
  <c r="J38" i="23"/>
  <c r="J44" i="23"/>
  <c r="J45" i="23" s="1"/>
  <c r="X504" i="23"/>
  <c r="Y501" i="23"/>
  <c r="Z480" i="23"/>
  <c r="Y480" i="23"/>
  <c r="V280" i="22"/>
  <c r="W305" i="22"/>
  <c r="W316" i="22" s="1"/>
  <c r="W319" i="22" s="1"/>
  <c r="W321" i="22" s="1"/>
  <c r="X306" i="22"/>
  <c r="Y303" i="22"/>
  <c r="X479" i="23"/>
  <c r="X478" i="23" s="1"/>
  <c r="W490" i="23"/>
  <c r="W493" i="23" s="1"/>
  <c r="V502" i="23"/>
  <c r="V304" i="22"/>
  <c r="W281" i="22"/>
  <c r="W292" i="22" s="1"/>
  <c r="W295" i="22" s="1"/>
  <c r="W297" i="22" s="1"/>
  <c r="W503" i="23"/>
  <c r="W514" i="23" s="1"/>
  <c r="W517" i="23" s="1"/>
  <c r="W519" i="23" s="1"/>
  <c r="X282" i="22"/>
  <c r="Y279" i="22"/>
  <c r="W74" i="23"/>
  <c r="BM28" i="22"/>
  <c r="BM55" i="22"/>
  <c r="BM61" i="22"/>
  <c r="W101" i="23"/>
  <c r="W107" i="23"/>
  <c r="X92" i="23"/>
  <c r="X98" i="23"/>
  <c r="X99" i="23" s="1"/>
  <c r="X65" i="23"/>
  <c r="X71" i="23"/>
  <c r="X72" i="23" s="1"/>
  <c r="BN52" i="22"/>
  <c r="BN54" i="22" s="1"/>
  <c r="BN46" i="22"/>
  <c r="BN25" i="22"/>
  <c r="BN19" i="22"/>
  <c r="X225" i="23"/>
  <c r="X226" i="23" s="1"/>
  <c r="W91" i="23"/>
  <c r="BG37" i="18"/>
  <c r="W64" i="23"/>
  <c r="BP44" i="22"/>
  <c r="BO47" i="22"/>
  <c r="BI12" i="18"/>
  <c r="BI6" i="18"/>
  <c r="BJ7" i="18"/>
  <c r="BK4" i="18"/>
  <c r="BK7" i="18" s="1"/>
  <c r="BM45" i="22"/>
  <c r="BO20" i="22"/>
  <c r="BP17" i="22"/>
  <c r="BH5" i="18"/>
  <c r="BJ27" i="18"/>
  <c r="BI30" i="18"/>
  <c r="BM18" i="22"/>
  <c r="Y66" i="23"/>
  <c r="Z63" i="23"/>
  <c r="Z66" i="23" s="1"/>
  <c r="Y93" i="23"/>
  <c r="Z90" i="23"/>
  <c r="Z93" i="23" s="1"/>
  <c r="BH29" i="18"/>
  <c r="BH35" i="18"/>
  <c r="BG28" i="18"/>
  <c r="W185" i="23"/>
  <c r="W172" i="23"/>
  <c r="AH32" i="20"/>
  <c r="AI31" i="20"/>
  <c r="BN139" i="22"/>
  <c r="BN126" i="22"/>
  <c r="X64" i="22"/>
  <c r="X69" i="22" s="1"/>
  <c r="X70" i="22" s="1"/>
  <c r="Y63" i="22"/>
  <c r="Y74" i="22" s="1"/>
  <c r="Y174" i="23"/>
  <c r="Z171" i="23"/>
  <c r="Z174" i="23" s="1"/>
  <c r="X179" i="23"/>
  <c r="X180" i="23" s="1"/>
  <c r="X183" i="23" s="1"/>
  <c r="X173" i="23"/>
  <c r="Z1" i="24"/>
  <c r="Z47" i="24"/>
  <c r="Y198" i="23"/>
  <c r="Z195" i="23"/>
  <c r="Z198" i="23" s="1"/>
  <c r="BO127" i="22"/>
  <c r="BO133" i="22"/>
  <c r="BO134" i="22" s="1"/>
  <c r="BO137" i="22" s="1"/>
  <c r="X197" i="23"/>
  <c r="X203" i="23"/>
  <c r="X204" i="23" s="1"/>
  <c r="X207" i="23" s="1"/>
  <c r="R32" i="20"/>
  <c r="S31" i="20"/>
  <c r="BP128" i="22"/>
  <c r="BQ125" i="22"/>
  <c r="BQ128" i="22" s="1"/>
  <c r="Y220" i="23"/>
  <c r="Y230" i="23"/>
  <c r="Z219" i="23"/>
  <c r="BP152" i="22"/>
  <c r="BQ149" i="22"/>
  <c r="BQ152" i="22" s="1"/>
  <c r="W209" i="23"/>
  <c r="W196" i="23"/>
  <c r="BA115" i="22"/>
  <c r="BA120" i="22" s="1"/>
  <c r="BA121" i="22" s="1"/>
  <c r="BA125" i="22"/>
  <c r="BB114" i="22"/>
  <c r="BN163" i="22"/>
  <c r="BN150" i="22"/>
  <c r="BO151" i="22"/>
  <c r="BO157" i="22"/>
  <c r="BO158" i="22" s="1"/>
  <c r="BO161" i="22" s="1"/>
  <c r="Y272" i="23"/>
  <c r="Y277" i="23" s="1"/>
  <c r="Y278" i="23" s="1"/>
  <c r="Y282" i="23"/>
  <c r="Z271" i="23"/>
  <c r="Y84" i="18"/>
  <c r="Y58" i="18"/>
  <c r="BJ148" i="18"/>
  <c r="X164" i="18"/>
  <c r="Y159" i="18"/>
  <c r="Y161" i="18" s="1"/>
  <c r="Y163" i="18"/>
  <c r="Z2" i="18"/>
  <c r="Y471" i="18"/>
  <c r="Y466" i="18"/>
  <c r="Y467" i="18" s="1"/>
  <c r="Z460" i="18"/>
  <c r="Z461" i="18" s="1"/>
  <c r="BG121" i="18"/>
  <c r="BG134" i="18"/>
  <c r="BJ120" i="18"/>
  <c r="BJ123" i="18" s="1"/>
  <c r="BG110" i="18"/>
  <c r="BG97" i="18"/>
  <c r="BH104" i="18"/>
  <c r="BH105" i="18" s="1"/>
  <c r="BH108" i="18" s="1"/>
  <c r="BH98" i="18"/>
  <c r="BH122" i="18"/>
  <c r="BH128" i="18"/>
  <c r="BJ96" i="18"/>
  <c r="BJ99" i="18" s="1"/>
  <c r="M100" i="22" l="1"/>
  <c r="N89" i="22"/>
  <c r="M90" i="22"/>
  <c r="M95" i="22" s="1"/>
  <c r="M96" i="22" s="1"/>
  <c r="BH129" i="18"/>
  <c r="BH132" i="18" s="1"/>
  <c r="S293" i="23"/>
  <c r="S298" i="23" s="1"/>
  <c r="T292" i="23"/>
  <c r="R303" i="23"/>
  <c r="R299" i="23"/>
  <c r="N433" i="23"/>
  <c r="O432" i="23"/>
  <c r="P82" i="18"/>
  <c r="P87" i="18" s="1"/>
  <c r="P92" i="18"/>
  <c r="Q81" i="18"/>
  <c r="O245" i="22"/>
  <c r="O235" i="22"/>
  <c r="P234" i="22"/>
  <c r="W323" i="22"/>
  <c r="W322" i="22"/>
  <c r="W520" i="23"/>
  <c r="W521" i="23"/>
  <c r="W299" i="22"/>
  <c r="W298" i="22"/>
  <c r="Z371" i="23"/>
  <c r="Z237" i="22"/>
  <c r="Z435" i="23"/>
  <c r="X123" i="22"/>
  <c r="X124" i="22" s="1"/>
  <c r="X125" i="22" s="1"/>
  <c r="X116" i="22"/>
  <c r="X321" i="23"/>
  <c r="X322" i="23" s="1"/>
  <c r="X323" i="23" s="1"/>
  <c r="X314" i="23"/>
  <c r="X325" i="23" s="1"/>
  <c r="BI61" i="18"/>
  <c r="BJ60" i="18"/>
  <c r="BJ59" i="18"/>
  <c r="BK51" i="18"/>
  <c r="BK63" i="18"/>
  <c r="BK60" i="18"/>
  <c r="BK59" i="18"/>
  <c r="BJ63" i="18"/>
  <c r="BJ51" i="18"/>
  <c r="X132" i="23"/>
  <c r="BN86" i="22"/>
  <c r="W159" i="23"/>
  <c r="X154" i="23"/>
  <c r="X153" i="23"/>
  <c r="Y127" i="23"/>
  <c r="Y126" i="23"/>
  <c r="Y146" i="23"/>
  <c r="Y152" i="23"/>
  <c r="BN113" i="22"/>
  <c r="BO80" i="22"/>
  <c r="BO81" i="22"/>
  <c r="BP73" i="22"/>
  <c r="BP79" i="22"/>
  <c r="BO82" i="22"/>
  <c r="BO88" i="22"/>
  <c r="BO84" i="22"/>
  <c r="BO72" i="22"/>
  <c r="BO85" i="22"/>
  <c r="BO83" i="22"/>
  <c r="BQ73" i="22"/>
  <c r="BQ79" i="22"/>
  <c r="BQ100" i="22"/>
  <c r="BQ106" i="22"/>
  <c r="X155" i="23"/>
  <c r="X158" i="23"/>
  <c r="X145" i="23"/>
  <c r="X156" i="23"/>
  <c r="X157" i="23"/>
  <c r="X161" i="23"/>
  <c r="BP100" i="22"/>
  <c r="BP106" i="22"/>
  <c r="Z152" i="23"/>
  <c r="Z146" i="23"/>
  <c r="Z127" i="23"/>
  <c r="Z126" i="23"/>
  <c r="Y134" i="23"/>
  <c r="Y130" i="23"/>
  <c r="Y128" i="23"/>
  <c r="Y131" i="23"/>
  <c r="Y118" i="23"/>
  <c r="Y129" i="23"/>
  <c r="Z131" i="23"/>
  <c r="Z130" i="23"/>
  <c r="Z118" i="23"/>
  <c r="Z128" i="23"/>
  <c r="Z134" i="23"/>
  <c r="Z129" i="23"/>
  <c r="BO107" i="22"/>
  <c r="BO108" i="22"/>
  <c r="BO109" i="22"/>
  <c r="BO115" i="22"/>
  <c r="BO112" i="22"/>
  <c r="BO99" i="22"/>
  <c r="BO111" i="22"/>
  <c r="BO110" i="22"/>
  <c r="BJ75" i="18"/>
  <c r="BJ81" i="18"/>
  <c r="BK75" i="18"/>
  <c r="BK81" i="18"/>
  <c r="BI83" i="18"/>
  <c r="BI82" i="18"/>
  <c r="BI74" i="18"/>
  <c r="BI86" i="18"/>
  <c r="BN27" i="22"/>
  <c r="BN26" i="22"/>
  <c r="BH84" i="18"/>
  <c r="Z117" i="22"/>
  <c r="Z118" i="22" s="1"/>
  <c r="Y118" i="22"/>
  <c r="Z315" i="23"/>
  <c r="Y316" i="23"/>
  <c r="Y314" i="23" s="1"/>
  <c r="Y325" i="23" s="1"/>
  <c r="AX156" i="18"/>
  <c r="AY145" i="18"/>
  <c r="AX146" i="18"/>
  <c r="I110" i="18"/>
  <c r="I108" i="18" s="1"/>
  <c r="J109" i="18"/>
  <c r="K46" i="22"/>
  <c r="K19" i="22"/>
  <c r="K37" i="22"/>
  <c r="K50" i="22"/>
  <c r="K48" i="22"/>
  <c r="K49" i="22"/>
  <c r="K47" i="22"/>
  <c r="K53" i="22"/>
  <c r="K21" i="22"/>
  <c r="K23" i="22"/>
  <c r="K22" i="22"/>
  <c r="K20" i="22"/>
  <c r="K10" i="22"/>
  <c r="M39" i="22"/>
  <c r="N36" i="22"/>
  <c r="M12" i="22"/>
  <c r="N9" i="22"/>
  <c r="L38" i="22"/>
  <c r="L44" i="22"/>
  <c r="L45" i="22" s="1"/>
  <c r="L11" i="22"/>
  <c r="L17" i="22"/>
  <c r="L18" i="22" s="1"/>
  <c r="BI13" i="18"/>
  <c r="BH36" i="18"/>
  <c r="W105" i="23"/>
  <c r="BM59" i="22"/>
  <c r="BG38" i="18"/>
  <c r="W78" i="23"/>
  <c r="X100" i="23"/>
  <c r="BH15" i="18"/>
  <c r="BM32" i="22"/>
  <c r="X73" i="23"/>
  <c r="X104" i="23"/>
  <c r="X102" i="23"/>
  <c r="X103" i="23"/>
  <c r="J46" i="23"/>
  <c r="X77" i="23"/>
  <c r="X76" i="23"/>
  <c r="X75" i="23"/>
  <c r="J19" i="23"/>
  <c r="J49" i="23"/>
  <c r="J50" i="23"/>
  <c r="J48" i="23"/>
  <c r="J22" i="23"/>
  <c r="J23" i="23"/>
  <c r="J21" i="23"/>
  <c r="BN58" i="22"/>
  <c r="BN57" i="22"/>
  <c r="BN56" i="22"/>
  <c r="BN31" i="22"/>
  <c r="BN29" i="22"/>
  <c r="BN30" i="22"/>
  <c r="BH40" i="18"/>
  <c r="BI14" i="18"/>
  <c r="BH37" i="18"/>
  <c r="J10" i="23"/>
  <c r="J20" i="23"/>
  <c r="N246" i="23"/>
  <c r="N251" i="23" s="1"/>
  <c r="N252" i="23" s="1"/>
  <c r="O245" i="23"/>
  <c r="N256" i="23"/>
  <c r="L39" i="23"/>
  <c r="M36" i="23"/>
  <c r="L12" i="23"/>
  <c r="M9" i="23"/>
  <c r="J47" i="23"/>
  <c r="J53" i="23"/>
  <c r="J37" i="23"/>
  <c r="K38" i="23"/>
  <c r="K44" i="23"/>
  <c r="K45" i="23" s="1"/>
  <c r="K11" i="23"/>
  <c r="K17" i="23"/>
  <c r="K18" i="23" s="1"/>
  <c r="W304" i="22"/>
  <c r="Y282" i="22"/>
  <c r="Z279" i="22"/>
  <c r="Z282" i="22" s="1"/>
  <c r="X281" i="22"/>
  <c r="X292" i="22" s="1"/>
  <c r="X295" i="22" s="1"/>
  <c r="X297" i="22" s="1"/>
  <c r="W502" i="23"/>
  <c r="Y479" i="23"/>
  <c r="Y478" i="23" s="1"/>
  <c r="Z479" i="23"/>
  <c r="X490" i="23"/>
  <c r="X493" i="23" s="1"/>
  <c r="Y504" i="23"/>
  <c r="Z501" i="23"/>
  <c r="Z504" i="23" s="1"/>
  <c r="W280" i="22"/>
  <c r="X503" i="23"/>
  <c r="X514" i="23" s="1"/>
  <c r="X517" i="23" s="1"/>
  <c r="X519" i="23" s="1"/>
  <c r="Y306" i="22"/>
  <c r="Z303" i="22"/>
  <c r="Z306" i="22" s="1"/>
  <c r="X305" i="22"/>
  <c r="X316" i="22" s="1"/>
  <c r="X319" i="22" s="1"/>
  <c r="X321" i="22" s="1"/>
  <c r="X74" i="23"/>
  <c r="BN28" i="22"/>
  <c r="BN55" i="22"/>
  <c r="BN61" i="22"/>
  <c r="X101" i="23"/>
  <c r="X107" i="23"/>
  <c r="Y92" i="23"/>
  <c r="Y98" i="23"/>
  <c r="Y99" i="23" s="1"/>
  <c r="Z92" i="23"/>
  <c r="Z98" i="23"/>
  <c r="Z99" i="23" s="1"/>
  <c r="Z65" i="23"/>
  <c r="Z71" i="23"/>
  <c r="Z72" i="23" s="1"/>
  <c r="Y65" i="23"/>
  <c r="Y71" i="23"/>
  <c r="Y72" i="23" s="1"/>
  <c r="BO46" i="22"/>
  <c r="BO52" i="22"/>
  <c r="BO54" i="22" s="1"/>
  <c r="BO25" i="22"/>
  <c r="BO19" i="22"/>
  <c r="Y225" i="23"/>
  <c r="Y226" i="23" s="1"/>
  <c r="BJ30" i="18"/>
  <c r="BK27" i="18"/>
  <c r="BK30" i="18" s="1"/>
  <c r="BJ12" i="18"/>
  <c r="BJ6" i="18"/>
  <c r="BN18" i="22"/>
  <c r="BK6" i="18"/>
  <c r="BK12" i="18"/>
  <c r="BI5" i="18"/>
  <c r="BP20" i="22"/>
  <c r="BQ17" i="22"/>
  <c r="BQ20" i="22" s="1"/>
  <c r="BN45" i="22"/>
  <c r="X91" i="23"/>
  <c r="BP47" i="22"/>
  <c r="BQ44" i="22"/>
  <c r="BQ47" i="22" s="1"/>
  <c r="X64" i="23"/>
  <c r="BH28" i="18"/>
  <c r="BI29" i="18"/>
  <c r="BI35" i="18"/>
  <c r="BP133" i="22"/>
  <c r="BP134" i="22" s="1"/>
  <c r="BP137" i="22" s="1"/>
  <c r="BP127" i="22"/>
  <c r="Z197" i="23"/>
  <c r="Z203" i="23"/>
  <c r="Z204" i="23" s="1"/>
  <c r="Z207" i="23" s="1"/>
  <c r="BQ151" i="22"/>
  <c r="BQ157" i="22"/>
  <c r="BQ158" i="22" s="1"/>
  <c r="BQ161" i="22" s="1"/>
  <c r="Y203" i="23"/>
  <c r="Y204" i="23" s="1"/>
  <c r="Y207" i="23" s="1"/>
  <c r="Y197" i="23"/>
  <c r="BP157" i="22"/>
  <c r="BP158" i="22" s="1"/>
  <c r="BP161" i="22" s="1"/>
  <c r="BP151" i="22"/>
  <c r="R33" i="20"/>
  <c r="S32" i="20"/>
  <c r="Y64" i="22"/>
  <c r="Y69" i="22" s="1"/>
  <c r="Y70" i="22" s="1"/>
  <c r="Z63" i="22"/>
  <c r="Z74" i="22" s="1"/>
  <c r="Y179" i="23"/>
  <c r="Y180" i="23" s="1"/>
  <c r="Y183" i="23" s="1"/>
  <c r="Y173" i="23"/>
  <c r="BB115" i="22"/>
  <c r="BB120" i="22" s="1"/>
  <c r="BB121" i="22" s="1"/>
  <c r="BB125" i="22"/>
  <c r="BC114" i="22"/>
  <c r="X209" i="23"/>
  <c r="X196" i="23"/>
  <c r="X185" i="23"/>
  <c r="X172" i="23"/>
  <c r="Z272" i="23"/>
  <c r="Z277" i="23" s="1"/>
  <c r="Z278" i="23" s="1"/>
  <c r="Z282" i="23"/>
  <c r="BQ133" i="22"/>
  <c r="BQ134" i="22" s="1"/>
  <c r="BQ137" i="22" s="1"/>
  <c r="BQ127" i="22"/>
  <c r="AI32" i="20"/>
  <c r="AH33" i="20"/>
  <c r="Z220" i="23"/>
  <c r="Z230" i="23"/>
  <c r="BO126" i="22"/>
  <c r="BO139" i="22"/>
  <c r="BO163" i="22"/>
  <c r="BO150" i="22"/>
  <c r="Z179" i="23"/>
  <c r="Z180" i="23" s="1"/>
  <c r="Z183" i="23" s="1"/>
  <c r="Z173" i="23"/>
  <c r="BK148" i="18"/>
  <c r="Z58" i="18"/>
  <c r="Z84" i="18"/>
  <c r="Z463" i="18"/>
  <c r="Z466" i="18" s="1"/>
  <c r="Y164" i="18"/>
  <c r="Z159" i="18"/>
  <c r="Z161" i="18" s="1"/>
  <c r="Z163" i="18"/>
  <c r="Z471" i="18"/>
  <c r="BK120" i="18"/>
  <c r="BK123" i="18" s="1"/>
  <c r="BI122" i="18"/>
  <c r="BI128" i="18"/>
  <c r="BK96" i="18"/>
  <c r="BK99" i="18" s="1"/>
  <c r="BH121" i="18"/>
  <c r="BH134" i="18"/>
  <c r="BI104" i="18"/>
  <c r="BI105" i="18" s="1"/>
  <c r="BI108" i="18" s="1"/>
  <c r="BI98" i="18"/>
  <c r="BH110" i="18"/>
  <c r="BH97" i="18"/>
  <c r="N100" i="22" l="1"/>
  <c r="O89" i="22"/>
  <c r="N90" i="22"/>
  <c r="N95" i="22" s="1"/>
  <c r="N96" i="22" s="1"/>
  <c r="BI129" i="18"/>
  <c r="BI132" i="18" s="1"/>
  <c r="P432" i="23"/>
  <c r="O433" i="23"/>
  <c r="T293" i="23"/>
  <c r="T298" i="23" s="1"/>
  <c r="U292" i="23"/>
  <c r="S303" i="23"/>
  <c r="S299" i="23"/>
  <c r="P245" i="22"/>
  <c r="P235" i="22"/>
  <c r="Q234" i="22"/>
  <c r="Q82" i="18"/>
  <c r="Q87" i="18" s="1"/>
  <c r="Q88" i="18" s="1"/>
  <c r="Q92" i="18"/>
  <c r="R81" i="18"/>
  <c r="AC95" i="18"/>
  <c r="P88" i="18"/>
  <c r="X322" i="22"/>
  <c r="X323" i="22"/>
  <c r="Z478" i="23"/>
  <c r="X520" i="23"/>
  <c r="X521" i="23"/>
  <c r="X299" i="22"/>
  <c r="X298" i="22"/>
  <c r="Y123" i="22"/>
  <c r="Y124" i="22" s="1"/>
  <c r="Y125" i="22" s="1"/>
  <c r="Y116" i="22"/>
  <c r="Z123" i="22"/>
  <c r="Z124" i="22" s="1"/>
  <c r="Z125" i="22" s="1"/>
  <c r="Z116" i="22"/>
  <c r="BJ61" i="18"/>
  <c r="BK74" i="18"/>
  <c r="BK61" i="18"/>
  <c r="BO86" i="22"/>
  <c r="Z132" i="23"/>
  <c r="BO113" i="22"/>
  <c r="Y132" i="23"/>
  <c r="Y154" i="23"/>
  <c r="Y153" i="23"/>
  <c r="BP99" i="22"/>
  <c r="BP110" i="22"/>
  <c r="BP109" i="22"/>
  <c r="BP115" i="22"/>
  <c r="BP111" i="22"/>
  <c r="BP112" i="22"/>
  <c r="Y161" i="23"/>
  <c r="Y155" i="23"/>
  <c r="Y156" i="23"/>
  <c r="Y145" i="23"/>
  <c r="Y157" i="23"/>
  <c r="Y158" i="23"/>
  <c r="X159" i="23"/>
  <c r="BP85" i="22"/>
  <c r="BP72" i="22"/>
  <c r="BP84" i="22"/>
  <c r="BP83" i="22"/>
  <c r="BP82" i="22"/>
  <c r="BP88" i="22"/>
  <c r="BQ108" i="22"/>
  <c r="BQ107" i="22"/>
  <c r="BQ109" i="22"/>
  <c r="BQ115" i="22"/>
  <c r="BQ110" i="22"/>
  <c r="BQ111" i="22"/>
  <c r="BQ112" i="22"/>
  <c r="BQ99" i="22"/>
  <c r="BP81" i="22"/>
  <c r="BP80" i="22"/>
  <c r="Z155" i="23"/>
  <c r="Z158" i="23"/>
  <c r="Z145" i="23"/>
  <c r="Z157" i="23"/>
  <c r="Z156" i="23"/>
  <c r="Z161" i="23"/>
  <c r="BQ80" i="22"/>
  <c r="BQ81" i="22"/>
  <c r="Z154" i="23"/>
  <c r="Z153" i="23"/>
  <c r="BQ84" i="22"/>
  <c r="BQ88" i="22"/>
  <c r="BQ82" i="22"/>
  <c r="BQ72" i="22"/>
  <c r="BQ83" i="22"/>
  <c r="BQ85" i="22"/>
  <c r="BP107" i="22"/>
  <c r="BP108" i="22"/>
  <c r="BO27" i="22"/>
  <c r="BO26" i="22"/>
  <c r="BI84" i="18"/>
  <c r="BK83" i="18"/>
  <c r="BK82" i="18"/>
  <c r="BK86" i="18"/>
  <c r="BJ83" i="18"/>
  <c r="BJ82" i="18"/>
  <c r="BJ74" i="18"/>
  <c r="BJ86" i="18"/>
  <c r="Z316" i="23"/>
  <c r="Z314" i="23" s="1"/>
  <c r="Z325" i="23" s="1"/>
  <c r="Y321" i="23"/>
  <c r="Y322" i="23" s="1"/>
  <c r="Y323" i="23" s="1"/>
  <c r="AY146" i="18"/>
  <c r="AY156" i="18"/>
  <c r="AZ145" i="18"/>
  <c r="J110" i="18"/>
  <c r="J108" i="18" s="1"/>
  <c r="K109" i="18"/>
  <c r="L20" i="22"/>
  <c r="L23" i="22"/>
  <c r="L22" i="22"/>
  <c r="L21" i="22"/>
  <c r="L10" i="22"/>
  <c r="L46" i="22"/>
  <c r="L50" i="22"/>
  <c r="L53" i="22"/>
  <c r="L48" i="22"/>
  <c r="L37" i="22"/>
  <c r="L49" i="22"/>
  <c r="L47" i="22"/>
  <c r="N12" i="22"/>
  <c r="O9" i="22"/>
  <c r="M11" i="22"/>
  <c r="M17" i="22"/>
  <c r="M18" i="22" s="1"/>
  <c r="N39" i="22"/>
  <c r="O36" i="22"/>
  <c r="M38" i="22"/>
  <c r="M44" i="22"/>
  <c r="M45" i="22" s="1"/>
  <c r="L19" i="22"/>
  <c r="X78" i="23"/>
  <c r="BK13" i="18"/>
  <c r="BJ13" i="18"/>
  <c r="BI36" i="18"/>
  <c r="X105" i="23"/>
  <c r="BI15" i="18"/>
  <c r="BH38" i="18"/>
  <c r="BN59" i="22"/>
  <c r="Z100" i="23"/>
  <c r="Y100" i="23"/>
  <c r="BN32" i="22"/>
  <c r="Y104" i="23"/>
  <c r="Y103" i="23"/>
  <c r="Y102" i="23"/>
  <c r="Y73" i="23"/>
  <c r="Z104" i="23"/>
  <c r="Z102" i="23"/>
  <c r="Z103" i="23"/>
  <c r="Z73" i="23"/>
  <c r="Y77" i="23"/>
  <c r="Y75" i="23"/>
  <c r="Y76" i="23"/>
  <c r="K46" i="23"/>
  <c r="Z77" i="23"/>
  <c r="Z75" i="23"/>
  <c r="Z76" i="23"/>
  <c r="K49" i="23"/>
  <c r="K50" i="23"/>
  <c r="K48" i="23"/>
  <c r="K23" i="23"/>
  <c r="K22" i="23"/>
  <c r="K21" i="23"/>
  <c r="BO58" i="22"/>
  <c r="BO57" i="22"/>
  <c r="BO56" i="22"/>
  <c r="BO31" i="22"/>
  <c r="BO30" i="22"/>
  <c r="BO29" i="22"/>
  <c r="BI40" i="18"/>
  <c r="BK14" i="18"/>
  <c r="BI37" i="18"/>
  <c r="O246" i="23"/>
  <c r="O251" i="23" s="1"/>
  <c r="O252" i="23" s="1"/>
  <c r="O256" i="23"/>
  <c r="P245" i="23"/>
  <c r="M12" i="23"/>
  <c r="N9" i="23"/>
  <c r="L11" i="23"/>
  <c r="L17" i="23"/>
  <c r="L18" i="23" s="1"/>
  <c r="M39" i="23"/>
  <c r="N36" i="23"/>
  <c r="L38" i="23"/>
  <c r="L44" i="23"/>
  <c r="L45" i="23" s="1"/>
  <c r="K19" i="23"/>
  <c r="K10" i="23"/>
  <c r="K20" i="23"/>
  <c r="K37" i="23"/>
  <c r="K53" i="23"/>
  <c r="K47" i="23"/>
  <c r="Y503" i="23"/>
  <c r="Y514" i="23" s="1"/>
  <c r="Y517" i="23" s="1"/>
  <c r="Y519" i="23" s="1"/>
  <c r="Y305" i="22"/>
  <c r="Y316" i="22" s="1"/>
  <c r="Y319" i="22" s="1"/>
  <c r="Y321" i="22" s="1"/>
  <c r="X280" i="22"/>
  <c r="Z490" i="23"/>
  <c r="Z493" i="23" s="1"/>
  <c r="Z305" i="22"/>
  <c r="Z316" i="22" s="1"/>
  <c r="Z319" i="22" s="1"/>
  <c r="Z321" i="22" s="1"/>
  <c r="X502" i="23"/>
  <c r="Z281" i="22"/>
  <c r="Z292" i="22" s="1"/>
  <c r="Z295" i="22" s="1"/>
  <c r="Z297" i="22" s="1"/>
  <c r="Y281" i="22"/>
  <c r="Y292" i="22" s="1"/>
  <c r="Y295" i="22" s="1"/>
  <c r="Y297" i="22" s="1"/>
  <c r="Y490" i="23"/>
  <c r="Y493" i="23" s="1"/>
  <c r="X304" i="22"/>
  <c r="Z503" i="23"/>
  <c r="Z514" i="23" s="1"/>
  <c r="Z517" i="23" s="1"/>
  <c r="Z519" i="23" s="1"/>
  <c r="BO28" i="22"/>
  <c r="Y74" i="23"/>
  <c r="Z74" i="23"/>
  <c r="Z101" i="23"/>
  <c r="Z107" i="23"/>
  <c r="Y101" i="23"/>
  <c r="Y107" i="23"/>
  <c r="BO55" i="22"/>
  <c r="BO61" i="22"/>
  <c r="BQ19" i="22"/>
  <c r="BQ25" i="22"/>
  <c r="BQ46" i="22"/>
  <c r="BQ52" i="22"/>
  <c r="BQ54" i="22" s="1"/>
  <c r="BP52" i="22"/>
  <c r="BP54" i="22" s="1"/>
  <c r="BP46" i="22"/>
  <c r="BP19" i="22"/>
  <c r="BP25" i="22"/>
  <c r="Z225" i="23"/>
  <c r="BJ14" i="18"/>
  <c r="Y91" i="23"/>
  <c r="BO45" i="22"/>
  <c r="BK35" i="18"/>
  <c r="BK29" i="18"/>
  <c r="BO18" i="22"/>
  <c r="BJ35" i="18"/>
  <c r="BJ29" i="18"/>
  <c r="BI28" i="18"/>
  <c r="Z91" i="23"/>
  <c r="Z64" i="23"/>
  <c r="BK5" i="18"/>
  <c r="BJ5" i="18"/>
  <c r="Y64" i="23"/>
  <c r="Z185" i="23"/>
  <c r="Z172" i="23"/>
  <c r="Y172" i="23"/>
  <c r="Y185" i="23"/>
  <c r="BQ163" i="22"/>
  <c r="BQ150" i="22"/>
  <c r="AH34" i="20"/>
  <c r="AI33" i="20"/>
  <c r="R34" i="20"/>
  <c r="S33" i="20"/>
  <c r="BP163" i="22"/>
  <c r="BP150" i="22"/>
  <c r="Z64" i="22"/>
  <c r="Z69" i="22" s="1"/>
  <c r="BQ139" i="22"/>
  <c r="BQ126" i="22"/>
  <c r="Z209" i="23"/>
  <c r="Z196" i="23"/>
  <c r="BP139" i="22"/>
  <c r="BP126" i="22"/>
  <c r="BC115" i="22"/>
  <c r="BC120" i="22" s="1"/>
  <c r="BC121" i="22" s="1"/>
  <c r="BC125" i="22"/>
  <c r="Y209" i="23"/>
  <c r="Y196" i="23"/>
  <c r="Z164" i="18"/>
  <c r="Z467" i="18"/>
  <c r="BJ104" i="18"/>
  <c r="BJ98" i="18"/>
  <c r="BI121" i="18"/>
  <c r="BI134" i="18"/>
  <c r="BK122" i="18"/>
  <c r="BK128" i="18"/>
  <c r="BI110" i="18"/>
  <c r="BI97" i="18"/>
  <c r="BJ122" i="18"/>
  <c r="BJ128" i="18"/>
  <c r="BK104" i="18"/>
  <c r="BK105" i="18" s="1"/>
  <c r="BK108" i="18" s="1"/>
  <c r="BK98" i="18"/>
  <c r="O90" i="22" l="1"/>
  <c r="O95" i="22" s="1"/>
  <c r="O96" i="22" s="1"/>
  <c r="P89" i="22"/>
  <c r="O100" i="22"/>
  <c r="BK129" i="18"/>
  <c r="BK132" i="18" s="1"/>
  <c r="BJ129" i="18"/>
  <c r="BJ132" i="18" s="1"/>
  <c r="U293" i="23"/>
  <c r="U298" i="23" s="1"/>
  <c r="V292" i="23"/>
  <c r="T303" i="23"/>
  <c r="T299" i="23"/>
  <c r="Q432" i="23"/>
  <c r="P433" i="23"/>
  <c r="R82" i="18"/>
  <c r="R87" i="18" s="1"/>
  <c r="R92" i="18"/>
  <c r="S81" i="18"/>
  <c r="Q245" i="22"/>
  <c r="Q235" i="22"/>
  <c r="R234" i="22"/>
  <c r="Z323" i="22"/>
  <c r="Z322" i="22"/>
  <c r="Y322" i="22"/>
  <c r="Y323" i="22"/>
  <c r="Z298" i="22"/>
  <c r="Z299" i="22"/>
  <c r="Y520" i="23"/>
  <c r="Y521" i="23"/>
  <c r="Z520" i="23"/>
  <c r="Z521" i="23"/>
  <c r="Y299" i="22"/>
  <c r="Y298" i="22"/>
  <c r="Z226" i="23"/>
  <c r="Z70" i="22"/>
  <c r="BP86" i="22"/>
  <c r="BP113" i="22"/>
  <c r="BQ86" i="22"/>
  <c r="Y159" i="23"/>
  <c r="BQ113" i="22"/>
  <c r="Z159" i="23"/>
  <c r="BK84" i="18"/>
  <c r="BQ27" i="22"/>
  <c r="BQ26" i="22"/>
  <c r="BJ84" i="18"/>
  <c r="BP27" i="22"/>
  <c r="BP26" i="22"/>
  <c r="Z321" i="23"/>
  <c r="Z322" i="23" s="1"/>
  <c r="Z323" i="23" s="1"/>
  <c r="AZ146" i="18"/>
  <c r="AZ156" i="18"/>
  <c r="BA145" i="18"/>
  <c r="K110" i="18"/>
  <c r="K108" i="18" s="1"/>
  <c r="L109" i="18"/>
  <c r="M46" i="22"/>
  <c r="M53" i="22"/>
  <c r="M37" i="22"/>
  <c r="M50" i="22"/>
  <c r="M48" i="22"/>
  <c r="M49" i="22"/>
  <c r="M47" i="22"/>
  <c r="O39" i="22"/>
  <c r="P36" i="22"/>
  <c r="N38" i="22"/>
  <c r="N44" i="22"/>
  <c r="N45" i="22" s="1"/>
  <c r="M19" i="22"/>
  <c r="O12" i="22"/>
  <c r="P9" i="22"/>
  <c r="N17" i="22"/>
  <c r="N18" i="22" s="1"/>
  <c r="N11" i="22"/>
  <c r="M10" i="22"/>
  <c r="M20" i="22"/>
  <c r="M23" i="22"/>
  <c r="M22" i="22"/>
  <c r="M21" i="22"/>
  <c r="BJ36" i="18"/>
  <c r="Y105" i="23"/>
  <c r="BK36" i="18"/>
  <c r="Z105" i="23"/>
  <c r="BK15" i="18"/>
  <c r="Z78" i="23"/>
  <c r="BO59" i="22"/>
  <c r="BJ15" i="18"/>
  <c r="BO32" i="22"/>
  <c r="BI38" i="18"/>
  <c r="Y78" i="23"/>
  <c r="L46" i="23"/>
  <c r="L50" i="23"/>
  <c r="L48" i="23"/>
  <c r="L49" i="23"/>
  <c r="L19" i="23"/>
  <c r="L22" i="23"/>
  <c r="L23" i="23"/>
  <c r="L21" i="23"/>
  <c r="BQ57" i="22"/>
  <c r="BQ56" i="22"/>
  <c r="BQ58" i="22"/>
  <c r="BP57" i="22"/>
  <c r="BP58" i="22"/>
  <c r="BP56" i="22"/>
  <c r="BP31" i="22"/>
  <c r="BP29" i="22"/>
  <c r="BP30" i="22"/>
  <c r="BQ30" i="22"/>
  <c r="BQ29" i="22"/>
  <c r="BQ31" i="22"/>
  <c r="BK37" i="18"/>
  <c r="BJ40" i="18"/>
  <c r="BK40" i="18"/>
  <c r="L47" i="23"/>
  <c r="L53" i="23"/>
  <c r="L37" i="23"/>
  <c r="N39" i="23"/>
  <c r="O36" i="23"/>
  <c r="M38" i="23"/>
  <c r="M44" i="23"/>
  <c r="M45" i="23" s="1"/>
  <c r="L10" i="23"/>
  <c r="L20" i="23"/>
  <c r="N12" i="23"/>
  <c r="O9" i="23"/>
  <c r="M11" i="23"/>
  <c r="M17" i="23"/>
  <c r="M18" i="23" s="1"/>
  <c r="P256" i="23"/>
  <c r="P246" i="23"/>
  <c r="P251" i="23" s="1"/>
  <c r="P252" i="23" s="1"/>
  <c r="Q245" i="23"/>
  <c r="Z502" i="23"/>
  <c r="Z280" i="22"/>
  <c r="Y304" i="22"/>
  <c r="Z304" i="22"/>
  <c r="Y502" i="23"/>
  <c r="Y280" i="22"/>
  <c r="BP28" i="22"/>
  <c r="BQ28" i="22"/>
  <c r="BP55" i="22"/>
  <c r="BP61" i="22"/>
  <c r="BQ55" i="22"/>
  <c r="BQ61" i="22"/>
  <c r="BQ18" i="22"/>
  <c r="BP18" i="22"/>
  <c r="BQ45" i="22"/>
  <c r="BK28" i="18"/>
  <c r="BP45" i="22"/>
  <c r="BJ28" i="18"/>
  <c r="BJ37" i="18"/>
  <c r="S34" i="20"/>
  <c r="R35" i="20"/>
  <c r="AH35" i="20"/>
  <c r="AI34" i="20"/>
  <c r="BJ121" i="18"/>
  <c r="BJ134" i="18"/>
  <c r="BK110" i="18"/>
  <c r="BK97" i="18"/>
  <c r="BJ110" i="18"/>
  <c r="BJ97" i="18"/>
  <c r="BK121" i="18"/>
  <c r="BK134" i="18"/>
  <c r="BJ105" i="18"/>
  <c r="BJ108" i="18" s="1"/>
  <c r="Q89" i="22" l="1"/>
  <c r="P90" i="22"/>
  <c r="P95" i="22" s="1"/>
  <c r="P96" i="22" s="1"/>
  <c r="P100" i="22"/>
  <c r="Q433" i="23"/>
  <c r="R432" i="23"/>
  <c r="V293" i="23"/>
  <c r="V298" i="23" s="1"/>
  <c r="W292" i="23"/>
  <c r="U299" i="23"/>
  <c r="U303" i="23"/>
  <c r="R245" i="22"/>
  <c r="R235" i="22"/>
  <c r="S234" i="22"/>
  <c r="S82" i="18"/>
  <c r="S87" i="18" s="1"/>
  <c r="S88" i="18" s="1"/>
  <c r="T81" i="18"/>
  <c r="S92" i="18"/>
  <c r="I100" i="18"/>
  <c r="R88" i="18"/>
  <c r="CJ103" i="5"/>
  <c r="BO103" i="5"/>
  <c r="AU103" i="5"/>
  <c r="BA146" i="18"/>
  <c r="BA156" i="18"/>
  <c r="BB145" i="18"/>
  <c r="L110" i="18"/>
  <c r="L108" i="18" s="1"/>
  <c r="M109" i="18"/>
  <c r="N50" i="22"/>
  <c r="N47" i="22"/>
  <c r="N53" i="22"/>
  <c r="N37" i="22"/>
  <c r="N48" i="22"/>
  <c r="N49" i="22"/>
  <c r="P39" i="22"/>
  <c r="Q36" i="22"/>
  <c r="O38" i="22"/>
  <c r="O44" i="22"/>
  <c r="O45" i="22" s="1"/>
  <c r="N23" i="22"/>
  <c r="N22" i="22"/>
  <c r="N21" i="22"/>
  <c r="N20" i="22"/>
  <c r="N10" i="22"/>
  <c r="N19" i="22"/>
  <c r="P12" i="22"/>
  <c r="Q9" i="22"/>
  <c r="O11" i="22"/>
  <c r="O17" i="22"/>
  <c r="O18" i="22" s="1"/>
  <c r="N46" i="22"/>
  <c r="BQ32" i="22"/>
  <c r="BQ59" i="22"/>
  <c r="BK38" i="18"/>
  <c r="BJ38" i="18"/>
  <c r="BP59" i="22"/>
  <c r="BP32" i="22"/>
  <c r="M46" i="23"/>
  <c r="M19" i="23"/>
  <c r="M50" i="23"/>
  <c r="M48" i="23"/>
  <c r="M49" i="23"/>
  <c r="M23" i="23"/>
  <c r="M22" i="23"/>
  <c r="M21" i="23"/>
  <c r="N11" i="23"/>
  <c r="N17" i="23"/>
  <c r="N18" i="23" s="1"/>
  <c r="M47" i="23"/>
  <c r="M53" i="23"/>
  <c r="M37" i="23"/>
  <c r="O12" i="23"/>
  <c r="P9" i="23"/>
  <c r="O39" i="23"/>
  <c r="P36" i="23"/>
  <c r="N38" i="23"/>
  <c r="N44" i="23"/>
  <c r="N45" i="23" s="1"/>
  <c r="Q246" i="23"/>
  <c r="Q251" i="23" s="1"/>
  <c r="Q252" i="23" s="1"/>
  <c r="Q256" i="23"/>
  <c r="R245" i="23"/>
  <c r="M20" i="23"/>
  <c r="M10" i="23"/>
  <c r="R36" i="20"/>
  <c r="S35" i="20"/>
  <c r="AH36" i="20"/>
  <c r="AI35" i="20"/>
  <c r="J100" i="18" l="1"/>
  <c r="R89" i="22"/>
  <c r="Q90" i="22"/>
  <c r="Q95" i="22" s="1"/>
  <c r="Q100" i="22"/>
  <c r="W293" i="23"/>
  <c r="W298" i="23" s="1"/>
  <c r="X292" i="23"/>
  <c r="V299" i="23"/>
  <c r="V303" i="23"/>
  <c r="R433" i="23"/>
  <c r="S432" i="23"/>
  <c r="T82" i="18"/>
  <c r="T87" i="18" s="1"/>
  <c r="T88" i="18" s="1"/>
  <c r="T92" i="18"/>
  <c r="U81" i="18"/>
  <c r="S245" i="22"/>
  <c r="S235" i="22"/>
  <c r="T234" i="22"/>
  <c r="BB146" i="18"/>
  <c r="BB156" i="18"/>
  <c r="BC145" i="18"/>
  <c r="M110" i="18"/>
  <c r="M108" i="18" s="1"/>
  <c r="N109" i="18"/>
  <c r="O46" i="22"/>
  <c r="Q39" i="22"/>
  <c r="R36" i="22"/>
  <c r="O48" i="22"/>
  <c r="O49" i="22"/>
  <c r="O47" i="22"/>
  <c r="O50" i="22"/>
  <c r="O53" i="22"/>
  <c r="O37" i="22"/>
  <c r="Q12" i="22"/>
  <c r="R9" i="22"/>
  <c r="P17" i="22"/>
  <c r="P18" i="22" s="1"/>
  <c r="P11" i="22"/>
  <c r="P38" i="22"/>
  <c r="P44" i="22"/>
  <c r="P45" i="22" s="1"/>
  <c r="O19" i="22"/>
  <c r="O10" i="22"/>
  <c r="O22" i="22"/>
  <c r="O21" i="22"/>
  <c r="O23" i="22"/>
  <c r="O20" i="22"/>
  <c r="N46" i="23"/>
  <c r="N50" i="23"/>
  <c r="N48" i="23"/>
  <c r="N49" i="23"/>
  <c r="N19" i="23"/>
  <c r="N22" i="23"/>
  <c r="N23" i="23"/>
  <c r="N21" i="23"/>
  <c r="P39" i="23"/>
  <c r="Q36" i="23"/>
  <c r="P12" i="23"/>
  <c r="Q9" i="23"/>
  <c r="N47" i="23"/>
  <c r="N53" i="23"/>
  <c r="N37" i="23"/>
  <c r="O17" i="23"/>
  <c r="O18" i="23" s="1"/>
  <c r="O11" i="23"/>
  <c r="O38" i="23"/>
  <c r="O44" i="23"/>
  <c r="O45" i="23" s="1"/>
  <c r="R246" i="23"/>
  <c r="R251" i="23" s="1"/>
  <c r="I264" i="23" s="1"/>
  <c r="R256" i="23"/>
  <c r="S245" i="23"/>
  <c r="N20" i="23"/>
  <c r="N10" i="23"/>
  <c r="AH37" i="20"/>
  <c r="AI36" i="20"/>
  <c r="R37" i="20"/>
  <c r="S36" i="20"/>
  <c r="Q96" i="22" l="1"/>
  <c r="R100" i="22"/>
  <c r="R90" i="22"/>
  <c r="R95" i="22" s="1"/>
  <c r="S89" i="22"/>
  <c r="T432" i="23"/>
  <c r="S433" i="23"/>
  <c r="X293" i="23"/>
  <c r="X298" i="23" s="1"/>
  <c r="Y292" i="23"/>
  <c r="W303" i="23"/>
  <c r="W299" i="23"/>
  <c r="T245" i="22"/>
  <c r="T235" i="22"/>
  <c r="U234" i="22"/>
  <c r="U82" i="18"/>
  <c r="U87" i="18" s="1"/>
  <c r="U88" i="18" s="1"/>
  <c r="V81" i="18"/>
  <c r="U92" i="18"/>
  <c r="R252" i="23"/>
  <c r="AC251" i="23"/>
  <c r="BC156" i="18"/>
  <c r="BC146" i="18"/>
  <c r="BD145" i="18"/>
  <c r="O109" i="18"/>
  <c r="N110" i="18"/>
  <c r="N108" i="18" s="1"/>
  <c r="R12" i="22"/>
  <c r="S9" i="22"/>
  <c r="Q11" i="22"/>
  <c r="Q17" i="22"/>
  <c r="Q18" i="22" s="1"/>
  <c r="P46" i="22"/>
  <c r="R39" i="22"/>
  <c r="S36" i="22"/>
  <c r="P48" i="22"/>
  <c r="P49" i="22"/>
  <c r="P50" i="22"/>
  <c r="P37" i="22"/>
  <c r="P47" i="22"/>
  <c r="P53" i="22"/>
  <c r="Q38" i="22"/>
  <c r="Q44" i="22"/>
  <c r="Q45" i="22" s="1"/>
  <c r="P21" i="22"/>
  <c r="P22" i="22"/>
  <c r="P23" i="22"/>
  <c r="P20" i="22"/>
  <c r="P10" i="22"/>
  <c r="P19" i="22"/>
  <c r="O46" i="23"/>
  <c r="O19" i="23"/>
  <c r="O48" i="23"/>
  <c r="O50" i="23"/>
  <c r="O49" i="23"/>
  <c r="O21" i="23"/>
  <c r="O23" i="23"/>
  <c r="O22" i="23"/>
  <c r="O47" i="23"/>
  <c r="O53" i="23"/>
  <c r="O37" i="23"/>
  <c r="Q12" i="23"/>
  <c r="R9" i="23"/>
  <c r="P17" i="23"/>
  <c r="P18" i="23" s="1"/>
  <c r="P11" i="23"/>
  <c r="O20" i="23"/>
  <c r="O10" i="23"/>
  <c r="S256" i="23"/>
  <c r="S246" i="23"/>
  <c r="S251" i="23" s="1"/>
  <c r="S252" i="23" s="1"/>
  <c r="T245" i="23"/>
  <c r="Q39" i="23"/>
  <c r="R36" i="23"/>
  <c r="P38" i="23"/>
  <c r="P44" i="23"/>
  <c r="P45" i="23" s="1"/>
  <c r="S37" i="20"/>
  <c r="R38" i="20"/>
  <c r="AI37" i="20"/>
  <c r="AH38" i="20"/>
  <c r="D349" i="18"/>
  <c r="D360" i="18"/>
  <c r="S100" i="22" l="1"/>
  <c r="T89" i="22"/>
  <c r="S90" i="22"/>
  <c r="S95" i="22" s="1"/>
  <c r="S96" i="22" s="1"/>
  <c r="I108" i="22"/>
  <c r="R96" i="22"/>
  <c r="AC251" i="22"/>
  <c r="Y293" i="23"/>
  <c r="Y298" i="23" s="1"/>
  <c r="Z292" i="23"/>
  <c r="Z293" i="23" s="1"/>
  <c r="Z298" i="23" s="1"/>
  <c r="X303" i="23"/>
  <c r="X299" i="23"/>
  <c r="U432" i="23"/>
  <c r="T433" i="23"/>
  <c r="V82" i="18"/>
  <c r="V87" i="18" s="1"/>
  <c r="V88" i="18" s="1"/>
  <c r="V92" i="18"/>
  <c r="W81" i="18"/>
  <c r="U245" i="22"/>
  <c r="U235" i="22"/>
  <c r="V234" i="22"/>
  <c r="CK103" i="5"/>
  <c r="J103" i="5"/>
  <c r="BD156" i="18"/>
  <c r="BE145" i="18"/>
  <c r="BD146" i="18"/>
  <c r="P109" i="18"/>
  <c r="O110" i="18"/>
  <c r="O108" i="18" s="1"/>
  <c r="S39" i="22"/>
  <c r="T36" i="22"/>
  <c r="R38" i="22"/>
  <c r="R44" i="22"/>
  <c r="R45" i="22" s="1"/>
  <c r="Q19" i="22"/>
  <c r="Q50" i="22"/>
  <c r="Q37" i="22"/>
  <c r="Q47" i="22"/>
  <c r="Q53" i="22"/>
  <c r="Q49" i="22"/>
  <c r="Q48" i="22"/>
  <c r="Q21" i="22"/>
  <c r="Q22" i="22"/>
  <c r="Q20" i="22"/>
  <c r="Q23" i="22"/>
  <c r="Q10" i="22"/>
  <c r="Q46" i="22"/>
  <c r="S12" i="22"/>
  <c r="T9" i="22"/>
  <c r="R11" i="22"/>
  <c r="R17" i="22"/>
  <c r="P46" i="23"/>
  <c r="P48" i="23"/>
  <c r="P50" i="23"/>
  <c r="P49" i="23"/>
  <c r="P19" i="23"/>
  <c r="P21" i="23"/>
  <c r="P23" i="23"/>
  <c r="P22" i="23"/>
  <c r="P20" i="23"/>
  <c r="P10" i="23"/>
  <c r="R12" i="23"/>
  <c r="S9" i="23"/>
  <c r="Q44" i="23"/>
  <c r="Q45" i="23" s="1"/>
  <c r="Q38" i="23"/>
  <c r="P47" i="23"/>
  <c r="P53" i="23"/>
  <c r="P37" i="23"/>
  <c r="Q11" i="23"/>
  <c r="Q17" i="23"/>
  <c r="Q18" i="23" s="1"/>
  <c r="R39" i="23"/>
  <c r="S36" i="23"/>
  <c r="T246" i="23"/>
  <c r="T251" i="23" s="1"/>
  <c r="T252" i="23" s="1"/>
  <c r="T256" i="23"/>
  <c r="U245" i="23"/>
  <c r="S38" i="20"/>
  <c r="R39" i="20"/>
  <c r="AI38" i="20"/>
  <c r="AH39" i="20"/>
  <c r="P156" i="22"/>
  <c r="P225" i="22"/>
  <c r="P433" i="22"/>
  <c r="P446" i="22" s="1"/>
  <c r="P436" i="22"/>
  <c r="P447" i="22"/>
  <c r="P448" i="22"/>
  <c r="P462" i="22"/>
  <c r="P463" i="22"/>
  <c r="P476" i="22"/>
  <c r="P487" i="22"/>
  <c r="P488" i="22"/>
  <c r="P501" i="22"/>
  <c r="P473" i="22" s="1"/>
  <c r="P486" i="22" s="1"/>
  <c r="P502" i="22"/>
  <c r="P423" i="23"/>
  <c r="P469" i="23"/>
  <c r="N576" i="23"/>
  <c r="O576" i="23"/>
  <c r="P576" i="23"/>
  <c r="N631" i="23"/>
  <c r="N644" i="23" s="1"/>
  <c r="O631" i="23"/>
  <c r="O644" i="23" s="1"/>
  <c r="P631" i="23"/>
  <c r="P644" i="23" s="1"/>
  <c r="P634" i="23"/>
  <c r="N645" i="23"/>
  <c r="O645" i="23"/>
  <c r="P645" i="23"/>
  <c r="P646" i="23"/>
  <c r="N660" i="23"/>
  <c r="O660" i="23"/>
  <c r="P660" i="23"/>
  <c r="P661" i="23"/>
  <c r="P674" i="23"/>
  <c r="N685" i="23"/>
  <c r="O685" i="23"/>
  <c r="P685" i="23"/>
  <c r="P686" i="23"/>
  <c r="N699" i="23"/>
  <c r="N671" i="23" s="1"/>
  <c r="N684" i="23" s="1"/>
  <c r="O699" i="23"/>
  <c r="O671" i="23" s="1"/>
  <c r="O684" i="23" s="1"/>
  <c r="P699" i="23"/>
  <c r="P671" i="23" s="1"/>
  <c r="P684" i="23" s="1"/>
  <c r="N700" i="23"/>
  <c r="O700" i="23"/>
  <c r="P700" i="23"/>
  <c r="T100" i="22" l="1"/>
  <c r="U89" i="22"/>
  <c r="T90" i="22"/>
  <c r="T95" i="22" s="1"/>
  <c r="T96" i="22" s="1"/>
  <c r="V432" i="23"/>
  <c r="U433" i="23"/>
  <c r="Z299" i="23"/>
  <c r="Z303" i="23"/>
  <c r="Y299" i="23"/>
  <c r="Y303" i="23"/>
  <c r="V245" i="22"/>
  <c r="W234" i="22"/>
  <c r="V235" i="22"/>
  <c r="W82" i="18"/>
  <c r="W87" i="18" s="1"/>
  <c r="W88" i="18" s="1"/>
  <c r="X81" i="18"/>
  <c r="W92" i="18"/>
  <c r="R19" i="22"/>
  <c r="R18" i="22"/>
  <c r="BE146" i="18"/>
  <c r="BE156" i="18"/>
  <c r="BF145" i="18"/>
  <c r="P110" i="18"/>
  <c r="P108" i="18" s="1"/>
  <c r="Q109" i="18"/>
  <c r="R20" i="22"/>
  <c r="R21" i="22"/>
  <c r="R22" i="22"/>
  <c r="R23" i="22"/>
  <c r="R10" i="22"/>
  <c r="T12" i="22"/>
  <c r="U9" i="22"/>
  <c r="R46" i="22"/>
  <c r="S11" i="22"/>
  <c r="S17" i="22"/>
  <c r="S18" i="22" s="1"/>
  <c r="R47" i="22"/>
  <c r="R53" i="22"/>
  <c r="R37" i="22"/>
  <c r="R49" i="22"/>
  <c r="R50" i="22"/>
  <c r="R48" i="22"/>
  <c r="T39" i="22"/>
  <c r="U36" i="22"/>
  <c r="S38" i="22"/>
  <c r="S44" i="22"/>
  <c r="S45" i="22" s="1"/>
  <c r="Q46" i="23"/>
  <c r="Q19" i="23"/>
  <c r="Q48" i="23"/>
  <c r="Q49" i="23"/>
  <c r="Q50" i="23"/>
  <c r="Q21" i="23"/>
  <c r="Q23" i="23"/>
  <c r="Q22" i="23"/>
  <c r="R11" i="23"/>
  <c r="R17" i="23"/>
  <c r="R18" i="23" s="1"/>
  <c r="Q20" i="23"/>
  <c r="Q10" i="23"/>
  <c r="Q47" i="23"/>
  <c r="Q53" i="23"/>
  <c r="Q37" i="23"/>
  <c r="U246" i="23"/>
  <c r="U251" i="23" s="1"/>
  <c r="U252" i="23" s="1"/>
  <c r="V245" i="23"/>
  <c r="U256" i="23"/>
  <c r="S39" i="23"/>
  <c r="T36" i="23"/>
  <c r="S12" i="23"/>
  <c r="T9" i="23"/>
  <c r="R38" i="23"/>
  <c r="R44" i="23"/>
  <c r="R45" i="23" s="1"/>
  <c r="P503" i="22"/>
  <c r="AI39" i="20"/>
  <c r="AH40" i="20"/>
  <c r="R40" i="20"/>
  <c r="S39" i="20"/>
  <c r="P701" i="23"/>
  <c r="V89" i="22" l="1"/>
  <c r="U100" i="22"/>
  <c r="U90" i="22"/>
  <c r="U95" i="22" s="1"/>
  <c r="U96" i="22" s="1"/>
  <c r="V433" i="23"/>
  <c r="W432" i="23"/>
  <c r="X82" i="18"/>
  <c r="X87" i="18" s="1"/>
  <c r="X88" i="18" s="1"/>
  <c r="Y81" i="18"/>
  <c r="X92" i="18"/>
  <c r="W245" i="22"/>
  <c r="W235" i="22"/>
  <c r="X234" i="22"/>
  <c r="BG145" i="18"/>
  <c r="BF156" i="18"/>
  <c r="BF146" i="18"/>
  <c r="Q110" i="18"/>
  <c r="Q108" i="18" s="1"/>
  <c r="R109" i="18"/>
  <c r="S23" i="22"/>
  <c r="S20" i="22"/>
  <c r="S10" i="22"/>
  <c r="S21" i="22"/>
  <c r="S22" i="22"/>
  <c r="S46" i="22"/>
  <c r="U39" i="22"/>
  <c r="V36" i="22"/>
  <c r="T38" i="22"/>
  <c r="T44" i="22"/>
  <c r="T45" i="22" s="1"/>
  <c r="S49" i="22"/>
  <c r="S53" i="22"/>
  <c r="S48" i="22"/>
  <c r="S37" i="22"/>
  <c r="S50" i="22"/>
  <c r="S47" i="22"/>
  <c r="U12" i="22"/>
  <c r="V9" i="22"/>
  <c r="T17" i="22"/>
  <c r="T18" i="22" s="1"/>
  <c r="T11" i="22"/>
  <c r="S19" i="22"/>
  <c r="R46" i="23"/>
  <c r="R48" i="23"/>
  <c r="R49" i="23"/>
  <c r="R50" i="23"/>
  <c r="R21" i="23"/>
  <c r="R22" i="23"/>
  <c r="R23" i="23"/>
  <c r="W245" i="23"/>
  <c r="V246" i="23"/>
  <c r="V251" i="23" s="1"/>
  <c r="V252" i="23" s="1"/>
  <c r="V256" i="23"/>
  <c r="S44" i="23"/>
  <c r="S45" i="23" s="1"/>
  <c r="S38" i="23"/>
  <c r="R53" i="23"/>
  <c r="R47" i="23"/>
  <c r="R37" i="23"/>
  <c r="R19" i="23"/>
  <c r="T12" i="23"/>
  <c r="U9" i="23"/>
  <c r="S11" i="23"/>
  <c r="S17" i="23"/>
  <c r="S18" i="23" s="1"/>
  <c r="T39" i="23"/>
  <c r="U36" i="23"/>
  <c r="R10" i="23"/>
  <c r="R20" i="23"/>
  <c r="AI40" i="20"/>
  <c r="AH41" i="20"/>
  <c r="R41" i="20"/>
  <c r="S40" i="20"/>
  <c r="W89" i="22" l="1"/>
  <c r="V90" i="22"/>
  <c r="V95" i="22" s="1"/>
  <c r="V96" i="22" s="1"/>
  <c r="V100" i="22"/>
  <c r="X432" i="23"/>
  <c r="W433" i="23"/>
  <c r="X245" i="22"/>
  <c r="Y234" i="22"/>
  <c r="X235" i="22"/>
  <c r="Y82" i="18"/>
  <c r="Y87" i="18" s="1"/>
  <c r="Y88" i="18" s="1"/>
  <c r="Z81" i="18"/>
  <c r="Y92" i="18"/>
  <c r="BG156" i="18"/>
  <c r="BH145" i="18"/>
  <c r="BG146" i="18"/>
  <c r="S109" i="18"/>
  <c r="R110" i="18"/>
  <c r="R108" i="18" s="1"/>
  <c r="T37" i="22"/>
  <c r="T47" i="22"/>
  <c r="T53" i="22"/>
  <c r="T50" i="22"/>
  <c r="T48" i="22"/>
  <c r="T49" i="22"/>
  <c r="T19" i="22"/>
  <c r="T22" i="22"/>
  <c r="T10" i="22"/>
  <c r="T23" i="22"/>
  <c r="T20" i="22"/>
  <c r="T21" i="22"/>
  <c r="U38" i="22"/>
  <c r="U44" i="22"/>
  <c r="U45" i="22" s="1"/>
  <c r="V12" i="22"/>
  <c r="W9" i="22"/>
  <c r="U17" i="22"/>
  <c r="U18" i="22" s="1"/>
  <c r="U11" i="22"/>
  <c r="T46" i="22"/>
  <c r="V39" i="22"/>
  <c r="W36" i="22"/>
  <c r="S46" i="23"/>
  <c r="S19" i="23"/>
  <c r="S49" i="23"/>
  <c r="S48" i="23"/>
  <c r="S50" i="23"/>
  <c r="S21" i="23"/>
  <c r="S22" i="23"/>
  <c r="S23" i="23"/>
  <c r="U39" i="23"/>
  <c r="V36" i="23"/>
  <c r="S47" i="23"/>
  <c r="S53" i="23"/>
  <c r="S37" i="23"/>
  <c r="T17" i="23"/>
  <c r="T18" i="23" s="1"/>
  <c r="T11" i="23"/>
  <c r="U12" i="23"/>
  <c r="V9" i="23"/>
  <c r="T38" i="23"/>
  <c r="T44" i="23"/>
  <c r="T45" i="23" s="1"/>
  <c r="S20" i="23"/>
  <c r="S10" i="23"/>
  <c r="W256" i="23"/>
  <c r="X245" i="23"/>
  <c r="W246" i="23"/>
  <c r="W251" i="23" s="1"/>
  <c r="W252" i="23" s="1"/>
  <c r="R42" i="20"/>
  <c r="S41" i="20"/>
  <c r="AH42" i="20"/>
  <c r="AI41" i="20"/>
  <c r="X89" i="22" l="1"/>
  <c r="W90" i="22"/>
  <c r="W95" i="22" s="1"/>
  <c r="W96" i="22" s="1"/>
  <c r="W100" i="22"/>
  <c r="Y432" i="23"/>
  <c r="X433" i="23"/>
  <c r="Z82" i="18"/>
  <c r="Z87" i="18" s="1"/>
  <c r="Z88" i="18" s="1"/>
  <c r="Z92" i="18"/>
  <c r="Y245" i="22"/>
  <c r="Z234" i="22"/>
  <c r="Y235" i="22"/>
  <c r="BH156" i="18"/>
  <c r="BI145" i="18"/>
  <c r="BH146" i="18"/>
  <c r="T109" i="18"/>
  <c r="S110" i="18"/>
  <c r="S108" i="18" s="1"/>
  <c r="W39" i="22"/>
  <c r="X36" i="22"/>
  <c r="V44" i="22"/>
  <c r="V45" i="22" s="1"/>
  <c r="V38" i="22"/>
  <c r="U19" i="22"/>
  <c r="U10" i="22"/>
  <c r="U22" i="22"/>
  <c r="U21" i="22"/>
  <c r="U23" i="22"/>
  <c r="U20" i="22"/>
  <c r="W12" i="22"/>
  <c r="X9" i="22"/>
  <c r="U53" i="22"/>
  <c r="U37" i="22"/>
  <c r="U50" i="22"/>
  <c r="U49" i="22"/>
  <c r="U48" i="22"/>
  <c r="U47" i="22"/>
  <c r="V17" i="22"/>
  <c r="V18" i="22" s="1"/>
  <c r="V11" i="22"/>
  <c r="U46" i="22"/>
  <c r="T46" i="23"/>
  <c r="T48" i="23"/>
  <c r="T49" i="23"/>
  <c r="T50" i="23"/>
  <c r="T22" i="23"/>
  <c r="T21" i="23"/>
  <c r="T23" i="23"/>
  <c r="T47" i="23"/>
  <c r="T53" i="23"/>
  <c r="T37" i="23"/>
  <c r="V39" i="23"/>
  <c r="W36" i="23"/>
  <c r="V12" i="23"/>
  <c r="W9" i="23"/>
  <c r="U17" i="23"/>
  <c r="U18" i="23" s="1"/>
  <c r="U11" i="23"/>
  <c r="T10" i="23"/>
  <c r="T20" i="23"/>
  <c r="T19" i="23"/>
  <c r="X246" i="23"/>
  <c r="X251" i="23" s="1"/>
  <c r="X252" i="23" s="1"/>
  <c r="X256" i="23"/>
  <c r="Y245" i="23"/>
  <c r="U38" i="23"/>
  <c r="U44" i="23"/>
  <c r="U45" i="23" s="1"/>
  <c r="AH43" i="20"/>
  <c r="AI42" i="20"/>
  <c r="S42" i="20"/>
  <c r="R43" i="20"/>
  <c r="X90" i="22" l="1"/>
  <c r="X95" i="22" s="1"/>
  <c r="X96" i="22" s="1"/>
  <c r="X100" i="22"/>
  <c r="Y89" i="22"/>
  <c r="Y433" i="23"/>
  <c r="Z432" i="23"/>
  <c r="Z433" i="23" s="1"/>
  <c r="Z245" i="22"/>
  <c r="Z235" i="22"/>
  <c r="BJ145" i="18"/>
  <c r="BI146" i="18"/>
  <c r="BI156" i="18"/>
  <c r="U109" i="18"/>
  <c r="T110" i="18"/>
  <c r="T108" i="18" s="1"/>
  <c r="V20" i="22"/>
  <c r="V22" i="22"/>
  <c r="V21" i="22"/>
  <c r="V23" i="22"/>
  <c r="V10" i="22"/>
  <c r="V50" i="22"/>
  <c r="V37" i="22"/>
  <c r="V47" i="22"/>
  <c r="V53" i="22"/>
  <c r="V49" i="22"/>
  <c r="V48" i="22"/>
  <c r="V19" i="22"/>
  <c r="V46" i="22"/>
  <c r="X12" i="22"/>
  <c r="Y9" i="22"/>
  <c r="X39" i="22"/>
  <c r="Y36" i="22"/>
  <c r="W11" i="22"/>
  <c r="W17" i="22"/>
  <c r="W18" i="22" s="1"/>
  <c r="W38" i="22"/>
  <c r="W44" i="22"/>
  <c r="W45" i="22" s="1"/>
  <c r="U46" i="23"/>
  <c r="U49" i="23"/>
  <c r="U50" i="23"/>
  <c r="U48" i="23"/>
  <c r="U19" i="23"/>
  <c r="U22" i="23"/>
  <c r="U23" i="23"/>
  <c r="U21" i="23"/>
  <c r="U20" i="23"/>
  <c r="U10" i="23"/>
  <c r="V17" i="23"/>
  <c r="V18" i="23" s="1"/>
  <c r="V11" i="23"/>
  <c r="W12" i="23"/>
  <c r="X9" i="23"/>
  <c r="U47" i="23"/>
  <c r="U53" i="23"/>
  <c r="U37" i="23"/>
  <c r="Y256" i="23"/>
  <c r="Y246" i="23"/>
  <c r="Y251" i="23" s="1"/>
  <c r="Y252" i="23" s="1"/>
  <c r="Z245" i="23"/>
  <c r="W39" i="23"/>
  <c r="X36" i="23"/>
  <c r="V38" i="23"/>
  <c r="V44" i="23"/>
  <c r="V45" i="23" s="1"/>
  <c r="S43" i="20"/>
  <c r="R44" i="20"/>
  <c r="AI43" i="20"/>
  <c r="AH44" i="20"/>
  <c r="Y100" i="22" l="1"/>
  <c r="Z89" i="22"/>
  <c r="Y90" i="22"/>
  <c r="Y95" i="22" s="1"/>
  <c r="Y96" i="22" s="1"/>
  <c r="BP103" i="5"/>
  <c r="I103" i="5"/>
  <c r="X103" i="5"/>
  <c r="BJ146" i="18"/>
  <c r="BJ156" i="18"/>
  <c r="BK145" i="18"/>
  <c r="U110" i="18"/>
  <c r="U108" i="18" s="1"/>
  <c r="V109" i="18"/>
  <c r="W53" i="22"/>
  <c r="W48" i="22"/>
  <c r="W47" i="22"/>
  <c r="W37" i="22"/>
  <c r="W50" i="22"/>
  <c r="W49" i="22"/>
  <c r="W19" i="22"/>
  <c r="W46" i="22"/>
  <c r="W10" i="22"/>
  <c r="W23" i="22"/>
  <c r="W22" i="22"/>
  <c r="W21" i="22"/>
  <c r="W20" i="22"/>
  <c r="Y39" i="22"/>
  <c r="Z36" i="22"/>
  <c r="Z39" i="22" s="1"/>
  <c r="Y12" i="22"/>
  <c r="Z9" i="22"/>
  <c r="Z12" i="22" s="1"/>
  <c r="X11" i="22"/>
  <c r="X17" i="22"/>
  <c r="X18" i="22" s="1"/>
  <c r="X38" i="22"/>
  <c r="X44" i="22"/>
  <c r="X45" i="22" s="1"/>
  <c r="V46" i="23"/>
  <c r="V50" i="23"/>
  <c r="V48" i="23"/>
  <c r="V49" i="23"/>
  <c r="V19" i="23"/>
  <c r="V22" i="23"/>
  <c r="V23" i="23"/>
  <c r="V21" i="23"/>
  <c r="X12" i="23"/>
  <c r="Y9" i="23"/>
  <c r="V20" i="23"/>
  <c r="V10" i="23"/>
  <c r="W17" i="23"/>
  <c r="W18" i="23" s="1"/>
  <c r="W11" i="23"/>
  <c r="W44" i="23"/>
  <c r="W45" i="23" s="1"/>
  <c r="W38" i="23"/>
  <c r="V37" i="23"/>
  <c r="V47" i="23"/>
  <c r="V53" i="23"/>
  <c r="X39" i="23"/>
  <c r="Y36" i="23"/>
  <c r="Z256" i="23"/>
  <c r="Z246" i="23"/>
  <c r="Z251" i="23" s="1"/>
  <c r="Z252" i="23" s="1"/>
  <c r="R45" i="20"/>
  <c r="S44" i="20"/>
  <c r="AI44" i="20"/>
  <c r="AH45" i="20"/>
  <c r="Z100" i="22" l="1"/>
  <c r="Z90" i="22"/>
  <c r="Z95" i="22" s="1"/>
  <c r="Z96" i="22" s="1"/>
  <c r="BK156" i="18"/>
  <c r="BK146" i="18"/>
  <c r="W109" i="18"/>
  <c r="V110" i="18"/>
  <c r="V108" i="18" s="1"/>
  <c r="X48" i="22"/>
  <c r="X49" i="22"/>
  <c r="X50" i="22"/>
  <c r="X47" i="22"/>
  <c r="X53" i="22"/>
  <c r="X37" i="22"/>
  <c r="X19" i="22"/>
  <c r="X10" i="22"/>
  <c r="X20" i="22"/>
  <c r="X23" i="22"/>
  <c r="X22" i="22"/>
  <c r="X21" i="22"/>
  <c r="Z17" i="22"/>
  <c r="Z18" i="22" s="1"/>
  <c r="Z11" i="22"/>
  <c r="Z44" i="22"/>
  <c r="Z45" i="22" s="1"/>
  <c r="Z38" i="22"/>
  <c r="Y17" i="22"/>
  <c r="Y18" i="22" s="1"/>
  <c r="Y11" i="22"/>
  <c r="Y38" i="22"/>
  <c r="Y44" i="22"/>
  <c r="Y45" i="22" s="1"/>
  <c r="X46" i="22"/>
  <c r="W46" i="23"/>
  <c r="W49" i="23"/>
  <c r="W50" i="23"/>
  <c r="W48" i="23"/>
  <c r="W19" i="23"/>
  <c r="W23" i="23"/>
  <c r="W22" i="23"/>
  <c r="W21" i="23"/>
  <c r="W37" i="23"/>
  <c r="W47" i="23"/>
  <c r="W53" i="23"/>
  <c r="W20" i="23"/>
  <c r="W10" i="23"/>
  <c r="Y39" i="23"/>
  <c r="Z36" i="23"/>
  <c r="Z39" i="23" s="1"/>
  <c r="Y12" i="23"/>
  <c r="Z9" i="23"/>
  <c r="Z12" i="23" s="1"/>
  <c r="X44" i="23"/>
  <c r="X45" i="23" s="1"/>
  <c r="X38" i="23"/>
  <c r="X17" i="23"/>
  <c r="X18" i="23" s="1"/>
  <c r="X11" i="23"/>
  <c r="AI45" i="20"/>
  <c r="S45" i="20"/>
  <c r="W110" i="18" l="1"/>
  <c r="W108" i="18" s="1"/>
  <c r="X109" i="18"/>
  <c r="Y46" i="22"/>
  <c r="Y50" i="22"/>
  <c r="Y49" i="22"/>
  <c r="Y47" i="22"/>
  <c r="Y53" i="22"/>
  <c r="Y37" i="22"/>
  <c r="Y48" i="22"/>
  <c r="Y10" i="22"/>
  <c r="Y22" i="22"/>
  <c r="Y23" i="22"/>
  <c r="Y21" i="22"/>
  <c r="Y20" i="22"/>
  <c r="Z53" i="22"/>
  <c r="Z37" i="22"/>
  <c r="Z48" i="22"/>
  <c r="Z49" i="22"/>
  <c r="Z47" i="22"/>
  <c r="Z50" i="22"/>
  <c r="Z19" i="22"/>
  <c r="Z46" i="22"/>
  <c r="Z20" i="22"/>
  <c r="Z23" i="22"/>
  <c r="Z21" i="22"/>
  <c r="Z22" i="22"/>
  <c r="Z10" i="22"/>
  <c r="Y19" i="22"/>
  <c r="X46" i="23"/>
  <c r="X19" i="23"/>
  <c r="X50" i="23"/>
  <c r="X49" i="23"/>
  <c r="X48" i="23"/>
  <c r="X23" i="23"/>
  <c r="X21" i="23"/>
  <c r="X22" i="23"/>
  <c r="Z17" i="23"/>
  <c r="Z18" i="23" s="1"/>
  <c r="Z11" i="23"/>
  <c r="Y11" i="23"/>
  <c r="Y17" i="23"/>
  <c r="Y18" i="23" s="1"/>
  <c r="Y44" i="23"/>
  <c r="Y45" i="23" s="1"/>
  <c r="Y38" i="23"/>
  <c r="X53" i="23"/>
  <c r="X47" i="23"/>
  <c r="X37" i="23"/>
  <c r="Z38" i="23"/>
  <c r="Z44" i="23"/>
  <c r="Z45" i="23" s="1"/>
  <c r="X20" i="23"/>
  <c r="X10" i="23"/>
  <c r="W148" i="18"/>
  <c r="W449" i="18" s="1"/>
  <c r="R148" i="18"/>
  <c r="R449" i="18" s="1"/>
  <c r="Q148" i="18"/>
  <c r="Q449" i="18" s="1"/>
  <c r="G148" i="18"/>
  <c r="G449" i="18" s="1"/>
  <c r="G421" i="18" s="1"/>
  <c r="G434" i="18" s="1"/>
  <c r="O148" i="18"/>
  <c r="U148" i="18"/>
  <c r="U449" i="18" s="1"/>
  <c r="M148" i="18"/>
  <c r="M449" i="18" s="1"/>
  <c r="M421" i="18" s="1"/>
  <c r="M434" i="18" s="1"/>
  <c r="N148" i="18"/>
  <c r="N449" i="18" s="1"/>
  <c r="N421" i="18" s="1"/>
  <c r="N434" i="18" s="1"/>
  <c r="S148" i="18"/>
  <c r="S449" i="18" s="1"/>
  <c r="Y148" i="18"/>
  <c r="Y449" i="18" s="1"/>
  <c r="Z148" i="18"/>
  <c r="Z449" i="18" s="1"/>
  <c r="V148" i="18"/>
  <c r="V449" i="18" s="1"/>
  <c r="X148" i="18"/>
  <c r="X449" i="18" s="1"/>
  <c r="F148" i="18"/>
  <c r="F449" i="18" s="1"/>
  <c r="F421" i="18" s="1"/>
  <c r="F434" i="18" s="1"/>
  <c r="H148" i="18"/>
  <c r="H449" i="18" s="1"/>
  <c r="H421" i="18" s="1"/>
  <c r="H434" i="18" s="1"/>
  <c r="L148" i="18"/>
  <c r="L449" i="18" s="1"/>
  <c r="L421" i="18" s="1"/>
  <c r="L434" i="18" s="1"/>
  <c r="K148" i="18"/>
  <c r="K449" i="18" s="1"/>
  <c r="K421" i="18" s="1"/>
  <c r="K434" i="18" s="1"/>
  <c r="T148" i="18"/>
  <c r="T449" i="18" s="1"/>
  <c r="X110" i="18" l="1"/>
  <c r="X108" i="18" s="1"/>
  <c r="Y109" i="18"/>
  <c r="Z46" i="23"/>
  <c r="Y46" i="23"/>
  <c r="Z19" i="23"/>
  <c r="Y50" i="23"/>
  <c r="Y48" i="23"/>
  <c r="Y49" i="23"/>
  <c r="Y19" i="23"/>
  <c r="Z50" i="23"/>
  <c r="Z48" i="23"/>
  <c r="Z49" i="23"/>
  <c r="Y23" i="23"/>
  <c r="Y22" i="23"/>
  <c r="Y21" i="23"/>
  <c r="Z21" i="23"/>
  <c r="Z22" i="23"/>
  <c r="Z23" i="23"/>
  <c r="Z53" i="23"/>
  <c r="Z37" i="23"/>
  <c r="Z47" i="23"/>
  <c r="Z10" i="23"/>
  <c r="Z20" i="23"/>
  <c r="Y47" i="23"/>
  <c r="Y37" i="23"/>
  <c r="Y53" i="23"/>
  <c r="Y20" i="23"/>
  <c r="Y10" i="23"/>
  <c r="O449" i="18"/>
  <c r="O421" i="18" s="1"/>
  <c r="O434" i="18" s="1"/>
  <c r="F275" i="18"/>
  <c r="Y110" i="18" l="1"/>
  <c r="Y108" i="18" s="1"/>
  <c r="Z109" i="18"/>
  <c r="Z110" i="18" s="1"/>
  <c r="Z108" i="18" s="1"/>
  <c r="G272" i="18"/>
  <c r="G275" i="18" s="1"/>
  <c r="G277" i="18" s="1"/>
  <c r="G278" i="18" s="1"/>
  <c r="F277" i="18"/>
  <c r="F278" i="18" s="1"/>
  <c r="H272" i="18" l="1"/>
  <c r="H275" i="18" s="1"/>
  <c r="H277" i="18" s="1"/>
  <c r="H278" i="18" s="1"/>
  <c r="I272" i="18" l="1"/>
  <c r="I399" i="22"/>
  <c r="J399" i="22"/>
  <c r="G399" i="22"/>
  <c r="H399" i="22"/>
  <c r="P378" i="22"/>
  <c r="N401" i="22"/>
  <c r="F404" i="22"/>
  <c r="P399" i="22"/>
  <c r="S399" i="22"/>
  <c r="U399" i="22"/>
  <c r="N399" i="22"/>
  <c r="K399" i="22"/>
  <c r="T399" i="22"/>
  <c r="X399" i="22"/>
  <c r="L399" i="22"/>
  <c r="Y399" i="22"/>
  <c r="Z399" i="22"/>
  <c r="V399" i="22"/>
  <c r="Q399" i="22"/>
  <c r="F399" i="22"/>
  <c r="R399" i="22"/>
  <c r="M399" i="22"/>
  <c r="O399" i="22"/>
  <c r="X378" i="22"/>
  <c r="Y378" i="22"/>
  <c r="W378" i="22"/>
  <c r="Z378" i="22"/>
  <c r="T378" i="22"/>
  <c r="Q378" i="22"/>
  <c r="V378" i="22"/>
  <c r="U378" i="22"/>
  <c r="S378" i="22"/>
  <c r="R378" i="22"/>
  <c r="F400" i="22"/>
  <c r="Z402" i="22"/>
  <c r="Y402" i="22"/>
  <c r="I400" i="22"/>
  <c r="K400" i="22"/>
  <c r="T400" i="22"/>
  <c r="G400" i="22"/>
  <c r="L400" i="22"/>
  <c r="J404" i="22"/>
  <c r="J402" i="22"/>
  <c r="L404" i="22"/>
  <c r="L402" i="22"/>
  <c r="N404" i="22"/>
  <c r="R402" i="22"/>
  <c r="M402" i="22"/>
  <c r="Q402" i="22"/>
  <c r="S400" i="22"/>
  <c r="T402" i="22"/>
  <c r="H400" i="22"/>
  <c r="K404" i="22"/>
  <c r="V402" i="22"/>
  <c r="M400" i="22"/>
  <c r="N402" i="22"/>
  <c r="M404" i="22"/>
  <c r="W400" i="22"/>
  <c r="X402" i="22"/>
  <c r="P402" i="22"/>
  <c r="N400" i="22"/>
  <c r="P400" i="22"/>
  <c r="Q400" i="22"/>
  <c r="S402" i="22"/>
  <c r="U402" i="22"/>
  <c r="I404" i="22"/>
  <c r="J400" i="22"/>
  <c r="U400" i="22"/>
  <c r="X400" i="22"/>
  <c r="R400" i="22"/>
  <c r="W402" i="22"/>
  <c r="O400" i="22"/>
  <c r="O402" i="22"/>
  <c r="V400" i="22"/>
  <c r="Z400" i="22"/>
  <c r="I402" i="22"/>
  <c r="Y400" i="22"/>
  <c r="K402" i="22"/>
  <c r="L362" i="22"/>
  <c r="X362" i="22"/>
  <c r="R362" i="22"/>
  <c r="M362" i="22"/>
  <c r="Y362" i="22"/>
  <c r="S362" i="22"/>
  <c r="N362" i="22"/>
  <c r="Z362" i="22"/>
  <c r="T362" i="22"/>
  <c r="O362" i="22"/>
  <c r="U362" i="22"/>
  <c r="P362" i="22"/>
  <c r="V362" i="22"/>
  <c r="Q362" i="22"/>
  <c r="K362" i="22"/>
  <c r="W362" i="22"/>
  <c r="W399" i="22"/>
  <c r="W406" i="22" l="1"/>
  <c r="V406" i="22"/>
  <c r="Q406" i="22"/>
  <c r="S406" i="22"/>
  <c r="T406" i="22"/>
  <c r="U406" i="22"/>
  <c r="K406" i="22"/>
  <c r="X406" i="22"/>
  <c r="R406" i="22"/>
  <c r="O406" i="22"/>
  <c r="N406" i="22"/>
  <c r="Y406" i="22"/>
  <c r="D400" i="22"/>
  <c r="M406" i="22"/>
  <c r="L406" i="22"/>
  <c r="Z406" i="22"/>
  <c r="D399" i="22"/>
  <c r="P406" i="22"/>
  <c r="G329" i="22"/>
  <c r="G331" i="22" l="1"/>
  <c r="G332" i="22" s="1"/>
  <c r="H326" i="22"/>
  <c r="H329" i="22" s="1"/>
  <c r="F333" i="22"/>
  <c r="H331" i="22" l="1"/>
  <c r="H332" i="22" s="1"/>
  <c r="I326" i="22"/>
  <c r="H333" i="22" l="1"/>
  <c r="G333" i="22"/>
  <c r="H531" i="23" l="1"/>
  <c r="F531" i="23"/>
  <c r="G531" i="23"/>
  <c r="AE241" i="1"/>
  <c r="AF241" i="1"/>
  <c r="AG241" i="1"/>
  <c r="G130" i="1"/>
  <c r="H130" i="1"/>
  <c r="F130" i="1"/>
  <c r="C30" i="27" l="1"/>
  <c r="H136" i="1"/>
  <c r="I485" i="23" s="1"/>
  <c r="I30" i="27"/>
  <c r="G136" i="1"/>
  <c r="G139" i="1" s="1"/>
  <c r="H30" i="27"/>
  <c r="G486" i="23"/>
  <c r="G488" i="23" s="1"/>
  <c r="G495" i="23" s="1"/>
  <c r="L486" i="23"/>
  <c r="L488" i="23" s="1"/>
  <c r="L495" i="23" s="1"/>
  <c r="P486" i="23"/>
  <c r="P488" i="23" s="1"/>
  <c r="P495" i="23" s="1"/>
  <c r="Q486" i="23"/>
  <c r="Q488" i="23" s="1"/>
  <c r="Q495" i="23" s="1"/>
  <c r="V486" i="23"/>
  <c r="V488" i="23" s="1"/>
  <c r="V495" i="23" s="1"/>
  <c r="Z486" i="23"/>
  <c r="Z488" i="23" s="1"/>
  <c r="Z495" i="23" s="1"/>
  <c r="K485" i="23" l="1"/>
  <c r="K486" i="23" s="1"/>
  <c r="K488" i="23" s="1"/>
  <c r="K495" i="23" s="1"/>
  <c r="H140" i="1"/>
  <c r="I287" i="22"/>
  <c r="I288" i="22" s="1"/>
  <c r="I290" i="22" s="1"/>
  <c r="I297" i="22" s="1"/>
  <c r="I298" i="22" s="1"/>
  <c r="H31" i="27"/>
  <c r="H32" i="27" s="1"/>
  <c r="I509" i="23"/>
  <c r="I510" i="23" s="1"/>
  <c r="I512" i="23" s="1"/>
  <c r="I519" i="23" s="1"/>
  <c r="I520" i="23" s="1"/>
  <c r="I31" i="27"/>
  <c r="I32" i="27" s="1"/>
  <c r="J485" i="23"/>
  <c r="J486" i="23" s="1"/>
  <c r="J488" i="23" s="1"/>
  <c r="J495" i="23" s="1"/>
  <c r="G140" i="1"/>
  <c r="H139" i="1"/>
  <c r="N486" i="23"/>
  <c r="N488" i="23" s="1"/>
  <c r="N495" i="23" s="1"/>
  <c r="Y486" i="23"/>
  <c r="Y488" i="23" s="1"/>
  <c r="Y495" i="23" s="1"/>
  <c r="L497" i="23"/>
  <c r="L496" i="23"/>
  <c r="P340" i="22"/>
  <c r="P341" i="22" s="1"/>
  <c r="M340" i="22"/>
  <c r="W486" i="23"/>
  <c r="W488" i="23" s="1"/>
  <c r="W495" i="23" s="1"/>
  <c r="P497" i="23"/>
  <c r="P496" i="23"/>
  <c r="O340" i="22"/>
  <c r="O341" i="22" s="1"/>
  <c r="X486" i="23"/>
  <c r="X488" i="23" s="1"/>
  <c r="X495" i="23" s="1"/>
  <c r="V496" i="23"/>
  <c r="V497" i="23"/>
  <c r="X340" i="22"/>
  <c r="X341" i="22" s="1"/>
  <c r="U486" i="23"/>
  <c r="U488" i="23" s="1"/>
  <c r="U495" i="23" s="1"/>
  <c r="I486" i="23"/>
  <c r="I488" i="23" s="1"/>
  <c r="I495" i="23" s="1"/>
  <c r="O486" i="23"/>
  <c r="O488" i="23" s="1"/>
  <c r="O495" i="23" s="1"/>
  <c r="Z340" i="22"/>
  <c r="Z341" i="22" s="1"/>
  <c r="W340" i="22"/>
  <c r="W341" i="22" s="1"/>
  <c r="T486" i="23"/>
  <c r="T488" i="23" s="1"/>
  <c r="T495" i="23" s="1"/>
  <c r="H486" i="23"/>
  <c r="H488" i="23" s="1"/>
  <c r="H495" i="23" s="1"/>
  <c r="F290" i="22"/>
  <c r="F297" i="22" s="1"/>
  <c r="S486" i="23"/>
  <c r="S488" i="23" s="1"/>
  <c r="S495" i="23" s="1"/>
  <c r="F486" i="23"/>
  <c r="F488" i="23" s="1"/>
  <c r="F495" i="23" s="1"/>
  <c r="M486" i="23"/>
  <c r="M488" i="23" s="1"/>
  <c r="M495" i="23" s="1"/>
  <c r="T340" i="22"/>
  <c r="T341" i="22" s="1"/>
  <c r="H340" i="22"/>
  <c r="R486" i="23"/>
  <c r="R488" i="23" s="1"/>
  <c r="R495" i="23" s="1"/>
  <c r="G497" i="23"/>
  <c r="G496" i="23"/>
  <c r="Z497" i="23"/>
  <c r="Z496" i="23"/>
  <c r="S340" i="22"/>
  <c r="S341" i="22" s="1"/>
  <c r="G340" i="22"/>
  <c r="Q496" i="23"/>
  <c r="Q497" i="23"/>
  <c r="I521" i="23" l="1"/>
  <c r="I299" i="22"/>
  <c r="I340" i="22" s="1"/>
  <c r="I341" i="22" s="1"/>
  <c r="I395" i="22" s="1"/>
  <c r="M341" i="22"/>
  <c r="G341" i="22"/>
  <c r="H341" i="22"/>
  <c r="R496" i="23"/>
  <c r="R497" i="23"/>
  <c r="R340" i="22"/>
  <c r="R341" i="22" s="1"/>
  <c r="R395" i="22" s="1"/>
  <c r="U496" i="23"/>
  <c r="U497" i="23"/>
  <c r="L340" i="22"/>
  <c r="V340" i="22"/>
  <c r="V341" i="22" s="1"/>
  <c r="V395" i="22" s="1"/>
  <c r="N340" i="22"/>
  <c r="N341" i="22" s="1"/>
  <c r="K340" i="22"/>
  <c r="J340" i="22"/>
  <c r="J394" i="22" s="1"/>
  <c r="T497" i="23"/>
  <c r="T496" i="23"/>
  <c r="X496" i="23"/>
  <c r="X497" i="23"/>
  <c r="Y496" i="23"/>
  <c r="Y497" i="23"/>
  <c r="W497" i="23"/>
  <c r="W496" i="23"/>
  <c r="Q340" i="22"/>
  <c r="Q341" i="22" s="1"/>
  <c r="Q395" i="22" s="1"/>
  <c r="U340" i="22"/>
  <c r="U341" i="22" s="1"/>
  <c r="U395" i="22" s="1"/>
  <c r="Y340" i="22"/>
  <c r="Y341" i="22" s="1"/>
  <c r="Y395" i="22" s="1"/>
  <c r="F298" i="22"/>
  <c r="F299" i="22"/>
  <c r="F340" i="22" s="1"/>
  <c r="S497" i="23"/>
  <c r="S496" i="23"/>
  <c r="H497" i="23"/>
  <c r="H496" i="23"/>
  <c r="O496" i="23"/>
  <c r="O497" i="23"/>
  <c r="J497" i="23"/>
  <c r="J496" i="23"/>
  <c r="K496" i="23"/>
  <c r="K497" i="23"/>
  <c r="N497" i="23"/>
  <c r="N496" i="23"/>
  <c r="I496" i="23"/>
  <c r="I497" i="23"/>
  <c r="M496" i="23"/>
  <c r="M497" i="23"/>
  <c r="F497" i="23"/>
  <c r="F496" i="23"/>
  <c r="H395" i="22"/>
  <c r="H394" i="22"/>
  <c r="Z394" i="22"/>
  <c r="Z395" i="22"/>
  <c r="X394" i="22"/>
  <c r="X395" i="22"/>
  <c r="W394" i="22"/>
  <c r="W395" i="22"/>
  <c r="T394" i="22"/>
  <c r="T395" i="22"/>
  <c r="P395" i="22"/>
  <c r="P394" i="22"/>
  <c r="S394" i="22"/>
  <c r="S395" i="22"/>
  <c r="G394" i="22"/>
  <c r="G395" i="22"/>
  <c r="I394" i="22" l="1"/>
  <c r="I396" i="22" s="1"/>
  <c r="I435" i="22" s="1"/>
  <c r="I448" i="22" s="1"/>
  <c r="Q394" i="22"/>
  <c r="Q396" i="22" s="1"/>
  <c r="F394" i="22"/>
  <c r="J341" i="22"/>
  <c r="L341" i="22"/>
  <c r="L343" i="22" s="1"/>
  <c r="K341" i="22"/>
  <c r="K343" i="22" s="1"/>
  <c r="K394" i="22"/>
  <c r="U394" i="22"/>
  <c r="U396" i="22" s="1"/>
  <c r="F341" i="22"/>
  <c r="L394" i="22"/>
  <c r="Y394" i="22"/>
  <c r="Y396" i="22" s="1"/>
  <c r="R394" i="22"/>
  <c r="R396" i="22" s="1"/>
  <c r="V394" i="22"/>
  <c r="V396" i="22" s="1"/>
  <c r="Q343" i="22"/>
  <c r="S343" i="22"/>
  <c r="H343" i="22"/>
  <c r="H345" i="22" s="1"/>
  <c r="H396" i="22"/>
  <c r="H435" i="22" s="1"/>
  <c r="H448" i="22" s="1"/>
  <c r="T343" i="22"/>
  <c r="Z343" i="22"/>
  <c r="U343" i="22"/>
  <c r="P343" i="22"/>
  <c r="T396" i="22"/>
  <c r="P396" i="22"/>
  <c r="Y343" i="22"/>
  <c r="S396" i="22"/>
  <c r="F538" i="23"/>
  <c r="X343" i="22"/>
  <c r="R343" i="22"/>
  <c r="G396" i="22"/>
  <c r="G435" i="22" s="1"/>
  <c r="J343" i="22"/>
  <c r="V343" i="22"/>
  <c r="X396" i="22"/>
  <c r="I343" i="22"/>
  <c r="W343" i="22"/>
  <c r="G343" i="22"/>
  <c r="G345" i="22" s="1"/>
  <c r="W396" i="22"/>
  <c r="Z396" i="22"/>
  <c r="K395" i="22" l="1"/>
  <c r="K396" i="22" s="1"/>
  <c r="K435" i="22" s="1"/>
  <c r="L395" i="22"/>
  <c r="L396" i="22" s="1"/>
  <c r="L435" i="22" s="1"/>
  <c r="L448" i="22" s="1"/>
  <c r="J395" i="22"/>
  <c r="J396" i="22" s="1"/>
  <c r="J435" i="22" s="1"/>
  <c r="J463" i="22" s="1"/>
  <c r="F395" i="22"/>
  <c r="F396" i="22" s="1"/>
  <c r="F435" i="22" s="1"/>
  <c r="F448" i="22" s="1"/>
  <c r="F343" i="22"/>
  <c r="F345" i="22" s="1"/>
  <c r="H463" i="22"/>
  <c r="I463" i="22"/>
  <c r="I538" i="23"/>
  <c r="H538" i="23"/>
  <c r="G448" i="22"/>
  <c r="G463" i="22"/>
  <c r="G538" i="23"/>
  <c r="F592" i="23"/>
  <c r="F539" i="23"/>
  <c r="F593" i="23" s="1"/>
  <c r="K448" i="22" l="1"/>
  <c r="K463" i="22"/>
  <c r="F463" i="22"/>
  <c r="J448" i="22"/>
  <c r="L463" i="22"/>
  <c r="J538" i="23"/>
  <c r="G539" i="23"/>
  <c r="G593" i="23" s="1"/>
  <c r="G592" i="23"/>
  <c r="H539" i="23"/>
  <c r="H593" i="23" s="1"/>
  <c r="H592" i="23"/>
  <c r="F541" i="23"/>
  <c r="F543" i="23" s="1"/>
  <c r="I539" i="23"/>
  <c r="I593" i="23" s="1"/>
  <c r="I592" i="23"/>
  <c r="F594" i="23"/>
  <c r="F633" i="23" s="1"/>
  <c r="G594" i="23" l="1"/>
  <c r="G633" i="23" s="1"/>
  <c r="G661" i="23" s="1"/>
  <c r="I594" i="23"/>
  <c r="I633" i="23" s="1"/>
  <c r="I661" i="23" s="1"/>
  <c r="K538" i="23"/>
  <c r="H594" i="23"/>
  <c r="H633" i="23" s="1"/>
  <c r="G541" i="23"/>
  <c r="G543" i="23" s="1"/>
  <c r="F661" i="23"/>
  <c r="F646" i="23"/>
  <c r="H541" i="23"/>
  <c r="H543" i="23" s="1"/>
  <c r="J592" i="23"/>
  <c r="J539" i="23"/>
  <c r="J593" i="23" s="1"/>
  <c r="I541" i="23"/>
  <c r="G646" i="23" l="1"/>
  <c r="I646" i="23"/>
  <c r="L538" i="23"/>
  <c r="J541" i="23"/>
  <c r="J594" i="23"/>
  <c r="J633" i="23" s="1"/>
  <c r="H661" i="23"/>
  <c r="H646" i="23"/>
  <c r="K539" i="23"/>
  <c r="M538" i="23" l="1"/>
  <c r="J661" i="23"/>
  <c r="J646" i="23"/>
  <c r="L539" i="23"/>
  <c r="N538" i="23" l="1"/>
  <c r="M539" i="23"/>
  <c r="O538" i="23" l="1"/>
  <c r="N539" i="23"/>
  <c r="N593" i="23" s="1"/>
  <c r="N592" i="23"/>
  <c r="N594" i="23" l="1"/>
  <c r="P538" i="23"/>
  <c r="O592" i="23"/>
  <c r="O539" i="23"/>
  <c r="O593" i="23" s="1"/>
  <c r="N541" i="23"/>
  <c r="O541" i="23" l="1"/>
  <c r="O594" i="23"/>
  <c r="Q538" i="23"/>
  <c r="P539" i="23"/>
  <c r="P593" i="23" s="1"/>
  <c r="P592" i="23"/>
  <c r="P594" i="23" l="1"/>
  <c r="P541" i="23"/>
  <c r="Q592" i="23"/>
  <c r="Q539" i="23"/>
  <c r="Q593" i="23" s="1"/>
  <c r="R538" i="23"/>
  <c r="Q541" i="23" l="1"/>
  <c r="S538" i="23"/>
  <c r="Q594" i="23"/>
  <c r="R592" i="23"/>
  <c r="R539" i="23"/>
  <c r="R593" i="23" s="1"/>
  <c r="T538" i="23" l="1"/>
  <c r="S592" i="23"/>
  <c r="S539" i="23"/>
  <c r="S593" i="23" s="1"/>
  <c r="R594" i="23"/>
  <c r="R541" i="23"/>
  <c r="U538" i="23" l="1"/>
  <c r="T592" i="23"/>
  <c r="T539" i="23"/>
  <c r="T593" i="23" s="1"/>
  <c r="S541" i="23"/>
  <c r="S594" i="23"/>
  <c r="T541" i="23" l="1"/>
  <c r="T594" i="23"/>
  <c r="U592" i="23"/>
  <c r="U539" i="23"/>
  <c r="U593" i="23" s="1"/>
  <c r="V538" i="23"/>
  <c r="U541" i="23" l="1"/>
  <c r="W538" i="23"/>
  <c r="U594" i="23"/>
  <c r="V592" i="23"/>
  <c r="V539" i="23"/>
  <c r="V593" i="23" s="1"/>
  <c r="V541" i="23" l="1"/>
  <c r="X538" i="23"/>
  <c r="W592" i="23"/>
  <c r="W539" i="23"/>
  <c r="W593" i="23" s="1"/>
  <c r="V594" i="23"/>
  <c r="W541" i="23" l="1"/>
  <c r="W594" i="23"/>
  <c r="Y538" i="23"/>
  <c r="X539" i="23"/>
  <c r="X593" i="23" s="1"/>
  <c r="X592" i="23"/>
  <c r="Z538" i="23"/>
  <c r="X594" i="23" l="1"/>
  <c r="X541" i="23"/>
  <c r="Z539" i="23"/>
  <c r="Z593" i="23" s="1"/>
  <c r="Z592" i="23"/>
  <c r="Y592" i="23"/>
  <c r="Y539" i="23"/>
  <c r="Y593" i="23" s="1"/>
  <c r="Z594" i="23" l="1"/>
  <c r="Y594" i="23"/>
  <c r="Z541" i="23"/>
  <c r="Y541" i="23"/>
  <c r="F105" i="1" l="1"/>
  <c r="F110" i="1" s="1"/>
  <c r="E110" i="1" l="1"/>
  <c r="F111" i="1"/>
  <c r="N31" i="1" s="1"/>
  <c r="K54" i="18" l="1"/>
  <c r="F112" i="1"/>
  <c r="I54" i="18"/>
  <c r="J54" i="18"/>
  <c r="E111" i="1"/>
  <c r="K73" i="18" l="1"/>
  <c r="J83" i="2"/>
  <c r="I83" i="2"/>
  <c r="J73" i="18"/>
  <c r="H83" i="2"/>
  <c r="I73" i="18"/>
  <c r="M31" i="1"/>
  <c r="S31" i="1" s="1"/>
  <c r="E112" i="1"/>
  <c r="H58" i="5"/>
  <c r="AO45" i="1"/>
  <c r="G56" i="18"/>
  <c r="G61" i="18" s="1"/>
  <c r="F56" i="18"/>
  <c r="F61" i="18" s="1"/>
  <c r="I55" i="18"/>
  <c r="H56" i="18"/>
  <c r="H61" i="18" s="1"/>
  <c r="AR58" i="5" l="1"/>
  <c r="AR68" i="5" s="1"/>
  <c r="BO213" i="3"/>
  <c r="BO225" i="3" s="1"/>
  <c r="J60" i="5"/>
  <c r="CJ60" i="5" s="1"/>
  <c r="I60" i="5"/>
  <c r="BO60" i="5" s="1"/>
  <c r="BO68" i="5" s="1"/>
  <c r="J58" i="5"/>
  <c r="I58" i="5"/>
  <c r="I66" i="18"/>
  <c r="I56" i="18"/>
  <c r="I61" i="18" s="1"/>
  <c r="J55" i="18"/>
  <c r="G62" i="18"/>
  <c r="H62" i="18"/>
  <c r="F62" i="18"/>
  <c r="AU45" i="1"/>
  <c r="BW225" i="3" l="1"/>
  <c r="BV225" i="3"/>
  <c r="CH58" i="5"/>
  <c r="CH68" i="5" s="1"/>
  <c r="J68" i="5"/>
  <c r="J69" i="5" s="1"/>
  <c r="BM58" i="5"/>
  <c r="BM68" i="5" s="1"/>
  <c r="I68" i="5"/>
  <c r="I69" i="5" s="1"/>
  <c r="CJ68" i="5"/>
  <c r="AT60" i="5"/>
  <c r="AT68" i="5" s="1"/>
  <c r="G60" i="5"/>
  <c r="BO221" i="3"/>
  <c r="BO222" i="3"/>
  <c r="BO224" i="3"/>
  <c r="BO223" i="3"/>
  <c r="BV216" i="3"/>
  <c r="BO217" i="3"/>
  <c r="BO219" i="3"/>
  <c r="BO220" i="3"/>
  <c r="G58" i="5"/>
  <c r="I62" i="18"/>
  <c r="J66" i="18"/>
  <c r="J56" i="18"/>
  <c r="J61" i="18" s="1"/>
  <c r="K55" i="18"/>
  <c r="U58" i="5" l="1"/>
  <c r="U68" i="5" s="1"/>
  <c r="W60" i="5"/>
  <c r="BW219" i="3"/>
  <c r="BV219" i="3"/>
  <c r="BW218" i="3"/>
  <c r="BV218" i="3"/>
  <c r="BW223" i="3"/>
  <c r="BV223" i="3"/>
  <c r="BW222" i="3"/>
  <c r="BV222" i="3"/>
  <c r="BW224" i="3"/>
  <c r="BV224" i="3"/>
  <c r="BW221" i="3"/>
  <c r="BV221" i="3"/>
  <c r="BV220" i="3"/>
  <c r="BW220" i="3"/>
  <c r="BW216" i="3"/>
  <c r="I31" i="4"/>
  <c r="N7" i="1"/>
  <c r="J31" i="4"/>
  <c r="O7" i="1"/>
  <c r="BO241" i="3"/>
  <c r="BO240" i="3"/>
  <c r="BO242" i="3"/>
  <c r="BO243" i="3"/>
  <c r="K66" i="18"/>
  <c r="L55" i="18"/>
  <c r="K56" i="18"/>
  <c r="K61" i="18" s="1"/>
  <c r="J62" i="18"/>
  <c r="W68" i="5" l="1"/>
  <c r="T31" i="4"/>
  <c r="U77" i="27" s="1"/>
  <c r="U59" i="27"/>
  <c r="I41" i="4"/>
  <c r="H357" i="22" s="1"/>
  <c r="S59" i="27"/>
  <c r="J41" i="4"/>
  <c r="H555" i="23" s="1"/>
  <c r="S31" i="4"/>
  <c r="S77" i="27" s="1"/>
  <c r="BO244" i="3"/>
  <c r="BO245" i="3" s="1"/>
  <c r="L66" i="18"/>
  <c r="L56" i="18"/>
  <c r="L61" i="18" s="1"/>
  <c r="M55" i="18"/>
  <c r="K62" i="18"/>
  <c r="G357" i="22" l="1"/>
  <c r="D357" i="22" s="1"/>
  <c r="H401" i="22"/>
  <c r="H599" i="23"/>
  <c r="G555" i="23"/>
  <c r="L62" i="18"/>
  <c r="M56" i="18"/>
  <c r="M61" i="18" s="1"/>
  <c r="M66" i="18"/>
  <c r="N55" i="18"/>
  <c r="G401" i="22" l="1"/>
  <c r="D401" i="22" s="1"/>
  <c r="G599" i="23"/>
  <c r="D599" i="23" s="1"/>
  <c r="D555" i="23"/>
  <c r="M62" i="18"/>
  <c r="N56" i="18"/>
  <c r="N61" i="18" s="1"/>
  <c r="N66" i="18"/>
  <c r="O55" i="18"/>
  <c r="O66" i="18" l="1"/>
  <c r="O56" i="18"/>
  <c r="O61" i="18" s="1"/>
  <c r="P55" i="18"/>
  <c r="N62" i="18"/>
  <c r="O62" i="18" l="1"/>
  <c r="P56" i="18"/>
  <c r="P61" i="18" s="1"/>
  <c r="P66" i="18"/>
  <c r="Q55" i="18"/>
  <c r="R55" i="18" l="1"/>
  <c r="Q56" i="18"/>
  <c r="Q61" i="18" s="1"/>
  <c r="Q66" i="18"/>
  <c r="P62" i="18"/>
  <c r="Q62" i="18" l="1"/>
  <c r="R66" i="18"/>
  <c r="R56" i="18"/>
  <c r="R61" i="18" s="1"/>
  <c r="AC69" i="18" s="1"/>
  <c r="S55" i="18"/>
  <c r="I74" i="18" l="1"/>
  <c r="R62" i="18"/>
  <c r="S66" i="18"/>
  <c r="S56" i="18"/>
  <c r="S61" i="18" s="1"/>
  <c r="J74" i="18" s="1"/>
  <c r="T55" i="18"/>
  <c r="T56" i="18" l="1"/>
  <c r="T61" i="18" s="1"/>
  <c r="T66" i="18"/>
  <c r="U55" i="18"/>
  <c r="S62" i="18"/>
  <c r="U66" i="18" l="1"/>
  <c r="U56" i="18"/>
  <c r="U61" i="18" s="1"/>
  <c r="V55" i="18"/>
  <c r="T62" i="18"/>
  <c r="U62" i="18" l="1"/>
  <c r="V66" i="18"/>
  <c r="V56" i="18"/>
  <c r="V61" i="18" s="1"/>
  <c r="W55" i="18"/>
  <c r="W56" i="18" l="1"/>
  <c r="W61" i="18" s="1"/>
  <c r="W66" i="18"/>
  <c r="X55" i="18"/>
  <c r="V62" i="18"/>
  <c r="X66" i="18" l="1"/>
  <c r="X56" i="18"/>
  <c r="X61" i="18" s="1"/>
  <c r="Y55" i="18"/>
  <c r="W62" i="18"/>
  <c r="X62" i="18" l="1"/>
  <c r="Y66" i="18"/>
  <c r="Y56" i="18"/>
  <c r="Y61" i="18" s="1"/>
  <c r="Z55" i="18"/>
  <c r="Z66" i="18" l="1"/>
  <c r="Z56" i="18"/>
  <c r="Z61" i="18" s="1"/>
  <c r="Y62" i="18"/>
  <c r="AT103" i="5" l="1"/>
  <c r="W103" i="5"/>
  <c r="H103" i="5"/>
  <c r="G103" i="5" s="1"/>
  <c r="G104" i="5" s="1"/>
  <c r="L10" i="1" s="1"/>
  <c r="Z62" i="18"/>
  <c r="F234" i="18" l="1"/>
  <c r="F236" i="18" s="1"/>
  <c r="F115" i="18" l="1"/>
  <c r="F116" i="18" s="1"/>
  <c r="F117" i="18" s="1"/>
  <c r="G115" i="18"/>
  <c r="G116" i="18" s="1"/>
  <c r="G117" i="18" s="1"/>
  <c r="H115" i="18"/>
  <c r="H116" i="18" s="1"/>
  <c r="H117" i="18" s="1"/>
  <c r="I115" i="18"/>
  <c r="J115" i="18"/>
  <c r="K115" i="18"/>
  <c r="L115" i="18"/>
  <c r="M115" i="18"/>
  <c r="N115" i="18"/>
  <c r="O115" i="18"/>
  <c r="O116" i="18" s="1"/>
  <c r="O117" i="18" s="1"/>
  <c r="P115" i="18"/>
  <c r="P116" i="18" s="1"/>
  <c r="P117" i="18" s="1"/>
  <c r="Q115" i="18"/>
  <c r="Q116" i="18" s="1"/>
  <c r="Q117" i="18" s="1"/>
  <c r="R115" i="18"/>
  <c r="R116" i="18" s="1"/>
  <c r="R117" i="18" s="1"/>
  <c r="S115" i="18"/>
  <c r="S116" i="18" s="1"/>
  <c r="S117" i="18" s="1"/>
  <c r="T115" i="18"/>
  <c r="T116" i="18" s="1"/>
  <c r="T117" i="18" s="1"/>
  <c r="U115" i="18"/>
  <c r="V115" i="18"/>
  <c r="W115" i="18"/>
  <c r="X115" i="18"/>
  <c r="Y115" i="18"/>
  <c r="Z115" i="18"/>
  <c r="Z116" i="18" l="1"/>
  <c r="Z117" i="18" s="1"/>
  <c r="N116" i="18"/>
  <c r="N117" i="18" s="1"/>
  <c r="Y116" i="18"/>
  <c r="Y117" i="18" s="1"/>
  <c r="M116" i="18"/>
  <c r="M117" i="18" s="1"/>
  <c r="X116" i="18"/>
  <c r="X117" i="18" s="1"/>
  <c r="L116" i="18"/>
  <c r="L117" i="18" s="1"/>
  <c r="W116" i="18"/>
  <c r="W117" i="18" s="1"/>
  <c r="K116" i="18"/>
  <c r="K117" i="18" s="1"/>
  <c r="V116" i="18"/>
  <c r="V117" i="18" s="1"/>
  <c r="J116" i="18"/>
  <c r="J117" i="18" s="1"/>
  <c r="U116" i="18"/>
  <c r="U117" i="18" s="1"/>
  <c r="I116" i="18"/>
  <c r="I117" i="18" s="1"/>
  <c r="AM20" i="3" l="1"/>
  <c r="BL217" i="3"/>
  <c r="V44" i="3"/>
  <c r="N41" i="1" s="1"/>
  <c r="V43" i="3"/>
  <c r="BL240" i="3" l="1"/>
  <c r="BL241" i="3"/>
  <c r="BL244" i="3" s="1"/>
  <c r="AM43" i="3"/>
  <c r="AM44" i="3"/>
  <c r="V47" i="3"/>
  <c r="V48" i="3" s="1"/>
  <c r="AT41" i="1" l="1"/>
  <c r="AU41" i="1" s="1"/>
  <c r="R30" i="1"/>
  <c r="M41" i="1"/>
  <c r="H18" i="5"/>
  <c r="AM47" i="3"/>
  <c r="AM48" i="3" s="1"/>
  <c r="AJ87" i="3"/>
  <c r="AN87" i="3"/>
  <c r="AP87" i="3"/>
  <c r="AL87" i="3"/>
  <c r="BL245" i="3"/>
  <c r="AQ87" i="3" l="1"/>
  <c r="AR87" i="3"/>
  <c r="AR90" i="3" s="1"/>
  <c r="AQ18" i="5"/>
  <c r="F147" i="1"/>
  <c r="AN90" i="3"/>
  <c r="F151" i="1"/>
  <c r="AP90" i="3"/>
  <c r="AE256" i="1"/>
  <c r="F143" i="1"/>
  <c r="AL90" i="3"/>
  <c r="AE250" i="1"/>
  <c r="F157" i="1" s="1"/>
  <c r="AJ90" i="3"/>
  <c r="AT87" i="3"/>
  <c r="AT90" i="3" s="1"/>
  <c r="AS87" i="3"/>
  <c r="AS90" i="3" s="1"/>
  <c r="G18" i="5"/>
  <c r="H57" i="5"/>
  <c r="G25" i="27" l="1"/>
  <c r="F25" i="27" s="1"/>
  <c r="F156" i="1"/>
  <c r="N30" i="1"/>
  <c r="F155" i="1"/>
  <c r="AQ90" i="3"/>
  <c r="G26" i="27"/>
  <c r="F26" i="27" s="1"/>
  <c r="AQ57" i="5"/>
  <c r="AQ68" i="5" s="1"/>
  <c r="T18" i="5"/>
  <c r="AH90" i="3"/>
  <c r="G27" i="27"/>
  <c r="M30" i="1"/>
  <c r="S30" i="1" s="1"/>
  <c r="G57" i="5"/>
  <c r="F27" i="27" l="1"/>
  <c r="G28" i="27"/>
  <c r="F28" i="27" s="1"/>
  <c r="J248" i="18"/>
  <c r="I80" i="2" s="1"/>
  <c r="T57" i="5"/>
  <c r="N53" i="1"/>
  <c r="M53" i="1" s="1"/>
  <c r="S53" i="1" s="1"/>
  <c r="E157" i="1"/>
  <c r="E156" i="1"/>
  <c r="I248" i="18"/>
  <c r="F159" i="1"/>
  <c r="C28" i="27" s="1"/>
  <c r="E155" i="1"/>
  <c r="F158" i="1"/>
  <c r="D28" i="27" s="1"/>
  <c r="T68" i="5" l="1"/>
  <c r="H80" i="2"/>
  <c r="I249" i="18"/>
  <c r="F252" i="18"/>
  <c r="F251" i="18" s="1"/>
  <c r="H252" i="18"/>
  <c r="H251" i="18" s="1"/>
  <c r="H262" i="18" s="1"/>
  <c r="H265" i="18" s="1"/>
  <c r="H267" i="18" s="1"/>
  <c r="G252" i="18"/>
  <c r="G251" i="18" s="1"/>
  <c r="G262" i="18" s="1"/>
  <c r="G265" i="18" s="1"/>
  <c r="G267" i="18" s="1"/>
  <c r="E158" i="1"/>
  <c r="E159" i="1"/>
  <c r="G268" i="18" l="1"/>
  <c r="G269" i="18"/>
  <c r="H269" i="18"/>
  <c r="H268" i="18"/>
  <c r="H250" i="18"/>
  <c r="G71" i="2" s="1"/>
  <c r="G250" i="18"/>
  <c r="F71" i="2" s="1"/>
  <c r="F250" i="18"/>
  <c r="E71" i="2" s="1"/>
  <c r="F262" i="18"/>
  <c r="F265" i="18" s="1"/>
  <c r="F267" i="18" s="1"/>
  <c r="I252" i="18"/>
  <c r="I257" i="18" s="1"/>
  <c r="I258" i="18" s="1"/>
  <c r="J249" i="18"/>
  <c r="J252" i="18" l="1"/>
  <c r="K249" i="18"/>
  <c r="I251" i="18"/>
  <c r="F268" i="18"/>
  <c r="F279" i="18"/>
  <c r="F269" i="18"/>
  <c r="G279" i="18"/>
  <c r="H279" i="18"/>
  <c r="J251" i="18" l="1"/>
  <c r="J250" i="18" s="1"/>
  <c r="I71" i="2" s="1"/>
  <c r="J257" i="18"/>
  <c r="I259" i="18"/>
  <c r="I260" i="18" s="1"/>
  <c r="I262" i="18"/>
  <c r="I265" i="18" s="1"/>
  <c r="I250" i="18"/>
  <c r="H71" i="2" s="1"/>
  <c r="L249" i="18"/>
  <c r="K252" i="18"/>
  <c r="K251" i="18" s="1"/>
  <c r="K262" i="18" s="1"/>
  <c r="K265" i="18" s="1"/>
  <c r="K267" i="18" s="1"/>
  <c r="J258" i="18" l="1"/>
  <c r="J262" i="18"/>
  <c r="J265" i="18" s="1"/>
  <c r="J259" i="18"/>
  <c r="K268" i="18"/>
  <c r="K269" i="18"/>
  <c r="I267" i="18"/>
  <c r="K250" i="18"/>
  <c r="J71" i="2" s="1"/>
  <c r="M249" i="18"/>
  <c r="L252" i="18"/>
  <c r="L251" i="18" s="1"/>
  <c r="L262" i="18" s="1"/>
  <c r="L265" i="18" s="1"/>
  <c r="L267" i="18" s="1"/>
  <c r="J260" i="18" l="1"/>
  <c r="J267" i="18" s="1"/>
  <c r="L269" i="18"/>
  <c r="L268" i="18"/>
  <c r="I269" i="18"/>
  <c r="I268" i="18"/>
  <c r="L250" i="18"/>
  <c r="K71" i="2" s="1"/>
  <c r="N249" i="18"/>
  <c r="M252" i="18"/>
  <c r="M251" i="18" s="1"/>
  <c r="M262" i="18" s="1"/>
  <c r="M265" i="18" s="1"/>
  <c r="M267" i="18" s="1"/>
  <c r="J269" i="18" l="1"/>
  <c r="J268" i="18"/>
  <c r="M269" i="18"/>
  <c r="M268" i="18"/>
  <c r="O249" i="18"/>
  <c r="N252" i="18"/>
  <c r="N251" i="18" s="1"/>
  <c r="N262" i="18" s="1"/>
  <c r="N265" i="18" s="1"/>
  <c r="N267" i="18" s="1"/>
  <c r="M250" i="18"/>
  <c r="L71" i="2" s="1"/>
  <c r="N268" i="18" l="1"/>
  <c r="N269" i="18"/>
  <c r="N250" i="18"/>
  <c r="M71" i="2" s="1"/>
  <c r="P249" i="18"/>
  <c r="O252" i="18"/>
  <c r="O251" i="18" s="1"/>
  <c r="O262" i="18" s="1"/>
  <c r="O265" i="18" s="1"/>
  <c r="O267" i="18" s="1"/>
  <c r="O268" i="18" l="1"/>
  <c r="O269" i="18"/>
  <c r="Q249" i="18"/>
  <c r="P252" i="18"/>
  <c r="P251" i="18" s="1"/>
  <c r="P262" i="18" s="1"/>
  <c r="P265" i="18" s="1"/>
  <c r="P267" i="18" s="1"/>
  <c r="O250" i="18"/>
  <c r="N71" i="2" s="1"/>
  <c r="P269" i="18" l="1"/>
  <c r="P268" i="18"/>
  <c r="P250" i="18"/>
  <c r="R249" i="18"/>
  <c r="Q252" i="18"/>
  <c r="Q251" i="18" s="1"/>
  <c r="Q262" i="18" s="1"/>
  <c r="Q265" i="18" s="1"/>
  <c r="Q267" i="18" s="1"/>
  <c r="Q268" i="18" l="1"/>
  <c r="Q269" i="18"/>
  <c r="Q250" i="18"/>
  <c r="S249" i="18"/>
  <c r="R252" i="18"/>
  <c r="R251" i="18" s="1"/>
  <c r="R262" i="18" s="1"/>
  <c r="R265" i="18" s="1"/>
  <c r="R267" i="18" s="1"/>
  <c r="R269" i="18" l="1"/>
  <c r="R268" i="18"/>
  <c r="S252" i="18"/>
  <c r="S251" i="18" s="1"/>
  <c r="S262" i="18" s="1"/>
  <c r="S265" i="18" s="1"/>
  <c r="S267" i="18" s="1"/>
  <c r="T249" i="18"/>
  <c r="R250" i="18"/>
  <c r="S269" i="18" l="1"/>
  <c r="S268" i="18"/>
  <c r="U249" i="18"/>
  <c r="T252" i="18"/>
  <c r="T251" i="18" s="1"/>
  <c r="T262" i="18" s="1"/>
  <c r="T265" i="18" s="1"/>
  <c r="T267" i="18" s="1"/>
  <c r="S250" i="18"/>
  <c r="T269" i="18" l="1"/>
  <c r="T268" i="18"/>
  <c r="T250" i="18"/>
  <c r="U252" i="18"/>
  <c r="U251" i="18" s="1"/>
  <c r="U262" i="18" s="1"/>
  <c r="U265" i="18" s="1"/>
  <c r="U267" i="18" s="1"/>
  <c r="V249" i="18"/>
  <c r="U268" i="18" l="1"/>
  <c r="U269" i="18"/>
  <c r="V252" i="18"/>
  <c r="V251" i="18" s="1"/>
  <c r="V262" i="18" s="1"/>
  <c r="V265" i="18" s="1"/>
  <c r="V267" i="18" s="1"/>
  <c r="W249" i="18"/>
  <c r="U250" i="18"/>
  <c r="V268" i="18" l="1"/>
  <c r="V269" i="18"/>
  <c r="X249" i="18"/>
  <c r="W252" i="18"/>
  <c r="W251" i="18" s="1"/>
  <c r="W262" i="18" s="1"/>
  <c r="W265" i="18" s="1"/>
  <c r="W267" i="18" s="1"/>
  <c r="V250" i="18"/>
  <c r="W268" i="18" l="1"/>
  <c r="W269" i="18"/>
  <c r="W250" i="18"/>
  <c r="Y249" i="18"/>
  <c r="X252" i="18"/>
  <c r="X251" i="18" s="1"/>
  <c r="X262" i="18" s="1"/>
  <c r="X265" i="18" s="1"/>
  <c r="X267" i="18" s="1"/>
  <c r="X268" i="18" l="1"/>
  <c r="X269" i="18"/>
  <c r="X250" i="18"/>
  <c r="Z249" i="18"/>
  <c r="Z252" i="18" s="1"/>
  <c r="Z251" i="18" s="1"/>
  <c r="Z262" i="18" s="1"/>
  <c r="Z265" i="18" s="1"/>
  <c r="Z267" i="18" s="1"/>
  <c r="Y252" i="18"/>
  <c r="Y251" i="18" s="1"/>
  <c r="Y262" i="18" s="1"/>
  <c r="Y265" i="18" s="1"/>
  <c r="Y267" i="18" s="1"/>
  <c r="Z268" i="18" l="1"/>
  <c r="Z269" i="18"/>
  <c r="Y268" i="18"/>
  <c r="Y269" i="18"/>
  <c r="Y250" i="18"/>
  <c r="Z250" i="18"/>
  <c r="BK217" i="3" l="1"/>
  <c r="BK240" i="3" s="1"/>
  <c r="O20" i="3"/>
  <c r="P20" i="3"/>
  <c r="AL20" i="3"/>
  <c r="AL43" i="3" s="1"/>
  <c r="AT40" i="1" s="1"/>
  <c r="AU40" i="1" s="1"/>
  <c r="U43" i="3"/>
  <c r="U44" i="3"/>
  <c r="N40" i="1" s="1"/>
  <c r="AJ20" i="3" l="1"/>
  <c r="AJ44" i="3" s="1"/>
  <c r="AP59" i="3" s="1"/>
  <c r="AL44" i="3"/>
  <c r="AK20" i="3"/>
  <c r="AK44" i="3" s="1"/>
  <c r="AL52" i="3" s="1"/>
  <c r="F80" i="1" s="1"/>
  <c r="BK241" i="3"/>
  <c r="BK244" i="3" s="1"/>
  <c r="BK245" i="3" s="1"/>
  <c r="AF20" i="3"/>
  <c r="P43" i="3"/>
  <c r="M40" i="1"/>
  <c r="H17" i="5"/>
  <c r="O43" i="3"/>
  <c r="P44" i="3"/>
  <c r="N39" i="1" s="1"/>
  <c r="BF217" i="3"/>
  <c r="U47" i="3"/>
  <c r="U48" i="3" s="1"/>
  <c r="O44" i="3"/>
  <c r="BE217" i="3"/>
  <c r="AL47" i="3" l="1"/>
  <c r="AL48" i="3" s="1"/>
  <c r="AP80" i="3"/>
  <c r="AJ43" i="3"/>
  <c r="AN59" i="3"/>
  <c r="AN62" i="3" s="1"/>
  <c r="AJ59" i="3"/>
  <c r="AJ62" i="3" s="1"/>
  <c r="AL59" i="3"/>
  <c r="AE24" i="1" s="1"/>
  <c r="AJ47" i="3"/>
  <c r="AJ48" i="3" s="1"/>
  <c r="AW59" i="3"/>
  <c r="AW62" i="3" s="1"/>
  <c r="AJ80" i="3"/>
  <c r="AE235" i="1" s="1"/>
  <c r="AP17" i="5"/>
  <c r="AI20" i="3"/>
  <c r="AI43" i="3" s="1"/>
  <c r="AK43" i="3"/>
  <c r="R28" i="1" s="1"/>
  <c r="AK47" i="3"/>
  <c r="AP52" i="3"/>
  <c r="F88" i="1" s="1"/>
  <c r="AL55" i="3"/>
  <c r="AW52" i="3"/>
  <c r="AE150" i="1" s="1"/>
  <c r="BV217" i="3"/>
  <c r="BW217" i="3"/>
  <c r="AL80" i="3"/>
  <c r="AE239" i="1" s="1"/>
  <c r="AN52" i="3"/>
  <c r="AN55" i="3" s="1"/>
  <c r="AJ52" i="3"/>
  <c r="F65" i="1"/>
  <c r="AP62" i="3"/>
  <c r="AF43" i="3"/>
  <c r="BF240" i="3"/>
  <c r="BF241" i="3"/>
  <c r="BF244" i="3" s="1"/>
  <c r="F128" i="1"/>
  <c r="AN83" i="3"/>
  <c r="F61" i="1"/>
  <c r="P47" i="3"/>
  <c r="P48" i="3" s="1"/>
  <c r="G17" i="5"/>
  <c r="S17" i="5" s="1"/>
  <c r="H56" i="5"/>
  <c r="BE240" i="3"/>
  <c r="BE241" i="3"/>
  <c r="BE244" i="3" s="1"/>
  <c r="R27" i="1"/>
  <c r="N38" i="1"/>
  <c r="N47" i="1" s="1"/>
  <c r="AF44" i="3"/>
  <c r="AF47" i="3" s="1"/>
  <c r="O47" i="3"/>
  <c r="O48" i="3" s="1"/>
  <c r="AL62" i="3" l="1"/>
  <c r="AI44" i="3"/>
  <c r="AI47" i="3" s="1"/>
  <c r="AI48" i="3" s="1"/>
  <c r="AQ52" i="3"/>
  <c r="AQ80" i="3"/>
  <c r="AR80" i="3"/>
  <c r="AS80" i="3" s="1"/>
  <c r="G21" i="27"/>
  <c r="AE20" i="1"/>
  <c r="AQ59" i="3"/>
  <c r="AQ62" i="3" s="1"/>
  <c r="R50" i="1" s="1"/>
  <c r="AR59" i="3"/>
  <c r="AR62" i="3" s="1"/>
  <c r="AJ83" i="3"/>
  <c r="AE29" i="1"/>
  <c r="AJ55" i="3"/>
  <c r="AQ55" i="3"/>
  <c r="AP55" i="3"/>
  <c r="AK48" i="3"/>
  <c r="AP56" i="5"/>
  <c r="AP68" i="5" s="1"/>
  <c r="AW55" i="3"/>
  <c r="F76" i="1"/>
  <c r="G15" i="27" s="1"/>
  <c r="AR52" i="3"/>
  <c r="AR55" i="3" s="1"/>
  <c r="F84" i="1"/>
  <c r="G16" i="27" s="1"/>
  <c r="F16" i="27" s="1"/>
  <c r="AE244" i="1"/>
  <c r="G30" i="27" s="1"/>
  <c r="F30" i="27" s="1"/>
  <c r="AP83" i="3"/>
  <c r="AR83" i="3" s="1"/>
  <c r="F132" i="1"/>
  <c r="F137" i="1" s="1"/>
  <c r="J224" i="18" s="1"/>
  <c r="AL83" i="3"/>
  <c r="BE245" i="3"/>
  <c r="AF48" i="3"/>
  <c r="H11" i="5"/>
  <c r="M38" i="1"/>
  <c r="BF245" i="3"/>
  <c r="H12" i="5"/>
  <c r="M39" i="1"/>
  <c r="G56" i="5"/>
  <c r="F138" i="1" l="1"/>
  <c r="H10" i="5"/>
  <c r="G10" i="5" s="1"/>
  <c r="F49" i="5" s="1"/>
  <c r="AT80" i="3"/>
  <c r="AT83" i="3" s="1"/>
  <c r="AQ83" i="3"/>
  <c r="F136" i="1"/>
  <c r="O96" i="1"/>
  <c r="AQ17" i="18"/>
  <c r="AR17" i="18"/>
  <c r="AT17" i="18"/>
  <c r="AS17" i="18"/>
  <c r="AU17" i="18"/>
  <c r="AV17" i="18"/>
  <c r="AW17" i="18"/>
  <c r="AX17" i="18"/>
  <c r="AY17" i="18"/>
  <c r="AZ17" i="18"/>
  <c r="BA17" i="18"/>
  <c r="BB17" i="18"/>
  <c r="BC17" i="18"/>
  <c r="BD17" i="18"/>
  <c r="BE17" i="18"/>
  <c r="BF17" i="18"/>
  <c r="BG17" i="18"/>
  <c r="BH17" i="18"/>
  <c r="BI17" i="18"/>
  <c r="BK17" i="18"/>
  <c r="BJ17" i="18"/>
  <c r="F70" i="1"/>
  <c r="J8" i="18" s="1"/>
  <c r="I81" i="2" s="1"/>
  <c r="F69" i="1"/>
  <c r="E69" i="1" s="1"/>
  <c r="F71" i="1"/>
  <c r="E71" i="1" s="1"/>
  <c r="AS59" i="3"/>
  <c r="S56" i="5"/>
  <c r="F15" i="27"/>
  <c r="B36" i="29"/>
  <c r="F93" i="1"/>
  <c r="J31" i="18" s="1"/>
  <c r="C36" i="29"/>
  <c r="M47" i="1"/>
  <c r="F94" i="1"/>
  <c r="F92" i="1"/>
  <c r="I82" i="2"/>
  <c r="E136" i="1"/>
  <c r="AK12" i="5"/>
  <c r="N52" i="1"/>
  <c r="M52" i="1" s="1"/>
  <c r="R51" i="1"/>
  <c r="I8" i="18"/>
  <c r="H81" i="2" s="1"/>
  <c r="G11" i="5"/>
  <c r="H50" i="5"/>
  <c r="AJ11" i="5"/>
  <c r="G12" i="5"/>
  <c r="N12" i="5" s="1"/>
  <c r="H51" i="5"/>
  <c r="N27" i="1" l="1"/>
  <c r="E70" i="1"/>
  <c r="E72" i="1" s="1"/>
  <c r="F72" i="1"/>
  <c r="D23" i="27" s="1"/>
  <c r="P96" i="1"/>
  <c r="AW34" i="22"/>
  <c r="AX34" i="22"/>
  <c r="AY34" i="22"/>
  <c r="AZ34" i="22"/>
  <c r="BA34" i="22"/>
  <c r="BB34" i="22"/>
  <c r="BC34" i="22"/>
  <c r="BD34" i="22"/>
  <c r="BE34" i="22"/>
  <c r="BF34" i="22"/>
  <c r="BG34" i="22"/>
  <c r="BH34" i="22"/>
  <c r="BI34" i="22"/>
  <c r="BJ34" i="22"/>
  <c r="G26" i="22"/>
  <c r="H26" i="22"/>
  <c r="BK34" i="22"/>
  <c r="F26" i="22"/>
  <c r="I26" i="22"/>
  <c r="BL34" i="22"/>
  <c r="BM34" i="22"/>
  <c r="J26" i="22"/>
  <c r="BN34" i="22"/>
  <c r="K26" i="22"/>
  <c r="BO34" i="22"/>
  <c r="L26" i="22"/>
  <c r="BP34" i="22"/>
  <c r="BQ34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Z26" i="22"/>
  <c r="Y26" i="22"/>
  <c r="N175" i="1"/>
  <c r="F73" i="1"/>
  <c r="C23" i="27" s="1"/>
  <c r="N50" i="1"/>
  <c r="M50" i="1" s="1"/>
  <c r="S50" i="1" s="1"/>
  <c r="G22" i="27"/>
  <c r="F22" i="27" s="1"/>
  <c r="F21" i="27"/>
  <c r="G17" i="27"/>
  <c r="G31" i="27"/>
  <c r="M5" i="5"/>
  <c r="M11" i="5"/>
  <c r="N174" i="1"/>
  <c r="I79" i="2"/>
  <c r="S68" i="5"/>
  <c r="N29" i="1"/>
  <c r="M29" i="1" s="1"/>
  <c r="S29" i="1" s="1"/>
  <c r="I224" i="18"/>
  <c r="H82" i="2" s="1"/>
  <c r="F103" i="5"/>
  <c r="F102" i="5"/>
  <c r="H68" i="5"/>
  <c r="AK51" i="5"/>
  <c r="AK68" i="5" s="1"/>
  <c r="AJ50" i="5"/>
  <c r="AJ68" i="5" s="1"/>
  <c r="I31" i="18"/>
  <c r="E93" i="1"/>
  <c r="F95" i="1"/>
  <c r="N28" i="1"/>
  <c r="E138" i="1"/>
  <c r="E140" i="1" s="1"/>
  <c r="E94" i="1"/>
  <c r="N51" i="1"/>
  <c r="N187" i="1"/>
  <c r="F96" i="1"/>
  <c r="C19" i="27" s="1"/>
  <c r="E92" i="1"/>
  <c r="F140" i="1"/>
  <c r="F139" i="1"/>
  <c r="E137" i="1"/>
  <c r="E139" i="1" s="1"/>
  <c r="N186" i="1"/>
  <c r="AJ5" i="5"/>
  <c r="AB5" i="5"/>
  <c r="AC5" i="5"/>
  <c r="R5" i="5"/>
  <c r="Q5" i="5"/>
  <c r="O5" i="5"/>
  <c r="P5" i="5"/>
  <c r="U5" i="5"/>
  <c r="V5" i="5"/>
  <c r="W5" i="5"/>
  <c r="Y5" i="5"/>
  <c r="AA5" i="5"/>
  <c r="X5" i="5"/>
  <c r="Z5" i="5"/>
  <c r="T5" i="5"/>
  <c r="S5" i="5"/>
  <c r="N5" i="5"/>
  <c r="AY5" i="5"/>
  <c r="AZ5" i="5"/>
  <c r="AN5" i="5"/>
  <c r="AL5" i="5"/>
  <c r="AM5" i="5"/>
  <c r="AO5" i="5"/>
  <c r="AR5" i="5"/>
  <c r="AS5" i="5"/>
  <c r="AT5" i="5"/>
  <c r="AV5" i="5"/>
  <c r="AX5" i="5"/>
  <c r="AU5" i="5"/>
  <c r="AW5" i="5"/>
  <c r="AQ5" i="5"/>
  <c r="AP5" i="5"/>
  <c r="AK5" i="5"/>
  <c r="S52" i="1"/>
  <c r="X84" i="1"/>
  <c r="G51" i="5"/>
  <c r="G50" i="5"/>
  <c r="H29" i="5"/>
  <c r="E73" i="1"/>
  <c r="H12" i="18"/>
  <c r="G12" i="18"/>
  <c r="I9" i="18"/>
  <c r="F12" i="18"/>
  <c r="N103" i="1"/>
  <c r="O103" i="1"/>
  <c r="P103" i="1"/>
  <c r="M27" i="1"/>
  <c r="N176" i="1" l="1"/>
  <c r="G80" i="23"/>
  <c r="F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T80" i="23"/>
  <c r="U80" i="23"/>
  <c r="H26" i="23"/>
  <c r="F26" i="23"/>
  <c r="G26" i="23"/>
  <c r="V80" i="23"/>
  <c r="W80" i="23"/>
  <c r="I26" i="23"/>
  <c r="J26" i="23"/>
  <c r="X80" i="23"/>
  <c r="K26" i="23"/>
  <c r="Y80" i="23"/>
  <c r="Z80" i="23"/>
  <c r="L26" i="23"/>
  <c r="M26" i="23"/>
  <c r="N26" i="23"/>
  <c r="O26" i="23"/>
  <c r="P26" i="23"/>
  <c r="Q26" i="23"/>
  <c r="R26" i="23"/>
  <c r="S26" i="23"/>
  <c r="T26" i="23"/>
  <c r="U26" i="23"/>
  <c r="V26" i="23"/>
  <c r="W26" i="23"/>
  <c r="X26" i="23"/>
  <c r="Z26" i="23"/>
  <c r="Y26" i="23"/>
  <c r="G23" i="27"/>
  <c r="F23" i="27" s="1"/>
  <c r="D19" i="27"/>
  <c r="G18" i="27"/>
  <c r="F18" i="27" s="1"/>
  <c r="F31" i="27"/>
  <c r="G32" i="27"/>
  <c r="F32" i="27" s="1"/>
  <c r="F17" i="27"/>
  <c r="H35" i="18"/>
  <c r="H40" i="18" s="1"/>
  <c r="H79" i="2"/>
  <c r="AD5" i="5"/>
  <c r="BA5" i="5"/>
  <c r="N34" i="5"/>
  <c r="AC49" i="5"/>
  <c r="AC102" i="5"/>
  <c r="AC103" i="5"/>
  <c r="AB49" i="5"/>
  <c r="AJ43" i="5"/>
  <c r="AK39" i="5"/>
  <c r="E95" i="1"/>
  <c r="M51" i="1"/>
  <c r="S51" i="1" s="1"/>
  <c r="F35" i="18"/>
  <c r="F34" i="18" s="1"/>
  <c r="G35" i="18"/>
  <c r="G34" i="18" s="1"/>
  <c r="I32" i="18"/>
  <c r="J32" i="18" s="1"/>
  <c r="N104" i="1"/>
  <c r="N51" i="5"/>
  <c r="M50" i="5"/>
  <c r="M28" i="1"/>
  <c r="S28" i="1" s="1"/>
  <c r="E96" i="1"/>
  <c r="P104" i="1"/>
  <c r="O104" i="1"/>
  <c r="N188" i="1"/>
  <c r="H228" i="18"/>
  <c r="H227" i="18" s="1"/>
  <c r="H238" i="18" s="1"/>
  <c r="H241" i="18" s="1"/>
  <c r="H243" i="18" s="1"/>
  <c r="G228" i="18"/>
  <c r="G227" i="18" s="1"/>
  <c r="G238" i="18" s="1"/>
  <c r="G241" i="18" s="1"/>
  <c r="G243" i="18" s="1"/>
  <c r="F228" i="18"/>
  <c r="F227" i="18" s="1"/>
  <c r="F238" i="18" s="1"/>
  <c r="I225" i="18"/>
  <c r="J225" i="18" s="1"/>
  <c r="CO69" i="5"/>
  <c r="CP69" i="5"/>
  <c r="AK49" i="5"/>
  <c r="AK42" i="5"/>
  <c r="AK92" i="5"/>
  <c r="BT69" i="5"/>
  <c r="BU69" i="5"/>
  <c r="AK33" i="5"/>
  <c r="AK91" i="5"/>
  <c r="AK40" i="5"/>
  <c r="AK43" i="5"/>
  <c r="N92" i="5"/>
  <c r="N95" i="5"/>
  <c r="N93" i="5"/>
  <c r="N42" i="5"/>
  <c r="N49" i="5"/>
  <c r="N94" i="5"/>
  <c r="N96" i="5"/>
  <c r="N40" i="5"/>
  <c r="N45" i="5"/>
  <c r="N38" i="5"/>
  <c r="N33" i="5"/>
  <c r="AK94" i="5"/>
  <c r="N91" i="5"/>
  <c r="N41" i="5"/>
  <c r="N44" i="5"/>
  <c r="AK93" i="5"/>
  <c r="N32" i="5"/>
  <c r="AK34" i="5"/>
  <c r="N39" i="5"/>
  <c r="AK45" i="5"/>
  <c r="N43" i="5"/>
  <c r="AK95" i="5"/>
  <c r="AK32" i="5"/>
  <c r="AK96" i="5"/>
  <c r="AK44" i="5"/>
  <c r="AK38" i="5"/>
  <c r="AK41" i="5"/>
  <c r="AJ44" i="5"/>
  <c r="AJ32" i="5"/>
  <c r="AJ41" i="5"/>
  <c r="AJ49" i="5"/>
  <c r="AJ34" i="5"/>
  <c r="AJ39" i="5"/>
  <c r="AJ92" i="5"/>
  <c r="AJ42" i="5"/>
  <c r="AJ95" i="5"/>
  <c r="AJ93" i="5"/>
  <c r="AJ40" i="5"/>
  <c r="AJ91" i="5"/>
  <c r="AJ96" i="5"/>
  <c r="AJ38" i="5"/>
  <c r="AJ94" i="5"/>
  <c r="AJ33" i="5"/>
  <c r="AJ45" i="5"/>
  <c r="AY32" i="5"/>
  <c r="AY39" i="5"/>
  <c r="AY45" i="5"/>
  <c r="AY91" i="5"/>
  <c r="AY33" i="5"/>
  <c r="AY40" i="5"/>
  <c r="AY92" i="5"/>
  <c r="AY49" i="5"/>
  <c r="AY94" i="5"/>
  <c r="AY34" i="5"/>
  <c r="AY41" i="5"/>
  <c r="AY93" i="5"/>
  <c r="AY43" i="5"/>
  <c r="AY95" i="5"/>
  <c r="AY42" i="5"/>
  <c r="AY38" i="5"/>
  <c r="AY44" i="5"/>
  <c r="AY96" i="5"/>
  <c r="AZ44" i="5"/>
  <c r="AZ32" i="5"/>
  <c r="AZ39" i="5"/>
  <c r="AZ45" i="5"/>
  <c r="AZ91" i="5"/>
  <c r="AZ33" i="5"/>
  <c r="AZ40" i="5"/>
  <c r="AZ92" i="5"/>
  <c r="AZ34" i="5"/>
  <c r="AZ41" i="5"/>
  <c r="AZ93" i="5"/>
  <c r="AZ42" i="5"/>
  <c r="AZ49" i="5"/>
  <c r="AZ94" i="5"/>
  <c r="AZ43" i="5"/>
  <c r="AZ95" i="5"/>
  <c r="AZ38" i="5"/>
  <c r="AZ96" i="5"/>
  <c r="AC38" i="5"/>
  <c r="AC44" i="5"/>
  <c r="AC96" i="5"/>
  <c r="AC32" i="5"/>
  <c r="AC39" i="5"/>
  <c r="AC45" i="5"/>
  <c r="AC91" i="5"/>
  <c r="AC33" i="5"/>
  <c r="AC40" i="5"/>
  <c r="AC92" i="5"/>
  <c r="AC42" i="5"/>
  <c r="AC94" i="5"/>
  <c r="AC34" i="5"/>
  <c r="AC41" i="5"/>
  <c r="AC93" i="5"/>
  <c r="AC43" i="5"/>
  <c r="AC95" i="5"/>
  <c r="AB38" i="5"/>
  <c r="AB44" i="5"/>
  <c r="AB96" i="5"/>
  <c r="AB45" i="5"/>
  <c r="AB39" i="5"/>
  <c r="AB91" i="5"/>
  <c r="AB33" i="5"/>
  <c r="AB40" i="5"/>
  <c r="AB92" i="5"/>
  <c r="AB34" i="5"/>
  <c r="AB41" i="5"/>
  <c r="AB93" i="5"/>
  <c r="AB95" i="5"/>
  <c r="AB43" i="5"/>
  <c r="AB42" i="5"/>
  <c r="AB94" i="5"/>
  <c r="AB32" i="5"/>
  <c r="M39" i="5"/>
  <c r="M34" i="5"/>
  <c r="AW38" i="5"/>
  <c r="AW44" i="5"/>
  <c r="AW96" i="5"/>
  <c r="AW32" i="5"/>
  <c r="AW39" i="5"/>
  <c r="AW45" i="5"/>
  <c r="AW91" i="5"/>
  <c r="AW33" i="5"/>
  <c r="AW40" i="5"/>
  <c r="AW92" i="5"/>
  <c r="AW34" i="5"/>
  <c r="AW41" i="5"/>
  <c r="AW93" i="5"/>
  <c r="AW42" i="5"/>
  <c r="AW49" i="5"/>
  <c r="AW94" i="5"/>
  <c r="AW95" i="5"/>
  <c r="AW43" i="5"/>
  <c r="M94" i="5"/>
  <c r="M49" i="5"/>
  <c r="AV32" i="5"/>
  <c r="AV39" i="5"/>
  <c r="AV45" i="5"/>
  <c r="AV91" i="5"/>
  <c r="AV33" i="5"/>
  <c r="AV40" i="5"/>
  <c r="AV92" i="5"/>
  <c r="AV34" i="5"/>
  <c r="AV41" i="5"/>
  <c r="AV93" i="5"/>
  <c r="AV42" i="5"/>
  <c r="AV49" i="5"/>
  <c r="AV94" i="5"/>
  <c r="AV43" i="5"/>
  <c r="AV95" i="5"/>
  <c r="AV38" i="5"/>
  <c r="AV44" i="5"/>
  <c r="AV96" i="5"/>
  <c r="M96" i="5"/>
  <c r="M44" i="5"/>
  <c r="AX38" i="5"/>
  <c r="AX44" i="5"/>
  <c r="AX96" i="5"/>
  <c r="AX32" i="5"/>
  <c r="AX39" i="5"/>
  <c r="AX45" i="5"/>
  <c r="AX91" i="5"/>
  <c r="AX33" i="5"/>
  <c r="AX40" i="5"/>
  <c r="AX92" i="5"/>
  <c r="AX34" i="5"/>
  <c r="AX41" i="5"/>
  <c r="AX93" i="5"/>
  <c r="AX42" i="5"/>
  <c r="AX49" i="5"/>
  <c r="AX94" i="5"/>
  <c r="AX43" i="5"/>
  <c r="AX95" i="5"/>
  <c r="AU32" i="5"/>
  <c r="AU39" i="5"/>
  <c r="AU45" i="5"/>
  <c r="AU91" i="5"/>
  <c r="AU33" i="5"/>
  <c r="AU40" i="5"/>
  <c r="AU92" i="5"/>
  <c r="AU34" i="5"/>
  <c r="AU41" i="5"/>
  <c r="AU93" i="5"/>
  <c r="AU42" i="5"/>
  <c r="AU49" i="5"/>
  <c r="AU94" i="5"/>
  <c r="AU43" i="5"/>
  <c r="AU95" i="5"/>
  <c r="AU96" i="5"/>
  <c r="AU38" i="5"/>
  <c r="AU44" i="5"/>
  <c r="M92" i="5"/>
  <c r="M32" i="5"/>
  <c r="AT33" i="5"/>
  <c r="AT40" i="5"/>
  <c r="AT92" i="5"/>
  <c r="AT34" i="5"/>
  <c r="AT41" i="5"/>
  <c r="AT93" i="5"/>
  <c r="AT42" i="5"/>
  <c r="AT49" i="5"/>
  <c r="AT94" i="5"/>
  <c r="AT43" i="5"/>
  <c r="AT95" i="5"/>
  <c r="AT38" i="5"/>
  <c r="AT44" i="5"/>
  <c r="AT96" i="5"/>
  <c r="AT32" i="5"/>
  <c r="AT39" i="5"/>
  <c r="AT45" i="5"/>
  <c r="AT91" i="5"/>
  <c r="M95" i="5"/>
  <c r="M42" i="5"/>
  <c r="AS33" i="5"/>
  <c r="AS40" i="5"/>
  <c r="AS92" i="5"/>
  <c r="AS34" i="5"/>
  <c r="AS41" i="5"/>
  <c r="AS93" i="5"/>
  <c r="AS42" i="5"/>
  <c r="AS49" i="5"/>
  <c r="AS94" i="5"/>
  <c r="AS43" i="5"/>
  <c r="AS95" i="5"/>
  <c r="AS38" i="5"/>
  <c r="AS44" i="5"/>
  <c r="AS96" i="5"/>
  <c r="AS39" i="5"/>
  <c r="AS32" i="5"/>
  <c r="AS91" i="5"/>
  <c r="AS45" i="5"/>
  <c r="M91" i="5"/>
  <c r="M40" i="5"/>
  <c r="AM43" i="5"/>
  <c r="AM95" i="5"/>
  <c r="AM38" i="5"/>
  <c r="AM44" i="5"/>
  <c r="AM96" i="5"/>
  <c r="AM32" i="5"/>
  <c r="AM39" i="5"/>
  <c r="AM45" i="5"/>
  <c r="AM91" i="5"/>
  <c r="AM33" i="5"/>
  <c r="AM40" i="5"/>
  <c r="AM92" i="5"/>
  <c r="AM34" i="5"/>
  <c r="AM41" i="5"/>
  <c r="AM93" i="5"/>
  <c r="AM94" i="5"/>
  <c r="AM42" i="5"/>
  <c r="AM49" i="5"/>
  <c r="M43" i="5"/>
  <c r="M45" i="5"/>
  <c r="AL38" i="5"/>
  <c r="AL44" i="5"/>
  <c r="AL96" i="5"/>
  <c r="AL32" i="5"/>
  <c r="AL39" i="5"/>
  <c r="AL45" i="5"/>
  <c r="AL91" i="5"/>
  <c r="AL33" i="5"/>
  <c r="AL40" i="5"/>
  <c r="AL92" i="5"/>
  <c r="AL34" i="5"/>
  <c r="AL41" i="5"/>
  <c r="AL93" i="5"/>
  <c r="AL42" i="5"/>
  <c r="AL49" i="5"/>
  <c r="AL94" i="5"/>
  <c r="AL43" i="5"/>
  <c r="AL95" i="5"/>
  <c r="M38" i="5"/>
  <c r="AN43" i="5"/>
  <c r="AN95" i="5"/>
  <c r="AN38" i="5"/>
  <c r="AN44" i="5"/>
  <c r="AN96" i="5"/>
  <c r="AN32" i="5"/>
  <c r="AN39" i="5"/>
  <c r="AN45" i="5"/>
  <c r="AN91" i="5"/>
  <c r="AN33" i="5"/>
  <c r="AN40" i="5"/>
  <c r="AN92" i="5"/>
  <c r="AN34" i="5"/>
  <c r="AN41" i="5"/>
  <c r="AN93" i="5"/>
  <c r="AN42" i="5"/>
  <c r="AN49" i="5"/>
  <c r="AN94" i="5"/>
  <c r="AR34" i="5"/>
  <c r="AR41" i="5"/>
  <c r="AR93" i="5"/>
  <c r="AR42" i="5"/>
  <c r="AR49" i="5"/>
  <c r="AR94" i="5"/>
  <c r="AR43" i="5"/>
  <c r="AR95" i="5"/>
  <c r="AR38" i="5"/>
  <c r="AR44" i="5"/>
  <c r="AR96" i="5"/>
  <c r="AR32" i="5"/>
  <c r="AR39" i="5"/>
  <c r="AR45" i="5"/>
  <c r="AR91" i="5"/>
  <c r="AR33" i="5"/>
  <c r="AR40" i="5"/>
  <c r="AR92" i="5"/>
  <c r="M41" i="5"/>
  <c r="M33" i="5"/>
  <c r="AP42" i="5"/>
  <c r="AP49" i="5"/>
  <c r="AP94" i="5"/>
  <c r="AP43" i="5"/>
  <c r="AP95" i="5"/>
  <c r="AP38" i="5"/>
  <c r="AP44" i="5"/>
  <c r="AP96" i="5"/>
  <c r="AP32" i="5"/>
  <c r="AP39" i="5"/>
  <c r="AP45" i="5"/>
  <c r="AP91" i="5"/>
  <c r="AP33" i="5"/>
  <c r="AP40" i="5"/>
  <c r="AP92" i="5"/>
  <c r="AP34" i="5"/>
  <c r="AP41" i="5"/>
  <c r="AP93" i="5"/>
  <c r="AO42" i="5"/>
  <c r="AO49" i="5"/>
  <c r="AO94" i="5"/>
  <c r="AO43" i="5"/>
  <c r="AO95" i="5"/>
  <c r="AO38" i="5"/>
  <c r="AO44" i="5"/>
  <c r="AO96" i="5"/>
  <c r="AO32" i="5"/>
  <c r="AO39" i="5"/>
  <c r="AO45" i="5"/>
  <c r="AO91" i="5"/>
  <c r="AO33" i="5"/>
  <c r="AO40" i="5"/>
  <c r="AO92" i="5"/>
  <c r="AO41" i="5"/>
  <c r="AO34" i="5"/>
  <c r="AO93" i="5"/>
  <c r="M93" i="5"/>
  <c r="AQ34" i="5"/>
  <c r="AQ41" i="5"/>
  <c r="AQ93" i="5"/>
  <c r="AQ42" i="5"/>
  <c r="AQ49" i="5"/>
  <c r="AQ94" i="5"/>
  <c r="AQ43" i="5"/>
  <c r="AQ95" i="5"/>
  <c r="AQ38" i="5"/>
  <c r="AQ44" i="5"/>
  <c r="AQ96" i="5"/>
  <c r="AQ32" i="5"/>
  <c r="AQ39" i="5"/>
  <c r="AQ45" i="5"/>
  <c r="AQ91" i="5"/>
  <c r="AQ92" i="5"/>
  <c r="AQ40" i="5"/>
  <c r="AQ33" i="5"/>
  <c r="V33" i="5"/>
  <c r="V40" i="5"/>
  <c r="V92" i="5"/>
  <c r="V34" i="5"/>
  <c r="V41" i="5"/>
  <c r="V93" i="5"/>
  <c r="V42" i="5"/>
  <c r="V49" i="5"/>
  <c r="V94" i="5"/>
  <c r="V43" i="5"/>
  <c r="V95" i="5"/>
  <c r="V38" i="5"/>
  <c r="V44" i="5"/>
  <c r="V96" i="5"/>
  <c r="V32" i="5"/>
  <c r="V39" i="5"/>
  <c r="V45" i="5"/>
  <c r="V91" i="5"/>
  <c r="U33" i="5"/>
  <c r="U40" i="5"/>
  <c r="U92" i="5"/>
  <c r="U41" i="5"/>
  <c r="U93" i="5"/>
  <c r="U43" i="5"/>
  <c r="U95" i="5"/>
  <c r="U45" i="5"/>
  <c r="U49" i="5"/>
  <c r="U38" i="5"/>
  <c r="U44" i="5"/>
  <c r="U96" i="5"/>
  <c r="U39" i="5"/>
  <c r="U91" i="5"/>
  <c r="U94" i="5"/>
  <c r="U32" i="5"/>
  <c r="U34" i="5"/>
  <c r="U42" i="5"/>
  <c r="H69" i="5"/>
  <c r="H80" i="5"/>
  <c r="H78" i="5"/>
  <c r="H77" i="5"/>
  <c r="H83" i="5"/>
  <c r="H81" i="5"/>
  <c r="H82" i="5"/>
  <c r="H79" i="5"/>
  <c r="H101" i="5"/>
  <c r="H100" i="5"/>
  <c r="X42" i="5"/>
  <c r="X32" i="5"/>
  <c r="X44" i="5"/>
  <c r="X49" i="5"/>
  <c r="X34" i="5"/>
  <c r="X39" i="5"/>
  <c r="X41" i="5"/>
  <c r="X43" i="5"/>
  <c r="X33" i="5"/>
  <c r="X38" i="5"/>
  <c r="X45" i="5"/>
  <c r="X40" i="5"/>
  <c r="X95" i="5"/>
  <c r="X92" i="5"/>
  <c r="X94" i="5"/>
  <c r="X91" i="5"/>
  <c r="X96" i="5"/>
  <c r="X93" i="5"/>
  <c r="W42" i="5"/>
  <c r="W32" i="5"/>
  <c r="W44" i="5"/>
  <c r="W49" i="5"/>
  <c r="W34" i="5"/>
  <c r="W39" i="5"/>
  <c r="W41" i="5"/>
  <c r="W43" i="5"/>
  <c r="W33" i="5"/>
  <c r="W38" i="5"/>
  <c r="W45" i="5"/>
  <c r="W40" i="5"/>
  <c r="W95" i="5"/>
  <c r="W92" i="5"/>
  <c r="W94" i="5"/>
  <c r="W91" i="5"/>
  <c r="W96" i="5"/>
  <c r="W93" i="5"/>
  <c r="F51" i="5"/>
  <c r="O43" i="5"/>
  <c r="O33" i="5"/>
  <c r="O38" i="5"/>
  <c r="O45" i="5"/>
  <c r="O40" i="5"/>
  <c r="O42" i="5"/>
  <c r="O32" i="5"/>
  <c r="O44" i="5"/>
  <c r="O49" i="5"/>
  <c r="O34" i="5"/>
  <c r="O39" i="5"/>
  <c r="O41" i="5"/>
  <c r="O96" i="5"/>
  <c r="O91" i="5"/>
  <c r="O93" i="5"/>
  <c r="O95" i="5"/>
  <c r="O94" i="5"/>
  <c r="O92" i="5"/>
  <c r="T32" i="5"/>
  <c r="T44" i="5"/>
  <c r="T49" i="5"/>
  <c r="T34" i="5"/>
  <c r="T39" i="5"/>
  <c r="T41" i="5"/>
  <c r="T43" i="5"/>
  <c r="T33" i="5"/>
  <c r="T38" i="5"/>
  <c r="T45" i="5"/>
  <c r="T40" i="5"/>
  <c r="T42" i="5"/>
  <c r="T92" i="5"/>
  <c r="T94" i="5"/>
  <c r="T96" i="5"/>
  <c r="T91" i="5"/>
  <c r="T93" i="5"/>
  <c r="T95" i="5"/>
  <c r="F50" i="5"/>
  <c r="G73" i="5"/>
  <c r="G76" i="5"/>
  <c r="G74" i="5"/>
  <c r="G75" i="5"/>
  <c r="F11" i="18"/>
  <c r="F17" i="18"/>
  <c r="I12" i="18"/>
  <c r="J9" i="18"/>
  <c r="G11" i="18"/>
  <c r="G17" i="18"/>
  <c r="AA33" i="5"/>
  <c r="AA38" i="5"/>
  <c r="AA45" i="5"/>
  <c r="AA40" i="5"/>
  <c r="AA42" i="5"/>
  <c r="AA32" i="5"/>
  <c r="AA44" i="5"/>
  <c r="AA49" i="5"/>
  <c r="AA34" i="5"/>
  <c r="AA39" i="5"/>
  <c r="AA41" i="5"/>
  <c r="AA43" i="5"/>
  <c r="AA91" i="5"/>
  <c r="AA93" i="5"/>
  <c r="AA95" i="5"/>
  <c r="AA92" i="5"/>
  <c r="AA94" i="5"/>
  <c r="AA96" i="5"/>
  <c r="BB5" i="5"/>
  <c r="AG5" i="5"/>
  <c r="R34" i="5"/>
  <c r="R39" i="5"/>
  <c r="R41" i="5"/>
  <c r="R43" i="5"/>
  <c r="R33" i="5"/>
  <c r="R38" i="5"/>
  <c r="R45" i="5"/>
  <c r="R40" i="5"/>
  <c r="R42" i="5"/>
  <c r="R32" i="5"/>
  <c r="R44" i="5"/>
  <c r="R49" i="5"/>
  <c r="R92" i="5"/>
  <c r="R94" i="5"/>
  <c r="R96" i="5"/>
  <c r="R91" i="5"/>
  <c r="R93" i="5"/>
  <c r="R95" i="5"/>
  <c r="BF69" i="5"/>
  <c r="BR69" i="5"/>
  <c r="CJ69" i="5"/>
  <c r="BG69" i="5"/>
  <c r="BS69" i="5"/>
  <c r="CK69" i="5"/>
  <c r="BH69" i="5"/>
  <c r="BZ69" i="5"/>
  <c r="CL69" i="5"/>
  <c r="G68" i="5"/>
  <c r="F68" i="5" s="1"/>
  <c r="BI69" i="5"/>
  <c r="CA69" i="5"/>
  <c r="CM69" i="5"/>
  <c r="BJ69" i="5"/>
  <c r="CB69" i="5"/>
  <c r="CN69" i="5"/>
  <c r="BK69" i="5"/>
  <c r="CC69" i="5"/>
  <c r="BL69" i="5"/>
  <c r="CD69" i="5"/>
  <c r="BM69" i="5"/>
  <c r="CE69" i="5"/>
  <c r="BN69" i="5"/>
  <c r="CF69" i="5"/>
  <c r="BO69" i="5"/>
  <c r="CG69" i="5"/>
  <c r="BP69" i="5"/>
  <c r="CH69" i="5"/>
  <c r="BE69" i="5"/>
  <c r="BQ69" i="5"/>
  <c r="CI69" i="5"/>
  <c r="H11" i="18"/>
  <c r="H17" i="18"/>
  <c r="Z45" i="5"/>
  <c r="Z40" i="5"/>
  <c r="Z42" i="5"/>
  <c r="Z32" i="5"/>
  <c r="Z44" i="5"/>
  <c r="Z49" i="5"/>
  <c r="Z34" i="5"/>
  <c r="Z39" i="5"/>
  <c r="Z41" i="5"/>
  <c r="Z43" i="5"/>
  <c r="Z33" i="5"/>
  <c r="Z38" i="5"/>
  <c r="Z93" i="5"/>
  <c r="Z95" i="5"/>
  <c r="Z92" i="5"/>
  <c r="Z91" i="5"/>
  <c r="Z94" i="5"/>
  <c r="Z96" i="5"/>
  <c r="Q41" i="5"/>
  <c r="Q43" i="5"/>
  <c r="Q33" i="5"/>
  <c r="Q38" i="5"/>
  <c r="Q45" i="5"/>
  <c r="Q40" i="5"/>
  <c r="Q42" i="5"/>
  <c r="Q32" i="5"/>
  <c r="Q44" i="5"/>
  <c r="Q49" i="5"/>
  <c r="Q34" i="5"/>
  <c r="Q39" i="5"/>
  <c r="Q94" i="5"/>
  <c r="Q96" i="5"/>
  <c r="Q91" i="5"/>
  <c r="Q93" i="5"/>
  <c r="Q95" i="5"/>
  <c r="Q92" i="5"/>
  <c r="S44" i="5"/>
  <c r="S49" i="5"/>
  <c r="S34" i="5"/>
  <c r="S39" i="5"/>
  <c r="S41" i="5"/>
  <c r="S43" i="5"/>
  <c r="S33" i="5"/>
  <c r="S38" i="5"/>
  <c r="S45" i="5"/>
  <c r="S40" i="5"/>
  <c r="S42" i="5"/>
  <c r="S32" i="5"/>
  <c r="S92" i="5"/>
  <c r="S94" i="5"/>
  <c r="S96" i="5"/>
  <c r="S91" i="5"/>
  <c r="S93" i="5"/>
  <c r="S95" i="5"/>
  <c r="Y40" i="5"/>
  <c r="Y42" i="5"/>
  <c r="Y32" i="5"/>
  <c r="Y44" i="5"/>
  <c r="Y49" i="5"/>
  <c r="Y34" i="5"/>
  <c r="Y39" i="5"/>
  <c r="Y41" i="5"/>
  <c r="Y43" i="5"/>
  <c r="Y33" i="5"/>
  <c r="Y38" i="5"/>
  <c r="Y45" i="5"/>
  <c r="Y93" i="5"/>
  <c r="Y95" i="5"/>
  <c r="Y92" i="5"/>
  <c r="Y94" i="5"/>
  <c r="Y96" i="5"/>
  <c r="Y91" i="5"/>
  <c r="S27" i="1"/>
  <c r="F45" i="5"/>
  <c r="F35" i="5"/>
  <c r="F40" i="5"/>
  <c r="F53" i="5"/>
  <c r="K10" i="1"/>
  <c r="I29" i="5"/>
  <c r="J29" i="5"/>
  <c r="F42" i="5"/>
  <c r="F55" i="5"/>
  <c r="F32" i="5"/>
  <c r="F44" i="5"/>
  <c r="K5" i="1"/>
  <c r="F34" i="5"/>
  <c r="F39" i="5"/>
  <c r="F52" i="5"/>
  <c r="F46" i="5"/>
  <c r="F41" i="5"/>
  <c r="F54" i="5"/>
  <c r="K6" i="1"/>
  <c r="F43" i="5"/>
  <c r="F33" i="5"/>
  <c r="F38" i="5"/>
  <c r="F66" i="5"/>
  <c r="F61" i="5"/>
  <c r="F63" i="5"/>
  <c r="F58" i="5"/>
  <c r="F65" i="5"/>
  <c r="F60" i="5"/>
  <c r="F67" i="5"/>
  <c r="F62" i="5"/>
  <c r="F57" i="5"/>
  <c r="F64" i="5"/>
  <c r="F59" i="5"/>
  <c r="F93" i="5"/>
  <c r="F95" i="5"/>
  <c r="F92" i="5"/>
  <c r="F94" i="5"/>
  <c r="F96" i="5"/>
  <c r="F104" i="5"/>
  <c r="F100" i="5"/>
  <c r="F91" i="5"/>
  <c r="F101" i="5"/>
  <c r="F8" i="4"/>
  <c r="F29" i="4"/>
  <c r="F39" i="4"/>
  <c r="F9" i="4"/>
  <c r="P21" i="4"/>
  <c r="P29" i="4"/>
  <c r="F40" i="4"/>
  <c r="F22" i="4"/>
  <c r="F30" i="4"/>
  <c r="P30" i="4"/>
  <c r="F24" i="4"/>
  <c r="F19" i="4"/>
  <c r="P24" i="4"/>
  <c r="F11" i="4"/>
  <c r="F25" i="4"/>
  <c r="F12" i="4"/>
  <c r="F7" i="4"/>
  <c r="F56" i="5"/>
  <c r="P41" i="5"/>
  <c r="P43" i="5"/>
  <c r="P33" i="5"/>
  <c r="P38" i="5"/>
  <c r="P45" i="5"/>
  <c r="P40" i="5"/>
  <c r="P42" i="5"/>
  <c r="P32" i="5"/>
  <c r="P44" i="5"/>
  <c r="P49" i="5"/>
  <c r="P34" i="5"/>
  <c r="P39" i="5"/>
  <c r="P94" i="5"/>
  <c r="P96" i="5"/>
  <c r="P91" i="5"/>
  <c r="P93" i="5"/>
  <c r="P95" i="5"/>
  <c r="P92" i="5"/>
  <c r="H34" i="18" l="1"/>
  <c r="G19" i="27"/>
  <c r="F19" i="27" s="1"/>
  <c r="I228" i="18"/>
  <c r="I227" i="18" s="1"/>
  <c r="M68" i="5"/>
  <c r="M69" i="5" s="1"/>
  <c r="N68" i="5"/>
  <c r="D34" i="2" s="1"/>
  <c r="I35" i="18"/>
  <c r="I34" i="18" s="1"/>
  <c r="I233" i="18"/>
  <c r="F241" i="18"/>
  <c r="F243" i="18" s="1"/>
  <c r="F40" i="18"/>
  <c r="F42" i="18" s="1"/>
  <c r="H226" i="18"/>
  <c r="G73" i="2" s="1"/>
  <c r="X81" i="1"/>
  <c r="G40" i="18"/>
  <c r="G42" i="18" s="1"/>
  <c r="F226" i="18"/>
  <c r="E73" i="2" s="1"/>
  <c r="H104" i="5"/>
  <c r="M7" i="1"/>
  <c r="G226" i="18"/>
  <c r="F73" i="2" s="1"/>
  <c r="AJ35" i="5"/>
  <c r="AK35" i="5"/>
  <c r="N46" i="5"/>
  <c r="N35" i="5"/>
  <c r="AK69" i="5"/>
  <c r="AK46" i="5"/>
  <c r="AY46" i="5"/>
  <c r="AY69" i="5"/>
  <c r="AZ46" i="5"/>
  <c r="AY35" i="5"/>
  <c r="AZ35" i="5"/>
  <c r="AZ69" i="5"/>
  <c r="AB69" i="5"/>
  <c r="AJ46" i="5"/>
  <c r="AB35" i="5"/>
  <c r="AC35" i="5"/>
  <c r="AB46" i="5"/>
  <c r="AC46" i="5"/>
  <c r="AC69" i="5"/>
  <c r="AC114" i="5" s="1"/>
  <c r="AJ69" i="5"/>
  <c r="AT35" i="5"/>
  <c r="M35" i="5"/>
  <c r="AO46" i="5"/>
  <c r="AN35" i="5"/>
  <c r="M46" i="5"/>
  <c r="AM46" i="5"/>
  <c r="AS35" i="5"/>
  <c r="AN46" i="5"/>
  <c r="AX35" i="5"/>
  <c r="AN69" i="5"/>
  <c r="AQ35" i="5"/>
  <c r="AP69" i="5"/>
  <c r="AR69" i="5"/>
  <c r="AU46" i="5"/>
  <c r="AS46" i="5"/>
  <c r="AX69" i="5"/>
  <c r="AQ46" i="5"/>
  <c r="AO69" i="5"/>
  <c r="AV46" i="5"/>
  <c r="AL35" i="5"/>
  <c r="AT46" i="5"/>
  <c r="AX46" i="5"/>
  <c r="AP35" i="5"/>
  <c r="AR35" i="5"/>
  <c r="AL69" i="5"/>
  <c r="AU35" i="5"/>
  <c r="AW35" i="5"/>
  <c r="AO35" i="5"/>
  <c r="AL46" i="5"/>
  <c r="AM69" i="5"/>
  <c r="AM35" i="5"/>
  <c r="AS69" i="5"/>
  <c r="AU69" i="5"/>
  <c r="AV35" i="5"/>
  <c r="AW69" i="5"/>
  <c r="AQ69" i="5"/>
  <c r="AP46" i="5"/>
  <c r="AR46" i="5"/>
  <c r="AV69" i="5"/>
  <c r="AT69" i="5"/>
  <c r="AW46" i="5"/>
  <c r="V35" i="5"/>
  <c r="U46" i="5"/>
  <c r="U69" i="5"/>
  <c r="V69" i="5"/>
  <c r="H31" i="4"/>
  <c r="H41" i="4" s="1"/>
  <c r="U35" i="5"/>
  <c r="V46" i="5"/>
  <c r="R35" i="5"/>
  <c r="P35" i="5"/>
  <c r="T35" i="5"/>
  <c r="X46" i="5"/>
  <c r="BY69" i="5"/>
  <c r="R69" i="5"/>
  <c r="AA35" i="5"/>
  <c r="Y69" i="5"/>
  <c r="Y114" i="5" s="1"/>
  <c r="S35" i="5"/>
  <c r="Q46" i="5"/>
  <c r="H19" i="18"/>
  <c r="H18" i="18"/>
  <c r="H24" i="22"/>
  <c r="H24" i="23"/>
  <c r="H45" i="18"/>
  <c r="H33" i="18"/>
  <c r="G70" i="2" s="1"/>
  <c r="O69" i="5"/>
  <c r="G244" i="18"/>
  <c r="G245" i="18"/>
  <c r="G286" i="18" s="1"/>
  <c r="W69" i="5"/>
  <c r="W114" i="5" s="1"/>
  <c r="S69" i="5"/>
  <c r="S116" i="5" s="1"/>
  <c r="H10" i="18"/>
  <c r="G72" i="2" s="1"/>
  <c r="H22" i="18"/>
  <c r="H42" i="18"/>
  <c r="H41" i="18"/>
  <c r="H51" i="22"/>
  <c r="H51" i="23"/>
  <c r="X69" i="5"/>
  <c r="X114" i="5" s="1"/>
  <c r="Y35" i="5"/>
  <c r="Z69" i="5"/>
  <c r="F33" i="18"/>
  <c r="E70" i="2" s="1"/>
  <c r="F45" i="18"/>
  <c r="O35" i="5"/>
  <c r="W35" i="5"/>
  <c r="P46" i="5"/>
  <c r="F51" i="22"/>
  <c r="F51" i="23"/>
  <c r="D30" i="2"/>
  <c r="F19" i="18"/>
  <c r="F18" i="18"/>
  <c r="F24" i="22"/>
  <c r="F24" i="23"/>
  <c r="X35" i="5"/>
  <c r="P69" i="5"/>
  <c r="J79" i="5"/>
  <c r="J80" i="5"/>
  <c r="J77" i="5"/>
  <c r="J78" i="5"/>
  <c r="J83" i="5"/>
  <c r="J81" i="5"/>
  <c r="J82" i="5"/>
  <c r="J101" i="5"/>
  <c r="J100" i="5"/>
  <c r="Y46" i="5"/>
  <c r="Z35" i="5"/>
  <c r="AA46" i="5"/>
  <c r="G45" i="18"/>
  <c r="G33" i="18"/>
  <c r="F70" i="2" s="1"/>
  <c r="F10" i="18"/>
  <c r="E72" i="2" s="1"/>
  <c r="F22" i="18"/>
  <c r="W46" i="5"/>
  <c r="I78" i="5"/>
  <c r="I79" i="5"/>
  <c r="I80" i="5"/>
  <c r="I77" i="5"/>
  <c r="I83" i="5"/>
  <c r="I81" i="5"/>
  <c r="I82" i="5"/>
  <c r="I101" i="5"/>
  <c r="I100" i="5"/>
  <c r="S46" i="5"/>
  <c r="Q69" i="5"/>
  <c r="G51" i="22"/>
  <c r="G51" i="23"/>
  <c r="Z46" i="5"/>
  <c r="R46" i="5"/>
  <c r="I75" i="5"/>
  <c r="J75" i="5"/>
  <c r="F75" i="5"/>
  <c r="H75" i="5"/>
  <c r="T69" i="5"/>
  <c r="T116" i="5" s="1"/>
  <c r="Q35" i="5"/>
  <c r="G19" i="18"/>
  <c r="G18" i="18"/>
  <c r="G24" i="22"/>
  <c r="G24" i="23"/>
  <c r="G69" i="5"/>
  <c r="O46" i="5"/>
  <c r="D36" i="2"/>
  <c r="G10" i="18"/>
  <c r="F72" i="2" s="1"/>
  <c r="G22" i="18"/>
  <c r="F74" i="5"/>
  <c r="H74" i="5"/>
  <c r="I74" i="5"/>
  <c r="J74" i="5"/>
  <c r="I40" i="18"/>
  <c r="K32" i="18"/>
  <c r="J35" i="18"/>
  <c r="AA69" i="5"/>
  <c r="K9" i="18"/>
  <c r="J12" i="18"/>
  <c r="F76" i="5"/>
  <c r="H76" i="5"/>
  <c r="I76" i="5"/>
  <c r="J76" i="5"/>
  <c r="J228" i="18"/>
  <c r="K225" i="18"/>
  <c r="BD69" i="5"/>
  <c r="I11" i="18"/>
  <c r="I17" i="18"/>
  <c r="H73" i="5"/>
  <c r="I73" i="5"/>
  <c r="J73" i="5"/>
  <c r="F73" i="5"/>
  <c r="T46" i="5"/>
  <c r="Q114" i="5" l="1"/>
  <c r="Q116" i="5"/>
  <c r="P114" i="5"/>
  <c r="P116" i="5"/>
  <c r="O114" i="5"/>
  <c r="O116" i="5"/>
  <c r="R114" i="5"/>
  <c r="R116" i="5"/>
  <c r="T114" i="5"/>
  <c r="C96" i="2" s="1"/>
  <c r="S114" i="5"/>
  <c r="C98" i="2" s="1"/>
  <c r="D38" i="2"/>
  <c r="D32" i="2"/>
  <c r="L33" i="2"/>
  <c r="I29" i="2"/>
  <c r="H29" i="2"/>
  <c r="K32" i="2"/>
  <c r="K29" i="2"/>
  <c r="M32" i="2"/>
  <c r="AB114" i="5"/>
  <c r="AB116" i="5"/>
  <c r="H32" i="2"/>
  <c r="G41" i="18"/>
  <c r="G43" i="18" s="1"/>
  <c r="F41" i="18"/>
  <c r="F43" i="18" s="1"/>
  <c r="J227" i="18"/>
  <c r="J226" i="18" s="1"/>
  <c r="I73" i="2" s="1"/>
  <c r="J233" i="18"/>
  <c r="J234" i="18" s="1"/>
  <c r="H30" i="2"/>
  <c r="J32" i="2"/>
  <c r="N69" i="5"/>
  <c r="L32" i="2"/>
  <c r="M38" i="2"/>
  <c r="K35" i="2"/>
  <c r="D39" i="2"/>
  <c r="N32" i="2"/>
  <c r="H34" i="2"/>
  <c r="K31" i="2"/>
  <c r="L34" i="2"/>
  <c r="I34" i="2"/>
  <c r="J35" i="2"/>
  <c r="M31" i="2"/>
  <c r="M34" i="2"/>
  <c r="I37" i="2"/>
  <c r="J31" i="2"/>
  <c r="N37" i="2"/>
  <c r="N39" i="2"/>
  <c r="J29" i="2"/>
  <c r="I30" i="2"/>
  <c r="I38" i="2"/>
  <c r="H36" i="2"/>
  <c r="M39" i="2"/>
  <c r="M37" i="2"/>
  <c r="H33" i="2"/>
  <c r="J37" i="2"/>
  <c r="M36" i="2"/>
  <c r="K39" i="2"/>
  <c r="M29" i="2"/>
  <c r="H39" i="2"/>
  <c r="H31" i="2"/>
  <c r="K33" i="2"/>
  <c r="K36" i="2"/>
  <c r="L29" i="2"/>
  <c r="I35" i="2"/>
  <c r="J39" i="2"/>
  <c r="L31" i="2"/>
  <c r="D31" i="2"/>
  <c r="L30" i="2"/>
  <c r="N29" i="2"/>
  <c r="N30" i="2"/>
  <c r="I33" i="2"/>
  <c r="J33" i="2"/>
  <c r="L39" i="2"/>
  <c r="L36" i="2"/>
  <c r="J30" i="2"/>
  <c r="H38" i="2"/>
  <c r="J36" i="2"/>
  <c r="N31" i="2"/>
  <c r="L38" i="2"/>
  <c r="D37" i="2"/>
  <c r="D29" i="2"/>
  <c r="M30" i="2"/>
  <c r="I31" i="2"/>
  <c r="J38" i="2"/>
  <c r="N38" i="2"/>
  <c r="D33" i="2"/>
  <c r="K30" i="2"/>
  <c r="I36" i="2"/>
  <c r="J34" i="2"/>
  <c r="N33" i="2"/>
  <c r="N36" i="2"/>
  <c r="I39" i="2"/>
  <c r="H35" i="2"/>
  <c r="K38" i="2"/>
  <c r="M33" i="2"/>
  <c r="M35" i="2"/>
  <c r="H37" i="2"/>
  <c r="L35" i="2"/>
  <c r="N35" i="2"/>
  <c r="D35" i="2"/>
  <c r="I32" i="2"/>
  <c r="N34" i="2"/>
  <c r="K37" i="2"/>
  <c r="K34" i="2"/>
  <c r="L37" i="2"/>
  <c r="I234" i="18"/>
  <c r="I238" i="18"/>
  <c r="I241" i="18" s="1"/>
  <c r="I235" i="18"/>
  <c r="F244" i="18"/>
  <c r="F245" i="18"/>
  <c r="F286" i="18" s="1"/>
  <c r="F287" i="18" s="1"/>
  <c r="F289" i="18" s="1"/>
  <c r="F291" i="18" s="1"/>
  <c r="H244" i="18"/>
  <c r="H245" i="18"/>
  <c r="H286" i="18" s="1"/>
  <c r="H287" i="18" s="1"/>
  <c r="H289" i="18" s="1"/>
  <c r="H291" i="18" s="1"/>
  <c r="I104" i="5"/>
  <c r="N10" i="1" s="1"/>
  <c r="J104" i="5"/>
  <c r="Q59" i="27"/>
  <c r="P59" i="27" s="1"/>
  <c r="R31" i="4"/>
  <c r="G31" i="4"/>
  <c r="F31" i="4" s="1"/>
  <c r="C101" i="2"/>
  <c r="C100" i="2"/>
  <c r="C99" i="2"/>
  <c r="BT101" i="5"/>
  <c r="BT77" i="5"/>
  <c r="CO78" i="5"/>
  <c r="CO82" i="5"/>
  <c r="CO83" i="5"/>
  <c r="BT79" i="5"/>
  <c r="CO100" i="5"/>
  <c r="CP81" i="5"/>
  <c r="BT80" i="5"/>
  <c r="CP78" i="5"/>
  <c r="CP77" i="5"/>
  <c r="CO77" i="5"/>
  <c r="CO74" i="5"/>
  <c r="CP74" i="5"/>
  <c r="CP100" i="5"/>
  <c r="CP83" i="5"/>
  <c r="CP79" i="5"/>
  <c r="CO81" i="5"/>
  <c r="CO79" i="5"/>
  <c r="CO73" i="5"/>
  <c r="CP73" i="5"/>
  <c r="CO76" i="5"/>
  <c r="CP76" i="5"/>
  <c r="CP82" i="5"/>
  <c r="CP80" i="5"/>
  <c r="CP101" i="5"/>
  <c r="CO75" i="5"/>
  <c r="CP75" i="5"/>
  <c r="CO80" i="5"/>
  <c r="CO101" i="5"/>
  <c r="BT100" i="5"/>
  <c r="BT82" i="5"/>
  <c r="BU81" i="5"/>
  <c r="AB83" i="5"/>
  <c r="BT78" i="5"/>
  <c r="BU80" i="5"/>
  <c r="BU79" i="5"/>
  <c r="BU77" i="5"/>
  <c r="BU101" i="5"/>
  <c r="BU83" i="5"/>
  <c r="BT83" i="5"/>
  <c r="BU100" i="5"/>
  <c r="BU82" i="5"/>
  <c r="BT74" i="5"/>
  <c r="BU74" i="5"/>
  <c r="BT73" i="5"/>
  <c r="BU73" i="5"/>
  <c r="BT76" i="5"/>
  <c r="BU76" i="5"/>
  <c r="BU78" i="5"/>
  <c r="BT81" i="5"/>
  <c r="BU75" i="5"/>
  <c r="BT75" i="5"/>
  <c r="AC101" i="5"/>
  <c r="AO79" i="5"/>
  <c r="AO81" i="5"/>
  <c r="AW78" i="5"/>
  <c r="AU100" i="5"/>
  <c r="AY82" i="5"/>
  <c r="AY83" i="5"/>
  <c r="AZ81" i="5"/>
  <c r="AY81" i="5"/>
  <c r="AY76" i="5"/>
  <c r="AZ76" i="5"/>
  <c r="AY75" i="5"/>
  <c r="AZ75" i="5"/>
  <c r="AP77" i="5"/>
  <c r="AZ82" i="5"/>
  <c r="AM80" i="5"/>
  <c r="AZ80" i="5"/>
  <c r="AY73" i="5"/>
  <c r="AZ73" i="5"/>
  <c r="AY80" i="5"/>
  <c r="AQ101" i="5"/>
  <c r="AC79" i="5"/>
  <c r="AZ79" i="5"/>
  <c r="AY74" i="5"/>
  <c r="AZ74" i="5"/>
  <c r="AS82" i="5"/>
  <c r="AZ78" i="5"/>
  <c r="AY79" i="5"/>
  <c r="AY78" i="5"/>
  <c r="AZ101" i="5"/>
  <c r="AY77" i="5"/>
  <c r="AY101" i="5"/>
  <c r="AZ77" i="5"/>
  <c r="AZ100" i="5"/>
  <c r="AZ83" i="5"/>
  <c r="AY100" i="5"/>
  <c r="AX81" i="5"/>
  <c r="AB79" i="5"/>
  <c r="AB101" i="5"/>
  <c r="AW100" i="5"/>
  <c r="AC83" i="5"/>
  <c r="AL101" i="5"/>
  <c r="AB73" i="5"/>
  <c r="AC73" i="5"/>
  <c r="AB76" i="5"/>
  <c r="AC76" i="5"/>
  <c r="AT82" i="5"/>
  <c r="AB81" i="5"/>
  <c r="AC81" i="5"/>
  <c r="AC100" i="5"/>
  <c r="AC78" i="5"/>
  <c r="AC82" i="5"/>
  <c r="AB100" i="5"/>
  <c r="AB78" i="5"/>
  <c r="AB74" i="5"/>
  <c r="AC74" i="5"/>
  <c r="AC75" i="5"/>
  <c r="AB75" i="5"/>
  <c r="AQ77" i="5"/>
  <c r="AB82" i="5"/>
  <c r="AC80" i="5"/>
  <c r="AC77" i="5"/>
  <c r="AX80" i="5"/>
  <c r="AB80" i="5"/>
  <c r="AB77" i="5"/>
  <c r="AL83" i="5"/>
  <c r="AQ74" i="5"/>
  <c r="AR74" i="5"/>
  <c r="AS74" i="5"/>
  <c r="AT74" i="5"/>
  <c r="AU74" i="5"/>
  <c r="AV74" i="5"/>
  <c r="AK74" i="5"/>
  <c r="AW74" i="5"/>
  <c r="AL74" i="5"/>
  <c r="AX74" i="5"/>
  <c r="AM74" i="5"/>
  <c r="AN74" i="5"/>
  <c r="AP74" i="5"/>
  <c r="AO74" i="5"/>
  <c r="AK100" i="5"/>
  <c r="AL80" i="5"/>
  <c r="AS78" i="5"/>
  <c r="AV78" i="5"/>
  <c r="AO77" i="5"/>
  <c r="AU83" i="5"/>
  <c r="AW83" i="5"/>
  <c r="AL81" i="5"/>
  <c r="AM101" i="5"/>
  <c r="AP101" i="5"/>
  <c r="AR82" i="5"/>
  <c r="AN79" i="5"/>
  <c r="AV100" i="5"/>
  <c r="AW80" i="5"/>
  <c r="AT78" i="5"/>
  <c r="AU78" i="5"/>
  <c r="AN77" i="5"/>
  <c r="AV83" i="5"/>
  <c r="AK83" i="5"/>
  <c r="AW81" i="5"/>
  <c r="AN101" i="5"/>
  <c r="AO101" i="5"/>
  <c r="AQ82" i="5"/>
  <c r="AM79" i="5"/>
  <c r="AK80" i="5"/>
  <c r="AR78" i="5"/>
  <c r="AM77" i="5"/>
  <c r="AT83" i="5"/>
  <c r="AK81" i="5"/>
  <c r="AX101" i="5"/>
  <c r="AP82" i="5"/>
  <c r="AX79" i="5"/>
  <c r="AK78" i="5"/>
  <c r="AT100" i="5"/>
  <c r="AV80" i="5"/>
  <c r="AQ78" i="5"/>
  <c r="AX77" i="5"/>
  <c r="AS83" i="5"/>
  <c r="AV81" i="5"/>
  <c r="AO82" i="5"/>
  <c r="AL79" i="5"/>
  <c r="AS100" i="5"/>
  <c r="AU80" i="5"/>
  <c r="AP78" i="5"/>
  <c r="AL77" i="5"/>
  <c r="AR83" i="5"/>
  <c r="AU81" i="5"/>
  <c r="AW101" i="5"/>
  <c r="AW82" i="5"/>
  <c r="AN82" i="5"/>
  <c r="AW79" i="5"/>
  <c r="AS73" i="5"/>
  <c r="AT73" i="5"/>
  <c r="AU73" i="5"/>
  <c r="AV73" i="5"/>
  <c r="AK73" i="5"/>
  <c r="AW73" i="5"/>
  <c r="AL73" i="5"/>
  <c r="AX73" i="5"/>
  <c r="AM73" i="5"/>
  <c r="AN73" i="5"/>
  <c r="AO73" i="5"/>
  <c r="AP73" i="5"/>
  <c r="AR73" i="5"/>
  <c r="AQ73" i="5"/>
  <c r="AM76" i="5"/>
  <c r="AN76" i="5"/>
  <c r="AO76" i="5"/>
  <c r="AP76" i="5"/>
  <c r="AQ76" i="5"/>
  <c r="AR76" i="5"/>
  <c r="AS76" i="5"/>
  <c r="AT76" i="5"/>
  <c r="AU76" i="5"/>
  <c r="AV76" i="5"/>
  <c r="AL76" i="5"/>
  <c r="AX76" i="5"/>
  <c r="AK76" i="5"/>
  <c r="AW76" i="5"/>
  <c r="AO100" i="5"/>
  <c r="AR100" i="5"/>
  <c r="AT80" i="5"/>
  <c r="AO78" i="5"/>
  <c r="AU77" i="5"/>
  <c r="AW77" i="5"/>
  <c r="AQ83" i="5"/>
  <c r="AT81" i="5"/>
  <c r="AK101" i="5"/>
  <c r="AK82" i="5"/>
  <c r="AM82" i="5"/>
  <c r="AK79" i="5"/>
  <c r="AP100" i="5"/>
  <c r="AQ100" i="5"/>
  <c r="AS80" i="5"/>
  <c r="AN78" i="5"/>
  <c r="AV77" i="5"/>
  <c r="AK77" i="5"/>
  <c r="AP83" i="5"/>
  <c r="AS81" i="5"/>
  <c r="AV101" i="5"/>
  <c r="AX82" i="5"/>
  <c r="AV79" i="5"/>
  <c r="AN100" i="5"/>
  <c r="AO80" i="5"/>
  <c r="AR80" i="5"/>
  <c r="AM78" i="5"/>
  <c r="AT77" i="5"/>
  <c r="AO83" i="5"/>
  <c r="AR81" i="5"/>
  <c r="AU101" i="5"/>
  <c r="AL82" i="5"/>
  <c r="AU79" i="5"/>
  <c r="AO75" i="5"/>
  <c r="AP75" i="5"/>
  <c r="AQ75" i="5"/>
  <c r="AR75" i="5"/>
  <c r="AS75" i="5"/>
  <c r="AT75" i="5"/>
  <c r="AU75" i="5"/>
  <c r="AV75" i="5"/>
  <c r="AK75" i="5"/>
  <c r="AW75" i="5"/>
  <c r="AL75" i="5"/>
  <c r="AX75" i="5"/>
  <c r="AN75" i="5"/>
  <c r="AM75" i="5"/>
  <c r="AM100" i="5"/>
  <c r="AP80" i="5"/>
  <c r="AQ80" i="5"/>
  <c r="AX78" i="5"/>
  <c r="AS77" i="5"/>
  <c r="AN83" i="5"/>
  <c r="AQ81" i="5"/>
  <c r="AT101" i="5"/>
  <c r="AV82" i="5"/>
  <c r="AQ79" i="5"/>
  <c r="AT79" i="5"/>
  <c r="AX100" i="5"/>
  <c r="AN80" i="5"/>
  <c r="AL78" i="5"/>
  <c r="AR77" i="5"/>
  <c r="AM83" i="5"/>
  <c r="AM81" i="5"/>
  <c r="AP81" i="5"/>
  <c r="AS101" i="5"/>
  <c r="AU82" i="5"/>
  <c r="AR79" i="5"/>
  <c r="AS79" i="5"/>
  <c r="AL100" i="5"/>
  <c r="AX83" i="5"/>
  <c r="AN81" i="5"/>
  <c r="AR101" i="5"/>
  <c r="AP79" i="5"/>
  <c r="V101" i="5"/>
  <c r="U77" i="5"/>
  <c r="V79" i="5"/>
  <c r="V100" i="5"/>
  <c r="U82" i="5"/>
  <c r="V81" i="5"/>
  <c r="U83" i="5"/>
  <c r="U80" i="5"/>
  <c r="U78" i="5"/>
  <c r="V77" i="5"/>
  <c r="U79" i="5"/>
  <c r="U76" i="5"/>
  <c r="V76" i="5"/>
  <c r="U101" i="5"/>
  <c r="V83" i="5"/>
  <c r="V78" i="5"/>
  <c r="U73" i="5"/>
  <c r="V73" i="5"/>
  <c r="U81" i="5"/>
  <c r="U100" i="5"/>
  <c r="V74" i="5"/>
  <c r="U74" i="5"/>
  <c r="V82" i="5"/>
  <c r="V75" i="5"/>
  <c r="U75" i="5"/>
  <c r="V80" i="5"/>
  <c r="AI35" i="5"/>
  <c r="CL81" i="5"/>
  <c r="O79" i="5"/>
  <c r="CM79" i="5"/>
  <c r="BI81" i="5"/>
  <c r="BG81" i="5"/>
  <c r="BP81" i="5"/>
  <c r="BM81" i="5"/>
  <c r="N100" i="5"/>
  <c r="BL81" i="5"/>
  <c r="Y81" i="5"/>
  <c r="N81" i="5"/>
  <c r="CA81" i="5"/>
  <c r="CB79" i="5"/>
  <c r="S81" i="5"/>
  <c r="P81" i="5"/>
  <c r="CH81" i="5"/>
  <c r="BE79" i="5"/>
  <c r="CJ79" i="5"/>
  <c r="CJ83" i="5"/>
  <c r="BH81" i="5"/>
  <c r="S79" i="5"/>
  <c r="CI79" i="5"/>
  <c r="CH79" i="5"/>
  <c r="CE81" i="5"/>
  <c r="CC79" i="5"/>
  <c r="CF79" i="5"/>
  <c r="BF79" i="5"/>
  <c r="AJ79" i="5"/>
  <c r="G79" i="5"/>
  <c r="F79" i="5" s="1"/>
  <c r="M79" i="5"/>
  <c r="Z79" i="5"/>
  <c r="R79" i="5"/>
  <c r="T81" i="5"/>
  <c r="BZ79" i="5"/>
  <c r="BJ79" i="5"/>
  <c r="CL79" i="5"/>
  <c r="BI79" i="5"/>
  <c r="W83" i="5"/>
  <c r="BK81" i="5"/>
  <c r="W81" i="5"/>
  <c r="Q81" i="5"/>
  <c r="G81" i="5"/>
  <c r="F81" i="5" s="1"/>
  <c r="CF81" i="5"/>
  <c r="AA81" i="5"/>
  <c r="BR81" i="5"/>
  <c r="CK79" i="5"/>
  <c r="BN81" i="5"/>
  <c r="Z81" i="5"/>
  <c r="CM81" i="5"/>
  <c r="AA79" i="5"/>
  <c r="BQ79" i="5"/>
  <c r="BP79" i="5"/>
  <c r="CN79" i="5"/>
  <c r="T79" i="5"/>
  <c r="BM79" i="5"/>
  <c r="BS79" i="5"/>
  <c r="CG79" i="5"/>
  <c r="Q79" i="5"/>
  <c r="BG79" i="5"/>
  <c r="X79" i="5"/>
  <c r="BK79" i="5"/>
  <c r="BP100" i="5"/>
  <c r="Z101" i="5"/>
  <c r="CA82" i="5"/>
  <c r="CM82" i="5"/>
  <c r="BN79" i="5"/>
  <c r="CG81" i="5"/>
  <c r="CN81" i="5"/>
  <c r="CI81" i="5"/>
  <c r="BO81" i="5"/>
  <c r="CB81" i="5"/>
  <c r="X81" i="5"/>
  <c r="BQ81" i="5"/>
  <c r="CD77" i="5"/>
  <c r="O81" i="5"/>
  <c r="BJ81" i="5"/>
  <c r="CK81" i="5"/>
  <c r="BE81" i="5"/>
  <c r="P79" i="5"/>
  <c r="CD81" i="5"/>
  <c r="BS81" i="5"/>
  <c r="AJ81" i="5"/>
  <c r="CC81" i="5"/>
  <c r="CJ81" i="5"/>
  <c r="BJ100" i="5"/>
  <c r="R81" i="5"/>
  <c r="BQ83" i="5"/>
  <c r="CD79" i="5"/>
  <c r="Q83" i="5"/>
  <c r="CB100" i="5"/>
  <c r="CC83" i="5"/>
  <c r="CA83" i="5"/>
  <c r="BE83" i="5"/>
  <c r="CF83" i="5"/>
  <c r="N83" i="5"/>
  <c r="BI83" i="5"/>
  <c r="G83" i="5"/>
  <c r="F83" i="5" s="1"/>
  <c r="Y83" i="5"/>
  <c r="P83" i="5"/>
  <c r="BF83" i="5"/>
  <c r="AJ83" i="5"/>
  <c r="BP83" i="5"/>
  <c r="CL83" i="5"/>
  <c r="AA83" i="5"/>
  <c r="BZ83" i="5"/>
  <c r="BM83" i="5"/>
  <c r="M83" i="5"/>
  <c r="BH83" i="5"/>
  <c r="T83" i="5"/>
  <c r="CH83" i="5"/>
  <c r="BR83" i="5"/>
  <c r="CE83" i="5"/>
  <c r="CJ100" i="5"/>
  <c r="R83" i="5"/>
  <c r="CN83" i="5"/>
  <c r="M81" i="5"/>
  <c r="BZ81" i="5"/>
  <c r="BF81" i="5"/>
  <c r="BH79" i="5"/>
  <c r="Y79" i="5"/>
  <c r="BO79" i="5"/>
  <c r="CI100" i="5"/>
  <c r="BK83" i="5"/>
  <c r="CG83" i="5"/>
  <c r="CB83" i="5"/>
  <c r="X83" i="5"/>
  <c r="O83" i="5"/>
  <c r="CK83" i="5"/>
  <c r="AJ101" i="5"/>
  <c r="CD83" i="5"/>
  <c r="Y101" i="5"/>
  <c r="BO83" i="5"/>
  <c r="BJ83" i="5"/>
  <c r="BS83" i="5"/>
  <c r="CI83" i="5"/>
  <c r="BL83" i="5"/>
  <c r="Z83" i="5"/>
  <c r="CD100" i="5"/>
  <c r="CD82" i="5"/>
  <c r="W82" i="5"/>
  <c r="CH82" i="5"/>
  <c r="BP82" i="5"/>
  <c r="Z100" i="5"/>
  <c r="AJ82" i="5"/>
  <c r="P82" i="5"/>
  <c r="CH101" i="5"/>
  <c r="CM100" i="5"/>
  <c r="BO100" i="5"/>
  <c r="BK82" i="5"/>
  <c r="Y100" i="5"/>
  <c r="F20" i="18"/>
  <c r="BK101" i="5"/>
  <c r="BS100" i="5"/>
  <c r="BG100" i="5"/>
  <c r="Q100" i="5"/>
  <c r="W100" i="5"/>
  <c r="AJ100" i="5"/>
  <c r="BR100" i="5"/>
  <c r="BL100" i="5"/>
  <c r="CM101" i="5"/>
  <c r="Z82" i="5"/>
  <c r="BG82" i="5"/>
  <c r="S82" i="5"/>
  <c r="CC82" i="5"/>
  <c r="BG101" i="5"/>
  <c r="S101" i="5"/>
  <c r="CC101" i="5"/>
  <c r="BP101" i="5"/>
  <c r="CL101" i="5"/>
  <c r="BI82" i="5"/>
  <c r="G82" i="5"/>
  <c r="F82" i="5" s="1"/>
  <c r="CE82" i="5"/>
  <c r="AA82" i="5"/>
  <c r="CJ101" i="5"/>
  <c r="CE101" i="5"/>
  <c r="AA101" i="5"/>
  <c r="BZ101" i="5"/>
  <c r="CJ82" i="5"/>
  <c r="BM82" i="5"/>
  <c r="M82" i="5"/>
  <c r="BR101" i="5"/>
  <c r="BM101" i="5"/>
  <c r="M101" i="5"/>
  <c r="BH101" i="5"/>
  <c r="G20" i="18"/>
  <c r="BF101" i="5"/>
  <c r="R101" i="5"/>
  <c r="CN101" i="5"/>
  <c r="Y82" i="5"/>
  <c r="BR82" i="5"/>
  <c r="R82" i="5"/>
  <c r="CL82" i="5"/>
  <c r="BF82" i="5"/>
  <c r="CG82" i="5"/>
  <c r="CG101" i="5"/>
  <c r="CB101" i="5"/>
  <c r="X101" i="5"/>
  <c r="BI100" i="5"/>
  <c r="BQ100" i="5"/>
  <c r="CF100" i="5"/>
  <c r="H43" i="18"/>
  <c r="W101" i="5"/>
  <c r="L35" i="5"/>
  <c r="AI69" i="5"/>
  <c r="BZ82" i="5"/>
  <c r="BO82" i="5"/>
  <c r="O82" i="5"/>
  <c r="CA79" i="5"/>
  <c r="BR79" i="5"/>
  <c r="BL79" i="5"/>
  <c r="CE79" i="5"/>
  <c r="T101" i="5"/>
  <c r="BO101" i="5"/>
  <c r="O101" i="5"/>
  <c r="BJ101" i="5"/>
  <c r="BE100" i="5"/>
  <c r="BG83" i="5"/>
  <c r="H20" i="18"/>
  <c r="T82" i="5"/>
  <c r="BL82" i="5"/>
  <c r="CI101" i="5"/>
  <c r="CN82" i="5"/>
  <c r="CI82" i="5"/>
  <c r="Q82" i="5"/>
  <c r="W79" i="5"/>
  <c r="N79" i="5"/>
  <c r="BQ101" i="5"/>
  <c r="BL101" i="5"/>
  <c r="S100" i="5"/>
  <c r="P100" i="5"/>
  <c r="Z80" i="5"/>
  <c r="P101" i="5"/>
  <c r="CD101" i="5"/>
  <c r="CB82" i="5"/>
  <c r="X82" i="5"/>
  <c r="BE82" i="5"/>
  <c r="CF82" i="5"/>
  <c r="CK101" i="5"/>
  <c r="BE101" i="5"/>
  <c r="Q101" i="5"/>
  <c r="CA101" i="5"/>
  <c r="CC100" i="5"/>
  <c r="X100" i="5"/>
  <c r="L46" i="5"/>
  <c r="BH82" i="5"/>
  <c r="J84" i="5"/>
  <c r="J10" i="4" s="1"/>
  <c r="BJ82" i="5"/>
  <c r="BS82" i="5"/>
  <c r="BN82" i="5"/>
  <c r="N82" i="5"/>
  <c r="BS101" i="5"/>
  <c r="CF101" i="5"/>
  <c r="N101" i="5"/>
  <c r="BI101" i="5"/>
  <c r="BK100" i="5"/>
  <c r="CK100" i="5"/>
  <c r="CH100" i="5"/>
  <c r="O100" i="5"/>
  <c r="BF78" i="5"/>
  <c r="W73" i="5"/>
  <c r="BG73" i="5"/>
  <c r="BS73" i="5"/>
  <c r="CK73" i="5"/>
  <c r="X73" i="5"/>
  <c r="BH73" i="5"/>
  <c r="BZ73" i="5"/>
  <c r="CL73" i="5"/>
  <c r="Y73" i="5"/>
  <c r="BI73" i="5"/>
  <c r="CA73" i="5"/>
  <c r="CM73" i="5"/>
  <c r="Z73" i="5"/>
  <c r="BJ73" i="5"/>
  <c r="CB73" i="5"/>
  <c r="CN73" i="5"/>
  <c r="M73" i="5"/>
  <c r="AA73" i="5"/>
  <c r="BK73" i="5"/>
  <c r="CC73" i="5"/>
  <c r="N73" i="5"/>
  <c r="BL73" i="5"/>
  <c r="CD73" i="5"/>
  <c r="O73" i="5"/>
  <c r="BM73" i="5"/>
  <c r="CE73" i="5"/>
  <c r="P73" i="5"/>
  <c r="AJ73" i="5"/>
  <c r="BN73" i="5"/>
  <c r="CF73" i="5"/>
  <c r="Q73" i="5"/>
  <c r="BO73" i="5"/>
  <c r="CG73" i="5"/>
  <c r="R73" i="5"/>
  <c r="BP73" i="5"/>
  <c r="CH73" i="5"/>
  <c r="T73" i="5"/>
  <c r="BF73" i="5"/>
  <c r="BR73" i="5"/>
  <c r="CI73" i="5"/>
  <c r="CJ73" i="5"/>
  <c r="H84" i="5"/>
  <c r="S73" i="5"/>
  <c r="BE73" i="5"/>
  <c r="BQ73" i="5"/>
  <c r="J11" i="18"/>
  <c r="J17" i="18"/>
  <c r="BG80" i="5"/>
  <c r="S80" i="5"/>
  <c r="BN80" i="5"/>
  <c r="CM80" i="5"/>
  <c r="BH78" i="5"/>
  <c r="W77" i="5"/>
  <c r="BE77" i="5"/>
  <c r="Q77" i="5"/>
  <c r="BL77" i="5"/>
  <c r="I84" i="5"/>
  <c r="I10" i="4" s="1"/>
  <c r="R76" i="5"/>
  <c r="BP76" i="5"/>
  <c r="CH76" i="5"/>
  <c r="S76" i="5"/>
  <c r="BE76" i="5"/>
  <c r="BQ76" i="5"/>
  <c r="CI76" i="5"/>
  <c r="T76" i="5"/>
  <c r="BF76" i="5"/>
  <c r="BR76" i="5"/>
  <c r="CJ76" i="5"/>
  <c r="W76" i="5"/>
  <c r="BG76" i="5"/>
  <c r="BS76" i="5"/>
  <c r="CK76" i="5"/>
  <c r="X76" i="5"/>
  <c r="BH76" i="5"/>
  <c r="BZ76" i="5"/>
  <c r="CL76" i="5"/>
  <c r="Y76" i="5"/>
  <c r="BI76" i="5"/>
  <c r="CA76" i="5"/>
  <c r="CM76" i="5"/>
  <c r="Z76" i="5"/>
  <c r="BJ76" i="5"/>
  <c r="CB76" i="5"/>
  <c r="CN76" i="5"/>
  <c r="N76" i="5"/>
  <c r="BL76" i="5"/>
  <c r="M76" i="5"/>
  <c r="BK76" i="5"/>
  <c r="O76" i="5"/>
  <c r="BM76" i="5"/>
  <c r="P76" i="5"/>
  <c r="BN76" i="5"/>
  <c r="Q76" i="5"/>
  <c r="BO76" i="5"/>
  <c r="AA76" i="5"/>
  <c r="CC76" i="5"/>
  <c r="CD76" i="5"/>
  <c r="AJ76" i="5"/>
  <c r="CE76" i="5"/>
  <c r="CF76" i="5"/>
  <c r="CG76" i="5"/>
  <c r="L9" i="18"/>
  <c r="K12" i="18"/>
  <c r="Z114" i="5"/>
  <c r="CH80" i="5"/>
  <c r="N80" i="5"/>
  <c r="CA80" i="5"/>
  <c r="BQ78" i="5"/>
  <c r="P78" i="5"/>
  <c r="M78" i="5"/>
  <c r="AA78" i="5"/>
  <c r="T78" i="5"/>
  <c r="CA77" i="5"/>
  <c r="CN77" i="5"/>
  <c r="CF77" i="5"/>
  <c r="M116" i="5"/>
  <c r="M114" i="5"/>
  <c r="W80" i="5"/>
  <c r="BP80" i="5"/>
  <c r="AJ80" i="5"/>
  <c r="CC80" i="5"/>
  <c r="BI80" i="5"/>
  <c r="CI78" i="5"/>
  <c r="CF78" i="5"/>
  <c r="CB78" i="5"/>
  <c r="X78" i="5"/>
  <c r="BH77" i="5"/>
  <c r="S77" i="5"/>
  <c r="BN77" i="5"/>
  <c r="AA100" i="5"/>
  <c r="CL100" i="5"/>
  <c r="BF100" i="5"/>
  <c r="CE100" i="5"/>
  <c r="AI46" i="5"/>
  <c r="CJ80" i="5"/>
  <c r="P80" i="5"/>
  <c r="BK80" i="5"/>
  <c r="S78" i="5"/>
  <c r="BM78" i="5"/>
  <c r="BJ78" i="5"/>
  <c r="CK78" i="5"/>
  <c r="BZ77" i="5"/>
  <c r="T77" i="5"/>
  <c r="CH77" i="5"/>
  <c r="N77" i="5"/>
  <c r="I226" i="18"/>
  <c r="H73" i="2" s="1"/>
  <c r="K228" i="18"/>
  <c r="K227" i="18" s="1"/>
  <c r="K238" i="18" s="1"/>
  <c r="K241" i="18" s="1"/>
  <c r="K243" i="18" s="1"/>
  <c r="L225" i="18"/>
  <c r="S83" i="5"/>
  <c r="BN83" i="5"/>
  <c r="CM83" i="5"/>
  <c r="J40" i="18"/>
  <c r="J42" i="18" s="1"/>
  <c r="J34" i="18"/>
  <c r="CK82" i="5"/>
  <c r="BQ82" i="5"/>
  <c r="BN101" i="5"/>
  <c r="M100" i="5"/>
  <c r="BZ100" i="5"/>
  <c r="R100" i="5"/>
  <c r="BM100" i="5"/>
  <c r="CL80" i="5"/>
  <c r="BR80" i="5"/>
  <c r="CE80" i="5"/>
  <c r="Y80" i="5"/>
  <c r="BP78" i="5"/>
  <c r="AJ78" i="5"/>
  <c r="Z78" i="5"/>
  <c r="BS78" i="5"/>
  <c r="CM77" i="5"/>
  <c r="BP77" i="5"/>
  <c r="AJ77" i="5"/>
  <c r="CC77" i="5"/>
  <c r="K35" i="18"/>
  <c r="L32" i="18"/>
  <c r="L7" i="1"/>
  <c r="K7" i="1" s="1"/>
  <c r="F69" i="5"/>
  <c r="CN100" i="5"/>
  <c r="BH100" i="5"/>
  <c r="T100" i="5"/>
  <c r="CG100" i="5"/>
  <c r="BZ80" i="5"/>
  <c r="BF80" i="5"/>
  <c r="R80" i="5"/>
  <c r="BM80" i="5"/>
  <c r="AA80" i="5"/>
  <c r="O78" i="5"/>
  <c r="CE78" i="5"/>
  <c r="CM78" i="5"/>
  <c r="BG78" i="5"/>
  <c r="BS77" i="5"/>
  <c r="BG77" i="5"/>
  <c r="P77" i="5"/>
  <c r="BK77" i="5"/>
  <c r="BH80" i="5"/>
  <c r="CG80" i="5"/>
  <c r="M80" i="5"/>
  <c r="R78" i="5"/>
  <c r="CH78" i="5"/>
  <c r="BE78" i="5"/>
  <c r="CA78" i="5"/>
  <c r="E23" i="2"/>
  <c r="E51" i="2" s="1"/>
  <c r="G287" i="18"/>
  <c r="G289" i="18" s="1"/>
  <c r="G291" i="18" s="1"/>
  <c r="G340" i="18"/>
  <c r="Z77" i="5"/>
  <c r="CL77" i="5"/>
  <c r="CE77" i="5"/>
  <c r="Y75" i="5"/>
  <c r="BI75" i="5"/>
  <c r="CA75" i="5"/>
  <c r="CM75" i="5"/>
  <c r="Z75" i="5"/>
  <c r="BJ75" i="5"/>
  <c r="CB75" i="5"/>
  <c r="CN75" i="5"/>
  <c r="M75" i="5"/>
  <c r="AA75" i="5"/>
  <c r="BK75" i="5"/>
  <c r="CC75" i="5"/>
  <c r="N75" i="5"/>
  <c r="BL75" i="5"/>
  <c r="CD75" i="5"/>
  <c r="O75" i="5"/>
  <c r="BM75" i="5"/>
  <c r="CE75" i="5"/>
  <c r="P75" i="5"/>
  <c r="AJ75" i="5"/>
  <c r="BN75" i="5"/>
  <c r="CF75" i="5"/>
  <c r="Q75" i="5"/>
  <c r="BO75" i="5"/>
  <c r="CG75" i="5"/>
  <c r="S75" i="5"/>
  <c r="BE75" i="5"/>
  <c r="BQ75" i="5"/>
  <c r="CI75" i="5"/>
  <c r="CL75" i="5"/>
  <c r="BF75" i="5"/>
  <c r="BG75" i="5"/>
  <c r="BH75" i="5"/>
  <c r="R75" i="5"/>
  <c r="BP75" i="5"/>
  <c r="T75" i="5"/>
  <c r="BR75" i="5"/>
  <c r="W75" i="5"/>
  <c r="BS75" i="5"/>
  <c r="X75" i="5"/>
  <c r="BZ75" i="5"/>
  <c r="CH75" i="5"/>
  <c r="CJ75" i="5"/>
  <c r="CK75" i="5"/>
  <c r="T80" i="5"/>
  <c r="BO80" i="5"/>
  <c r="CN80" i="5"/>
  <c r="BO78" i="5"/>
  <c r="BL78" i="5"/>
  <c r="BI78" i="5"/>
  <c r="W78" i="5"/>
  <c r="BR77" i="5"/>
  <c r="BF77" i="5"/>
  <c r="R77" i="5"/>
  <c r="BM77" i="5"/>
  <c r="AA77" i="5"/>
  <c r="X80" i="5"/>
  <c r="CI80" i="5"/>
  <c r="O80" i="5"/>
  <c r="CB80" i="5"/>
  <c r="CD78" i="5"/>
  <c r="G78" i="5"/>
  <c r="F78" i="5" s="1"/>
  <c r="CJ77" i="5"/>
  <c r="Y77" i="5"/>
  <c r="CK77" i="5"/>
  <c r="CG77" i="5"/>
  <c r="M77" i="5"/>
  <c r="I19" i="18"/>
  <c r="I18" i="18"/>
  <c r="I24" i="22"/>
  <c r="I24" i="23"/>
  <c r="G80" i="5"/>
  <c r="F80" i="5" s="1"/>
  <c r="BQ80" i="5"/>
  <c r="CD80" i="5"/>
  <c r="BJ80" i="5"/>
  <c r="Q78" i="5"/>
  <c r="N78" i="5"/>
  <c r="Y78" i="5"/>
  <c r="CJ78" i="5"/>
  <c r="BJ77" i="5"/>
  <c r="BO77" i="5"/>
  <c r="I10" i="18"/>
  <c r="H72" i="2" s="1"/>
  <c r="I22" i="18"/>
  <c r="I45" i="18"/>
  <c r="I33" i="18"/>
  <c r="H70" i="2" s="1"/>
  <c r="CK80" i="5"/>
  <c r="BE80" i="5"/>
  <c r="Q80" i="5"/>
  <c r="BL80" i="5"/>
  <c r="CN78" i="5"/>
  <c r="CG78" i="5"/>
  <c r="CL78" i="5"/>
  <c r="BR78" i="5"/>
  <c r="G77" i="5"/>
  <c r="X77" i="5"/>
  <c r="CI77" i="5"/>
  <c r="O77" i="5"/>
  <c r="I41" i="18"/>
  <c r="I42" i="18"/>
  <c r="I51" i="22"/>
  <c r="I51" i="23"/>
  <c r="P74" i="5"/>
  <c r="AJ74" i="5"/>
  <c r="BN74" i="5"/>
  <c r="CF74" i="5"/>
  <c r="Q74" i="5"/>
  <c r="BO74" i="5"/>
  <c r="CG74" i="5"/>
  <c r="R74" i="5"/>
  <c r="BP74" i="5"/>
  <c r="CH74" i="5"/>
  <c r="S74" i="5"/>
  <c r="BE74" i="5"/>
  <c r="BQ74" i="5"/>
  <c r="CI74" i="5"/>
  <c r="T74" i="5"/>
  <c r="BF74" i="5"/>
  <c r="BR74" i="5"/>
  <c r="CJ74" i="5"/>
  <c r="W74" i="5"/>
  <c r="BG74" i="5"/>
  <c r="BS74" i="5"/>
  <c r="CK74" i="5"/>
  <c r="X74" i="5"/>
  <c r="BH74" i="5"/>
  <c r="BZ74" i="5"/>
  <c r="CL74" i="5"/>
  <c r="Y74" i="5"/>
  <c r="Z74" i="5"/>
  <c r="BJ74" i="5"/>
  <c r="CB74" i="5"/>
  <c r="CN74" i="5"/>
  <c r="M74" i="5"/>
  <c r="AA74" i="5"/>
  <c r="BK74" i="5"/>
  <c r="CC74" i="5"/>
  <c r="CD74" i="5"/>
  <c r="CE74" i="5"/>
  <c r="N74" i="5"/>
  <c r="CM74" i="5"/>
  <c r="O74" i="5"/>
  <c r="BI74" i="5"/>
  <c r="BL74" i="5"/>
  <c r="BM74" i="5"/>
  <c r="CA74" i="5"/>
  <c r="CA100" i="5"/>
  <c r="M10" i="1"/>
  <c r="H34" i="4"/>
  <c r="Q62" i="27" s="1"/>
  <c r="BN100" i="5"/>
  <c r="BS80" i="5"/>
  <c r="CF80" i="5"/>
  <c r="BN78" i="5"/>
  <c r="BK78" i="5"/>
  <c r="CC78" i="5"/>
  <c r="BZ78" i="5"/>
  <c r="CB77" i="5"/>
  <c r="BI77" i="5"/>
  <c r="BQ77" i="5"/>
  <c r="N116" i="5" l="1"/>
  <c r="N114" i="5"/>
  <c r="H10" i="4"/>
  <c r="F23" i="2"/>
  <c r="F51" i="2" s="1"/>
  <c r="C95" i="2"/>
  <c r="L69" i="5"/>
  <c r="L70" i="5" s="1"/>
  <c r="H303" i="18"/>
  <c r="F30" i="2" s="1"/>
  <c r="I303" i="18"/>
  <c r="F340" i="18"/>
  <c r="D23" i="2"/>
  <c r="D51" i="2" s="1"/>
  <c r="J238" i="18"/>
  <c r="J241" i="18" s="1"/>
  <c r="J235" i="18"/>
  <c r="J236" i="18" s="1"/>
  <c r="X104" i="5"/>
  <c r="N43" i="2"/>
  <c r="M43" i="2"/>
  <c r="L43" i="2"/>
  <c r="H340" i="18"/>
  <c r="I236" i="18"/>
  <c r="I243" i="18" s="1"/>
  <c r="U104" i="5"/>
  <c r="BT104" i="5"/>
  <c r="AY104" i="5"/>
  <c r="BZ104" i="5"/>
  <c r="AX104" i="5"/>
  <c r="T104" i="5"/>
  <c r="CN104" i="5"/>
  <c r="AA104" i="5"/>
  <c r="BU104" i="5"/>
  <c r="AQ104" i="5"/>
  <c r="BF104" i="5"/>
  <c r="S104" i="5"/>
  <c r="AJ104" i="5"/>
  <c r="M104" i="5"/>
  <c r="CM104" i="5"/>
  <c r="AP104" i="5"/>
  <c r="AO104" i="5"/>
  <c r="AM104" i="5"/>
  <c r="AN104" i="5"/>
  <c r="BH104" i="5"/>
  <c r="CA104" i="5"/>
  <c r="AC104" i="5"/>
  <c r="AL104" i="5"/>
  <c r="AZ104" i="5"/>
  <c r="V104" i="5"/>
  <c r="BK104" i="5"/>
  <c r="CG104" i="5"/>
  <c r="Q104" i="5"/>
  <c r="CP104" i="5"/>
  <c r="Z104" i="5"/>
  <c r="BM104" i="5"/>
  <c r="P104" i="5"/>
  <c r="AW104" i="5"/>
  <c r="CF104" i="5"/>
  <c r="CI104" i="5"/>
  <c r="CH104" i="5"/>
  <c r="CE104" i="5"/>
  <c r="R104" i="5"/>
  <c r="BN104" i="5"/>
  <c r="CL104" i="5"/>
  <c r="BL104" i="5"/>
  <c r="BE104" i="5"/>
  <c r="BR104" i="5"/>
  <c r="BP104" i="5"/>
  <c r="AS104" i="5"/>
  <c r="W104" i="5"/>
  <c r="BJ104" i="5"/>
  <c r="CO104" i="5"/>
  <c r="O104" i="5"/>
  <c r="BG104" i="5"/>
  <c r="BS104" i="5"/>
  <c r="CK104" i="5"/>
  <c r="BQ104" i="5"/>
  <c r="AV104" i="5"/>
  <c r="AK104" i="5"/>
  <c r="BI104" i="5"/>
  <c r="N104" i="5"/>
  <c r="Y104" i="5"/>
  <c r="CD104" i="5"/>
  <c r="CC104" i="5"/>
  <c r="CJ104" i="5"/>
  <c r="CB104" i="5"/>
  <c r="AT104" i="5"/>
  <c r="BO104" i="5"/>
  <c r="AR104" i="5"/>
  <c r="AB104" i="5"/>
  <c r="AU104" i="5"/>
  <c r="G303" i="18"/>
  <c r="G41" i="4"/>
  <c r="F41" i="4" s="1"/>
  <c r="Q31" i="4"/>
  <c r="P31" i="4" s="1"/>
  <c r="Q77" i="27"/>
  <c r="P77" i="27" s="1"/>
  <c r="J32" i="4"/>
  <c r="L47" i="5"/>
  <c r="L36" i="5"/>
  <c r="CO84" i="5"/>
  <c r="CP84" i="5"/>
  <c r="BU84" i="5"/>
  <c r="BT84" i="5"/>
  <c r="AZ84" i="5"/>
  <c r="AY84" i="5"/>
  <c r="AC84" i="5"/>
  <c r="AB84" i="5"/>
  <c r="AW84" i="5"/>
  <c r="AK84" i="5"/>
  <c r="AV84" i="5"/>
  <c r="AU84" i="5"/>
  <c r="AQ84" i="5"/>
  <c r="AT84" i="5"/>
  <c r="AR84" i="5"/>
  <c r="AS84" i="5"/>
  <c r="AP84" i="5"/>
  <c r="AO84" i="5"/>
  <c r="AN84" i="5"/>
  <c r="AM84" i="5"/>
  <c r="AX84" i="5"/>
  <c r="AL84" i="5"/>
  <c r="V84" i="5"/>
  <c r="U84" i="5"/>
  <c r="CH84" i="5"/>
  <c r="BM84" i="5"/>
  <c r="I34" i="4"/>
  <c r="I43" i="18"/>
  <c r="O8" i="1"/>
  <c r="I20" i="18"/>
  <c r="U42" i="27"/>
  <c r="E24" i="2"/>
  <c r="E52" i="2" s="1"/>
  <c r="G341" i="18"/>
  <c r="G342" i="18" s="1"/>
  <c r="G381" i="18" s="1"/>
  <c r="K40" i="18"/>
  <c r="K34" i="18"/>
  <c r="BE84" i="5"/>
  <c r="P84" i="5"/>
  <c r="BK84" i="5"/>
  <c r="O10" i="1"/>
  <c r="J34" i="4"/>
  <c r="U62" i="27" s="1"/>
  <c r="M225" i="18"/>
  <c r="L228" i="18"/>
  <c r="L227" i="18" s="1"/>
  <c r="L238" i="18" s="1"/>
  <c r="L241" i="18" s="1"/>
  <c r="L243" i="18" s="1"/>
  <c r="CE84" i="5"/>
  <c r="Y84" i="5"/>
  <c r="K226" i="18"/>
  <c r="J73" i="2" s="1"/>
  <c r="S84" i="5"/>
  <c r="R84" i="5"/>
  <c r="AA84" i="5"/>
  <c r="CL84" i="5"/>
  <c r="R34" i="4"/>
  <c r="Q80" i="27" s="1"/>
  <c r="H44" i="4"/>
  <c r="I306" i="18" s="1"/>
  <c r="I350" i="18" s="1"/>
  <c r="D24" i="2"/>
  <c r="D52" i="2" s="1"/>
  <c r="F341" i="18"/>
  <c r="F342" i="18" s="1"/>
  <c r="F381" i="18" s="1"/>
  <c r="C97" i="2"/>
  <c r="M8" i="1"/>
  <c r="H32" i="4"/>
  <c r="Q60" i="27" s="1"/>
  <c r="CG84" i="5"/>
  <c r="M84" i="5"/>
  <c r="BZ84" i="5"/>
  <c r="F24" i="2"/>
  <c r="F52" i="2" s="1"/>
  <c r="H341" i="18"/>
  <c r="CJ84" i="5"/>
  <c r="BO84" i="5"/>
  <c r="CN84" i="5"/>
  <c r="BH84" i="5"/>
  <c r="J33" i="18"/>
  <c r="I70" i="2" s="1"/>
  <c r="J45" i="18"/>
  <c r="K17" i="18"/>
  <c r="K11" i="18"/>
  <c r="CI84" i="5"/>
  <c r="O84" i="5"/>
  <c r="CB84" i="5"/>
  <c r="J41" i="18"/>
  <c r="J51" i="22"/>
  <c r="J51" i="23"/>
  <c r="M9" i="18"/>
  <c r="L12" i="18"/>
  <c r="BR84" i="5"/>
  <c r="CD84" i="5"/>
  <c r="BJ84" i="5"/>
  <c r="X84" i="5"/>
  <c r="F77" i="5"/>
  <c r="G84" i="5"/>
  <c r="N8" i="1"/>
  <c r="I32" i="4"/>
  <c r="S60" i="27" s="1"/>
  <c r="S42" i="27"/>
  <c r="BF84" i="5"/>
  <c r="Q84" i="5"/>
  <c r="BL84" i="5"/>
  <c r="CK84" i="5"/>
  <c r="CF84" i="5"/>
  <c r="Z84" i="5"/>
  <c r="BS84" i="5"/>
  <c r="J19" i="18"/>
  <c r="J18" i="18"/>
  <c r="J24" i="22"/>
  <c r="J24" i="23"/>
  <c r="T84" i="5"/>
  <c r="BN84" i="5"/>
  <c r="CM84" i="5"/>
  <c r="BG84" i="5"/>
  <c r="J10" i="18"/>
  <c r="I72" i="2" s="1"/>
  <c r="J22" i="18"/>
  <c r="N84" i="5"/>
  <c r="CA84" i="5"/>
  <c r="M32" i="18"/>
  <c r="L35" i="18"/>
  <c r="BQ84" i="5"/>
  <c r="BP84" i="5"/>
  <c r="AJ84" i="5"/>
  <c r="CC84" i="5"/>
  <c r="BI84" i="5"/>
  <c r="W84" i="5"/>
  <c r="H347" i="18" l="1"/>
  <c r="G10" i="4"/>
  <c r="F33" i="2"/>
  <c r="Q42" i="27"/>
  <c r="P42" i="27" s="1"/>
  <c r="F31" i="2"/>
  <c r="F32" i="2"/>
  <c r="F38" i="2"/>
  <c r="F39" i="2"/>
  <c r="F34" i="2"/>
  <c r="F37" i="2"/>
  <c r="H342" i="18"/>
  <c r="H381" i="18" s="1"/>
  <c r="H409" i="18" s="1"/>
  <c r="F35" i="2"/>
  <c r="F29" i="2"/>
  <c r="F36" i="2"/>
  <c r="I347" i="18"/>
  <c r="G29" i="2"/>
  <c r="G39" i="2"/>
  <c r="G36" i="2"/>
  <c r="G38" i="2"/>
  <c r="G30" i="2"/>
  <c r="G32" i="2"/>
  <c r="G33" i="2"/>
  <c r="G35" i="2"/>
  <c r="G37" i="2"/>
  <c r="G31" i="2"/>
  <c r="G34" i="2"/>
  <c r="J243" i="18"/>
  <c r="E33" i="2"/>
  <c r="E39" i="2"/>
  <c r="E32" i="2"/>
  <c r="E38" i="2"/>
  <c r="E31" i="2"/>
  <c r="E37" i="2"/>
  <c r="E34" i="2"/>
  <c r="E30" i="2"/>
  <c r="E36" i="2"/>
  <c r="E29" i="2"/>
  <c r="E35" i="2"/>
  <c r="H114" i="5"/>
  <c r="H118" i="5"/>
  <c r="AT231" i="1" s="1"/>
  <c r="AT235" i="1" s="1"/>
  <c r="AT237" i="1" s="1"/>
  <c r="AT239" i="1" s="1"/>
  <c r="AT241" i="1" s="1"/>
  <c r="J118" i="5"/>
  <c r="AV231" i="1" s="1"/>
  <c r="AV235" i="1" s="1"/>
  <c r="AV237" i="1" s="1"/>
  <c r="AV239" i="1" s="1"/>
  <c r="AV241" i="1" s="1"/>
  <c r="J117" i="5"/>
  <c r="I117" i="5"/>
  <c r="H116" i="5"/>
  <c r="H115" i="5"/>
  <c r="J116" i="5"/>
  <c r="I116" i="5"/>
  <c r="J115" i="5"/>
  <c r="J114" i="5"/>
  <c r="I118" i="5"/>
  <c r="AU231" i="1" s="1"/>
  <c r="AU235" i="1" s="1"/>
  <c r="AU237" i="1" s="1"/>
  <c r="AU239" i="1" s="1"/>
  <c r="AU241" i="1" s="1"/>
  <c r="I115" i="5"/>
  <c r="I114" i="5"/>
  <c r="H117" i="5"/>
  <c r="G347" i="18"/>
  <c r="D303" i="18"/>
  <c r="T32" i="4"/>
  <c r="U78" i="27" s="1"/>
  <c r="U60" i="27"/>
  <c r="P60" i="27" s="1"/>
  <c r="I44" i="4"/>
  <c r="G360" i="22" s="1"/>
  <c r="S62" i="27"/>
  <c r="P62" i="27" s="1"/>
  <c r="J42" i="4"/>
  <c r="G556" i="23" s="1"/>
  <c r="S34" i="4"/>
  <c r="S80" i="27" s="1"/>
  <c r="F556" i="23"/>
  <c r="F600" i="23" s="1"/>
  <c r="BY104" i="5"/>
  <c r="BD104" i="5"/>
  <c r="AI104" i="5"/>
  <c r="L104" i="5"/>
  <c r="L105" i="5" s="1"/>
  <c r="J43" i="18"/>
  <c r="J20" i="18"/>
  <c r="F409" i="18"/>
  <c r="F394" i="18"/>
  <c r="N225" i="18"/>
  <c r="M228" i="18"/>
  <c r="M227" i="18" s="1"/>
  <c r="M238" i="18" s="1"/>
  <c r="M241" i="18" s="1"/>
  <c r="M243" i="18" s="1"/>
  <c r="K41" i="18"/>
  <c r="K42" i="18"/>
  <c r="K51" i="22"/>
  <c r="K51" i="23"/>
  <c r="L8" i="1"/>
  <c r="K8" i="1" s="1"/>
  <c r="F84" i="5"/>
  <c r="T34" i="4"/>
  <c r="U80" i="27" s="1"/>
  <c r="J44" i="4"/>
  <c r="BY84" i="5"/>
  <c r="BZ112" i="5"/>
  <c r="BF112" i="5"/>
  <c r="K245" i="18"/>
  <c r="K286" i="18" s="1"/>
  <c r="K244" i="18"/>
  <c r="L84" i="5"/>
  <c r="BG112" i="5"/>
  <c r="F358" i="22"/>
  <c r="BJ112" i="5"/>
  <c r="CB112" i="5"/>
  <c r="AO112" i="5"/>
  <c r="S32" i="4"/>
  <c r="S78" i="27" s="1"/>
  <c r="I42" i="4"/>
  <c r="CD112" i="5"/>
  <c r="BH112" i="5"/>
  <c r="G34" i="4"/>
  <c r="F34" i="4" s="1"/>
  <c r="G409" i="18"/>
  <c r="G394" i="18"/>
  <c r="CA112" i="5"/>
  <c r="AK112" i="5"/>
  <c r="G306" i="18"/>
  <c r="H306" i="18"/>
  <c r="BD84" i="5"/>
  <c r="BE112" i="5"/>
  <c r="BI112" i="5"/>
  <c r="F304" i="18"/>
  <c r="CE112" i="5"/>
  <c r="CC112" i="5"/>
  <c r="AI84" i="5"/>
  <c r="AJ112" i="5"/>
  <c r="L17" i="18"/>
  <c r="L11" i="18"/>
  <c r="K22" i="18"/>
  <c r="K10" i="18"/>
  <c r="J72" i="2" s="1"/>
  <c r="R32" i="4"/>
  <c r="Q78" i="27" s="1"/>
  <c r="H42" i="4"/>
  <c r="I304" i="18" s="1"/>
  <c r="I348" i="18" s="1"/>
  <c r="G32" i="4"/>
  <c r="AL112" i="5"/>
  <c r="L40" i="18"/>
  <c r="L34" i="18"/>
  <c r="M35" i="18"/>
  <c r="N32" i="18"/>
  <c r="N9" i="18"/>
  <c r="M12" i="18"/>
  <c r="K19" i="18"/>
  <c r="K18" i="18"/>
  <c r="K24" i="22"/>
  <c r="K24" i="23"/>
  <c r="AM112" i="5"/>
  <c r="AN112" i="5"/>
  <c r="L226" i="18"/>
  <c r="K73" i="2" s="1"/>
  <c r="K33" i="18"/>
  <c r="J70" i="2" s="1"/>
  <c r="K45" i="18"/>
  <c r="H394" i="18" l="1"/>
  <c r="D347" i="18"/>
  <c r="J245" i="18"/>
  <c r="J286" i="18" s="1"/>
  <c r="J244" i="18"/>
  <c r="H350" i="18"/>
  <c r="P80" i="27"/>
  <c r="P78" i="27"/>
  <c r="H360" i="22"/>
  <c r="G44" i="4"/>
  <c r="F44" i="4" s="1"/>
  <c r="H556" i="23"/>
  <c r="L85" i="5"/>
  <c r="Q34" i="4"/>
  <c r="P34" i="4" s="1"/>
  <c r="K43" i="18"/>
  <c r="K20" i="18"/>
  <c r="G404" i="22"/>
  <c r="G558" i="23"/>
  <c r="H558" i="23"/>
  <c r="M226" i="18"/>
  <c r="L73" i="2" s="1"/>
  <c r="F10" i="4"/>
  <c r="O225" i="18"/>
  <c r="N228" i="18"/>
  <c r="N227" i="18" s="1"/>
  <c r="N238" i="18" s="1"/>
  <c r="N241" i="18" s="1"/>
  <c r="N243" i="18" s="1"/>
  <c r="L245" i="18"/>
  <c r="L286" i="18" s="1"/>
  <c r="L244" i="18"/>
  <c r="G600" i="23"/>
  <c r="G358" i="22"/>
  <c r="G42" i="2" s="1"/>
  <c r="H358" i="22"/>
  <c r="I23" i="2"/>
  <c r="I51" i="2" s="1"/>
  <c r="K287" i="18"/>
  <c r="K289" i="18" s="1"/>
  <c r="K340" i="18"/>
  <c r="D42" i="2"/>
  <c r="D43" i="2" s="1"/>
  <c r="F348" i="18"/>
  <c r="L22" i="18"/>
  <c r="L10" i="18"/>
  <c r="K72" i="2" s="1"/>
  <c r="N35" i="18"/>
  <c r="O32" i="18"/>
  <c r="L18" i="18"/>
  <c r="L19" i="18"/>
  <c r="L24" i="22"/>
  <c r="L24" i="23"/>
  <c r="F402" i="22"/>
  <c r="M34" i="18"/>
  <c r="M40" i="18"/>
  <c r="F32" i="4"/>
  <c r="M17" i="18"/>
  <c r="M11" i="18"/>
  <c r="L33" i="18"/>
  <c r="K70" i="2" s="1"/>
  <c r="L45" i="18"/>
  <c r="H304" i="18"/>
  <c r="F42" i="2" s="1"/>
  <c r="G304" i="18"/>
  <c r="E42" i="2" s="1"/>
  <c r="G42" i="4"/>
  <c r="D306" i="18"/>
  <c r="G350" i="18"/>
  <c r="O9" i="18"/>
  <c r="N12" i="18"/>
  <c r="L41" i="18"/>
  <c r="L42" i="18"/>
  <c r="L51" i="22"/>
  <c r="L51" i="23"/>
  <c r="Q32" i="4"/>
  <c r="P32" i="4" s="1"/>
  <c r="D350" i="18" l="1"/>
  <c r="D556" i="23"/>
  <c r="K42" i="2"/>
  <c r="K43" i="2" s="1"/>
  <c r="H23" i="2"/>
  <c r="H51" i="2" s="1"/>
  <c r="J287" i="18"/>
  <c r="J340" i="18"/>
  <c r="I42" i="2"/>
  <c r="I43" i="2" s="1"/>
  <c r="H602" i="23"/>
  <c r="J42" i="2"/>
  <c r="J43" i="2" s="1"/>
  <c r="H404" i="22"/>
  <c r="D404" i="22" s="1"/>
  <c r="H42" i="2"/>
  <c r="H43" i="2" s="1"/>
  <c r="D360" i="22"/>
  <c r="H600" i="23"/>
  <c r="D600" i="23" s="1"/>
  <c r="D358" i="22"/>
  <c r="L20" i="18"/>
  <c r="D304" i="18"/>
  <c r="L43" i="18"/>
  <c r="M33" i="18"/>
  <c r="L70" i="2" s="1"/>
  <c r="M45" i="18"/>
  <c r="P9" i="18"/>
  <c r="O12" i="18"/>
  <c r="M245" i="18"/>
  <c r="M286" i="18" s="1"/>
  <c r="M244" i="18"/>
  <c r="F43" i="2"/>
  <c r="H348" i="18"/>
  <c r="N17" i="18"/>
  <c r="N11" i="18"/>
  <c r="O35" i="18"/>
  <c r="P32" i="18"/>
  <c r="N34" i="18"/>
  <c r="N40" i="18"/>
  <c r="I24" i="2"/>
  <c r="I52" i="2" s="1"/>
  <c r="K341" i="18"/>
  <c r="K342" i="18" s="1"/>
  <c r="K381" i="18" s="1"/>
  <c r="D558" i="23"/>
  <c r="G602" i="23"/>
  <c r="M22" i="18"/>
  <c r="M10" i="18"/>
  <c r="L72" i="2" s="1"/>
  <c r="M19" i="18"/>
  <c r="M18" i="18"/>
  <c r="M24" i="22"/>
  <c r="M24" i="23"/>
  <c r="H402" i="22"/>
  <c r="J23" i="2"/>
  <c r="J51" i="2" s="1"/>
  <c r="L287" i="18"/>
  <c r="L340" i="18"/>
  <c r="G43" i="2"/>
  <c r="G402" i="22"/>
  <c r="F42" i="4"/>
  <c r="N226" i="18"/>
  <c r="M73" i="2" s="1"/>
  <c r="E43" i="2"/>
  <c r="G348" i="18"/>
  <c r="M42" i="18"/>
  <c r="M41" i="18"/>
  <c r="M51" i="22"/>
  <c r="M51" i="23"/>
  <c r="P225" i="18"/>
  <c r="O228" i="18"/>
  <c r="O227" i="18" s="1"/>
  <c r="O238" i="18" s="1"/>
  <c r="O241" i="18" s="1"/>
  <c r="O243" i="18" s="1"/>
  <c r="D602" i="23" l="1"/>
  <c r="J289" i="18"/>
  <c r="H24" i="2"/>
  <c r="H52" i="2" s="1"/>
  <c r="J341" i="18"/>
  <c r="J342" i="18" s="1"/>
  <c r="J381" i="18" s="1"/>
  <c r="D348" i="18"/>
  <c r="M20" i="18"/>
  <c r="M43" i="18"/>
  <c r="K394" i="18"/>
  <c r="K409" i="18"/>
  <c r="O226" i="18"/>
  <c r="N73" i="2" s="1"/>
  <c r="N18" i="18"/>
  <c r="N19" i="18"/>
  <c r="N24" i="22"/>
  <c r="N24" i="23"/>
  <c r="O17" i="18"/>
  <c r="O11" i="18"/>
  <c r="Q9" i="18"/>
  <c r="P12" i="18"/>
  <c r="N10" i="18"/>
  <c r="M72" i="2" s="1"/>
  <c r="N22" i="18"/>
  <c r="N245" i="18"/>
  <c r="N286" i="18" s="1"/>
  <c r="N244" i="18"/>
  <c r="J24" i="2"/>
  <c r="J52" i="2" s="1"/>
  <c r="L341" i="18"/>
  <c r="L342" i="18" s="1"/>
  <c r="L381" i="18" s="1"/>
  <c r="D402" i="22"/>
  <c r="Q225" i="18"/>
  <c r="P228" i="18"/>
  <c r="P227" i="18" s="1"/>
  <c r="P238" i="18" s="1"/>
  <c r="P241" i="18" s="1"/>
  <c r="P243" i="18" s="1"/>
  <c r="L289" i="18"/>
  <c r="N42" i="18"/>
  <c r="N41" i="18"/>
  <c r="N51" i="22"/>
  <c r="N51" i="23"/>
  <c r="K23" i="2"/>
  <c r="K51" i="2" s="1"/>
  <c r="M287" i="18"/>
  <c r="M340" i="18"/>
  <c r="P35" i="18"/>
  <c r="Q32" i="18"/>
  <c r="N33" i="18"/>
  <c r="M70" i="2" s="1"/>
  <c r="N45" i="18"/>
  <c r="O34" i="18"/>
  <c r="O40" i="18"/>
  <c r="J409" i="18" l="1"/>
  <c r="J394" i="18"/>
  <c r="N43" i="18"/>
  <c r="N20" i="18"/>
  <c r="L394" i="18"/>
  <c r="L409" i="18"/>
  <c r="O18" i="18"/>
  <c r="O19" i="18"/>
  <c r="O24" i="22"/>
  <c r="O24" i="23"/>
  <c r="P226" i="18"/>
  <c r="O245" i="18"/>
  <c r="O286" i="18" s="1"/>
  <c r="O244" i="18"/>
  <c r="O33" i="18"/>
  <c r="N70" i="2" s="1"/>
  <c r="O45" i="18"/>
  <c r="L23" i="2"/>
  <c r="L51" i="2" s="1"/>
  <c r="N287" i="18"/>
  <c r="N289" i="18" s="1"/>
  <c r="N340" i="18"/>
  <c r="R225" i="18"/>
  <c r="Q228" i="18"/>
  <c r="Q227" i="18" s="1"/>
  <c r="Q238" i="18" s="1"/>
  <c r="Q241" i="18" s="1"/>
  <c r="Q243" i="18" s="1"/>
  <c r="O42" i="18"/>
  <c r="O41" i="18"/>
  <c r="O51" i="22"/>
  <c r="O51" i="23"/>
  <c r="P17" i="18"/>
  <c r="P11" i="18"/>
  <c r="Q35" i="18"/>
  <c r="R32" i="18"/>
  <c r="P34" i="18"/>
  <c r="P40" i="18"/>
  <c r="R9" i="18"/>
  <c r="Q12" i="18"/>
  <c r="K24" i="2"/>
  <c r="K52" i="2" s="1"/>
  <c r="M341" i="18"/>
  <c r="M342" i="18" s="1"/>
  <c r="M381" i="18" s="1"/>
  <c r="M289" i="18"/>
  <c r="O10" i="18"/>
  <c r="N72" i="2" s="1"/>
  <c r="O22" i="18"/>
  <c r="O43" i="18" l="1"/>
  <c r="O20" i="18"/>
  <c r="M394" i="18"/>
  <c r="M409" i="18"/>
  <c r="S9" i="18"/>
  <c r="R12" i="18"/>
  <c r="P245" i="18"/>
  <c r="P286" i="18" s="1"/>
  <c r="P244" i="18"/>
  <c r="P33" i="18"/>
  <c r="P45" i="18"/>
  <c r="Q11" i="18"/>
  <c r="Q17" i="18"/>
  <c r="P42" i="18"/>
  <c r="P41" i="18"/>
  <c r="P51" i="22"/>
  <c r="P51" i="23"/>
  <c r="S32" i="18"/>
  <c r="R35" i="18"/>
  <c r="Q34" i="18"/>
  <c r="Q40" i="18"/>
  <c r="O287" i="18"/>
  <c r="O289" i="18" s="1"/>
  <c r="O340" i="18"/>
  <c r="P10" i="18"/>
  <c r="P22" i="18"/>
  <c r="Q226" i="18"/>
  <c r="S225" i="18"/>
  <c r="R228" i="18"/>
  <c r="R227" i="18" s="1"/>
  <c r="R238" i="18" s="1"/>
  <c r="R241" i="18" s="1"/>
  <c r="R243" i="18" s="1"/>
  <c r="P18" i="18"/>
  <c r="P19" i="18"/>
  <c r="P24" i="22"/>
  <c r="P24" i="23"/>
  <c r="L24" i="2"/>
  <c r="L52" i="2" s="1"/>
  <c r="N341" i="18"/>
  <c r="N342" i="18" s="1"/>
  <c r="N381" i="18" s="1"/>
  <c r="P20" i="18" l="1"/>
  <c r="P43" i="18"/>
  <c r="N409" i="18"/>
  <c r="N394" i="18"/>
  <c r="R226" i="18"/>
  <c r="Q19" i="18"/>
  <c r="Q18" i="18"/>
  <c r="Q24" i="22"/>
  <c r="Q24" i="23"/>
  <c r="R11" i="18"/>
  <c r="R17" i="18"/>
  <c r="T225" i="18"/>
  <c r="S228" i="18"/>
  <c r="S227" i="18" s="1"/>
  <c r="S238" i="18" s="1"/>
  <c r="S241" i="18" s="1"/>
  <c r="S243" i="18" s="1"/>
  <c r="S12" i="18"/>
  <c r="T9" i="18"/>
  <c r="Q245" i="18"/>
  <c r="Q286" i="18" s="1"/>
  <c r="Q244" i="18"/>
  <c r="Q42" i="18"/>
  <c r="Q41" i="18"/>
  <c r="Q51" i="22"/>
  <c r="Q51" i="23"/>
  <c r="R40" i="18"/>
  <c r="R34" i="18"/>
  <c r="Q45" i="18"/>
  <c r="Q33" i="18"/>
  <c r="T32" i="18"/>
  <c r="S35" i="18"/>
  <c r="O341" i="18"/>
  <c r="O342" i="18" s="1"/>
  <c r="O381" i="18" s="1"/>
  <c r="Q10" i="18"/>
  <c r="Q22" i="18"/>
  <c r="P287" i="18"/>
  <c r="Q43" i="18" l="1"/>
  <c r="Q20" i="18"/>
  <c r="O409" i="18"/>
  <c r="O394" i="18"/>
  <c r="Q287" i="18"/>
  <c r="Q341" i="18" s="1"/>
  <c r="Q340" i="18"/>
  <c r="T12" i="18"/>
  <c r="U9" i="18"/>
  <c r="S11" i="18"/>
  <c r="S17" i="18"/>
  <c r="S226" i="18"/>
  <c r="U225" i="18"/>
  <c r="T228" i="18"/>
  <c r="T227" i="18" s="1"/>
  <c r="T238" i="18" s="1"/>
  <c r="T241" i="18" s="1"/>
  <c r="T243" i="18" s="1"/>
  <c r="R45" i="18"/>
  <c r="R33" i="18"/>
  <c r="R42" i="18"/>
  <c r="R41" i="18"/>
  <c r="R51" i="22"/>
  <c r="R51" i="23"/>
  <c r="S40" i="18"/>
  <c r="S34" i="18"/>
  <c r="R19" i="18"/>
  <c r="R18" i="18"/>
  <c r="R24" i="22"/>
  <c r="R24" i="23"/>
  <c r="R244" i="18"/>
  <c r="R245" i="18"/>
  <c r="R286" i="18" s="1"/>
  <c r="U32" i="18"/>
  <c r="T35" i="18"/>
  <c r="R10" i="18"/>
  <c r="R22" i="18"/>
  <c r="Q342" i="18" l="1"/>
  <c r="R43" i="18"/>
  <c r="R20" i="18"/>
  <c r="T40" i="18"/>
  <c r="T34" i="18"/>
  <c r="T11" i="18"/>
  <c r="T17" i="18"/>
  <c r="S42" i="18"/>
  <c r="S41" i="18"/>
  <c r="S51" i="22"/>
  <c r="S51" i="23"/>
  <c r="V32" i="18"/>
  <c r="U35" i="18"/>
  <c r="V225" i="18"/>
  <c r="U228" i="18"/>
  <c r="U227" i="18" s="1"/>
  <c r="U238" i="18" s="1"/>
  <c r="U241" i="18" s="1"/>
  <c r="U243" i="18" s="1"/>
  <c r="Q289" i="18"/>
  <c r="T226" i="18"/>
  <c r="R287" i="18"/>
  <c r="R341" i="18" s="1"/>
  <c r="R340" i="18"/>
  <c r="S19" i="18"/>
  <c r="S18" i="18"/>
  <c r="S24" i="22"/>
  <c r="S24" i="23"/>
  <c r="S10" i="18"/>
  <c r="S22" i="18"/>
  <c r="S45" i="18"/>
  <c r="S33" i="18"/>
  <c r="S244" i="18"/>
  <c r="S245" i="18"/>
  <c r="S286" i="18" s="1"/>
  <c r="U12" i="18"/>
  <c r="V9" i="18"/>
  <c r="R342" i="18" l="1"/>
  <c r="S20" i="18"/>
  <c r="S43" i="18"/>
  <c r="W9" i="18"/>
  <c r="V12" i="18"/>
  <c r="T10" i="18"/>
  <c r="T22" i="18"/>
  <c r="U11" i="18"/>
  <c r="U17" i="18"/>
  <c r="R289" i="18"/>
  <c r="S287" i="18"/>
  <c r="S341" i="18" s="1"/>
  <c r="S340" i="18"/>
  <c r="T45" i="18"/>
  <c r="T33" i="18"/>
  <c r="U226" i="18"/>
  <c r="T42" i="18"/>
  <c r="T41" i="18"/>
  <c r="T51" i="22"/>
  <c r="T51" i="23"/>
  <c r="T244" i="18"/>
  <c r="T245" i="18"/>
  <c r="T286" i="18" s="1"/>
  <c r="T19" i="18"/>
  <c r="T18" i="18"/>
  <c r="T24" i="22"/>
  <c r="T24" i="23"/>
  <c r="V228" i="18"/>
  <c r="V227" i="18" s="1"/>
  <c r="V238" i="18" s="1"/>
  <c r="V241" i="18" s="1"/>
  <c r="V243" i="18" s="1"/>
  <c r="W225" i="18"/>
  <c r="W32" i="18"/>
  <c r="V35" i="18"/>
  <c r="U40" i="18"/>
  <c r="U34" i="18"/>
  <c r="S342" i="18" l="1"/>
  <c r="T20" i="18"/>
  <c r="T43" i="18"/>
  <c r="U42" i="18"/>
  <c r="U41" i="18"/>
  <c r="U51" i="22"/>
  <c r="U51" i="23"/>
  <c r="T287" i="18"/>
  <c r="T341" i="18" s="1"/>
  <c r="T340" i="18"/>
  <c r="X32" i="18"/>
  <c r="W35" i="18"/>
  <c r="W228" i="18"/>
  <c r="W227" i="18" s="1"/>
  <c r="W238" i="18" s="1"/>
  <c r="W241" i="18" s="1"/>
  <c r="W243" i="18" s="1"/>
  <c r="X225" i="18"/>
  <c r="V11" i="18"/>
  <c r="V17" i="18"/>
  <c r="V40" i="18"/>
  <c r="V34" i="18"/>
  <c r="S289" i="18"/>
  <c r="X9" i="18"/>
  <c r="W12" i="18"/>
  <c r="V226" i="18"/>
  <c r="U19" i="18"/>
  <c r="U18" i="18"/>
  <c r="U24" i="22"/>
  <c r="U24" i="23"/>
  <c r="U45" i="18"/>
  <c r="U33" i="18"/>
  <c r="U245" i="18"/>
  <c r="U286" i="18" s="1"/>
  <c r="U244" i="18"/>
  <c r="U22" i="18"/>
  <c r="U10" i="18"/>
  <c r="T342" i="18" l="1"/>
  <c r="U20" i="18"/>
  <c r="U43" i="18"/>
  <c r="Y9" i="18"/>
  <c r="X12" i="18"/>
  <c r="U287" i="18"/>
  <c r="U341" i="18" s="1"/>
  <c r="U340" i="18"/>
  <c r="V33" i="18"/>
  <c r="V45" i="18"/>
  <c r="W226" i="18"/>
  <c r="Y32" i="18"/>
  <c r="X35" i="18"/>
  <c r="T289" i="18"/>
  <c r="V41" i="18"/>
  <c r="V42" i="18"/>
  <c r="V51" i="22"/>
  <c r="V51" i="23"/>
  <c r="V19" i="18"/>
  <c r="V18" i="18"/>
  <c r="V24" i="22"/>
  <c r="V24" i="23"/>
  <c r="Y225" i="18"/>
  <c r="X228" i="18"/>
  <c r="X227" i="18" s="1"/>
  <c r="X238" i="18" s="1"/>
  <c r="X241" i="18" s="1"/>
  <c r="X243" i="18" s="1"/>
  <c r="V10" i="18"/>
  <c r="V22" i="18"/>
  <c r="V245" i="18"/>
  <c r="V286" i="18" s="1"/>
  <c r="V244" i="18"/>
  <c r="W17" i="18"/>
  <c r="W11" i="18"/>
  <c r="W40" i="18"/>
  <c r="W34" i="18"/>
  <c r="U342" i="18" l="1"/>
  <c r="V20" i="18"/>
  <c r="V43" i="18"/>
  <c r="W22" i="18"/>
  <c r="W10" i="18"/>
  <c r="X226" i="18"/>
  <c r="X34" i="18"/>
  <c r="X40" i="18"/>
  <c r="W19" i="18"/>
  <c r="W18" i="18"/>
  <c r="W24" i="22"/>
  <c r="W24" i="23"/>
  <c r="W33" i="18"/>
  <c r="W45" i="18"/>
  <c r="W41" i="18"/>
  <c r="W42" i="18"/>
  <c r="W51" i="22"/>
  <c r="W51" i="23"/>
  <c r="V287" i="18"/>
  <c r="V341" i="18" s="1"/>
  <c r="V340" i="18"/>
  <c r="Z9" i="18"/>
  <c r="Z12" i="18" s="1"/>
  <c r="Y12" i="18"/>
  <c r="U289" i="18"/>
  <c r="W245" i="18"/>
  <c r="W286" i="18" s="1"/>
  <c r="W244" i="18"/>
  <c r="Z225" i="18"/>
  <c r="Z228" i="18" s="1"/>
  <c r="Z227" i="18" s="1"/>
  <c r="Z238" i="18" s="1"/>
  <c r="Z241" i="18" s="1"/>
  <c r="Z243" i="18" s="1"/>
  <c r="Y228" i="18"/>
  <c r="Y227" i="18" s="1"/>
  <c r="Y238" i="18" s="1"/>
  <c r="Y241" i="18" s="1"/>
  <c r="Y243" i="18" s="1"/>
  <c r="Z32" i="18"/>
  <c r="Z35" i="18" s="1"/>
  <c r="Y35" i="18"/>
  <c r="X17" i="18"/>
  <c r="X11" i="18"/>
  <c r="W43" i="18" l="1"/>
  <c r="W20" i="18"/>
  <c r="X33" i="18"/>
  <c r="X45" i="18"/>
  <c r="X41" i="18"/>
  <c r="X42" i="18"/>
  <c r="X51" i="22"/>
  <c r="X51" i="23"/>
  <c r="Y17" i="18"/>
  <c r="Y11" i="18"/>
  <c r="X22" i="18"/>
  <c r="X10" i="18"/>
  <c r="X19" i="18"/>
  <c r="X18" i="18"/>
  <c r="X24" i="22"/>
  <c r="X24" i="23"/>
  <c r="Z34" i="18"/>
  <c r="Z40" i="18"/>
  <c r="Y226" i="18"/>
  <c r="X245" i="18"/>
  <c r="X286" i="18" s="1"/>
  <c r="X244" i="18"/>
  <c r="V342" i="18"/>
  <c r="Z17" i="18"/>
  <c r="Z11" i="18"/>
  <c r="Z226" i="18"/>
  <c r="V289" i="18"/>
  <c r="Y34" i="18"/>
  <c r="Y40" i="18"/>
  <c r="W287" i="18"/>
  <c r="W341" i="18" s="1"/>
  <c r="W340" i="18"/>
  <c r="X43" i="18" l="1"/>
  <c r="X20" i="18"/>
  <c r="W289" i="18"/>
  <c r="X287" i="18"/>
  <c r="X341" i="18" s="1"/>
  <c r="X340" i="18"/>
  <c r="Y33" i="18"/>
  <c r="Y45" i="18"/>
  <c r="Z42" i="18"/>
  <c r="Z41" i="18"/>
  <c r="Z51" i="22"/>
  <c r="Z51" i="23"/>
  <c r="Z245" i="18"/>
  <c r="Z286" i="18" s="1"/>
  <c r="Z244" i="18"/>
  <c r="Z33" i="18"/>
  <c r="Z45" i="18"/>
  <c r="Y22" i="18"/>
  <c r="Y10" i="18"/>
  <c r="Y42" i="18"/>
  <c r="Y41" i="18"/>
  <c r="Y51" i="22"/>
  <c r="Y51" i="23"/>
  <c r="Y245" i="18"/>
  <c r="Y286" i="18" s="1"/>
  <c r="Y244" i="18"/>
  <c r="Z10" i="18"/>
  <c r="Z22" i="18"/>
  <c r="Y19" i="18"/>
  <c r="Y18" i="18"/>
  <c r="Y24" i="22"/>
  <c r="Y24" i="23"/>
  <c r="W342" i="18"/>
  <c r="Z18" i="18"/>
  <c r="Z19" i="18"/>
  <c r="Z24" i="22"/>
  <c r="Z24" i="23"/>
  <c r="Y43" i="18" l="1"/>
  <c r="Z20" i="18"/>
  <c r="Y20" i="18"/>
  <c r="Z43" i="18"/>
  <c r="X342" i="18"/>
  <c r="Z287" i="18"/>
  <c r="Z341" i="18" s="1"/>
  <c r="Z340" i="18"/>
  <c r="X289" i="18"/>
  <c r="Y287" i="18"/>
  <c r="Y341" i="18" s="1"/>
  <c r="Y340" i="18"/>
  <c r="Z342" i="18" l="1"/>
  <c r="Z289" i="18"/>
  <c r="Y342" i="18"/>
  <c r="Y289" i="18"/>
  <c r="C102" i="2" l="1"/>
  <c r="AT15" i="1"/>
  <c r="J291" i="18" l="1"/>
  <c r="K291" i="18"/>
  <c r="L291" i="18"/>
  <c r="M291" i="18"/>
  <c r="N291" i="18"/>
  <c r="O291" i="18"/>
  <c r="I345" i="22"/>
  <c r="J345" i="22"/>
  <c r="K345" i="22"/>
  <c r="L345" i="22"/>
  <c r="I543" i="23"/>
  <c r="J543" i="23"/>
  <c r="F119" i="18" l="1"/>
  <c r="F107" i="18"/>
  <c r="E75" i="2" s="1"/>
  <c r="E88" i="2" s="1"/>
  <c r="E91" i="2" s="1"/>
  <c r="O107" i="18"/>
  <c r="P107" i="18"/>
  <c r="H107" i="18"/>
  <c r="G107" i="18"/>
  <c r="F75" i="2" s="1"/>
  <c r="F88" i="2" s="1"/>
  <c r="F91" i="2" s="1"/>
  <c r="J107" i="18"/>
  <c r="L107" i="18"/>
  <c r="M107" i="18"/>
  <c r="I107" i="18"/>
  <c r="Y107" i="18"/>
  <c r="Y119" i="18"/>
  <c r="H119" i="18"/>
  <c r="Q119" i="18"/>
  <c r="T119" i="18"/>
  <c r="T107" i="18"/>
  <c r="Q107" i="18"/>
  <c r="U119" i="18"/>
  <c r="O119" i="18"/>
  <c r="N119" i="18"/>
  <c r="U107" i="18"/>
  <c r="I119" i="18"/>
  <c r="K107" i="18"/>
  <c r="N107" i="18"/>
  <c r="K119" i="18"/>
  <c r="W107" i="18"/>
  <c r="V107" i="18"/>
  <c r="M119" i="18"/>
  <c r="W119" i="18"/>
  <c r="V119" i="18"/>
  <c r="Z107" i="18"/>
  <c r="G119" i="18"/>
  <c r="X107" i="18"/>
  <c r="X119" i="18"/>
  <c r="Z119" i="18"/>
  <c r="L119" i="18"/>
  <c r="P119" i="18"/>
  <c r="S107" i="18"/>
  <c r="R107" i="18"/>
  <c r="R119" i="18"/>
  <c r="S119" i="18"/>
  <c r="J119" i="18"/>
  <c r="F127" i="22"/>
  <c r="F115" i="22"/>
  <c r="G75" i="2" s="1"/>
  <c r="G88" i="2" s="1"/>
  <c r="M115" i="22"/>
  <c r="K115" i="22"/>
  <c r="H115" i="22"/>
  <c r="G115" i="22"/>
  <c r="J115" i="22"/>
  <c r="L115" i="22"/>
  <c r="P115" i="22"/>
  <c r="I115" i="22"/>
  <c r="P127" i="22"/>
  <c r="X115" i="22"/>
  <c r="M127" i="22"/>
  <c r="U127" i="22"/>
  <c r="U115" i="22"/>
  <c r="T115" i="22"/>
  <c r="T127" i="22"/>
  <c r="O127" i="22"/>
  <c r="Y115" i="22"/>
  <c r="X127" i="22"/>
  <c r="I127" i="22"/>
  <c r="Y127" i="22"/>
  <c r="J127" i="22"/>
  <c r="O115" i="22"/>
  <c r="V115" i="22"/>
  <c r="G127" i="22"/>
  <c r="V127" i="22"/>
  <c r="R127" i="22"/>
  <c r="W127" i="22"/>
  <c r="R115" i="22"/>
  <c r="W115" i="22"/>
  <c r="N115" i="22"/>
  <c r="N127" i="22"/>
  <c r="Q115" i="22"/>
  <c r="L127" i="22"/>
  <c r="H127" i="22"/>
  <c r="S127" i="22"/>
  <c r="K127" i="22"/>
  <c r="Q127" i="22"/>
  <c r="S115" i="22"/>
  <c r="Z115" i="22"/>
  <c r="Z127" i="22"/>
  <c r="F313" i="23"/>
  <c r="K313" i="23"/>
  <c r="G313" i="23"/>
  <c r="I313" i="23"/>
  <c r="L313" i="23"/>
  <c r="H313" i="23"/>
  <c r="J313" i="23"/>
  <c r="V313" i="23"/>
  <c r="P313" i="23"/>
  <c r="U313" i="23"/>
  <c r="Y313" i="23"/>
  <c r="O313" i="23"/>
  <c r="M313" i="23"/>
  <c r="W313" i="23"/>
  <c r="Q313" i="23"/>
  <c r="X313" i="23"/>
  <c r="T313" i="23"/>
  <c r="Z313" i="23"/>
  <c r="N313" i="23"/>
  <c r="S313" i="23"/>
  <c r="R313" i="23"/>
  <c r="I75" i="2" l="1"/>
  <c r="L75" i="2"/>
  <c r="L88" i="2" s="1"/>
  <c r="I88" i="2"/>
  <c r="N75" i="2"/>
  <c r="N88" i="2" s="1"/>
  <c r="M75" i="2"/>
  <c r="M88" i="2" s="1"/>
  <c r="H75" i="2"/>
  <c r="H88" i="2" s="1"/>
  <c r="J75" i="2"/>
  <c r="J88" i="2" s="1"/>
  <c r="K75" i="2"/>
  <c r="K88" i="2" s="1"/>
  <c r="N173" i="1" l="1"/>
  <c r="AS203" i="1"/>
  <c r="AS207" i="1" s="1"/>
  <c r="AS209" i="1" s="1"/>
  <c r="AS211" i="1" s="1"/>
  <c r="AS213" i="1" s="1"/>
  <c r="AS216" i="1"/>
  <c r="AS220" i="1" s="1"/>
  <c r="AS222" i="1" s="1"/>
  <c r="AS224" i="1" s="1"/>
  <c r="AS226" i="1" s="1"/>
  <c r="N185" i="1"/>
  <c r="N177" i="1" l="1"/>
  <c r="N179" i="1" s="1"/>
  <c r="N181" i="1" s="1"/>
  <c r="N183" i="1" s="1"/>
  <c r="N189" i="1"/>
  <c r="N191" i="1" s="1"/>
  <c r="N193" i="1" l="1"/>
  <c r="N195" i="1" l="1"/>
  <c r="N196" i="1" s="1"/>
  <c r="N197" i="1" l="1"/>
  <c r="N169" i="1" l="1"/>
  <c r="H20" i="4" s="1"/>
  <c r="Q52" i="27" l="1"/>
  <c r="R22" i="4"/>
  <c r="Q70" i="27" s="1"/>
  <c r="O173" i="1"/>
  <c r="O177" i="1" s="1"/>
  <c r="O179" i="1" s="1"/>
  <c r="O181" i="1" s="1"/>
  <c r="O183" i="1" s="1"/>
  <c r="AT203" i="1"/>
  <c r="AT207" i="1" s="1"/>
  <c r="AT209" i="1" s="1"/>
  <c r="AT211" i="1" s="1"/>
  <c r="AT213" i="1" s="1"/>
  <c r="AT216" i="1"/>
  <c r="AT220" i="1" s="1"/>
  <c r="AT222" i="1" s="1"/>
  <c r="AT224" i="1" s="1"/>
  <c r="AT226" i="1" s="1"/>
  <c r="O185" i="1"/>
  <c r="O189" i="1" l="1"/>
  <c r="O191" i="1" s="1"/>
  <c r="O193" i="1" l="1"/>
  <c r="O195" i="1" l="1"/>
  <c r="O196" i="1" l="1"/>
  <c r="O197" i="1" s="1"/>
  <c r="O169" i="1" s="1"/>
  <c r="I20" i="4" s="1"/>
  <c r="S52" i="27" l="1"/>
  <c r="S22" i="4"/>
  <c r="S70" i="27" s="1"/>
  <c r="P173" i="1"/>
  <c r="P177" i="1" s="1"/>
  <c r="P179" i="1" s="1"/>
  <c r="P181" i="1" s="1"/>
  <c r="P183" i="1" s="1"/>
  <c r="AU203" i="1"/>
  <c r="AU207" i="1" s="1"/>
  <c r="AU209" i="1" s="1"/>
  <c r="AU211" i="1" s="1"/>
  <c r="AU213" i="1" s="1"/>
  <c r="AU216" i="1"/>
  <c r="AU220" i="1" s="1"/>
  <c r="AU222" i="1" s="1"/>
  <c r="AU224" i="1" s="1"/>
  <c r="AU226" i="1" s="1"/>
  <c r="P185" i="1"/>
  <c r="P189" i="1" l="1"/>
  <c r="P191" i="1" s="1"/>
  <c r="P193" i="1" s="1"/>
  <c r="P195" i="1" l="1"/>
  <c r="P196" i="1" s="1"/>
  <c r="P197" i="1" l="1"/>
  <c r="P169" i="1" s="1"/>
  <c r="J20" i="4" s="1"/>
  <c r="U52" i="27" s="1"/>
  <c r="T22" i="4" l="1"/>
  <c r="Q22" i="4" s="1"/>
  <c r="G20" i="4"/>
  <c r="K110" i="2" s="1"/>
  <c r="P52" i="27"/>
  <c r="F20" i="4" l="1"/>
  <c r="U70" i="27"/>
  <c r="P70" i="27" s="1"/>
  <c r="M110" i="2"/>
  <c r="P22" i="4"/>
  <c r="H21" i="4" l="1"/>
  <c r="R23" i="4" s="1"/>
  <c r="D16" i="2"/>
  <c r="E16" i="2"/>
  <c r="AQ161" i="18"/>
  <c r="AR161" i="18"/>
  <c r="AS161" i="18"/>
  <c r="AT161" i="18"/>
  <c r="AU161" i="18"/>
  <c r="AV161" i="18"/>
  <c r="AW161" i="18"/>
  <c r="AX161" i="18"/>
  <c r="AY161" i="18"/>
  <c r="AZ161" i="18"/>
  <c r="BA161" i="18"/>
  <c r="BB161" i="18"/>
  <c r="BC161" i="18"/>
  <c r="BD161" i="18"/>
  <c r="BE161" i="18"/>
  <c r="BF161" i="18"/>
  <c r="BG161" i="18"/>
  <c r="BH161" i="18"/>
  <c r="BI161" i="18"/>
  <c r="BJ161" i="18"/>
  <c r="BK161" i="18"/>
  <c r="AQ172" i="18"/>
  <c r="AR172" i="18"/>
  <c r="AS172" i="18"/>
  <c r="F336" i="18"/>
  <c r="G336" i="18"/>
  <c r="H336" i="18"/>
  <c r="I336" i="18"/>
  <c r="J336" i="18"/>
  <c r="K336" i="18"/>
  <c r="L336" i="18"/>
  <c r="M336" i="18"/>
  <c r="N336" i="18"/>
  <c r="O336" i="18"/>
  <c r="P336" i="18"/>
  <c r="Q336" i="18"/>
  <c r="R336" i="18"/>
  <c r="S336" i="18"/>
  <c r="T336" i="18"/>
  <c r="U336" i="18"/>
  <c r="V336" i="18"/>
  <c r="W336" i="18"/>
  <c r="X336" i="18"/>
  <c r="Y336" i="18"/>
  <c r="Z336" i="18"/>
  <c r="F64" i="19" l="1"/>
  <c r="F74" i="19" s="1"/>
  <c r="R19" i="4" l="1"/>
  <c r="AU166" i="18" l="1"/>
  <c r="AU174" i="18" s="1"/>
  <c r="J273" i="18"/>
  <c r="J281" i="18" s="1"/>
  <c r="AT166" i="18"/>
  <c r="I273" i="18"/>
  <c r="I327" i="22"/>
  <c r="I525" i="23"/>
  <c r="I527" i="23" l="1"/>
  <c r="I533" i="23"/>
  <c r="I329" i="22"/>
  <c r="I335" i="22"/>
  <c r="I275" i="18"/>
  <c r="I281" i="18"/>
  <c r="AT168" i="18"/>
  <c r="AT174" i="18"/>
  <c r="J272" i="18" l="1"/>
  <c r="J275" i="18" s="1"/>
  <c r="I277" i="18"/>
  <c r="I278" i="18" s="1"/>
  <c r="I279" i="18" s="1"/>
  <c r="AU165" i="18"/>
  <c r="AU168" i="18" s="1"/>
  <c r="AT170" i="18"/>
  <c r="AT171" i="18" s="1"/>
  <c r="J326" i="22"/>
  <c r="J329" i="22" s="1"/>
  <c r="I331" i="22"/>
  <c r="I332" i="22" s="1"/>
  <c r="I333" i="22" s="1"/>
  <c r="J524" i="23"/>
  <c r="J527" i="23" s="1"/>
  <c r="I529" i="23"/>
  <c r="I530" i="23" s="1"/>
  <c r="I531" i="23" s="1"/>
  <c r="K524" i="23" l="1"/>
  <c r="K527" i="23" s="1"/>
  <c r="K540" i="23" s="1"/>
  <c r="K541" i="23" s="1"/>
  <c r="K543" i="23" s="1"/>
  <c r="J529" i="23"/>
  <c r="J530" i="23" s="1"/>
  <c r="J531" i="23" s="1"/>
  <c r="K326" i="22"/>
  <c r="K329" i="22" s="1"/>
  <c r="J331" i="22"/>
  <c r="J332" i="22" s="1"/>
  <c r="J333" i="22" s="1"/>
  <c r="AT172" i="18"/>
  <c r="AV165" i="18"/>
  <c r="AV168" i="18" s="1"/>
  <c r="AU170" i="18"/>
  <c r="AU171" i="18" s="1"/>
  <c r="K272" i="18"/>
  <c r="K275" i="18" s="1"/>
  <c r="J277" i="18"/>
  <c r="J278" i="18" s="1"/>
  <c r="J279" i="18" s="1"/>
  <c r="L272" i="18" l="1"/>
  <c r="L275" i="18" s="1"/>
  <c r="K277" i="18"/>
  <c r="K278" i="18" s="1"/>
  <c r="K279" i="18" s="1"/>
  <c r="AU172" i="18"/>
  <c r="AW165" i="18"/>
  <c r="AW168" i="18" s="1"/>
  <c r="AV170" i="18"/>
  <c r="AV171" i="18" s="1"/>
  <c r="L326" i="22"/>
  <c r="L329" i="22" s="1"/>
  <c r="K331" i="22"/>
  <c r="K332" i="22" s="1"/>
  <c r="K333" i="22" s="1"/>
  <c r="L524" i="23"/>
  <c r="L527" i="23" s="1"/>
  <c r="K529" i="23"/>
  <c r="K530" i="23" s="1"/>
  <c r="K531" i="23" s="1"/>
  <c r="M524" i="23" l="1"/>
  <c r="M527" i="23" s="1"/>
  <c r="M540" i="23" s="1"/>
  <c r="M541" i="23" s="1"/>
  <c r="M543" i="23" s="1"/>
  <c r="L529" i="23"/>
  <c r="L530" i="23" s="1"/>
  <c r="L531" i="23" s="1"/>
  <c r="L540" i="23"/>
  <c r="L541" i="23" s="1"/>
  <c r="L543" i="23" s="1"/>
  <c r="M326" i="22"/>
  <c r="M329" i="22" s="1"/>
  <c r="M342" i="22" s="1"/>
  <c r="M343" i="22" s="1"/>
  <c r="M345" i="22" s="1"/>
  <c r="L331" i="22"/>
  <c r="L332" i="22" s="1"/>
  <c r="L333" i="22" s="1"/>
  <c r="AX165" i="18"/>
  <c r="AX168" i="18" s="1"/>
  <c r="AW170" i="18"/>
  <c r="AW171" i="18" s="1"/>
  <c r="AV172" i="18"/>
  <c r="M272" i="18"/>
  <c r="M275" i="18" s="1"/>
  <c r="L277" i="18"/>
  <c r="L278" i="18" s="1"/>
  <c r="L279" i="18" s="1"/>
  <c r="N272" i="18" l="1"/>
  <c r="N275" i="18" s="1"/>
  <c r="M277" i="18"/>
  <c r="M278" i="18" s="1"/>
  <c r="M279" i="18" s="1"/>
  <c r="N524" i="23"/>
  <c r="N527" i="23" s="1"/>
  <c r="M529" i="23"/>
  <c r="M530" i="23" s="1"/>
  <c r="M531" i="23" s="1"/>
  <c r="AW172" i="18"/>
  <c r="AY165" i="18"/>
  <c r="AY168" i="18" s="1"/>
  <c r="AX170" i="18"/>
  <c r="AX171" i="18" s="1"/>
  <c r="N326" i="22"/>
  <c r="N329" i="22" s="1"/>
  <c r="M331" i="22"/>
  <c r="M332" i="22" s="1"/>
  <c r="M333" i="22" s="1"/>
  <c r="AX172" i="18" l="1"/>
  <c r="O524" i="23"/>
  <c r="O527" i="23" s="1"/>
  <c r="N529" i="23"/>
  <c r="N530" i="23" s="1"/>
  <c r="N531" i="23" s="1"/>
  <c r="O326" i="22"/>
  <c r="O329" i="22" s="1"/>
  <c r="O342" i="22" s="1"/>
  <c r="O343" i="22" s="1"/>
  <c r="O345" i="22" s="1"/>
  <c r="N331" i="22"/>
  <c r="N332" i="22" s="1"/>
  <c r="N333" i="22" s="1"/>
  <c r="N342" i="22"/>
  <c r="N343" i="22" s="1"/>
  <c r="N345" i="22" s="1"/>
  <c r="AZ165" i="18"/>
  <c r="AZ168" i="18" s="1"/>
  <c r="AY170" i="18"/>
  <c r="AY171" i="18" s="1"/>
  <c r="O272" i="18"/>
  <c r="O275" i="18" s="1"/>
  <c r="N277" i="18"/>
  <c r="N278" i="18" s="1"/>
  <c r="N279" i="18" s="1"/>
  <c r="BA165" i="18" l="1"/>
  <c r="BA168" i="18" s="1"/>
  <c r="AZ170" i="18"/>
  <c r="AZ171" i="18" s="1"/>
  <c r="P326" i="22"/>
  <c r="P329" i="22" s="1"/>
  <c r="O331" i="22"/>
  <c r="O332" i="22" s="1"/>
  <c r="O333" i="22" s="1"/>
  <c r="P272" i="18"/>
  <c r="P275" i="18" s="1"/>
  <c r="O277" i="18"/>
  <c r="O278" i="18" s="1"/>
  <c r="O279" i="18" s="1"/>
  <c r="AY172" i="18"/>
  <c r="P524" i="23"/>
  <c r="P527" i="23" s="1"/>
  <c r="O529" i="23"/>
  <c r="O530" i="23" s="1"/>
  <c r="O531" i="23" s="1"/>
  <c r="Q524" i="23" l="1"/>
  <c r="Q527" i="23" s="1"/>
  <c r="P529" i="23"/>
  <c r="P530" i="23" s="1"/>
  <c r="P531" i="23" s="1"/>
  <c r="Q272" i="18"/>
  <c r="Q275" i="18" s="1"/>
  <c r="P277" i="18"/>
  <c r="P278" i="18" s="1"/>
  <c r="P279" i="18" s="1"/>
  <c r="P288" i="18"/>
  <c r="P289" i="18" s="1"/>
  <c r="P291" i="18" s="1"/>
  <c r="AZ172" i="18"/>
  <c r="Q326" i="22"/>
  <c r="Q329" i="22" s="1"/>
  <c r="P331" i="22"/>
  <c r="P332" i="22" s="1"/>
  <c r="P333" i="22" s="1"/>
  <c r="BB165" i="18"/>
  <c r="BB168" i="18" s="1"/>
  <c r="BA170" i="18"/>
  <c r="BA171" i="18" s="1"/>
  <c r="BA172" i="18" l="1"/>
  <c r="BC165" i="18"/>
  <c r="BC168" i="18" s="1"/>
  <c r="BB170" i="18"/>
  <c r="BB171" i="18" s="1"/>
  <c r="R326" i="22"/>
  <c r="R329" i="22" s="1"/>
  <c r="Q331" i="22"/>
  <c r="Q332" i="22" s="1"/>
  <c r="Q333" i="22" s="1"/>
  <c r="R272" i="18"/>
  <c r="R275" i="18" s="1"/>
  <c r="Q277" i="18"/>
  <c r="Q278" i="18" s="1"/>
  <c r="Q279" i="18" s="1"/>
  <c r="R524" i="23"/>
  <c r="R527" i="23" s="1"/>
  <c r="Q529" i="23"/>
  <c r="Q530" i="23" s="1"/>
  <c r="Q531" i="23" s="1"/>
  <c r="BB172" i="18" l="1"/>
  <c r="S524" i="23"/>
  <c r="S527" i="23" s="1"/>
  <c r="R529" i="23"/>
  <c r="R530" i="23" s="1"/>
  <c r="R531" i="23" s="1"/>
  <c r="S272" i="18"/>
  <c r="S275" i="18" s="1"/>
  <c r="R277" i="18"/>
  <c r="R278" i="18" s="1"/>
  <c r="R279" i="18" s="1"/>
  <c r="S326" i="22"/>
  <c r="S329" i="22" s="1"/>
  <c r="R331" i="22"/>
  <c r="R332" i="22" s="1"/>
  <c r="R333" i="22" s="1"/>
  <c r="BD165" i="18"/>
  <c r="BD168" i="18" s="1"/>
  <c r="BC170" i="18"/>
  <c r="BC171" i="18" s="1"/>
  <c r="BC172" i="18" l="1"/>
  <c r="T326" i="22"/>
  <c r="T329" i="22" s="1"/>
  <c r="S331" i="22"/>
  <c r="S332" i="22" s="1"/>
  <c r="S333" i="22" s="1"/>
  <c r="T272" i="18"/>
  <c r="T275" i="18" s="1"/>
  <c r="S277" i="18"/>
  <c r="S278" i="18" s="1"/>
  <c r="S279" i="18" s="1"/>
  <c r="BE165" i="18"/>
  <c r="BE168" i="18" s="1"/>
  <c r="BD170" i="18"/>
  <c r="BD171" i="18" s="1"/>
  <c r="T524" i="23"/>
  <c r="T527" i="23" s="1"/>
  <c r="S529" i="23"/>
  <c r="S530" i="23" s="1"/>
  <c r="S531" i="23" s="1"/>
  <c r="BD172" i="18" l="1"/>
  <c r="U524" i="23"/>
  <c r="U527" i="23" s="1"/>
  <c r="T529" i="23"/>
  <c r="T530" i="23" s="1"/>
  <c r="T531" i="23" s="1"/>
  <c r="BF165" i="18"/>
  <c r="BF168" i="18" s="1"/>
  <c r="BE170" i="18"/>
  <c r="BE171" i="18" s="1"/>
  <c r="U272" i="18"/>
  <c r="U275" i="18" s="1"/>
  <c r="T277" i="18"/>
  <c r="T278" i="18" s="1"/>
  <c r="T279" i="18" s="1"/>
  <c r="U326" i="22"/>
  <c r="U329" i="22" s="1"/>
  <c r="T331" i="22"/>
  <c r="T332" i="22" s="1"/>
  <c r="T333" i="22" s="1"/>
  <c r="V272" i="18" l="1"/>
  <c r="V275" i="18" s="1"/>
  <c r="U277" i="18"/>
  <c r="U278" i="18" s="1"/>
  <c r="U279" i="18" s="1"/>
  <c r="BG165" i="18"/>
  <c r="BG168" i="18" s="1"/>
  <c r="BF170" i="18"/>
  <c r="BF171" i="18" s="1"/>
  <c r="V326" i="22"/>
  <c r="V329" i="22" s="1"/>
  <c r="U331" i="22"/>
  <c r="U332" i="22" s="1"/>
  <c r="U333" i="22" s="1"/>
  <c r="BE172" i="18"/>
  <c r="V524" i="23"/>
  <c r="V527" i="23" s="1"/>
  <c r="U529" i="23"/>
  <c r="U530" i="23" s="1"/>
  <c r="U531" i="23" s="1"/>
  <c r="W326" i="22" l="1"/>
  <c r="W329" i="22" s="1"/>
  <c r="V331" i="22"/>
  <c r="V332" i="22" s="1"/>
  <c r="V333" i="22" s="1"/>
  <c r="W524" i="23"/>
  <c r="W527" i="23" s="1"/>
  <c r="V529" i="23"/>
  <c r="V530" i="23" s="1"/>
  <c r="V531" i="23" s="1"/>
  <c r="BF172" i="18"/>
  <c r="BH165" i="18"/>
  <c r="BH168" i="18" s="1"/>
  <c r="BG170" i="18"/>
  <c r="BG171" i="18" s="1"/>
  <c r="W272" i="18"/>
  <c r="W275" i="18" s="1"/>
  <c r="V277" i="18"/>
  <c r="V278" i="18" s="1"/>
  <c r="V279" i="18" s="1"/>
  <c r="BI165" i="18" l="1"/>
  <c r="BI168" i="18" s="1"/>
  <c r="BH170" i="18"/>
  <c r="BH171" i="18" s="1"/>
  <c r="BG172" i="18"/>
  <c r="X272" i="18"/>
  <c r="X275" i="18" s="1"/>
  <c r="W277" i="18"/>
  <c r="W278" i="18" s="1"/>
  <c r="W279" i="18" s="1"/>
  <c r="X524" i="23"/>
  <c r="X527" i="23" s="1"/>
  <c r="W529" i="23"/>
  <c r="W530" i="23" s="1"/>
  <c r="W531" i="23" s="1"/>
  <c r="X326" i="22"/>
  <c r="X329" i="22" s="1"/>
  <c r="W331" i="22"/>
  <c r="W332" i="22" s="1"/>
  <c r="W333" i="22" s="1"/>
  <c r="Y326" i="22" l="1"/>
  <c r="Y329" i="22" s="1"/>
  <c r="X331" i="22"/>
  <c r="X332" i="22" s="1"/>
  <c r="X333" i="22" s="1"/>
  <c r="Y272" i="18"/>
  <c r="Y275" i="18" s="1"/>
  <c r="X277" i="18"/>
  <c r="X278" i="18" s="1"/>
  <c r="X279" i="18" s="1"/>
  <c r="BH172" i="18"/>
  <c r="Y524" i="23"/>
  <c r="Y527" i="23" s="1"/>
  <c r="X529" i="23"/>
  <c r="X530" i="23" s="1"/>
  <c r="X531" i="23" s="1"/>
  <c r="BJ165" i="18"/>
  <c r="BJ168" i="18" s="1"/>
  <c r="BI170" i="18"/>
  <c r="BI171" i="18" s="1"/>
  <c r="BK165" i="18" l="1"/>
  <c r="BK168" i="18" s="1"/>
  <c r="BK170" i="18" s="1"/>
  <c r="BK171" i="18" s="1"/>
  <c r="BJ170" i="18"/>
  <c r="BJ171" i="18" s="1"/>
  <c r="BI172" i="18"/>
  <c r="Z524" i="23"/>
  <c r="Z527" i="23" s="1"/>
  <c r="Z529" i="23" s="1"/>
  <c r="Z530" i="23" s="1"/>
  <c r="Z531" i="23" s="1"/>
  <c r="Y529" i="23"/>
  <c r="Y530" i="23" s="1"/>
  <c r="Y531" i="23" s="1"/>
  <c r="Z272" i="18"/>
  <c r="Z275" i="18" s="1"/>
  <c r="Z277" i="18" s="1"/>
  <c r="Z278" i="18" s="1"/>
  <c r="Z279" i="18" s="1"/>
  <c r="Y277" i="18"/>
  <c r="Y278" i="18" s="1"/>
  <c r="Y279" i="18" s="1"/>
  <c r="Z326" i="22"/>
  <c r="Z329" i="22" s="1"/>
  <c r="Z331" i="22" s="1"/>
  <c r="Z332" i="22" s="1"/>
  <c r="Z333" i="22" s="1"/>
  <c r="Y331" i="22"/>
  <c r="Y332" i="22" s="1"/>
  <c r="Y333" i="22" s="1"/>
  <c r="BJ172" i="18" l="1"/>
  <c r="BK172" i="18"/>
  <c r="G64" i="19"/>
  <c r="F16" i="2"/>
  <c r="G16" i="2"/>
  <c r="F250" i="22"/>
  <c r="G250" i="22"/>
  <c r="H250" i="22"/>
  <c r="I250" i="22"/>
  <c r="J250" i="22"/>
  <c r="K250" i="22"/>
  <c r="L250" i="22"/>
  <c r="M250" i="22"/>
  <c r="N250" i="22"/>
  <c r="O250" i="22"/>
  <c r="P250" i="22"/>
  <c r="Q250" i="22"/>
  <c r="R250" i="22"/>
  <c r="S250" i="22"/>
  <c r="T250" i="22"/>
  <c r="U250" i="22"/>
  <c r="V250" i="22"/>
  <c r="W250" i="22"/>
  <c r="X250" i="22"/>
  <c r="Y250" i="22"/>
  <c r="Z250" i="22"/>
  <c r="F261" i="22"/>
  <c r="G261" i="22"/>
  <c r="H261" i="22"/>
  <c r="F390" i="22"/>
  <c r="G390" i="22"/>
  <c r="H390" i="22"/>
  <c r="I390" i="22"/>
  <c r="J390" i="22"/>
  <c r="K390" i="22"/>
  <c r="L390" i="22"/>
  <c r="M390" i="22"/>
  <c r="N390" i="22"/>
  <c r="O390" i="22"/>
  <c r="P390" i="22"/>
  <c r="Q390" i="22"/>
  <c r="R390" i="22"/>
  <c r="S390" i="22"/>
  <c r="T390" i="22"/>
  <c r="U390" i="22"/>
  <c r="V390" i="22"/>
  <c r="W390" i="22"/>
  <c r="X390" i="22"/>
  <c r="Y390" i="22"/>
  <c r="Z390" i="22"/>
  <c r="G74" i="19" l="1"/>
  <c r="S19" i="4" l="1"/>
  <c r="I255" i="22" l="1"/>
  <c r="I263" i="22" l="1"/>
  <c r="I257" i="22"/>
  <c r="J254" i="22" l="1"/>
  <c r="J257" i="22" s="1"/>
  <c r="I259" i="22"/>
  <c r="I260" i="22" s="1"/>
  <c r="I261" i="22" l="1"/>
  <c r="K254" i="22"/>
  <c r="K257" i="22" s="1"/>
  <c r="J259" i="22"/>
  <c r="J260" i="22" s="1"/>
  <c r="J261" i="22" l="1"/>
  <c r="L254" i="22"/>
  <c r="L257" i="22" s="1"/>
  <c r="K259" i="22"/>
  <c r="K260" i="22" s="1"/>
  <c r="K261" i="22" l="1"/>
  <c r="M254" i="22"/>
  <c r="M257" i="22" s="1"/>
  <c r="L259" i="22"/>
  <c r="L260" i="22" s="1"/>
  <c r="L261" i="22" l="1"/>
  <c r="N254" i="22"/>
  <c r="N257" i="22" s="1"/>
  <c r="M259" i="22"/>
  <c r="M260" i="22" s="1"/>
  <c r="M261" i="22" l="1"/>
  <c r="O254" i="22"/>
  <c r="O257" i="22" s="1"/>
  <c r="N259" i="22"/>
  <c r="N260" i="22" s="1"/>
  <c r="N261" i="22" l="1"/>
  <c r="P254" i="22"/>
  <c r="P257" i="22" s="1"/>
  <c r="O259" i="22"/>
  <c r="O260" i="22" s="1"/>
  <c r="O261" i="22" l="1"/>
  <c r="Q254" i="22"/>
  <c r="Q257" i="22" s="1"/>
  <c r="P259" i="22"/>
  <c r="P260" i="22" s="1"/>
  <c r="P261" i="22" l="1"/>
  <c r="R254" i="22"/>
  <c r="R257" i="22" s="1"/>
  <c r="Q259" i="22"/>
  <c r="Q260" i="22" s="1"/>
  <c r="S254" i="22" l="1"/>
  <c r="S257" i="22" s="1"/>
  <c r="R259" i="22"/>
  <c r="R260" i="22" s="1"/>
  <c r="Q261" i="22"/>
  <c r="R261" i="22" l="1"/>
  <c r="T254" i="22"/>
  <c r="T257" i="22" s="1"/>
  <c r="S259" i="22"/>
  <c r="S260" i="22" s="1"/>
  <c r="S261" i="22" l="1"/>
  <c r="U254" i="22"/>
  <c r="U257" i="22" s="1"/>
  <c r="T259" i="22"/>
  <c r="T260" i="22" s="1"/>
  <c r="T261" i="22" l="1"/>
  <c r="V254" i="22"/>
  <c r="V257" i="22" s="1"/>
  <c r="U259" i="22"/>
  <c r="U260" i="22" s="1"/>
  <c r="U261" i="22" l="1"/>
  <c r="W254" i="22"/>
  <c r="W257" i="22" s="1"/>
  <c r="V259" i="22"/>
  <c r="V260" i="22" s="1"/>
  <c r="V261" i="22" l="1"/>
  <c r="X254" i="22"/>
  <c r="X257" i="22" s="1"/>
  <c r="W259" i="22"/>
  <c r="W260" i="22" s="1"/>
  <c r="W261" i="22" l="1"/>
  <c r="Y254" i="22"/>
  <c r="Y257" i="22" s="1"/>
  <c r="X259" i="22"/>
  <c r="X260" i="22" s="1"/>
  <c r="X261" i="22" l="1"/>
  <c r="Z254" i="22"/>
  <c r="Z257" i="22" s="1"/>
  <c r="Z259" i="22" s="1"/>
  <c r="Z260" i="22" s="1"/>
  <c r="Y259" i="22"/>
  <c r="Y260" i="22" s="1"/>
  <c r="Z261" i="22" l="1"/>
  <c r="Y261" i="22"/>
  <c r="E66" i="19"/>
  <c r="H16" i="2"/>
  <c r="I16" i="2"/>
  <c r="J16" i="2"/>
  <c r="K16" i="2"/>
  <c r="L16" i="2"/>
  <c r="M16" i="2"/>
  <c r="N16" i="2"/>
  <c r="F459" i="23"/>
  <c r="G459" i="23"/>
  <c r="H459" i="23"/>
  <c r="F463" i="23"/>
  <c r="F471" i="23" s="1"/>
  <c r="G463" i="23"/>
  <c r="G471" i="23" s="1"/>
  <c r="H463" i="23"/>
  <c r="H471" i="23" s="1"/>
  <c r="L466" i="23"/>
  <c r="F588" i="23"/>
  <c r="G588" i="23"/>
  <c r="H588" i="23"/>
  <c r="I588" i="23"/>
  <c r="J588" i="23"/>
  <c r="K588" i="23"/>
  <c r="L588" i="23"/>
  <c r="M588" i="23"/>
  <c r="N588" i="23"/>
  <c r="O588" i="23"/>
  <c r="P588" i="23"/>
  <c r="Q588" i="23"/>
  <c r="R588" i="23"/>
  <c r="S588" i="23"/>
  <c r="T588" i="23"/>
  <c r="U588" i="23"/>
  <c r="V588" i="23"/>
  <c r="W588" i="23"/>
  <c r="X588" i="23"/>
  <c r="Y588" i="23"/>
  <c r="Z588" i="23"/>
  <c r="L467" i="23" l="1"/>
  <c r="F3" i="19" l="1"/>
  <c r="G3" i="19"/>
  <c r="H3" i="19"/>
  <c r="F4" i="19"/>
  <c r="G4" i="19"/>
  <c r="H4" i="19"/>
  <c r="I244" i="18" l="1"/>
  <c r="J390" i="18"/>
  <c r="J391" i="18"/>
  <c r="I245" i="18"/>
  <c r="I286" i="18" s="1"/>
  <c r="I340" i="18" s="1"/>
  <c r="J431" i="18"/>
  <c r="J430" i="18"/>
  <c r="N495" i="22"/>
  <c r="H444" i="22"/>
  <c r="H445" i="22"/>
  <c r="N455" i="22"/>
  <c r="L653" i="23"/>
  <c r="H485" i="22"/>
  <c r="F642" i="23"/>
  <c r="H484" i="22"/>
  <c r="F643" i="23"/>
  <c r="L693" i="23"/>
  <c r="F682" i="23"/>
  <c r="F683" i="23"/>
  <c r="G23" i="2" l="1"/>
  <c r="G51" i="2" s="1"/>
  <c r="I287" i="18"/>
  <c r="I289" i="18" s="1"/>
  <c r="I291" i="18" s="1"/>
  <c r="I341" i="18" l="1"/>
  <c r="I342" i="18" s="1"/>
  <c r="G24" i="2"/>
  <c r="G52" i="2" s="1"/>
  <c r="I381" i="18" l="1"/>
  <c r="I394" i="18" l="1"/>
  <c r="I409" i="18"/>
  <c r="D46" i="2" l="1"/>
  <c r="D55" i="2" s="1"/>
  <c r="G74" i="2"/>
  <c r="G86" i="2" s="1"/>
  <c r="G91" i="2" s="1"/>
  <c r="N152" i="22"/>
  <c r="N154" i="22" s="1"/>
  <c r="N155" i="22"/>
  <c r="N222" i="22"/>
  <c r="N224" i="22"/>
  <c r="N464" i="22"/>
  <c r="N436" i="22" s="1"/>
  <c r="N449" i="22" s="1"/>
  <c r="N504" i="22"/>
  <c r="N476" i="22" s="1"/>
  <c r="N489" i="22" s="1"/>
  <c r="L350" i="23"/>
  <c r="L352" i="23" s="1"/>
  <c r="L353" i="23"/>
  <c r="L420" i="23"/>
  <c r="L421" i="23" s="1"/>
  <c r="L422" i="23"/>
  <c r="L468" i="23"/>
  <c r="L469" i="23" s="1"/>
  <c r="L662" i="23"/>
  <c r="L634" i="23" s="1"/>
  <c r="L647" i="23" s="1"/>
  <c r="L702" i="23"/>
  <c r="L674" i="23" s="1"/>
  <c r="L687" i="23" s="1"/>
  <c r="N394" i="22" l="1"/>
  <c r="L592" i="23"/>
  <c r="N156" i="22"/>
  <c r="L593" i="23"/>
  <c r="L423" i="23"/>
  <c r="L354" i="23"/>
  <c r="N223" i="22"/>
  <c r="N395" i="22" s="1"/>
  <c r="M24" i="2"/>
  <c r="M52" i="2" s="1"/>
  <c r="M23" i="2"/>
  <c r="M51" i="2" s="1"/>
  <c r="L701" i="23" l="1"/>
  <c r="L673" i="23" s="1"/>
  <c r="L686" i="23" s="1"/>
  <c r="N396" i="22"/>
  <c r="N435" i="22" s="1"/>
  <c r="N448" i="22" s="1"/>
  <c r="L594" i="23"/>
  <c r="L633" i="23" s="1"/>
  <c r="N225" i="22"/>
  <c r="N463" i="22" l="1"/>
  <c r="L661" i="23"/>
  <c r="L646" i="23"/>
  <c r="N503" i="22"/>
  <c r="N475" i="22" s="1"/>
  <c r="N488" i="22" s="1"/>
  <c r="G4" i="24"/>
  <c r="G41" i="24" s="1"/>
  <c r="H4" i="24"/>
  <c r="H41" i="24" s="1"/>
  <c r="G13" i="24"/>
  <c r="H13" i="24"/>
  <c r="G22" i="24"/>
  <c r="H22" i="24"/>
  <c r="G31" i="24"/>
  <c r="H31" i="24"/>
  <c r="O152" i="22"/>
  <c r="O154" i="22" s="1"/>
  <c r="O155" i="22"/>
  <c r="N158" i="22"/>
  <c r="O158" i="22"/>
  <c r="O222" i="22"/>
  <c r="O223" i="22" s="1"/>
  <c r="O224" i="22"/>
  <c r="N228" i="22"/>
  <c r="O228" i="22"/>
  <c r="N420" i="22"/>
  <c r="O420" i="22"/>
  <c r="N434" i="22"/>
  <c r="N447" i="22" s="1"/>
  <c r="O434" i="22"/>
  <c r="O462" i="22" s="1"/>
  <c r="O435" i="22"/>
  <c r="O448" i="22" s="1"/>
  <c r="N460" i="22"/>
  <c r="O460" i="22"/>
  <c r="N461" i="22"/>
  <c r="N501" i="22" s="1"/>
  <c r="O461" i="22"/>
  <c r="O501" i="22" s="1"/>
  <c r="O464" i="22"/>
  <c r="O436" i="22" s="1"/>
  <c r="O449" i="22" s="1"/>
  <c r="N474" i="22"/>
  <c r="N487" i="22" s="1"/>
  <c r="O474" i="22"/>
  <c r="O475" i="22"/>
  <c r="O488" i="22" s="1"/>
  <c r="N500" i="22"/>
  <c r="O500" i="22"/>
  <c r="O504" i="22"/>
  <c r="O476" i="22" s="1"/>
  <c r="O489" i="22" s="1"/>
  <c r="G42" i="24" l="1"/>
  <c r="G49" i="24" s="1"/>
  <c r="H42" i="24"/>
  <c r="O347" i="22"/>
  <c r="O378" i="22" s="1"/>
  <c r="N347" i="22"/>
  <c r="N378" i="22" s="1"/>
  <c r="O433" i="22"/>
  <c r="O446" i="22" s="1"/>
  <c r="O156" i="22"/>
  <c r="O447" i="22"/>
  <c r="N433" i="22"/>
  <c r="N446" i="22" s="1"/>
  <c r="O394" i="22"/>
  <c r="O395" i="22"/>
  <c r="O463" i="22"/>
  <c r="N462" i="22"/>
  <c r="O473" i="22"/>
  <c r="O486" i="22" s="1"/>
  <c r="N473" i="22"/>
  <c r="N486" i="22" s="1"/>
  <c r="N502" i="22"/>
  <c r="O487" i="22"/>
  <c r="O502" i="22"/>
  <c r="O225" i="22"/>
  <c r="I131" i="18"/>
  <c r="I139" i="18" s="1"/>
  <c r="I145" i="18"/>
  <c r="I148" i="18" s="1"/>
  <c r="I449" i="18" s="1"/>
  <c r="I155" i="18"/>
  <c r="H74" i="2" s="1"/>
  <c r="H86" i="2" s="1"/>
  <c r="H91" i="2" s="1"/>
  <c r="I200" i="18"/>
  <c r="I202" i="18" s="1"/>
  <c r="J407" i="18"/>
  <c r="J447" i="18" s="1"/>
  <c r="F13" i="20"/>
  <c r="H13" i="20" s="1"/>
  <c r="J13" i="20" s="1"/>
  <c r="H49" i="24" l="1"/>
  <c r="O503" i="22"/>
  <c r="O396" i="22"/>
  <c r="I156" i="18"/>
  <c r="I165" i="18" s="1"/>
  <c r="I174" i="18" s="1"/>
  <c r="M13" i="20"/>
  <c r="N13" i="20"/>
  <c r="O13" i="20" s="1"/>
  <c r="P13" i="20" s="1"/>
  <c r="I421" i="18"/>
  <c r="I434" i="18" s="1"/>
  <c r="J199" i="18"/>
  <c r="I205" i="18"/>
  <c r="I5" i="24"/>
  <c r="I44" i="24" s="1"/>
  <c r="J5" i="24"/>
  <c r="J43" i="24" s="1"/>
  <c r="I14" i="24"/>
  <c r="J14" i="24"/>
  <c r="I23" i="24"/>
  <c r="J23" i="24"/>
  <c r="I32" i="24"/>
  <c r="J32" i="24"/>
  <c r="M350" i="23"/>
  <c r="M353" i="23"/>
  <c r="L356" i="23"/>
  <c r="M356" i="23"/>
  <c r="M420" i="23"/>
  <c r="M421" i="23" s="1"/>
  <c r="M422" i="23"/>
  <c r="L426" i="23"/>
  <c r="M426" i="23"/>
  <c r="M468" i="23"/>
  <c r="M469" i="23" s="1"/>
  <c r="L471" i="23"/>
  <c r="M471" i="23"/>
  <c r="L618" i="23"/>
  <c r="M618" i="23"/>
  <c r="L632" i="23"/>
  <c r="L645" i="23" s="1"/>
  <c r="M632" i="23"/>
  <c r="M645" i="23" s="1"/>
  <c r="M633" i="23"/>
  <c r="M646" i="23" s="1"/>
  <c r="L658" i="23"/>
  <c r="M658" i="23"/>
  <c r="L659" i="23"/>
  <c r="L699" i="23" s="1"/>
  <c r="M659" i="23"/>
  <c r="M699" i="23" s="1"/>
  <c r="M662" i="23"/>
  <c r="M634" i="23" s="1"/>
  <c r="M647" i="23" s="1"/>
  <c r="L672" i="23"/>
  <c r="L685" i="23" s="1"/>
  <c r="M672" i="23"/>
  <c r="M700" i="23" s="1"/>
  <c r="M673" i="23"/>
  <c r="M686" i="23" s="1"/>
  <c r="L698" i="23"/>
  <c r="M698" i="23"/>
  <c r="M702" i="23"/>
  <c r="M674" i="23" s="1"/>
  <c r="M687" i="23" s="1"/>
  <c r="L700" i="23" l="1"/>
  <c r="L545" i="23"/>
  <c r="L576" i="23" s="1"/>
  <c r="I43" i="24"/>
  <c r="I50" i="24" s="1"/>
  <c r="M592" i="23"/>
  <c r="M660" i="23"/>
  <c r="L660" i="23"/>
  <c r="L631" i="23"/>
  <c r="L644" i="23" s="1"/>
  <c r="L671" i="23"/>
  <c r="L684" i="23" s="1"/>
  <c r="M352" i="23"/>
  <c r="M593" i="23" s="1"/>
  <c r="M594" i="23" s="1"/>
  <c r="M631" i="23"/>
  <c r="M644" i="23" s="1"/>
  <c r="M671" i="23"/>
  <c r="M684" i="23" s="1"/>
  <c r="J44" i="24"/>
  <c r="J50" i="24" s="1"/>
  <c r="M545" i="23"/>
  <c r="M576" i="23" s="1"/>
  <c r="M661" i="23"/>
  <c r="M685" i="23"/>
  <c r="M423" i="23"/>
  <c r="M354" i="23" l="1"/>
  <c r="M701" i="23" s="1"/>
  <c r="H181" i="1" l="1"/>
  <c r="H184" i="1"/>
  <c r="AI68" i="3"/>
  <c r="H162" i="1" s="1"/>
  <c r="I362" i="23" s="1"/>
  <c r="M74" i="2" s="1"/>
  <c r="M86" i="2" s="1"/>
  <c r="M91" i="2" s="1"/>
  <c r="J362" i="23" l="1"/>
  <c r="N74" i="2" s="1"/>
  <c r="N86" i="2" s="1"/>
  <c r="N91" i="2" s="1"/>
  <c r="I363" i="23"/>
  <c r="H167" i="1"/>
  <c r="H177" i="1"/>
  <c r="H168" i="1"/>
  <c r="P33" i="1" s="1"/>
  <c r="P35" i="1" s="1"/>
  <c r="P54" i="1"/>
  <c r="H169" i="1"/>
  <c r="H364" i="23" l="1"/>
  <c r="H377" i="23" s="1"/>
  <c r="H394" i="23" s="1"/>
  <c r="G364" i="23"/>
  <c r="G377" i="23" s="1"/>
  <c r="G394" i="23" s="1"/>
  <c r="F364" i="23"/>
  <c r="F377" i="23" s="1"/>
  <c r="F394" i="23" s="1"/>
  <c r="J363" i="23"/>
  <c r="I364" i="23"/>
  <c r="I377" i="23" s="1"/>
  <c r="I394" i="23" s="1"/>
  <c r="I372" i="23"/>
  <c r="H170" i="1"/>
  <c r="H374" i="23" l="1"/>
  <c r="G374" i="23"/>
  <c r="F374" i="23"/>
  <c r="I381" i="23"/>
  <c r="I374" i="23"/>
  <c r="I382" i="23" s="1"/>
  <c r="J372" i="23"/>
  <c r="K363" i="23"/>
  <c r="J364" i="23"/>
  <c r="F375" i="23"/>
  <c r="F382" i="23"/>
  <c r="H375" i="23"/>
  <c r="H382" i="23"/>
  <c r="G375" i="23"/>
  <c r="G382" i="23"/>
  <c r="H378" i="23" l="1"/>
  <c r="H388" i="23"/>
  <c r="H385" i="23"/>
  <c r="H389" i="23"/>
  <c r="H392" i="23"/>
  <c r="H386" i="23"/>
  <c r="H400" i="23"/>
  <c r="H390" i="23"/>
  <c r="H387" i="23"/>
  <c r="H384" i="23"/>
  <c r="F378" i="23"/>
  <c r="F388" i="23"/>
  <c r="F385" i="23"/>
  <c r="F389" i="23"/>
  <c r="F392" i="23"/>
  <c r="F386" i="23"/>
  <c r="F400" i="23"/>
  <c r="F390" i="23"/>
  <c r="F387" i="23"/>
  <c r="F384" i="23"/>
  <c r="K372" i="23"/>
  <c r="L363" i="23"/>
  <c r="K364" i="23"/>
  <c r="J381" i="23"/>
  <c r="G378" i="23"/>
  <c r="G388" i="23"/>
  <c r="G385" i="23"/>
  <c r="G389" i="23"/>
  <c r="G392" i="23"/>
  <c r="G386" i="23"/>
  <c r="G400" i="23"/>
  <c r="G390" i="23"/>
  <c r="G387" i="23"/>
  <c r="G384" i="23"/>
  <c r="J377" i="23"/>
  <c r="J394" i="23" s="1"/>
  <c r="J374" i="23"/>
  <c r="J382" i="23" s="1"/>
  <c r="I375" i="23"/>
  <c r="J375" i="23" l="1"/>
  <c r="J388" i="23" s="1"/>
  <c r="K377" i="23"/>
  <c r="K394" i="23" s="1"/>
  <c r="K374" i="23"/>
  <c r="K382" i="23" s="1"/>
  <c r="I378" i="23"/>
  <c r="I388" i="23"/>
  <c r="I385" i="23"/>
  <c r="I389" i="23"/>
  <c r="I392" i="23"/>
  <c r="I386" i="23"/>
  <c r="I400" i="23"/>
  <c r="I390" i="23"/>
  <c r="I384" i="23"/>
  <c r="I387" i="23"/>
  <c r="K381" i="23"/>
  <c r="K375" i="23"/>
  <c r="L364" i="23"/>
  <c r="L372" i="23"/>
  <c r="M363" i="23"/>
  <c r="J400" i="23" l="1"/>
  <c r="J387" i="23"/>
  <c r="J390" i="23"/>
  <c r="J378" i="23"/>
  <c r="J386" i="23"/>
  <c r="J384" i="23"/>
  <c r="J385" i="23"/>
  <c r="J392" i="23"/>
  <c r="J389" i="23"/>
  <c r="L377" i="23"/>
  <c r="L394" i="23" s="1"/>
  <c r="L374" i="23"/>
  <c r="L382" i="23" s="1"/>
  <c r="K387" i="23"/>
  <c r="K384" i="23"/>
  <c r="K378" i="23"/>
  <c r="K388" i="23"/>
  <c r="K385" i="23"/>
  <c r="K389" i="23"/>
  <c r="K392" i="23"/>
  <c r="K386" i="23"/>
  <c r="K400" i="23"/>
  <c r="K390" i="23"/>
  <c r="M364" i="23"/>
  <c r="M372" i="23"/>
  <c r="N363" i="23"/>
  <c r="L381" i="23"/>
  <c r="L375" i="23" l="1"/>
  <c r="L390" i="23" s="1"/>
  <c r="N364" i="23"/>
  <c r="N372" i="23"/>
  <c r="O363" i="23"/>
  <c r="M381" i="23"/>
  <c r="M377" i="23"/>
  <c r="M394" i="23" s="1"/>
  <c r="M374" i="23"/>
  <c r="M382" i="23" s="1"/>
  <c r="L400" i="23" l="1"/>
  <c r="L392" i="23"/>
  <c r="L388" i="23"/>
  <c r="L387" i="23"/>
  <c r="L386" i="23"/>
  <c r="L385" i="23"/>
  <c r="L378" i="23"/>
  <c r="L384" i="23"/>
  <c r="L389" i="23"/>
  <c r="M375" i="23"/>
  <c r="M400" i="23" s="1"/>
  <c r="O364" i="23"/>
  <c r="O372" i="23"/>
  <c r="P363" i="23"/>
  <c r="N381" i="23"/>
  <c r="N377" i="23"/>
  <c r="N394" i="23" s="1"/>
  <c r="N374" i="23"/>
  <c r="N382" i="23" s="1"/>
  <c r="M386" i="23" l="1"/>
  <c r="M392" i="23"/>
  <c r="M389" i="23"/>
  <c r="M385" i="23"/>
  <c r="M388" i="23"/>
  <c r="M378" i="23"/>
  <c r="M384" i="23"/>
  <c r="M387" i="23"/>
  <c r="M390" i="23"/>
  <c r="O381" i="23"/>
  <c r="O377" i="23"/>
  <c r="O394" i="23" s="1"/>
  <c r="O374" i="23"/>
  <c r="O382" i="23" s="1"/>
  <c r="N375" i="23"/>
  <c r="Q363" i="23"/>
  <c r="P364" i="23"/>
  <c r="P372" i="23"/>
  <c r="P377" i="23" l="1"/>
  <c r="P394" i="23" s="1"/>
  <c r="P374" i="23"/>
  <c r="P382" i="23" s="1"/>
  <c r="P381" i="23"/>
  <c r="R363" i="23"/>
  <c r="Q364" i="23"/>
  <c r="Q372" i="23"/>
  <c r="N400" i="23"/>
  <c r="N390" i="23"/>
  <c r="N387" i="23"/>
  <c r="N384" i="23"/>
  <c r="N378" i="23"/>
  <c r="N388" i="23"/>
  <c r="N385" i="23"/>
  <c r="N389" i="23"/>
  <c r="N392" i="23"/>
  <c r="N386" i="23"/>
  <c r="O375" i="23"/>
  <c r="P375" i="23" l="1"/>
  <c r="Q381" i="23"/>
  <c r="Q377" i="23"/>
  <c r="Q394" i="23" s="1"/>
  <c r="Q374" i="23"/>
  <c r="Q382" i="23" s="1"/>
  <c r="S363" i="23"/>
  <c r="R364" i="23"/>
  <c r="R372" i="23"/>
  <c r="P386" i="23"/>
  <c r="P400" i="23"/>
  <c r="P390" i="23"/>
  <c r="P387" i="23"/>
  <c r="P384" i="23"/>
  <c r="P378" i="23"/>
  <c r="P388" i="23"/>
  <c r="P385" i="23"/>
  <c r="P389" i="23"/>
  <c r="P392" i="23"/>
  <c r="O400" i="23"/>
  <c r="O390" i="23"/>
  <c r="O387" i="23"/>
  <c r="O384" i="23"/>
  <c r="O378" i="23"/>
  <c r="O388" i="23"/>
  <c r="O385" i="23"/>
  <c r="O389" i="23"/>
  <c r="O392" i="23"/>
  <c r="O386" i="23"/>
  <c r="R381" i="23" l="1"/>
  <c r="Q375" i="23"/>
  <c r="R377" i="23"/>
  <c r="R394" i="23" s="1"/>
  <c r="R374" i="23"/>
  <c r="R382" i="23" s="1"/>
  <c r="T363" i="23"/>
  <c r="S364" i="23"/>
  <c r="S372" i="23"/>
  <c r="S377" i="23" l="1"/>
  <c r="S394" i="23" s="1"/>
  <c r="S374" i="23"/>
  <c r="S382" i="23" s="1"/>
  <c r="S381" i="23"/>
  <c r="U363" i="23"/>
  <c r="T364" i="23"/>
  <c r="T372" i="23"/>
  <c r="Q389" i="23"/>
  <c r="Q392" i="23"/>
  <c r="Q386" i="23"/>
  <c r="Q400" i="23"/>
  <c r="Q390" i="23"/>
  <c r="Q387" i="23"/>
  <c r="Q384" i="23"/>
  <c r="Q378" i="23"/>
  <c r="Q388" i="23"/>
  <c r="Q385" i="23"/>
  <c r="R375" i="23"/>
  <c r="S375" i="23" l="1"/>
  <c r="S389" i="23" s="1"/>
  <c r="T381" i="23"/>
  <c r="T377" i="23"/>
  <c r="T394" i="23" s="1"/>
  <c r="T374" i="23"/>
  <c r="T382" i="23" s="1"/>
  <c r="V363" i="23"/>
  <c r="U364" i="23"/>
  <c r="U372" i="23"/>
  <c r="R389" i="23"/>
  <c r="R392" i="23"/>
  <c r="R386" i="23"/>
  <c r="R400" i="23"/>
  <c r="R390" i="23"/>
  <c r="R387" i="23"/>
  <c r="R384" i="23"/>
  <c r="R378" i="23"/>
  <c r="R388" i="23"/>
  <c r="R385" i="23"/>
  <c r="S385" i="23" l="1"/>
  <c r="S388" i="23"/>
  <c r="S378" i="23"/>
  <c r="S384" i="23"/>
  <c r="S387" i="23"/>
  <c r="S390" i="23"/>
  <c r="S386" i="23"/>
  <c r="S392" i="23"/>
  <c r="S400" i="23"/>
  <c r="U381" i="23"/>
  <c r="U377" i="23"/>
  <c r="U394" i="23" s="1"/>
  <c r="U374" i="23"/>
  <c r="U382" i="23" s="1"/>
  <c r="W363" i="23"/>
  <c r="V364" i="23"/>
  <c r="V372" i="23"/>
  <c r="T375" i="23"/>
  <c r="T389" i="23" l="1"/>
  <c r="T392" i="23"/>
  <c r="T386" i="23"/>
  <c r="T400" i="23"/>
  <c r="T390" i="23"/>
  <c r="T387" i="23"/>
  <c r="T384" i="23"/>
  <c r="T385" i="23"/>
  <c r="T378" i="23"/>
  <c r="T388" i="23"/>
  <c r="U375" i="23"/>
  <c r="V381" i="23"/>
  <c r="V377" i="23"/>
  <c r="V394" i="23" s="1"/>
  <c r="V374" i="23"/>
  <c r="V382" i="23" s="1"/>
  <c r="X363" i="23"/>
  <c r="W364" i="23"/>
  <c r="W372" i="23"/>
  <c r="Y363" i="23" l="1"/>
  <c r="X364" i="23"/>
  <c r="X372" i="23"/>
  <c r="V375" i="23"/>
  <c r="U385" i="23"/>
  <c r="U389" i="23"/>
  <c r="U392" i="23"/>
  <c r="U386" i="23"/>
  <c r="U400" i="23"/>
  <c r="U390" i="23"/>
  <c r="U387" i="23"/>
  <c r="U384" i="23"/>
  <c r="U388" i="23"/>
  <c r="U378" i="23"/>
  <c r="W381" i="23"/>
  <c r="W377" i="23"/>
  <c r="W394" i="23" s="1"/>
  <c r="W374" i="23"/>
  <c r="W382" i="23" s="1"/>
  <c r="X377" i="23" l="1"/>
  <c r="X394" i="23" s="1"/>
  <c r="X374" i="23"/>
  <c r="X382" i="23" s="1"/>
  <c r="V378" i="23"/>
  <c r="V388" i="23"/>
  <c r="V385" i="23"/>
  <c r="V389" i="23"/>
  <c r="V392" i="23"/>
  <c r="V386" i="23"/>
  <c r="V400" i="23"/>
  <c r="V390" i="23"/>
  <c r="V387" i="23"/>
  <c r="V384" i="23"/>
  <c r="W375" i="23"/>
  <c r="X381" i="23"/>
  <c r="Z363" i="23"/>
  <c r="Y364" i="23"/>
  <c r="Y372" i="23"/>
  <c r="Y377" i="23" l="1"/>
  <c r="Y394" i="23" s="1"/>
  <c r="Y374" i="23"/>
  <c r="Y382" i="23" s="1"/>
  <c r="W378" i="23"/>
  <c r="W388" i="23"/>
  <c r="W385" i="23"/>
  <c r="W389" i="23"/>
  <c r="W392" i="23"/>
  <c r="W386" i="23"/>
  <c r="W400" i="23"/>
  <c r="W390" i="23"/>
  <c r="W387" i="23"/>
  <c r="W384" i="23"/>
  <c r="Y381" i="23"/>
  <c r="Z372" i="23"/>
  <c r="Z364" i="23"/>
  <c r="X375" i="23"/>
  <c r="Y375" i="23" l="1"/>
  <c r="Y389" i="23" s="1"/>
  <c r="Y378" i="23"/>
  <c r="Y388" i="23"/>
  <c r="Y385" i="23"/>
  <c r="Y392" i="23"/>
  <c r="Y386" i="23"/>
  <c r="Y400" i="23"/>
  <c r="Y390" i="23"/>
  <c r="Y384" i="23"/>
  <c r="Y387" i="23"/>
  <c r="X378" i="23"/>
  <c r="X388" i="23"/>
  <c r="X385" i="23"/>
  <c r="X389" i="23"/>
  <c r="X392" i="23"/>
  <c r="X386" i="23"/>
  <c r="X400" i="23"/>
  <c r="X390" i="23"/>
  <c r="X387" i="23"/>
  <c r="X384" i="23"/>
  <c r="Z377" i="23"/>
  <c r="Z394" i="23" s="1"/>
  <c r="Z374" i="23"/>
  <c r="Z382" i="23" s="1"/>
  <c r="Z381" i="23"/>
  <c r="Z375" i="23" l="1"/>
  <c r="Z384" i="23" s="1"/>
  <c r="F183" i="1"/>
  <c r="F184" i="1" s="1"/>
  <c r="AI66" i="3"/>
  <c r="F162" i="1" s="1"/>
  <c r="J155" i="18" s="1"/>
  <c r="Z392" i="23" l="1"/>
  <c r="Z387" i="23"/>
  <c r="Z390" i="23"/>
  <c r="Z400" i="23"/>
  <c r="Z386" i="23"/>
  <c r="Z389" i="23"/>
  <c r="Z385" i="23"/>
  <c r="Z388" i="23"/>
  <c r="Z378" i="23"/>
  <c r="K155" i="18"/>
  <c r="J74" i="2" s="1"/>
  <c r="J86" i="2" s="1"/>
  <c r="J91" i="2" s="1"/>
  <c r="I74" i="2"/>
  <c r="I86" i="2" s="1"/>
  <c r="I91" i="2" s="1"/>
  <c r="J156" i="18"/>
  <c r="J165" i="18" s="1"/>
  <c r="N54" i="1"/>
  <c r="F177" i="1"/>
  <c r="F167" i="1"/>
  <c r="F168" i="1"/>
  <c r="F169" i="1"/>
  <c r="F157" i="18" l="1"/>
  <c r="F170" i="18" s="1"/>
  <c r="F187" i="18" s="1"/>
  <c r="K156" i="18"/>
  <c r="G157" i="18"/>
  <c r="G170" i="18" s="1"/>
  <c r="G187" i="18" s="1"/>
  <c r="H157" i="18"/>
  <c r="H170" i="18" s="1"/>
  <c r="H187" i="18" s="1"/>
  <c r="J157" i="18"/>
  <c r="J170" i="18" s="1"/>
  <c r="J187" i="18" s="1"/>
  <c r="I157" i="18"/>
  <c r="I170" i="18" s="1"/>
  <c r="I187" i="18" s="1"/>
  <c r="N33" i="1"/>
  <c r="F170" i="1"/>
  <c r="J174" i="18"/>
  <c r="K157" i="18"/>
  <c r="K170" i="18" s="1"/>
  <c r="K187" i="18" s="1"/>
  <c r="K165" i="18"/>
  <c r="L156" i="18"/>
  <c r="H167" i="18" l="1"/>
  <c r="F167" i="18"/>
  <c r="J167" i="18"/>
  <c r="J175" i="18" s="1"/>
  <c r="G167" i="18"/>
  <c r="G168" i="18" s="1"/>
  <c r="I167" i="18"/>
  <c r="I175" i="18" s="1"/>
  <c r="J168" i="18"/>
  <c r="J183" i="18" s="1"/>
  <c r="K167" i="18"/>
  <c r="K175" i="18" s="1"/>
  <c r="K174" i="18"/>
  <c r="H168" i="18"/>
  <c r="H175" i="18"/>
  <c r="N35" i="1"/>
  <c r="G175" i="18"/>
  <c r="F168" i="18"/>
  <c r="F175" i="18"/>
  <c r="L157" i="18"/>
  <c r="L165" i="18"/>
  <c r="M156" i="18"/>
  <c r="I168" i="18" l="1"/>
  <c r="I180" i="18" s="1"/>
  <c r="J179" i="18"/>
  <c r="J180" i="18"/>
  <c r="J193" i="18"/>
  <c r="J185" i="18"/>
  <c r="J181" i="18"/>
  <c r="J182" i="18"/>
  <c r="J178" i="18"/>
  <c r="J171" i="18"/>
  <c r="J177" i="18"/>
  <c r="K168" i="18"/>
  <c r="K181" i="18" s="1"/>
  <c r="I181" i="18"/>
  <c r="I171" i="18"/>
  <c r="I178" i="18"/>
  <c r="I182" i="18"/>
  <c r="I185" i="18"/>
  <c r="I179" i="18"/>
  <c r="I183" i="18"/>
  <c r="I193" i="18"/>
  <c r="I177" i="18"/>
  <c r="L174" i="18"/>
  <c r="G181" i="18"/>
  <c r="G171" i="18"/>
  <c r="G178" i="18"/>
  <c r="G182" i="18"/>
  <c r="G179" i="18"/>
  <c r="G180" i="18"/>
  <c r="G177" i="18"/>
  <c r="G183" i="18"/>
  <c r="G185" i="18"/>
  <c r="G193" i="18"/>
  <c r="M157" i="18"/>
  <c r="M165" i="18"/>
  <c r="N156" i="18"/>
  <c r="L170" i="18"/>
  <c r="L187" i="18" s="1"/>
  <c r="L167" i="18"/>
  <c r="L175" i="18" s="1"/>
  <c r="F181" i="18"/>
  <c r="F171" i="18"/>
  <c r="F178" i="18"/>
  <c r="F182" i="18"/>
  <c r="F185" i="18"/>
  <c r="F179" i="18"/>
  <c r="F180" i="18"/>
  <c r="F177" i="18"/>
  <c r="F183" i="18"/>
  <c r="F193" i="18"/>
  <c r="K177" i="18"/>
  <c r="H181" i="18"/>
  <c r="H171" i="18"/>
  <c r="H178" i="18"/>
  <c r="H182" i="18"/>
  <c r="H185" i="18"/>
  <c r="H179" i="18"/>
  <c r="H183" i="18"/>
  <c r="H180" i="18"/>
  <c r="H177" i="18"/>
  <c r="H193" i="18"/>
  <c r="K180" i="18" l="1"/>
  <c r="K183" i="18"/>
  <c r="K182" i="18"/>
  <c r="K185" i="18"/>
  <c r="K178" i="18"/>
  <c r="K193" i="18"/>
  <c r="K179" i="18"/>
  <c r="K171" i="18"/>
  <c r="L168" i="18"/>
  <c r="M170" i="18"/>
  <c r="M187" i="18" s="1"/>
  <c r="M167" i="18"/>
  <c r="M175" i="18" s="1"/>
  <c r="O156" i="18"/>
  <c r="N157" i="18"/>
  <c r="N165" i="18"/>
  <c r="M174" i="18"/>
  <c r="M168" i="18" l="1"/>
  <c r="M180" i="18" s="1"/>
  <c r="N170" i="18"/>
  <c r="N187" i="18" s="1"/>
  <c r="N167" i="18"/>
  <c r="N175" i="18" s="1"/>
  <c r="M177" i="18"/>
  <c r="M181" i="18"/>
  <c r="M171" i="18"/>
  <c r="M178" i="18"/>
  <c r="M182" i="18"/>
  <c r="M179" i="18"/>
  <c r="M185" i="18"/>
  <c r="M193" i="18"/>
  <c r="P156" i="18"/>
  <c r="O157" i="18"/>
  <c r="O165" i="18"/>
  <c r="N174" i="18"/>
  <c r="L183" i="18"/>
  <c r="L180" i="18"/>
  <c r="L177" i="18"/>
  <c r="L181" i="18"/>
  <c r="L171" i="18"/>
  <c r="L178" i="18"/>
  <c r="L182" i="18"/>
  <c r="L179" i="18"/>
  <c r="L185" i="18"/>
  <c r="L193" i="18"/>
  <c r="M183" i="18" l="1"/>
  <c r="N168" i="18"/>
  <c r="N183" i="18" s="1"/>
  <c r="O174" i="18"/>
  <c r="O170" i="18"/>
  <c r="O187" i="18" s="1"/>
  <c r="O167" i="18"/>
  <c r="O175" i="18" s="1"/>
  <c r="Q156" i="18"/>
  <c r="P157" i="18"/>
  <c r="P165" i="18"/>
  <c r="N179" i="18" l="1"/>
  <c r="N178" i="18"/>
  <c r="N185" i="18"/>
  <c r="N171" i="18"/>
  <c r="N182" i="18"/>
  <c r="N193" i="18"/>
  <c r="N181" i="18"/>
  <c r="N177" i="18"/>
  <c r="N180" i="18"/>
  <c r="P174" i="18"/>
  <c r="R156" i="18"/>
  <c r="Q157" i="18"/>
  <c r="Q165" i="18"/>
  <c r="P170" i="18"/>
  <c r="P187" i="18" s="1"/>
  <c r="P167" i="18"/>
  <c r="P175" i="18" s="1"/>
  <c r="O168" i="18"/>
  <c r="O183" i="18" l="1"/>
  <c r="O180" i="18"/>
  <c r="O177" i="18"/>
  <c r="O182" i="18"/>
  <c r="O171" i="18"/>
  <c r="O181" i="18"/>
  <c r="O185" i="18"/>
  <c r="O193" i="18"/>
  <c r="O178" i="18"/>
  <c r="O179" i="18"/>
  <c r="Q174" i="18"/>
  <c r="Q170" i="18"/>
  <c r="Q187" i="18" s="1"/>
  <c r="Q167" i="18"/>
  <c r="Q175" i="18" s="1"/>
  <c r="S156" i="18"/>
  <c r="R157" i="18"/>
  <c r="R165" i="18"/>
  <c r="P168" i="18"/>
  <c r="T156" i="18" l="1"/>
  <c r="S157" i="18"/>
  <c r="S165" i="18"/>
  <c r="Q168" i="18"/>
  <c r="P179" i="18"/>
  <c r="P193" i="18"/>
  <c r="P183" i="18"/>
  <c r="P180" i="18"/>
  <c r="P177" i="18"/>
  <c r="P171" i="18"/>
  <c r="P178" i="18"/>
  <c r="P181" i="18"/>
  <c r="P185" i="18"/>
  <c r="P182" i="18"/>
  <c r="R174" i="18"/>
  <c r="R170" i="18"/>
  <c r="R187" i="18" s="1"/>
  <c r="R167" i="18"/>
  <c r="R175" i="18" s="1"/>
  <c r="Q182" i="18" l="1"/>
  <c r="Q179" i="18"/>
  <c r="Q183" i="18"/>
  <c r="Q180" i="18"/>
  <c r="Q177" i="18"/>
  <c r="Q181" i="18"/>
  <c r="Q171" i="18"/>
  <c r="Q178" i="18"/>
  <c r="Q185" i="18"/>
  <c r="Q193" i="18"/>
  <c r="S170" i="18"/>
  <c r="S187" i="18" s="1"/>
  <c r="S167" i="18"/>
  <c r="S175" i="18" s="1"/>
  <c r="S174" i="18"/>
  <c r="R168" i="18"/>
  <c r="U156" i="18"/>
  <c r="T165" i="18"/>
  <c r="T157" i="18"/>
  <c r="S168" i="18" l="1"/>
  <c r="S182" i="18" s="1"/>
  <c r="R182" i="18"/>
  <c r="R179" i="18"/>
  <c r="R183" i="18"/>
  <c r="R180" i="18"/>
  <c r="R177" i="18"/>
  <c r="R181" i="18"/>
  <c r="R171" i="18"/>
  <c r="R178" i="18"/>
  <c r="R185" i="18"/>
  <c r="R193" i="18"/>
  <c r="T170" i="18"/>
  <c r="T187" i="18" s="1"/>
  <c r="T167" i="18"/>
  <c r="T175" i="18" s="1"/>
  <c r="T174" i="18"/>
  <c r="V156" i="18"/>
  <c r="U157" i="18"/>
  <c r="U165" i="18"/>
  <c r="T168" i="18" l="1"/>
  <c r="T185" i="18" s="1"/>
  <c r="S193" i="18"/>
  <c r="S178" i="18"/>
  <c r="S177" i="18"/>
  <c r="S185" i="18"/>
  <c r="S171" i="18"/>
  <c r="S181" i="18"/>
  <c r="S180" i="18"/>
  <c r="S183" i="18"/>
  <c r="S179" i="18"/>
  <c r="U174" i="18"/>
  <c r="U170" i="18"/>
  <c r="U187" i="18" s="1"/>
  <c r="U167" i="18"/>
  <c r="U175" i="18" s="1"/>
  <c r="W156" i="18"/>
  <c r="V157" i="18"/>
  <c r="V165" i="18"/>
  <c r="T182" i="18"/>
  <c r="T178" i="18" l="1"/>
  <c r="T177" i="18"/>
  <c r="T180" i="18"/>
  <c r="T171" i="18"/>
  <c r="T181" i="18"/>
  <c r="T183" i="18"/>
  <c r="T193" i="18"/>
  <c r="T179" i="18"/>
  <c r="V170" i="18"/>
  <c r="V187" i="18" s="1"/>
  <c r="V167" i="18"/>
  <c r="V175" i="18" s="1"/>
  <c r="V174" i="18"/>
  <c r="U168" i="18"/>
  <c r="X156" i="18"/>
  <c r="W157" i="18"/>
  <c r="W165" i="18"/>
  <c r="V168" i="18" l="1"/>
  <c r="V182" i="18" s="1"/>
  <c r="W174" i="18"/>
  <c r="W170" i="18"/>
  <c r="W187" i="18" s="1"/>
  <c r="W167" i="18"/>
  <c r="W175" i="18" s="1"/>
  <c r="U171" i="18"/>
  <c r="U178" i="18"/>
  <c r="U182" i="18"/>
  <c r="U185" i="18"/>
  <c r="U179" i="18"/>
  <c r="U177" i="18"/>
  <c r="U183" i="18"/>
  <c r="U180" i="18"/>
  <c r="U181" i="18"/>
  <c r="U193" i="18"/>
  <c r="X157" i="18"/>
  <c r="Y156" i="18"/>
  <c r="X165" i="18"/>
  <c r="V178" i="18" l="1"/>
  <c r="V181" i="18"/>
  <c r="V193" i="18"/>
  <c r="V179" i="18"/>
  <c r="V183" i="18"/>
  <c r="V177" i="18"/>
  <c r="V171" i="18"/>
  <c r="V180" i="18"/>
  <c r="V185" i="18"/>
  <c r="X174" i="18"/>
  <c r="Y165" i="18"/>
  <c r="Z156" i="18"/>
  <c r="Y157" i="18"/>
  <c r="W168" i="18"/>
  <c r="X170" i="18"/>
  <c r="X187" i="18" s="1"/>
  <c r="X167" i="18"/>
  <c r="X175" i="18" s="1"/>
  <c r="W181" i="18" l="1"/>
  <c r="W171" i="18"/>
  <c r="W178" i="18"/>
  <c r="W182" i="18"/>
  <c r="W179" i="18"/>
  <c r="W180" i="18"/>
  <c r="W177" i="18"/>
  <c r="W183" i="18"/>
  <c r="W185" i="18"/>
  <c r="W193" i="18"/>
  <c r="Y170" i="18"/>
  <c r="Y187" i="18" s="1"/>
  <c r="Y167" i="18"/>
  <c r="Y175" i="18" s="1"/>
  <c r="Z157" i="18"/>
  <c r="Z165" i="18"/>
  <c r="Y174" i="18"/>
  <c r="X168" i="18"/>
  <c r="Z174" i="18" l="1"/>
  <c r="Z170" i="18"/>
  <c r="Z187" i="18" s="1"/>
  <c r="Z167" i="18"/>
  <c r="Z175" i="18" s="1"/>
  <c r="X181" i="18"/>
  <c r="X171" i="18"/>
  <c r="X178" i="18"/>
  <c r="X182" i="18"/>
  <c r="X185" i="18"/>
  <c r="X179" i="18"/>
  <c r="X183" i="18"/>
  <c r="X180" i="18"/>
  <c r="X177" i="18"/>
  <c r="X193" i="18"/>
  <c r="Y168" i="18"/>
  <c r="Z168" i="18" l="1"/>
  <c r="Y181" i="18"/>
  <c r="Y171" i="18"/>
  <c r="Y178" i="18"/>
  <c r="Y182" i="18"/>
  <c r="Y185" i="18"/>
  <c r="Y183" i="18"/>
  <c r="Y180" i="18"/>
  <c r="Y177" i="18"/>
  <c r="Y179" i="18"/>
  <c r="Y193" i="18"/>
  <c r="Z177" i="18" l="1"/>
  <c r="Z181" i="18"/>
  <c r="Z171" i="18"/>
  <c r="Z178" i="18"/>
  <c r="Z179" i="18"/>
  <c r="Z193" i="18"/>
  <c r="Z183" i="18"/>
  <c r="Z180" i="18"/>
  <c r="Z182" i="18"/>
  <c r="Z185" i="18"/>
  <c r="F7" i="19"/>
  <c r="F8" i="19"/>
  <c r="G7" i="19"/>
  <c r="G8" i="19"/>
  <c r="H7" i="19"/>
  <c r="H8" i="19"/>
  <c r="E8" i="19" l="1"/>
  <c r="E7" i="19"/>
  <c r="AH83" i="3" l="1"/>
  <c r="G70" i="6" l="1"/>
  <c r="H70" i="6"/>
  <c r="I70" i="6"/>
  <c r="J70" i="6" l="1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Z205" i="18"/>
  <c r="I214" i="22"/>
  <c r="J214" i="22"/>
  <c r="K214" i="22"/>
  <c r="L214" i="22"/>
  <c r="M214" i="22"/>
  <c r="N214" i="22"/>
  <c r="O214" i="22"/>
  <c r="P214" i="22"/>
  <c r="Q214" i="22"/>
  <c r="R214" i="22"/>
  <c r="S214" i="22"/>
  <c r="T214" i="22"/>
  <c r="U214" i="22"/>
  <c r="V214" i="22"/>
  <c r="W214" i="22"/>
  <c r="X214" i="22"/>
  <c r="Y214" i="22"/>
  <c r="Z214" i="22"/>
  <c r="E56" i="19"/>
  <c r="I409" i="23"/>
  <c r="I411" i="23" s="1"/>
  <c r="I412" i="23" s="1"/>
  <c r="J406" i="23" l="1"/>
  <c r="J409" i="23" s="1"/>
  <c r="J411" i="23" s="1"/>
  <c r="J412" i="23" s="1"/>
  <c r="K406" i="23" l="1"/>
  <c r="K409" i="23" s="1"/>
  <c r="L406" i="23" s="1"/>
  <c r="L409" i="23" s="1"/>
  <c r="K422" i="23"/>
  <c r="K411" i="23"/>
  <c r="K412" i="23" s="1"/>
  <c r="M406" i="23" l="1"/>
  <c r="M409" i="23" s="1"/>
  <c r="L411" i="23"/>
  <c r="L412" i="23" s="1"/>
  <c r="N406" i="23" l="1"/>
  <c r="N409" i="23" s="1"/>
  <c r="M411" i="23"/>
  <c r="M412" i="23" s="1"/>
  <c r="O406" i="23" l="1"/>
  <c r="O409" i="23" s="1"/>
  <c r="N411" i="23"/>
  <c r="N412" i="23" s="1"/>
  <c r="P406" i="23" l="1"/>
  <c r="P409" i="23" s="1"/>
  <c r="O411" i="23"/>
  <c r="O412" i="23" s="1"/>
  <c r="Q406" i="23" l="1"/>
  <c r="Q409" i="23" s="1"/>
  <c r="P411" i="23"/>
  <c r="P412" i="23" s="1"/>
  <c r="R406" i="23" l="1"/>
  <c r="R409" i="23" s="1"/>
  <c r="Q411" i="23"/>
  <c r="Q412" i="23" s="1"/>
  <c r="R411" i="23" l="1"/>
  <c r="R412" i="23" s="1"/>
  <c r="S406" i="23"/>
  <c r="S409" i="23" s="1"/>
  <c r="T406" i="23" l="1"/>
  <c r="T409" i="23" s="1"/>
  <c r="S411" i="23"/>
  <c r="S412" i="23" s="1"/>
  <c r="U406" i="23" l="1"/>
  <c r="U409" i="23" s="1"/>
  <c r="T411" i="23"/>
  <c r="T412" i="23" s="1"/>
  <c r="V406" i="23" l="1"/>
  <c r="V409" i="23" s="1"/>
  <c r="U411" i="23"/>
  <c r="U412" i="23" s="1"/>
  <c r="V411" i="23" l="1"/>
  <c r="V412" i="23" s="1"/>
  <c r="W406" i="23"/>
  <c r="W409" i="23" s="1"/>
  <c r="X406" i="23" l="1"/>
  <c r="X409" i="23" s="1"/>
  <c r="W411" i="23"/>
  <c r="W412" i="23" s="1"/>
  <c r="X411" i="23" l="1"/>
  <c r="X412" i="23" s="1"/>
  <c r="Y406" i="23"/>
  <c r="Y409" i="23" s="1"/>
  <c r="Y411" i="23" l="1"/>
  <c r="Y412" i="23" s="1"/>
  <c r="Z406" i="23"/>
  <c r="Z409" i="23" s="1"/>
  <c r="Z411" i="23" s="1"/>
  <c r="Z412" i="23" s="1"/>
  <c r="P18" i="4"/>
  <c r="I209" i="22"/>
  <c r="I211" i="22" s="1"/>
  <c r="J208" i="22" s="1"/>
  <c r="J211" i="22" s="1"/>
  <c r="K208" i="22" s="1"/>
  <c r="K211" i="22" s="1"/>
  <c r="L208" i="22" s="1"/>
  <c r="L211" i="22" s="1"/>
  <c r="M208" i="22" s="1"/>
  <c r="M211" i="22" s="1"/>
  <c r="M224" i="22" l="1"/>
  <c r="N208" i="22"/>
  <c r="N211" i="22" s="1"/>
  <c r="O208" i="22" s="1"/>
  <c r="O211" i="22" s="1"/>
  <c r="P208" i="22" s="1"/>
  <c r="P211" i="22" s="1"/>
  <c r="Q208" i="22" s="1"/>
  <c r="Q211" i="22" s="1"/>
  <c r="R208" i="22" s="1"/>
  <c r="R211" i="22" s="1"/>
  <c r="S208" i="22" s="1"/>
  <c r="S211" i="22" s="1"/>
  <c r="T208" i="22" s="1"/>
  <c r="T211" i="22" s="1"/>
  <c r="U208" i="22" s="1"/>
  <c r="U211" i="22" s="1"/>
  <c r="V208" i="22" s="1"/>
  <c r="V211" i="22" s="1"/>
  <c r="W208" i="22" s="1"/>
  <c r="W211" i="22" s="1"/>
  <c r="X208" i="22" s="1"/>
  <c r="X211" i="22" s="1"/>
  <c r="Y208" i="22" s="1"/>
  <c r="Y211" i="22" s="1"/>
  <c r="Z208" i="22" s="1"/>
  <c r="Z211" i="22" s="1"/>
  <c r="J200" i="18"/>
  <c r="J202" i="18" s="1"/>
  <c r="K199" i="18" s="1"/>
  <c r="K202" i="18" s="1"/>
  <c r="L199" i="18" s="1"/>
  <c r="L202" i="18" s="1"/>
  <c r="M199" i="18" s="1"/>
  <c r="M202" i="18" s="1"/>
  <c r="N199" i="18" s="1"/>
  <c r="N202" i="18" s="1"/>
  <c r="O199" i="18" s="1"/>
  <c r="O202" i="18" s="1"/>
  <c r="P199" i="18" s="1"/>
  <c r="P202" i="18" s="1"/>
  <c r="Q199" i="18" l="1"/>
  <c r="Q202" i="18" s="1"/>
  <c r="R199" i="18" s="1"/>
  <c r="R202" i="18" s="1"/>
  <c r="S199" i="18" s="1"/>
  <c r="S202" i="18" s="1"/>
  <c r="T199" i="18" s="1"/>
  <c r="T202" i="18" s="1"/>
  <c r="U199" i="18" s="1"/>
  <c r="U202" i="18" s="1"/>
  <c r="V199" i="18" s="1"/>
  <c r="V202" i="18" s="1"/>
  <c r="W199" i="18" s="1"/>
  <c r="W202" i="18" s="1"/>
  <c r="X199" i="18" s="1"/>
  <c r="X202" i="18" s="1"/>
  <c r="Y199" i="18" s="1"/>
  <c r="Y202" i="18" s="1"/>
  <c r="Z199" i="18" s="1"/>
  <c r="Z202" i="18" s="1"/>
  <c r="P215" i="18"/>
  <c r="H48" i="19"/>
  <c r="H58" i="19" s="1"/>
  <c r="AW165" i="22" l="1"/>
  <c r="AW167" i="22" s="1"/>
  <c r="AW168" i="22" s="1"/>
  <c r="AX165" i="22"/>
  <c r="AX167" i="22" s="1"/>
  <c r="AX168" i="22" s="1"/>
  <c r="AY165" i="22"/>
  <c r="AY167" i="22" s="1"/>
  <c r="AY168" i="22" s="1"/>
  <c r="AZ165" i="22"/>
  <c r="AZ167" i="22" s="1"/>
  <c r="AZ168" i="22" s="1"/>
  <c r="BA165" i="22"/>
  <c r="BA167" i="22" s="1"/>
  <c r="BA168" i="22" s="1"/>
  <c r="BB165" i="22"/>
  <c r="BB167" i="22" s="1"/>
  <c r="G25" i="19" l="1"/>
  <c r="BB168" i="22"/>
  <c r="BC165" i="22"/>
  <c r="BC167" i="22"/>
  <c r="BC168" i="22"/>
  <c r="E4" i="1"/>
  <c r="F4" i="1"/>
  <c r="E5" i="1"/>
  <c r="F5" i="1"/>
  <c r="K9" i="1"/>
  <c r="L9" i="1"/>
  <c r="M9" i="1"/>
  <c r="N9" i="1"/>
  <c r="O9" i="1"/>
  <c r="E10" i="1"/>
  <c r="F10" i="1"/>
  <c r="G10" i="1"/>
  <c r="E11" i="1"/>
  <c r="F11" i="1"/>
  <c r="G11" i="1"/>
  <c r="K11" i="1"/>
  <c r="L11" i="1"/>
  <c r="M11" i="1"/>
  <c r="N11" i="1"/>
  <c r="O11" i="1"/>
  <c r="E12" i="1"/>
  <c r="F12" i="1"/>
  <c r="G12" i="1"/>
  <c r="K12" i="1"/>
  <c r="L12" i="1"/>
  <c r="M12" i="1"/>
  <c r="N12" i="1"/>
  <c r="O12" i="1"/>
  <c r="E13" i="1"/>
  <c r="F13" i="1"/>
  <c r="G13" i="1"/>
  <c r="E14" i="1"/>
  <c r="F14" i="1"/>
  <c r="G14" i="1"/>
  <c r="E15" i="1"/>
  <c r="F15" i="1"/>
  <c r="G15" i="1"/>
  <c r="E18" i="1"/>
  <c r="F18" i="1"/>
  <c r="G18" i="1"/>
  <c r="E19" i="1"/>
  <c r="F19" i="1"/>
  <c r="G19" i="1"/>
  <c r="E20" i="1"/>
  <c r="F20" i="1"/>
  <c r="G20" i="1"/>
  <c r="M33" i="1"/>
  <c r="O33" i="1"/>
  <c r="S33" i="1"/>
  <c r="M35" i="1"/>
  <c r="O35" i="1"/>
  <c r="M54" i="1"/>
  <c r="O54" i="1"/>
  <c r="R54" i="1"/>
  <c r="S54" i="1"/>
  <c r="G162" i="1"/>
  <c r="E167" i="1"/>
  <c r="G167" i="1"/>
  <c r="E168" i="1"/>
  <c r="G168" i="1"/>
  <c r="E169" i="1"/>
  <c r="G169" i="1"/>
  <c r="E170" i="1"/>
  <c r="G170" i="1"/>
  <c r="BV170" i="1"/>
  <c r="BW170" i="1"/>
  <c r="BV171" i="1"/>
  <c r="BW171" i="1"/>
  <c r="E177" i="1"/>
  <c r="G177" i="1"/>
  <c r="G179" i="1"/>
  <c r="G181" i="1"/>
  <c r="G183" i="1"/>
  <c r="E184" i="1"/>
  <c r="G184" i="1"/>
  <c r="Q467" i="1"/>
  <c r="R467" i="1"/>
  <c r="S467" i="1"/>
  <c r="Q468" i="1"/>
  <c r="R468" i="1"/>
  <c r="S468" i="1"/>
  <c r="F87" i="5"/>
  <c r="G87" i="5"/>
  <c r="H87" i="5"/>
  <c r="I87" i="5"/>
  <c r="J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E87" i="5"/>
  <c r="BF87" i="5"/>
  <c r="BG87" i="5"/>
  <c r="BH87" i="5"/>
  <c r="BI87" i="5"/>
  <c r="BJ87" i="5"/>
  <c r="BK87" i="5"/>
  <c r="BL87" i="5"/>
  <c r="BM87" i="5"/>
  <c r="BN87" i="5"/>
  <c r="BO87" i="5"/>
  <c r="BP87" i="5"/>
  <c r="BQ87" i="5"/>
  <c r="BR87" i="5"/>
  <c r="BS87" i="5"/>
  <c r="BT87" i="5"/>
  <c r="BU87" i="5"/>
  <c r="BZ87" i="5"/>
  <c r="CA87" i="5"/>
  <c r="CB87" i="5"/>
  <c r="CC87" i="5"/>
  <c r="CD87" i="5"/>
  <c r="CE87" i="5"/>
  <c r="CF87" i="5"/>
  <c r="CG87" i="5"/>
  <c r="CH87" i="5"/>
  <c r="CI87" i="5"/>
  <c r="CJ87" i="5"/>
  <c r="CK87" i="5"/>
  <c r="CL87" i="5"/>
  <c r="CM87" i="5"/>
  <c r="CN87" i="5"/>
  <c r="CO87" i="5"/>
  <c r="CP87" i="5"/>
  <c r="F88" i="5"/>
  <c r="G88" i="5"/>
  <c r="H88" i="5"/>
  <c r="I88" i="5"/>
  <c r="J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E88" i="5"/>
  <c r="BF88" i="5"/>
  <c r="BG88" i="5"/>
  <c r="BH88" i="5"/>
  <c r="BI88" i="5"/>
  <c r="BJ88" i="5"/>
  <c r="BK88" i="5"/>
  <c r="BL88" i="5"/>
  <c r="BM88" i="5"/>
  <c r="BN88" i="5"/>
  <c r="BO88" i="5"/>
  <c r="BP88" i="5"/>
  <c r="BQ88" i="5"/>
  <c r="BR88" i="5"/>
  <c r="BS88" i="5"/>
  <c r="BT88" i="5"/>
  <c r="BU88" i="5"/>
  <c r="BZ88" i="5"/>
  <c r="CA88" i="5"/>
  <c r="CB88" i="5"/>
  <c r="CC88" i="5"/>
  <c r="CD88" i="5"/>
  <c r="CE88" i="5"/>
  <c r="CF88" i="5"/>
  <c r="CG88" i="5"/>
  <c r="CH88" i="5"/>
  <c r="CI88" i="5"/>
  <c r="CJ88" i="5"/>
  <c r="CK88" i="5"/>
  <c r="CL88" i="5"/>
  <c r="CM88" i="5"/>
  <c r="CN88" i="5"/>
  <c r="CO88" i="5"/>
  <c r="CP88" i="5"/>
  <c r="F89" i="5"/>
  <c r="G89" i="5"/>
  <c r="H89" i="5"/>
  <c r="I89" i="5"/>
  <c r="J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E89" i="5"/>
  <c r="BF89" i="5"/>
  <c r="BG89" i="5"/>
  <c r="BH89" i="5"/>
  <c r="BI89" i="5"/>
  <c r="BJ89" i="5"/>
  <c r="BK89" i="5"/>
  <c r="BL89" i="5"/>
  <c r="BM89" i="5"/>
  <c r="BN89" i="5"/>
  <c r="BO89" i="5"/>
  <c r="BP89" i="5"/>
  <c r="BQ89" i="5"/>
  <c r="BR89" i="5"/>
  <c r="BS89" i="5"/>
  <c r="BT89" i="5"/>
  <c r="BU89" i="5"/>
  <c r="BZ89" i="5"/>
  <c r="CA89" i="5"/>
  <c r="CB89" i="5"/>
  <c r="CC89" i="5"/>
  <c r="CD89" i="5"/>
  <c r="CE89" i="5"/>
  <c r="CF89" i="5"/>
  <c r="CG89" i="5"/>
  <c r="CH89" i="5"/>
  <c r="CI89" i="5"/>
  <c r="CJ89" i="5"/>
  <c r="CK89" i="5"/>
  <c r="CL89" i="5"/>
  <c r="CM89" i="5"/>
  <c r="CN89" i="5"/>
  <c r="CO89" i="5"/>
  <c r="CP89" i="5"/>
  <c r="F90" i="5"/>
  <c r="G90" i="5"/>
  <c r="H90" i="5"/>
  <c r="I90" i="5"/>
  <c r="J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E90" i="5"/>
  <c r="BF90" i="5"/>
  <c r="BG90" i="5"/>
  <c r="BH90" i="5"/>
  <c r="BI90" i="5"/>
  <c r="BJ90" i="5"/>
  <c r="BK90" i="5"/>
  <c r="BL90" i="5"/>
  <c r="BM90" i="5"/>
  <c r="BN90" i="5"/>
  <c r="BO90" i="5"/>
  <c r="BP90" i="5"/>
  <c r="BQ90" i="5"/>
  <c r="BR90" i="5"/>
  <c r="BS90" i="5"/>
  <c r="BT90" i="5"/>
  <c r="BU90" i="5"/>
  <c r="BZ90" i="5"/>
  <c r="CA90" i="5"/>
  <c r="CB90" i="5"/>
  <c r="CC90" i="5"/>
  <c r="CD90" i="5"/>
  <c r="CE90" i="5"/>
  <c r="CF90" i="5"/>
  <c r="CG90" i="5"/>
  <c r="CH90" i="5"/>
  <c r="CI90" i="5"/>
  <c r="CJ90" i="5"/>
  <c r="CK90" i="5"/>
  <c r="CL90" i="5"/>
  <c r="CM90" i="5"/>
  <c r="CN90" i="5"/>
  <c r="CO90" i="5"/>
  <c r="CP90" i="5"/>
  <c r="F97" i="5"/>
  <c r="G97" i="5"/>
  <c r="H97" i="5"/>
  <c r="I97" i="5"/>
  <c r="J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D97" i="5"/>
  <c r="BE97" i="5"/>
  <c r="BF97" i="5"/>
  <c r="BG97" i="5"/>
  <c r="BH97" i="5"/>
  <c r="BI97" i="5"/>
  <c r="BJ97" i="5"/>
  <c r="BK97" i="5"/>
  <c r="BL97" i="5"/>
  <c r="BM97" i="5"/>
  <c r="BN97" i="5"/>
  <c r="BO97" i="5"/>
  <c r="BP97" i="5"/>
  <c r="BQ97" i="5"/>
  <c r="BR97" i="5"/>
  <c r="BS97" i="5"/>
  <c r="BT97" i="5"/>
  <c r="BU97" i="5"/>
  <c r="BY97" i="5"/>
  <c r="BZ97" i="5"/>
  <c r="CA97" i="5"/>
  <c r="CB97" i="5"/>
  <c r="CC97" i="5"/>
  <c r="CD97" i="5"/>
  <c r="CE97" i="5"/>
  <c r="CF97" i="5"/>
  <c r="CG97" i="5"/>
  <c r="CH97" i="5"/>
  <c r="CI97" i="5"/>
  <c r="CJ97" i="5"/>
  <c r="CK97" i="5"/>
  <c r="CL97" i="5"/>
  <c r="CM97" i="5"/>
  <c r="CN97" i="5"/>
  <c r="CO97" i="5"/>
  <c r="CP97" i="5"/>
  <c r="L98" i="5"/>
  <c r="F107" i="5"/>
  <c r="G107" i="5"/>
  <c r="H107" i="5"/>
  <c r="I107" i="5"/>
  <c r="J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E107" i="5"/>
  <c r="BF107" i="5"/>
  <c r="BG107" i="5"/>
  <c r="BH107" i="5"/>
  <c r="BI107" i="5"/>
  <c r="BJ107" i="5"/>
  <c r="BK107" i="5"/>
  <c r="BL107" i="5"/>
  <c r="BM107" i="5"/>
  <c r="BN107" i="5"/>
  <c r="BO107" i="5"/>
  <c r="BP107" i="5"/>
  <c r="BQ107" i="5"/>
  <c r="BR107" i="5"/>
  <c r="BS107" i="5"/>
  <c r="BT107" i="5"/>
  <c r="BU107" i="5"/>
  <c r="BZ107" i="5"/>
  <c r="CA107" i="5"/>
  <c r="CB107" i="5"/>
  <c r="CC107" i="5"/>
  <c r="CD107" i="5"/>
  <c r="CE107" i="5"/>
  <c r="CF107" i="5"/>
  <c r="CG107" i="5"/>
  <c r="CH107" i="5"/>
  <c r="CI107" i="5"/>
  <c r="CJ107" i="5"/>
  <c r="CK107" i="5"/>
  <c r="CL107" i="5"/>
  <c r="CM107" i="5"/>
  <c r="CN107" i="5"/>
  <c r="CO107" i="5"/>
  <c r="CP107" i="5"/>
  <c r="F108" i="5"/>
  <c r="G108" i="5"/>
  <c r="H108" i="5"/>
  <c r="I108" i="5"/>
  <c r="J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D108" i="5"/>
  <c r="BE108" i="5"/>
  <c r="BF108" i="5"/>
  <c r="BG108" i="5"/>
  <c r="BH108" i="5"/>
  <c r="BI108" i="5"/>
  <c r="BJ108" i="5"/>
  <c r="BK108" i="5"/>
  <c r="BL108" i="5"/>
  <c r="BM108" i="5"/>
  <c r="BN108" i="5"/>
  <c r="BO108" i="5"/>
  <c r="BP108" i="5"/>
  <c r="BQ108" i="5"/>
  <c r="BR108" i="5"/>
  <c r="BS108" i="5"/>
  <c r="BT108" i="5"/>
  <c r="BU108" i="5"/>
  <c r="BY108" i="5"/>
  <c r="BZ108" i="5"/>
  <c r="CA108" i="5"/>
  <c r="CB108" i="5"/>
  <c r="CC108" i="5"/>
  <c r="CD108" i="5"/>
  <c r="CE108" i="5"/>
  <c r="CF108" i="5"/>
  <c r="CG108" i="5"/>
  <c r="CH108" i="5"/>
  <c r="CI108" i="5"/>
  <c r="CJ108" i="5"/>
  <c r="CK108" i="5"/>
  <c r="CL108" i="5"/>
  <c r="CM108" i="5"/>
  <c r="CN108" i="5"/>
  <c r="CO108" i="5"/>
  <c r="CP108" i="5"/>
  <c r="L109" i="5"/>
  <c r="F110" i="5"/>
  <c r="G110" i="5"/>
  <c r="H110" i="5"/>
  <c r="I110" i="5"/>
  <c r="J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D110" i="5"/>
  <c r="BE110" i="5"/>
  <c r="BF110" i="5"/>
  <c r="BG110" i="5"/>
  <c r="BH110" i="5"/>
  <c r="BI110" i="5"/>
  <c r="BJ110" i="5"/>
  <c r="BK110" i="5"/>
  <c r="BL110" i="5"/>
  <c r="BM110" i="5"/>
  <c r="BN110" i="5"/>
  <c r="BO110" i="5"/>
  <c r="BP110" i="5"/>
  <c r="BQ110" i="5"/>
  <c r="BR110" i="5"/>
  <c r="BS110" i="5"/>
  <c r="BT110" i="5"/>
  <c r="BU110" i="5"/>
  <c r="BY110" i="5"/>
  <c r="BZ110" i="5"/>
  <c r="CA110" i="5"/>
  <c r="CB110" i="5"/>
  <c r="CC110" i="5"/>
  <c r="CD110" i="5"/>
  <c r="CE110" i="5"/>
  <c r="CF110" i="5"/>
  <c r="CG110" i="5"/>
  <c r="CH110" i="5"/>
  <c r="CI110" i="5"/>
  <c r="CJ110" i="5"/>
  <c r="CK110" i="5"/>
  <c r="CL110" i="5"/>
  <c r="CM110" i="5"/>
  <c r="CN110" i="5"/>
  <c r="CO110" i="5"/>
  <c r="CP110" i="5"/>
  <c r="F111" i="5"/>
  <c r="G111" i="5"/>
  <c r="H111" i="5"/>
  <c r="I111" i="5"/>
  <c r="J111" i="5"/>
  <c r="L111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M115" i="5"/>
  <c r="N115" i="5"/>
  <c r="O115" i="5"/>
  <c r="P115" i="5"/>
  <c r="Q115" i="5"/>
  <c r="R115" i="5"/>
  <c r="S115" i="5"/>
  <c r="T115" i="5"/>
  <c r="AB115" i="5"/>
  <c r="D3" i="24"/>
  <c r="F3" i="24"/>
  <c r="G3" i="24"/>
  <c r="H3" i="24"/>
  <c r="I3" i="24"/>
  <c r="J3" i="24"/>
  <c r="K3" i="24"/>
  <c r="L3" i="24"/>
  <c r="M3" i="24"/>
  <c r="N3" i="24"/>
  <c r="O3" i="24"/>
  <c r="P3" i="24"/>
  <c r="Q3" i="24"/>
  <c r="R3" i="24"/>
  <c r="S3" i="24"/>
  <c r="T3" i="24"/>
  <c r="U3" i="24"/>
  <c r="V3" i="24"/>
  <c r="W3" i="24"/>
  <c r="X3" i="24"/>
  <c r="Y3" i="24"/>
  <c r="Z3" i="24"/>
  <c r="D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Y4" i="24"/>
  <c r="Z4" i="24"/>
  <c r="D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D8" i="24"/>
  <c r="D9" i="24"/>
  <c r="D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D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D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D17" i="24"/>
  <c r="D18" i="24"/>
  <c r="D21" i="24"/>
  <c r="F21" i="24"/>
  <c r="G21" i="24"/>
  <c r="H21" i="24"/>
  <c r="I21" i="24"/>
  <c r="J21" i="24"/>
  <c r="K21" i="24"/>
  <c r="L21" i="24"/>
  <c r="M21" i="24"/>
  <c r="N21" i="24"/>
  <c r="O21" i="24"/>
  <c r="P21" i="24"/>
  <c r="Q21" i="24"/>
  <c r="R21" i="24"/>
  <c r="S21" i="24"/>
  <c r="T21" i="24"/>
  <c r="U21" i="24"/>
  <c r="V21" i="24"/>
  <c r="W21" i="24"/>
  <c r="X21" i="24"/>
  <c r="Y21" i="24"/>
  <c r="Z21" i="24"/>
  <c r="D22" i="24"/>
  <c r="I22" i="24"/>
  <c r="J22" i="24"/>
  <c r="K22" i="24"/>
  <c r="L22" i="24"/>
  <c r="M22" i="24"/>
  <c r="N22" i="24"/>
  <c r="O22" i="24"/>
  <c r="P22" i="24"/>
  <c r="Q22" i="24"/>
  <c r="R22" i="24"/>
  <c r="S22" i="24"/>
  <c r="T22" i="24"/>
  <c r="U22" i="24"/>
  <c r="V22" i="24"/>
  <c r="W22" i="24"/>
  <c r="X22" i="24"/>
  <c r="Y22" i="24"/>
  <c r="Z22" i="24"/>
  <c r="D23" i="24"/>
  <c r="K23" i="24"/>
  <c r="L23" i="24"/>
  <c r="M23" i="24"/>
  <c r="N23" i="24"/>
  <c r="O23" i="24"/>
  <c r="P23" i="24"/>
  <c r="Q23" i="24"/>
  <c r="R23" i="24"/>
  <c r="S23" i="24"/>
  <c r="T23" i="24"/>
  <c r="U23" i="24"/>
  <c r="V23" i="24"/>
  <c r="W23" i="24"/>
  <c r="X23" i="24"/>
  <c r="Y23" i="24"/>
  <c r="Z23" i="24"/>
  <c r="F24" i="24"/>
  <c r="G24" i="24"/>
  <c r="H24" i="24"/>
  <c r="I24" i="24"/>
  <c r="J24" i="24"/>
  <c r="K24" i="24"/>
  <c r="L24" i="24"/>
  <c r="M24" i="24"/>
  <c r="N24" i="24"/>
  <c r="O24" i="24"/>
  <c r="P24" i="24"/>
  <c r="Q24" i="24"/>
  <c r="R24" i="24"/>
  <c r="S24" i="24"/>
  <c r="T24" i="24"/>
  <c r="U24" i="24"/>
  <c r="V24" i="24"/>
  <c r="W24" i="24"/>
  <c r="X24" i="24"/>
  <c r="Y24" i="24"/>
  <c r="Z24" i="24"/>
  <c r="D26" i="24"/>
  <c r="D27" i="24"/>
  <c r="D30" i="24"/>
  <c r="F30" i="24"/>
  <c r="G30" i="24"/>
  <c r="H30" i="24"/>
  <c r="I30" i="24"/>
  <c r="J30" i="24"/>
  <c r="K30" i="24"/>
  <c r="L30" i="24"/>
  <c r="M30" i="24"/>
  <c r="N30" i="24"/>
  <c r="O30" i="24"/>
  <c r="P30" i="24"/>
  <c r="Q30" i="24"/>
  <c r="R30" i="24"/>
  <c r="S30" i="24"/>
  <c r="T30" i="24"/>
  <c r="U30" i="24"/>
  <c r="V30" i="24"/>
  <c r="W30" i="24"/>
  <c r="X30" i="24"/>
  <c r="Y30" i="24"/>
  <c r="Z30" i="24"/>
  <c r="D31" i="24"/>
  <c r="I31" i="24"/>
  <c r="J31" i="24"/>
  <c r="K31" i="24"/>
  <c r="L31" i="24"/>
  <c r="M31" i="24"/>
  <c r="N31" i="24"/>
  <c r="O31" i="24"/>
  <c r="P31" i="24"/>
  <c r="Q31" i="24"/>
  <c r="R31" i="24"/>
  <c r="S31" i="24"/>
  <c r="T31" i="24"/>
  <c r="U31" i="24"/>
  <c r="V31" i="24"/>
  <c r="W31" i="24"/>
  <c r="X31" i="24"/>
  <c r="Y31" i="24"/>
  <c r="Z31" i="24"/>
  <c r="D32" i="24"/>
  <c r="K32" i="24"/>
  <c r="L32" i="24"/>
  <c r="M32" i="24"/>
  <c r="N32" i="24"/>
  <c r="O32" i="24"/>
  <c r="P32" i="24"/>
  <c r="Q32" i="24"/>
  <c r="R32" i="24"/>
  <c r="S32" i="24"/>
  <c r="T32" i="24"/>
  <c r="U32" i="24"/>
  <c r="V32" i="24"/>
  <c r="W32" i="24"/>
  <c r="X32" i="24"/>
  <c r="Y32" i="24"/>
  <c r="Z32" i="24"/>
  <c r="F33" i="24"/>
  <c r="G33" i="24"/>
  <c r="H33" i="24"/>
  <c r="I33" i="24"/>
  <c r="J33" i="24"/>
  <c r="K33" i="24"/>
  <c r="L33" i="24"/>
  <c r="M33" i="24"/>
  <c r="N33" i="24"/>
  <c r="O33" i="24"/>
  <c r="P33" i="24"/>
  <c r="Q33" i="24"/>
  <c r="R33" i="24"/>
  <c r="S33" i="24"/>
  <c r="T33" i="24"/>
  <c r="U33" i="24"/>
  <c r="V33" i="24"/>
  <c r="W33" i="24"/>
  <c r="X33" i="24"/>
  <c r="Y33" i="24"/>
  <c r="Z33" i="24"/>
  <c r="D35" i="24"/>
  <c r="D36" i="24"/>
  <c r="F39" i="24"/>
  <c r="G39" i="24"/>
  <c r="H39" i="24"/>
  <c r="I39" i="24"/>
  <c r="J39" i="24"/>
  <c r="K39" i="24"/>
  <c r="L39" i="24"/>
  <c r="M39" i="24"/>
  <c r="N39" i="24"/>
  <c r="O39" i="24"/>
  <c r="P39" i="24"/>
  <c r="Q39" i="24"/>
  <c r="R39" i="24"/>
  <c r="S39" i="24"/>
  <c r="T39" i="24"/>
  <c r="U39" i="24"/>
  <c r="V39" i="24"/>
  <c r="W39" i="24"/>
  <c r="X39" i="24"/>
  <c r="Y39" i="24"/>
  <c r="Z39" i="24"/>
  <c r="F40" i="24"/>
  <c r="G40" i="24"/>
  <c r="H40" i="24"/>
  <c r="I40" i="24"/>
  <c r="J40" i="24"/>
  <c r="K40" i="24"/>
  <c r="L40" i="24"/>
  <c r="M40" i="24"/>
  <c r="N40" i="24"/>
  <c r="O40" i="24"/>
  <c r="P40" i="24"/>
  <c r="Q40" i="24"/>
  <c r="R40" i="24"/>
  <c r="S40" i="24"/>
  <c r="T40" i="24"/>
  <c r="U40" i="24"/>
  <c r="V40" i="24"/>
  <c r="W40" i="24"/>
  <c r="X40" i="24"/>
  <c r="Y40" i="24"/>
  <c r="Z40" i="24"/>
  <c r="I41" i="24"/>
  <c r="J41" i="24"/>
  <c r="K41" i="24"/>
  <c r="L41" i="24"/>
  <c r="M41" i="24"/>
  <c r="N41" i="24"/>
  <c r="O41" i="24"/>
  <c r="P41" i="24"/>
  <c r="Q41" i="24"/>
  <c r="R41" i="24"/>
  <c r="S41" i="24"/>
  <c r="T41" i="24"/>
  <c r="U41" i="24"/>
  <c r="V41" i="24"/>
  <c r="W41" i="24"/>
  <c r="X41" i="24"/>
  <c r="Y41" i="24"/>
  <c r="Z41" i="24"/>
  <c r="I42" i="24"/>
  <c r="J42" i="24"/>
  <c r="K42" i="24"/>
  <c r="L42" i="24"/>
  <c r="M42" i="24"/>
  <c r="N42" i="24"/>
  <c r="O42" i="24"/>
  <c r="P42" i="24"/>
  <c r="Q42" i="24"/>
  <c r="R42" i="24"/>
  <c r="S42" i="24"/>
  <c r="T42" i="24"/>
  <c r="U42" i="24"/>
  <c r="V42" i="24"/>
  <c r="W42" i="24"/>
  <c r="X42" i="24"/>
  <c r="Y42" i="24"/>
  <c r="Z42" i="24"/>
  <c r="K43" i="24"/>
  <c r="L43" i="24"/>
  <c r="M43" i="24"/>
  <c r="N43" i="24"/>
  <c r="O43" i="24"/>
  <c r="P43" i="24"/>
  <c r="Q43" i="24"/>
  <c r="R43" i="24"/>
  <c r="S43" i="24"/>
  <c r="T43" i="24"/>
  <c r="U43" i="24"/>
  <c r="V43" i="24"/>
  <c r="W43" i="24"/>
  <c r="X43" i="24"/>
  <c r="Y43" i="24"/>
  <c r="Z43" i="24"/>
  <c r="K44" i="24"/>
  <c r="L44" i="24"/>
  <c r="M44" i="24"/>
  <c r="N44" i="24"/>
  <c r="O44" i="24"/>
  <c r="P44" i="24"/>
  <c r="Q44" i="24"/>
  <c r="R44" i="24"/>
  <c r="S44" i="24"/>
  <c r="T44" i="24"/>
  <c r="U44" i="24"/>
  <c r="V44" i="24"/>
  <c r="W44" i="24"/>
  <c r="X44" i="24"/>
  <c r="Y44" i="24"/>
  <c r="Z44" i="24"/>
  <c r="F45" i="24"/>
  <c r="G45" i="24"/>
  <c r="H45" i="24"/>
  <c r="I45" i="24"/>
  <c r="J45" i="24"/>
  <c r="K45" i="24"/>
  <c r="L45" i="24"/>
  <c r="M45" i="24"/>
  <c r="N45" i="24"/>
  <c r="O45" i="24"/>
  <c r="P45" i="24"/>
  <c r="Q45" i="24"/>
  <c r="R45" i="24"/>
  <c r="S45" i="24"/>
  <c r="T45" i="24"/>
  <c r="U45" i="24"/>
  <c r="V45" i="24"/>
  <c r="W45" i="24"/>
  <c r="X45" i="24"/>
  <c r="Y45" i="24"/>
  <c r="Z45" i="24"/>
  <c r="F46" i="24"/>
  <c r="G46" i="24"/>
  <c r="H46" i="24"/>
  <c r="I46" i="24"/>
  <c r="J46" i="24"/>
  <c r="K46" i="24"/>
  <c r="L46" i="24"/>
  <c r="M46" i="24"/>
  <c r="N46" i="24"/>
  <c r="O46" i="24"/>
  <c r="P46" i="24"/>
  <c r="Q46" i="24"/>
  <c r="R46" i="24"/>
  <c r="S46" i="24"/>
  <c r="T46" i="24"/>
  <c r="U46" i="24"/>
  <c r="V46" i="24"/>
  <c r="W46" i="24"/>
  <c r="X46" i="24"/>
  <c r="Y46" i="24"/>
  <c r="Z46" i="24"/>
  <c r="F48" i="24"/>
  <c r="G48" i="24"/>
  <c r="H48" i="24"/>
  <c r="I48" i="24"/>
  <c r="J48" i="24"/>
  <c r="K48" i="24"/>
  <c r="L48" i="24"/>
  <c r="M48" i="24"/>
  <c r="N48" i="24"/>
  <c r="O48" i="24"/>
  <c r="P48" i="24"/>
  <c r="Q48" i="24"/>
  <c r="R48" i="24"/>
  <c r="S48" i="24"/>
  <c r="T48" i="24"/>
  <c r="U48" i="24"/>
  <c r="V48" i="24"/>
  <c r="W48" i="24"/>
  <c r="X48" i="24"/>
  <c r="Y48" i="24"/>
  <c r="Z48" i="24"/>
  <c r="I49" i="24"/>
  <c r="J49" i="24"/>
  <c r="K49" i="24"/>
  <c r="L49" i="24"/>
  <c r="M49" i="24"/>
  <c r="N49" i="24"/>
  <c r="O49" i="24"/>
  <c r="P49" i="24"/>
  <c r="Q49" i="24"/>
  <c r="R49" i="24"/>
  <c r="S49" i="24"/>
  <c r="T49" i="24"/>
  <c r="U49" i="24"/>
  <c r="V49" i="24"/>
  <c r="W49" i="24"/>
  <c r="X49" i="24"/>
  <c r="Y49" i="24"/>
  <c r="Z49" i="24"/>
  <c r="K50" i="24"/>
  <c r="L50" i="24"/>
  <c r="M50" i="24"/>
  <c r="N50" i="24"/>
  <c r="O50" i="24"/>
  <c r="P50" i="24"/>
  <c r="Q50" i="24"/>
  <c r="R50" i="24"/>
  <c r="S50" i="24"/>
  <c r="T50" i="24"/>
  <c r="U50" i="24"/>
  <c r="V50" i="24"/>
  <c r="W50" i="24"/>
  <c r="X50" i="24"/>
  <c r="Y50" i="24"/>
  <c r="Z50" i="24"/>
  <c r="F51" i="24"/>
  <c r="G51" i="24"/>
  <c r="H51" i="24"/>
  <c r="I51" i="24"/>
  <c r="J51" i="24"/>
  <c r="K51" i="24"/>
  <c r="L51" i="24"/>
  <c r="M51" i="24"/>
  <c r="N51" i="24"/>
  <c r="O51" i="24"/>
  <c r="P51" i="24"/>
  <c r="Q51" i="24"/>
  <c r="R51" i="24"/>
  <c r="S51" i="24"/>
  <c r="T51" i="24"/>
  <c r="U51" i="24"/>
  <c r="V51" i="24"/>
  <c r="W51" i="24"/>
  <c r="X51" i="24"/>
  <c r="Y51" i="24"/>
  <c r="Z51" i="24"/>
  <c r="C55" i="24"/>
  <c r="D55" i="24"/>
  <c r="E55" i="24"/>
  <c r="C56" i="24"/>
  <c r="D56" i="24"/>
  <c r="E56" i="24"/>
  <c r="C57" i="24"/>
  <c r="D57" i="24"/>
  <c r="E57" i="24"/>
  <c r="C58" i="24"/>
  <c r="D58" i="24"/>
  <c r="E58" i="24"/>
  <c r="E5" i="19"/>
  <c r="F5" i="19"/>
  <c r="G5" i="19"/>
  <c r="H5" i="19"/>
  <c r="J5" i="19"/>
  <c r="L5" i="19"/>
  <c r="N5" i="19"/>
  <c r="E6" i="19"/>
  <c r="F6" i="19"/>
  <c r="G6" i="19"/>
  <c r="H6" i="19"/>
  <c r="J6" i="19"/>
  <c r="L6" i="19"/>
  <c r="N6" i="19"/>
  <c r="J7" i="19"/>
  <c r="L7" i="19"/>
  <c r="N7" i="19"/>
  <c r="J8" i="19"/>
  <c r="L8" i="19"/>
  <c r="N8" i="19"/>
  <c r="E9" i="19"/>
  <c r="F9" i="19"/>
  <c r="G9" i="19"/>
  <c r="H9" i="19"/>
  <c r="J9" i="19"/>
  <c r="L9" i="19"/>
  <c r="N9" i="19"/>
  <c r="E10" i="19"/>
  <c r="F10" i="19"/>
  <c r="G10" i="19"/>
  <c r="H10" i="19"/>
  <c r="J10" i="19"/>
  <c r="L10" i="19"/>
  <c r="N10" i="19"/>
  <c r="E11" i="19"/>
  <c r="F11" i="19"/>
  <c r="G11" i="19"/>
  <c r="H11" i="19"/>
  <c r="J11" i="19"/>
  <c r="L11" i="19"/>
  <c r="N11" i="19"/>
  <c r="E12" i="19"/>
  <c r="F12" i="19"/>
  <c r="G12" i="19"/>
  <c r="H12" i="19"/>
  <c r="J12" i="19"/>
  <c r="L12" i="19"/>
  <c r="N12" i="19"/>
  <c r="E13" i="19"/>
  <c r="F13" i="19"/>
  <c r="G13" i="19"/>
  <c r="H13" i="19"/>
  <c r="J13" i="19"/>
  <c r="L13" i="19"/>
  <c r="N13" i="19"/>
  <c r="E14" i="19"/>
  <c r="F14" i="19"/>
  <c r="G14" i="19"/>
  <c r="H14" i="19"/>
  <c r="J14" i="19"/>
  <c r="L14" i="19"/>
  <c r="N14" i="19"/>
  <c r="E15" i="19"/>
  <c r="F15" i="19"/>
  <c r="G15" i="19"/>
  <c r="H15" i="19"/>
  <c r="J15" i="19"/>
  <c r="L15" i="19"/>
  <c r="N15" i="19"/>
  <c r="E16" i="19"/>
  <c r="F16" i="19"/>
  <c r="G16" i="19"/>
  <c r="H16" i="19"/>
  <c r="J16" i="19"/>
  <c r="L16" i="19"/>
  <c r="N16" i="19"/>
  <c r="E17" i="19"/>
  <c r="H17" i="19"/>
  <c r="J17" i="19"/>
  <c r="L17" i="19"/>
  <c r="N17" i="19"/>
  <c r="E20" i="19"/>
  <c r="F20" i="19"/>
  <c r="G20" i="19"/>
  <c r="H20" i="19"/>
  <c r="E22" i="19"/>
  <c r="F22" i="19"/>
  <c r="G22" i="19"/>
  <c r="H22" i="19"/>
  <c r="I22" i="19"/>
  <c r="K22" i="19"/>
  <c r="M22" i="19"/>
  <c r="E23" i="19"/>
  <c r="F23" i="19"/>
  <c r="G23" i="19"/>
  <c r="H23" i="19"/>
  <c r="I23" i="19"/>
  <c r="K23" i="19"/>
  <c r="M23" i="19"/>
  <c r="E24" i="19"/>
  <c r="F24" i="19"/>
  <c r="G24" i="19"/>
  <c r="H24" i="19"/>
  <c r="I24" i="19"/>
  <c r="K24" i="19"/>
  <c r="M24" i="19"/>
  <c r="E25" i="19"/>
  <c r="F25" i="19"/>
  <c r="H25" i="19"/>
  <c r="I25" i="19"/>
  <c r="K25" i="19"/>
  <c r="M25" i="19"/>
  <c r="E26" i="19"/>
  <c r="F26" i="19"/>
  <c r="G26" i="19"/>
  <c r="H26" i="19"/>
  <c r="I26" i="19"/>
  <c r="K26" i="19"/>
  <c r="M26" i="19"/>
  <c r="E27" i="19"/>
  <c r="F27" i="19"/>
  <c r="G27" i="19"/>
  <c r="H27" i="19"/>
  <c r="I27" i="19"/>
  <c r="K27" i="19"/>
  <c r="M27" i="19"/>
  <c r="E28" i="19"/>
  <c r="F28" i="19"/>
  <c r="G28" i="19"/>
  <c r="H28" i="19"/>
  <c r="I28" i="19"/>
  <c r="K28" i="19"/>
  <c r="M28" i="19"/>
  <c r="E29" i="19"/>
  <c r="F29" i="19"/>
  <c r="G29" i="19"/>
  <c r="H29" i="19"/>
  <c r="I29" i="19"/>
  <c r="K29" i="19"/>
  <c r="M29" i="19"/>
  <c r="E30" i="19"/>
  <c r="F30" i="19"/>
  <c r="G30" i="19"/>
  <c r="H30" i="19"/>
  <c r="I30" i="19"/>
  <c r="K30" i="19"/>
  <c r="M30" i="19"/>
  <c r="E31" i="19"/>
  <c r="F31" i="19"/>
  <c r="G31" i="19"/>
  <c r="H31" i="19"/>
  <c r="I31" i="19"/>
  <c r="K31" i="19"/>
  <c r="M31" i="19"/>
  <c r="E32" i="19"/>
  <c r="F32" i="19"/>
  <c r="G32" i="19"/>
  <c r="H32" i="19"/>
  <c r="I32" i="19"/>
  <c r="K32" i="19"/>
  <c r="M32" i="19"/>
  <c r="E33" i="19"/>
  <c r="F33" i="19"/>
  <c r="G33" i="19"/>
  <c r="H33" i="19"/>
  <c r="I33" i="19"/>
  <c r="K33" i="19"/>
  <c r="M33" i="19"/>
  <c r="E34" i="19"/>
  <c r="H34" i="19"/>
  <c r="I34" i="19"/>
  <c r="K34" i="19"/>
  <c r="M34" i="19"/>
  <c r="F37" i="19"/>
  <c r="G37" i="19"/>
  <c r="H37" i="19"/>
  <c r="E40" i="19"/>
  <c r="F40" i="19"/>
  <c r="G40" i="19"/>
  <c r="H40" i="19"/>
  <c r="E42" i="19"/>
  <c r="F42" i="19"/>
  <c r="G42" i="19"/>
  <c r="H42" i="19"/>
  <c r="E45" i="19"/>
  <c r="F45" i="19"/>
  <c r="G45" i="19"/>
  <c r="J45" i="19"/>
  <c r="L45" i="19"/>
  <c r="N45" i="19"/>
  <c r="E48" i="19"/>
  <c r="F48" i="19"/>
  <c r="G48" i="19"/>
  <c r="E50" i="19"/>
  <c r="F50" i="19"/>
  <c r="G50" i="19"/>
  <c r="H50" i="19"/>
  <c r="I50" i="19"/>
  <c r="K50" i="19"/>
  <c r="M50" i="19"/>
  <c r="E58" i="19"/>
  <c r="F58" i="19"/>
  <c r="G58" i="19"/>
  <c r="E61" i="19"/>
  <c r="H61" i="19"/>
  <c r="J61" i="19"/>
  <c r="L61" i="19"/>
  <c r="N61" i="19"/>
  <c r="E64" i="19"/>
  <c r="H64" i="19"/>
  <c r="I66" i="19"/>
  <c r="K66" i="19"/>
  <c r="M66" i="19"/>
  <c r="E74" i="19"/>
  <c r="H74" i="19"/>
  <c r="E76" i="19"/>
  <c r="F76" i="19"/>
  <c r="G76" i="19"/>
  <c r="H76" i="19"/>
  <c r="I76" i="19"/>
  <c r="K76" i="19"/>
  <c r="M76" i="19"/>
  <c r="E77" i="19"/>
  <c r="F77" i="19"/>
  <c r="G77" i="19"/>
  <c r="H77" i="19"/>
  <c r="J77" i="19"/>
  <c r="L77" i="19"/>
  <c r="N77" i="19"/>
  <c r="E78" i="19"/>
  <c r="F78" i="19"/>
  <c r="G78" i="19"/>
  <c r="H78" i="19"/>
  <c r="D8" i="2"/>
  <c r="E8" i="2"/>
  <c r="F8" i="2"/>
  <c r="G8" i="2"/>
  <c r="H8" i="2"/>
  <c r="I8" i="2"/>
  <c r="J8" i="2"/>
  <c r="K8" i="2"/>
  <c r="L8" i="2"/>
  <c r="M8" i="2"/>
  <c r="N8" i="2"/>
  <c r="D10" i="2"/>
  <c r="E10" i="2"/>
  <c r="F10" i="2"/>
  <c r="G10" i="2"/>
  <c r="H10" i="2"/>
  <c r="I10" i="2"/>
  <c r="J10" i="2"/>
  <c r="K10" i="2"/>
  <c r="L10" i="2"/>
  <c r="M10" i="2"/>
  <c r="N10" i="2"/>
  <c r="D12" i="2"/>
  <c r="E12" i="2"/>
  <c r="F12" i="2"/>
  <c r="G12" i="2"/>
  <c r="H12" i="2"/>
  <c r="I12" i="2"/>
  <c r="J12" i="2"/>
  <c r="K12" i="2"/>
  <c r="L12" i="2"/>
  <c r="M12" i="2"/>
  <c r="N12" i="2"/>
  <c r="D13" i="2"/>
  <c r="E13" i="2"/>
  <c r="F13" i="2"/>
  <c r="G13" i="2"/>
  <c r="H13" i="2"/>
  <c r="I13" i="2"/>
  <c r="J13" i="2"/>
  <c r="K13" i="2"/>
  <c r="L13" i="2"/>
  <c r="M13" i="2"/>
  <c r="N13" i="2"/>
  <c r="D14" i="2"/>
  <c r="E14" i="2"/>
  <c r="F14" i="2"/>
  <c r="G14" i="2"/>
  <c r="H14" i="2"/>
  <c r="I14" i="2"/>
  <c r="J14" i="2"/>
  <c r="K14" i="2"/>
  <c r="L14" i="2"/>
  <c r="M14" i="2"/>
  <c r="N14" i="2"/>
  <c r="D15" i="2"/>
  <c r="E15" i="2"/>
  <c r="F15" i="2"/>
  <c r="G15" i="2"/>
  <c r="H15" i="2"/>
  <c r="I15" i="2"/>
  <c r="J15" i="2"/>
  <c r="K15" i="2"/>
  <c r="L15" i="2"/>
  <c r="M15" i="2"/>
  <c r="N15" i="2"/>
  <c r="D17" i="2"/>
  <c r="E17" i="2"/>
  <c r="F17" i="2"/>
  <c r="G17" i="2"/>
  <c r="H17" i="2"/>
  <c r="I17" i="2"/>
  <c r="J17" i="2"/>
  <c r="K17" i="2"/>
  <c r="L17" i="2"/>
  <c r="M17" i="2"/>
  <c r="N17" i="2"/>
  <c r="D20" i="2"/>
  <c r="E20" i="2"/>
  <c r="F20" i="2"/>
  <c r="G20" i="2"/>
  <c r="H20" i="2"/>
  <c r="I20" i="2"/>
  <c r="J20" i="2"/>
  <c r="K20" i="2"/>
  <c r="L20" i="2"/>
  <c r="M20" i="2"/>
  <c r="D22" i="2"/>
  <c r="E22" i="2"/>
  <c r="F22" i="2"/>
  <c r="G22" i="2"/>
  <c r="H22" i="2"/>
  <c r="I22" i="2"/>
  <c r="J22" i="2"/>
  <c r="K22" i="2"/>
  <c r="L22" i="2"/>
  <c r="M22" i="2"/>
  <c r="N22" i="2"/>
  <c r="N23" i="2"/>
  <c r="N24" i="2"/>
  <c r="D25" i="2"/>
  <c r="E25" i="2"/>
  <c r="F25" i="2"/>
  <c r="G25" i="2"/>
  <c r="H25" i="2"/>
  <c r="I25" i="2"/>
  <c r="J25" i="2"/>
  <c r="K25" i="2"/>
  <c r="L25" i="2"/>
  <c r="M25" i="2"/>
  <c r="N25" i="2"/>
  <c r="D44" i="2"/>
  <c r="E44" i="2"/>
  <c r="F44" i="2"/>
  <c r="G44" i="2"/>
  <c r="H44" i="2"/>
  <c r="I44" i="2"/>
  <c r="J44" i="2"/>
  <c r="K44" i="2"/>
  <c r="L44" i="2"/>
  <c r="M44" i="2"/>
  <c r="N44" i="2"/>
  <c r="D45" i="2"/>
  <c r="E45" i="2"/>
  <c r="F45" i="2"/>
  <c r="G45" i="2"/>
  <c r="H45" i="2"/>
  <c r="I45" i="2"/>
  <c r="J45" i="2"/>
  <c r="K45" i="2"/>
  <c r="L45" i="2"/>
  <c r="M45" i="2"/>
  <c r="N45" i="2"/>
  <c r="E46" i="2"/>
  <c r="F46" i="2"/>
  <c r="G46" i="2"/>
  <c r="H46" i="2"/>
  <c r="I46" i="2"/>
  <c r="J46" i="2"/>
  <c r="K46" i="2"/>
  <c r="D47" i="2"/>
  <c r="E47" i="2"/>
  <c r="F47" i="2"/>
  <c r="G47" i="2"/>
  <c r="H47" i="2"/>
  <c r="I47" i="2"/>
  <c r="J47" i="2"/>
  <c r="K47" i="2"/>
  <c r="L47" i="2"/>
  <c r="M47" i="2"/>
  <c r="N47" i="2"/>
  <c r="D50" i="2"/>
  <c r="E50" i="2"/>
  <c r="F50" i="2"/>
  <c r="G50" i="2"/>
  <c r="H50" i="2"/>
  <c r="I50" i="2"/>
  <c r="J50" i="2"/>
  <c r="K50" i="2"/>
  <c r="L50" i="2"/>
  <c r="M50" i="2"/>
  <c r="N50" i="2"/>
  <c r="N51" i="2"/>
  <c r="N52" i="2"/>
  <c r="D53" i="2"/>
  <c r="E53" i="2"/>
  <c r="F53" i="2"/>
  <c r="G53" i="2"/>
  <c r="H53" i="2"/>
  <c r="I53" i="2"/>
  <c r="J53" i="2"/>
  <c r="K53" i="2"/>
  <c r="L53" i="2"/>
  <c r="M53" i="2"/>
  <c r="N53" i="2"/>
  <c r="D54" i="2"/>
  <c r="E54" i="2"/>
  <c r="F54" i="2"/>
  <c r="G54" i="2"/>
  <c r="H54" i="2"/>
  <c r="I54" i="2"/>
  <c r="J54" i="2"/>
  <c r="K54" i="2"/>
  <c r="L54" i="2"/>
  <c r="M54" i="2"/>
  <c r="N54" i="2"/>
  <c r="E55" i="2"/>
  <c r="F55" i="2"/>
  <c r="G55" i="2"/>
  <c r="H55" i="2"/>
  <c r="I55" i="2"/>
  <c r="J55" i="2"/>
  <c r="K55" i="2"/>
  <c r="D56" i="2"/>
  <c r="E56" i="2"/>
  <c r="F56" i="2"/>
  <c r="G56" i="2"/>
  <c r="H56" i="2"/>
  <c r="I56" i="2"/>
  <c r="J56" i="2"/>
  <c r="K56" i="2"/>
  <c r="L56" i="2"/>
  <c r="M56" i="2"/>
  <c r="N56" i="2"/>
  <c r="D57" i="2"/>
  <c r="E57" i="2"/>
  <c r="F57" i="2"/>
  <c r="G57" i="2"/>
  <c r="H57" i="2"/>
  <c r="I57" i="2"/>
  <c r="J57" i="2"/>
  <c r="K57" i="2"/>
  <c r="L57" i="2"/>
  <c r="M57" i="2"/>
  <c r="N57" i="2"/>
  <c r="D58" i="2"/>
  <c r="E58" i="2"/>
  <c r="F58" i="2"/>
  <c r="G58" i="2"/>
  <c r="H58" i="2"/>
  <c r="I58" i="2"/>
  <c r="J58" i="2"/>
  <c r="K58" i="2"/>
  <c r="L58" i="2"/>
  <c r="M58" i="2"/>
  <c r="N58" i="2"/>
  <c r="D60" i="2"/>
  <c r="D61" i="2"/>
  <c r="D62" i="2"/>
  <c r="D63" i="2"/>
  <c r="I63" i="2"/>
  <c r="K74" i="2"/>
  <c r="L74" i="2"/>
  <c r="K86" i="2"/>
  <c r="L86" i="2"/>
  <c r="K91" i="2"/>
  <c r="L91" i="2"/>
  <c r="E95" i="2"/>
  <c r="G95" i="2"/>
  <c r="E96" i="2"/>
  <c r="G96" i="2"/>
  <c r="E97" i="2"/>
  <c r="G97" i="2"/>
  <c r="E98" i="2"/>
  <c r="G98" i="2"/>
  <c r="K98" i="2"/>
  <c r="M98" i="2"/>
  <c r="N98" i="2"/>
  <c r="E99" i="2"/>
  <c r="G99" i="2"/>
  <c r="E100" i="2"/>
  <c r="G100" i="2"/>
  <c r="E101" i="2"/>
  <c r="G101" i="2"/>
  <c r="E102" i="2"/>
  <c r="G102" i="2"/>
  <c r="K103" i="2"/>
  <c r="M104" i="2"/>
  <c r="N104" i="2"/>
  <c r="K109" i="2"/>
  <c r="M109" i="2"/>
  <c r="N109" i="2"/>
  <c r="N110" i="2"/>
  <c r="F113" i="2"/>
  <c r="K113" i="2"/>
  <c r="M113" i="2"/>
  <c r="N113" i="2"/>
  <c r="AI67" i="3"/>
  <c r="AI69" i="3"/>
  <c r="AQ18" i="18"/>
  <c r="AR18" i="18"/>
  <c r="AS18" i="18"/>
  <c r="AT18" i="18"/>
  <c r="AU18" i="18"/>
  <c r="AV18" i="18"/>
  <c r="AW18" i="18"/>
  <c r="AX18" i="18"/>
  <c r="AY18" i="18"/>
  <c r="AZ18" i="18"/>
  <c r="BA18" i="18"/>
  <c r="BB18" i="18"/>
  <c r="BC18" i="18"/>
  <c r="BD18" i="18"/>
  <c r="BE18" i="18"/>
  <c r="BF18" i="18"/>
  <c r="BG18" i="18"/>
  <c r="BH18" i="18"/>
  <c r="BI18" i="18"/>
  <c r="BJ18" i="18"/>
  <c r="BK18" i="18"/>
  <c r="AQ19" i="18"/>
  <c r="AR19" i="18"/>
  <c r="AS19" i="18"/>
  <c r="AT19" i="18"/>
  <c r="AU19" i="18"/>
  <c r="AV19" i="18"/>
  <c r="AW19" i="18"/>
  <c r="AX19" i="18"/>
  <c r="AY19" i="18"/>
  <c r="AZ19" i="18"/>
  <c r="BA19" i="18"/>
  <c r="BB19" i="18"/>
  <c r="BC19" i="18"/>
  <c r="BD19" i="18"/>
  <c r="BE19" i="18"/>
  <c r="BF19" i="18"/>
  <c r="BG19" i="18"/>
  <c r="BH19" i="18"/>
  <c r="BI19" i="18"/>
  <c r="BJ19" i="18"/>
  <c r="BK19" i="18"/>
  <c r="AQ21" i="18"/>
  <c r="AR21" i="18"/>
  <c r="AS21" i="18"/>
  <c r="AT21" i="18"/>
  <c r="AU21" i="18"/>
  <c r="AV21" i="18"/>
  <c r="AW21" i="18"/>
  <c r="AX21" i="18"/>
  <c r="AY21" i="18"/>
  <c r="AZ21" i="18"/>
  <c r="BA21" i="18"/>
  <c r="BB21" i="18"/>
  <c r="BC21" i="18"/>
  <c r="BD21" i="18"/>
  <c r="BE21" i="18"/>
  <c r="BF21" i="18"/>
  <c r="BG21" i="18"/>
  <c r="BH21" i="18"/>
  <c r="BI21" i="18"/>
  <c r="BJ21" i="18"/>
  <c r="BK21" i="18"/>
  <c r="AQ22" i="18"/>
  <c r="AR22" i="18"/>
  <c r="AS22" i="18"/>
  <c r="AT22" i="18"/>
  <c r="AU22" i="18"/>
  <c r="AV22" i="18"/>
  <c r="AW22" i="18"/>
  <c r="AX22" i="18"/>
  <c r="AY22" i="18"/>
  <c r="AZ22" i="18"/>
  <c r="BA22" i="18"/>
  <c r="BB22" i="18"/>
  <c r="BC22" i="18"/>
  <c r="BD22" i="18"/>
  <c r="BE22" i="18"/>
  <c r="BF22" i="18"/>
  <c r="BG22" i="18"/>
  <c r="BH22" i="18"/>
  <c r="BI22" i="18"/>
  <c r="BJ22" i="18"/>
  <c r="BK22" i="18"/>
  <c r="F23" i="18"/>
  <c r="G23" i="18"/>
  <c r="H23" i="18"/>
  <c r="I23" i="18"/>
  <c r="J23" i="18"/>
  <c r="K23" i="18"/>
  <c r="L23" i="18"/>
  <c r="M23" i="18"/>
  <c r="N23" i="18"/>
  <c r="O23" i="18"/>
  <c r="P23" i="18"/>
  <c r="Q23" i="18"/>
  <c r="R23" i="18"/>
  <c r="S23" i="18"/>
  <c r="T23" i="18"/>
  <c r="U23" i="18"/>
  <c r="V23" i="18"/>
  <c r="W23" i="18"/>
  <c r="X23" i="18"/>
  <c r="Y23" i="18"/>
  <c r="Z23" i="18"/>
  <c r="AQ23" i="18"/>
  <c r="AR23" i="18"/>
  <c r="AS23" i="18"/>
  <c r="AT23" i="18"/>
  <c r="AU23" i="18"/>
  <c r="AV23" i="18"/>
  <c r="AW23" i="18"/>
  <c r="AX23" i="18"/>
  <c r="AY23" i="18"/>
  <c r="AZ23" i="18"/>
  <c r="BA23" i="18"/>
  <c r="BB23" i="18"/>
  <c r="BC23" i="18"/>
  <c r="BD23" i="18"/>
  <c r="BE23" i="18"/>
  <c r="BF23" i="18"/>
  <c r="BG23" i="18"/>
  <c r="BH23" i="18"/>
  <c r="BI23" i="18"/>
  <c r="BJ23" i="18"/>
  <c r="BK23" i="18"/>
  <c r="F24" i="18"/>
  <c r="G24" i="18"/>
  <c r="H24" i="18"/>
  <c r="I24" i="18"/>
  <c r="J24" i="18"/>
  <c r="K24" i="18"/>
  <c r="L24" i="18"/>
  <c r="M24" i="18"/>
  <c r="N24" i="18"/>
  <c r="O24" i="18"/>
  <c r="P24" i="18"/>
  <c r="Q24" i="18"/>
  <c r="R24" i="18"/>
  <c r="S24" i="18"/>
  <c r="T24" i="18"/>
  <c r="U24" i="18"/>
  <c r="V24" i="18"/>
  <c r="W24" i="18"/>
  <c r="X24" i="18"/>
  <c r="Y24" i="18"/>
  <c r="Z24" i="18"/>
  <c r="F26" i="18"/>
  <c r="G26" i="18"/>
  <c r="H26" i="18"/>
  <c r="I26" i="18"/>
  <c r="J26" i="18"/>
  <c r="K26" i="18"/>
  <c r="L26" i="18"/>
  <c r="M26" i="18"/>
  <c r="N26" i="18"/>
  <c r="O26" i="18"/>
  <c r="P26" i="18"/>
  <c r="Q26" i="18"/>
  <c r="R26" i="18"/>
  <c r="S26" i="18"/>
  <c r="T26" i="18"/>
  <c r="U26" i="18"/>
  <c r="V26" i="18"/>
  <c r="W26" i="18"/>
  <c r="X26" i="18"/>
  <c r="Y26" i="18"/>
  <c r="Z26" i="18"/>
  <c r="F27" i="18"/>
  <c r="G27" i="18"/>
  <c r="H27" i="18"/>
  <c r="I27" i="18"/>
  <c r="J27" i="18"/>
  <c r="K27" i="18"/>
  <c r="L27" i="18"/>
  <c r="M27" i="18"/>
  <c r="N27" i="18"/>
  <c r="O27" i="18"/>
  <c r="P27" i="18"/>
  <c r="Q27" i="18"/>
  <c r="R27" i="18"/>
  <c r="S27" i="18"/>
  <c r="T27" i="18"/>
  <c r="U27" i="18"/>
  <c r="V27" i="18"/>
  <c r="W27" i="18"/>
  <c r="X27" i="18"/>
  <c r="Y27" i="18"/>
  <c r="Z27" i="18"/>
  <c r="F28" i="18"/>
  <c r="G28" i="18"/>
  <c r="H28" i="18"/>
  <c r="I28" i="18"/>
  <c r="J28" i="18"/>
  <c r="K28" i="18"/>
  <c r="L28" i="18"/>
  <c r="M28" i="18"/>
  <c r="N28" i="18"/>
  <c r="O28" i="18"/>
  <c r="P28" i="18"/>
  <c r="Q28" i="18"/>
  <c r="R28" i="18"/>
  <c r="S28" i="18"/>
  <c r="T28" i="18"/>
  <c r="U28" i="18"/>
  <c r="V28" i="18"/>
  <c r="W28" i="18"/>
  <c r="X28" i="18"/>
  <c r="Y28" i="18"/>
  <c r="Z28" i="18"/>
  <c r="AQ41" i="18"/>
  <c r="AR41" i="18"/>
  <c r="AS41" i="18"/>
  <c r="AT41" i="18"/>
  <c r="AU41" i="18"/>
  <c r="AV41" i="18"/>
  <c r="AW41" i="18"/>
  <c r="AX41" i="18"/>
  <c r="AY41" i="18"/>
  <c r="AZ41" i="18"/>
  <c r="BA41" i="18"/>
  <c r="BB41" i="18"/>
  <c r="BC41" i="18"/>
  <c r="BD41" i="18"/>
  <c r="BE41" i="18"/>
  <c r="BF41" i="18"/>
  <c r="BG41" i="18"/>
  <c r="BH41" i="18"/>
  <c r="BI41" i="18"/>
  <c r="BJ41" i="18"/>
  <c r="BK41" i="18"/>
  <c r="AQ42" i="18"/>
  <c r="AR42" i="18"/>
  <c r="AS42" i="18"/>
  <c r="AT42" i="18"/>
  <c r="AU42" i="18"/>
  <c r="AV42" i="18"/>
  <c r="AW42" i="18"/>
  <c r="AX42" i="18"/>
  <c r="AY42" i="18"/>
  <c r="AZ42" i="18"/>
  <c r="BA42" i="18"/>
  <c r="BB42" i="18"/>
  <c r="BC42" i="18"/>
  <c r="BD42" i="18"/>
  <c r="BE42" i="18"/>
  <c r="BF42" i="18"/>
  <c r="BG42" i="18"/>
  <c r="BH42" i="18"/>
  <c r="BI42" i="18"/>
  <c r="BJ42" i="18"/>
  <c r="BK42" i="18"/>
  <c r="AQ44" i="18"/>
  <c r="AR44" i="18"/>
  <c r="AS44" i="18"/>
  <c r="AT44" i="18"/>
  <c r="AU44" i="18"/>
  <c r="AV44" i="18"/>
  <c r="AW44" i="18"/>
  <c r="AX44" i="18"/>
  <c r="AY44" i="18"/>
  <c r="AZ44" i="18"/>
  <c r="BA44" i="18"/>
  <c r="BB44" i="18"/>
  <c r="BC44" i="18"/>
  <c r="BD44" i="18"/>
  <c r="BE44" i="18"/>
  <c r="BF44" i="18"/>
  <c r="BG44" i="18"/>
  <c r="BH44" i="18"/>
  <c r="BI44" i="18"/>
  <c r="BJ44" i="18"/>
  <c r="BK44" i="18"/>
  <c r="AQ45" i="18"/>
  <c r="AR45" i="18"/>
  <c r="AS45" i="18"/>
  <c r="AT45" i="18"/>
  <c r="AU45" i="18"/>
  <c r="AV45" i="18"/>
  <c r="AW45" i="18"/>
  <c r="AX45" i="18"/>
  <c r="AY45" i="18"/>
  <c r="AZ45" i="18"/>
  <c r="BA45" i="18"/>
  <c r="BB45" i="18"/>
  <c r="BC45" i="18"/>
  <c r="BD45" i="18"/>
  <c r="BE45" i="18"/>
  <c r="BF45" i="18"/>
  <c r="BG45" i="18"/>
  <c r="BH45" i="18"/>
  <c r="BI45" i="18"/>
  <c r="BJ45" i="18"/>
  <c r="BK45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Q46" i="18"/>
  <c r="AR46" i="18"/>
  <c r="AS46" i="18"/>
  <c r="AT46" i="18"/>
  <c r="AU46" i="18"/>
  <c r="AV46" i="18"/>
  <c r="AW46" i="18"/>
  <c r="AX46" i="18"/>
  <c r="AY46" i="18"/>
  <c r="AZ46" i="18"/>
  <c r="BA46" i="18"/>
  <c r="BB46" i="18"/>
  <c r="BC46" i="18"/>
  <c r="BD46" i="18"/>
  <c r="BE46" i="18"/>
  <c r="BF46" i="18"/>
  <c r="BG46" i="18"/>
  <c r="BH46" i="18"/>
  <c r="BI46" i="18"/>
  <c r="BJ46" i="18"/>
  <c r="BK46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Q64" i="18"/>
  <c r="AR64" i="18"/>
  <c r="AS64" i="18"/>
  <c r="AT64" i="18"/>
  <c r="AU64" i="18"/>
  <c r="AV64" i="18"/>
  <c r="AW64" i="18"/>
  <c r="AX64" i="18"/>
  <c r="AY64" i="18"/>
  <c r="AZ64" i="18"/>
  <c r="BA64" i="18"/>
  <c r="BB64" i="18"/>
  <c r="BC64" i="18"/>
  <c r="BD64" i="18"/>
  <c r="BE64" i="18"/>
  <c r="BF64" i="18"/>
  <c r="BG64" i="18"/>
  <c r="BH64" i="18"/>
  <c r="BI64" i="18"/>
  <c r="BJ64" i="18"/>
  <c r="BK64" i="18"/>
  <c r="AQ65" i="18"/>
  <c r="AR65" i="18"/>
  <c r="AS65" i="18"/>
  <c r="AT65" i="18"/>
  <c r="AU65" i="18"/>
  <c r="AV65" i="18"/>
  <c r="AW65" i="18"/>
  <c r="AX65" i="18"/>
  <c r="AY65" i="18"/>
  <c r="AZ65" i="18"/>
  <c r="BA65" i="18"/>
  <c r="BB65" i="18"/>
  <c r="BC65" i="18"/>
  <c r="BD65" i="18"/>
  <c r="BE65" i="18"/>
  <c r="BF65" i="18"/>
  <c r="BG65" i="18"/>
  <c r="BH65" i="18"/>
  <c r="BI65" i="18"/>
  <c r="BJ65" i="18"/>
  <c r="BK65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Q67" i="18"/>
  <c r="AR67" i="18"/>
  <c r="AS67" i="18"/>
  <c r="AT67" i="18"/>
  <c r="AU67" i="18"/>
  <c r="AV67" i="18"/>
  <c r="AW67" i="18"/>
  <c r="AX67" i="18"/>
  <c r="AY67" i="18"/>
  <c r="AZ67" i="18"/>
  <c r="BA67" i="18"/>
  <c r="BB67" i="18"/>
  <c r="BC67" i="18"/>
  <c r="BD67" i="18"/>
  <c r="BE67" i="18"/>
  <c r="BF67" i="18"/>
  <c r="BG67" i="18"/>
  <c r="BH67" i="18"/>
  <c r="BI67" i="18"/>
  <c r="BJ67" i="18"/>
  <c r="BK67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Q68" i="18"/>
  <c r="AR68" i="18"/>
  <c r="AS68" i="18"/>
  <c r="AT68" i="18"/>
  <c r="AU68" i="18"/>
  <c r="AV68" i="18"/>
  <c r="AW68" i="18"/>
  <c r="AX68" i="18"/>
  <c r="AY68" i="18"/>
  <c r="AZ68" i="18"/>
  <c r="BA68" i="18"/>
  <c r="BB68" i="18"/>
  <c r="BC68" i="18"/>
  <c r="BD68" i="18"/>
  <c r="BE68" i="18"/>
  <c r="BF68" i="18"/>
  <c r="BG68" i="18"/>
  <c r="BH68" i="18"/>
  <c r="BI68" i="18"/>
  <c r="BJ68" i="18"/>
  <c r="BK68" i="18"/>
  <c r="AQ69" i="18"/>
  <c r="AR69" i="18"/>
  <c r="AS69" i="18"/>
  <c r="AT69" i="18"/>
  <c r="AU69" i="18"/>
  <c r="AV69" i="18"/>
  <c r="AW69" i="18"/>
  <c r="AX69" i="18"/>
  <c r="AY69" i="18"/>
  <c r="AZ69" i="18"/>
  <c r="BA69" i="18"/>
  <c r="BB69" i="18"/>
  <c r="BC69" i="18"/>
  <c r="BD69" i="18"/>
  <c r="BE69" i="18"/>
  <c r="BF69" i="18"/>
  <c r="BG69" i="18"/>
  <c r="BH69" i="18"/>
  <c r="BI69" i="18"/>
  <c r="BJ69" i="18"/>
  <c r="BK69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Q87" i="18"/>
  <c r="AR87" i="18"/>
  <c r="AS87" i="18"/>
  <c r="AT87" i="18"/>
  <c r="AU87" i="18"/>
  <c r="AV87" i="18"/>
  <c r="AW87" i="18"/>
  <c r="AX87" i="18"/>
  <c r="AY87" i="18"/>
  <c r="AZ87" i="18"/>
  <c r="BA87" i="18"/>
  <c r="BB87" i="18"/>
  <c r="BC87" i="18"/>
  <c r="BD87" i="18"/>
  <c r="BE87" i="18"/>
  <c r="BF87" i="18"/>
  <c r="BG87" i="18"/>
  <c r="BH87" i="18"/>
  <c r="BI87" i="18"/>
  <c r="BJ87" i="18"/>
  <c r="BK87" i="18"/>
  <c r="AQ88" i="18"/>
  <c r="AR88" i="18"/>
  <c r="AS88" i="18"/>
  <c r="AT88" i="18"/>
  <c r="AU88" i="18"/>
  <c r="AV88" i="18"/>
  <c r="AW88" i="18"/>
  <c r="AX88" i="18"/>
  <c r="AY88" i="18"/>
  <c r="AZ88" i="18"/>
  <c r="BA88" i="18"/>
  <c r="BB88" i="18"/>
  <c r="BC88" i="18"/>
  <c r="BD88" i="18"/>
  <c r="BE88" i="18"/>
  <c r="BF88" i="18"/>
  <c r="BG88" i="18"/>
  <c r="BH88" i="18"/>
  <c r="BI88" i="18"/>
  <c r="BJ88" i="18"/>
  <c r="BK88" i="18"/>
  <c r="F89" i="18"/>
  <c r="G89" i="18"/>
  <c r="H89" i="18"/>
  <c r="I89" i="18"/>
  <c r="J89" i="18"/>
  <c r="K89" i="18"/>
  <c r="L89" i="18"/>
  <c r="M89" i="18"/>
  <c r="N89" i="18"/>
  <c r="O89" i="18"/>
  <c r="P89" i="18"/>
  <c r="Q89" i="18"/>
  <c r="R89" i="18"/>
  <c r="S89" i="18"/>
  <c r="T89" i="18"/>
  <c r="U89" i="18"/>
  <c r="V89" i="18"/>
  <c r="W89" i="18"/>
  <c r="X89" i="18"/>
  <c r="Y89" i="18"/>
  <c r="Z89" i="18"/>
  <c r="F90" i="18"/>
  <c r="G90" i="18"/>
  <c r="H90" i="18"/>
  <c r="I90" i="18"/>
  <c r="J90" i="18"/>
  <c r="K90" i="18"/>
  <c r="L90" i="18"/>
  <c r="M90" i="18"/>
  <c r="N90" i="18"/>
  <c r="O90" i="18"/>
  <c r="P90" i="18"/>
  <c r="Q90" i="18"/>
  <c r="R90" i="18"/>
  <c r="S90" i="18"/>
  <c r="T90" i="18"/>
  <c r="U90" i="18"/>
  <c r="V90" i="18"/>
  <c r="W90" i="18"/>
  <c r="X90" i="18"/>
  <c r="Y90" i="18"/>
  <c r="Z90" i="18"/>
  <c r="AQ90" i="18"/>
  <c r="AR90" i="18"/>
  <c r="AS90" i="18"/>
  <c r="AT90" i="18"/>
  <c r="AU90" i="18"/>
  <c r="AV90" i="18"/>
  <c r="AW90" i="18"/>
  <c r="AX90" i="18"/>
  <c r="AY90" i="18"/>
  <c r="AZ90" i="18"/>
  <c r="BA90" i="18"/>
  <c r="BB90" i="18"/>
  <c r="BC90" i="18"/>
  <c r="BD90" i="18"/>
  <c r="BE90" i="18"/>
  <c r="BF90" i="18"/>
  <c r="BG90" i="18"/>
  <c r="BH90" i="18"/>
  <c r="BI90" i="18"/>
  <c r="BJ90" i="18"/>
  <c r="BK90" i="18"/>
  <c r="AQ91" i="18"/>
  <c r="AR91" i="18"/>
  <c r="AS91" i="18"/>
  <c r="AT91" i="18"/>
  <c r="AU91" i="18"/>
  <c r="AV91" i="18"/>
  <c r="AW91" i="18"/>
  <c r="AX91" i="18"/>
  <c r="AY91" i="18"/>
  <c r="AZ91" i="18"/>
  <c r="BA91" i="18"/>
  <c r="BB91" i="18"/>
  <c r="BC91" i="18"/>
  <c r="BD91" i="18"/>
  <c r="BE91" i="18"/>
  <c r="BF91" i="18"/>
  <c r="BG91" i="18"/>
  <c r="BH91" i="18"/>
  <c r="BI91" i="18"/>
  <c r="BJ91" i="18"/>
  <c r="BK91" i="18"/>
  <c r="AQ92" i="18"/>
  <c r="AR92" i="18"/>
  <c r="AS92" i="18"/>
  <c r="AT92" i="18"/>
  <c r="AU92" i="18"/>
  <c r="AV92" i="18"/>
  <c r="AW92" i="18"/>
  <c r="AX92" i="18"/>
  <c r="AY92" i="18"/>
  <c r="AZ92" i="18"/>
  <c r="BA92" i="18"/>
  <c r="BB92" i="18"/>
  <c r="BC92" i="18"/>
  <c r="BD92" i="18"/>
  <c r="BE92" i="18"/>
  <c r="BF92" i="18"/>
  <c r="BG92" i="18"/>
  <c r="BH92" i="18"/>
  <c r="BI92" i="18"/>
  <c r="BJ92" i="18"/>
  <c r="BK92" i="18"/>
  <c r="F93" i="18"/>
  <c r="G93" i="18"/>
  <c r="H93" i="18"/>
  <c r="I93" i="18"/>
  <c r="J93" i="18"/>
  <c r="K93" i="18"/>
  <c r="L93" i="18"/>
  <c r="M93" i="18"/>
  <c r="N93" i="18"/>
  <c r="O93" i="18"/>
  <c r="P93" i="18"/>
  <c r="Q93" i="18"/>
  <c r="R93" i="18"/>
  <c r="S93" i="18"/>
  <c r="T93" i="18"/>
  <c r="U93" i="18"/>
  <c r="V93" i="18"/>
  <c r="W93" i="18"/>
  <c r="X93" i="18"/>
  <c r="Y93" i="18"/>
  <c r="Z93" i="18"/>
  <c r="F94" i="18"/>
  <c r="G94" i="18"/>
  <c r="H94" i="18"/>
  <c r="I94" i="18"/>
  <c r="J94" i="18"/>
  <c r="K94" i="18"/>
  <c r="L94" i="18"/>
  <c r="M94" i="18"/>
  <c r="N94" i="18"/>
  <c r="O94" i="18"/>
  <c r="P94" i="18"/>
  <c r="Q94" i="18"/>
  <c r="R94" i="18"/>
  <c r="S94" i="18"/>
  <c r="T94" i="18"/>
  <c r="U94" i="18"/>
  <c r="V94" i="18"/>
  <c r="W94" i="18"/>
  <c r="X94" i="18"/>
  <c r="Y94" i="18"/>
  <c r="Z94" i="18"/>
  <c r="F96" i="18"/>
  <c r="G96" i="18"/>
  <c r="H96" i="18"/>
  <c r="I96" i="18"/>
  <c r="J96" i="18"/>
  <c r="K96" i="18"/>
  <c r="L96" i="18"/>
  <c r="M96" i="18"/>
  <c r="N96" i="18"/>
  <c r="O96" i="18"/>
  <c r="P96" i="18"/>
  <c r="Q96" i="18"/>
  <c r="R96" i="18"/>
  <c r="S96" i="18"/>
  <c r="T96" i="18"/>
  <c r="U96" i="18"/>
  <c r="V96" i="18"/>
  <c r="W96" i="18"/>
  <c r="X96" i="18"/>
  <c r="Y96" i="18"/>
  <c r="Z96" i="18"/>
  <c r="F97" i="18"/>
  <c r="G97" i="18"/>
  <c r="H97" i="18"/>
  <c r="I97" i="18"/>
  <c r="J97" i="18"/>
  <c r="K97" i="18"/>
  <c r="L97" i="18"/>
  <c r="M97" i="18"/>
  <c r="N97" i="18"/>
  <c r="O97" i="18"/>
  <c r="P97" i="18"/>
  <c r="Q97" i="18"/>
  <c r="R97" i="18"/>
  <c r="S97" i="18"/>
  <c r="T97" i="18"/>
  <c r="U97" i="18"/>
  <c r="V97" i="18"/>
  <c r="W97" i="18"/>
  <c r="X97" i="18"/>
  <c r="Y97" i="18"/>
  <c r="Z97" i="18"/>
  <c r="F102" i="18"/>
  <c r="G102" i="18"/>
  <c r="H102" i="18"/>
  <c r="I102" i="18"/>
  <c r="J102" i="18"/>
  <c r="K102" i="18"/>
  <c r="L102" i="18"/>
  <c r="M102" i="18"/>
  <c r="N102" i="18"/>
  <c r="O102" i="18"/>
  <c r="P102" i="18"/>
  <c r="Q102" i="18"/>
  <c r="R102" i="18"/>
  <c r="S102" i="18"/>
  <c r="T102" i="18"/>
  <c r="U102" i="18"/>
  <c r="V102" i="18"/>
  <c r="W102" i="18"/>
  <c r="X102" i="18"/>
  <c r="Y102" i="18"/>
  <c r="Z102" i="18"/>
  <c r="F103" i="18"/>
  <c r="G103" i="18"/>
  <c r="H103" i="18"/>
  <c r="I103" i="18"/>
  <c r="J103" i="18"/>
  <c r="K103" i="18"/>
  <c r="L103" i="18"/>
  <c r="M103" i="18"/>
  <c r="N103" i="18"/>
  <c r="O103" i="18"/>
  <c r="P103" i="18"/>
  <c r="Q103" i="18"/>
  <c r="R103" i="18"/>
  <c r="S103" i="18"/>
  <c r="T103" i="18"/>
  <c r="U103" i="18"/>
  <c r="V103" i="18"/>
  <c r="W103" i="18"/>
  <c r="X103" i="18"/>
  <c r="Y103" i="18"/>
  <c r="Z103" i="18"/>
  <c r="AQ111" i="18"/>
  <c r="AR111" i="18"/>
  <c r="AS111" i="18"/>
  <c r="AT111" i="18"/>
  <c r="AU111" i="18"/>
  <c r="AV111" i="18"/>
  <c r="AW111" i="18"/>
  <c r="AX111" i="18"/>
  <c r="AY111" i="18"/>
  <c r="AZ111" i="18"/>
  <c r="BA111" i="18"/>
  <c r="BB111" i="18"/>
  <c r="BC111" i="18"/>
  <c r="BD111" i="18"/>
  <c r="BE111" i="18"/>
  <c r="BF111" i="18"/>
  <c r="BG111" i="18"/>
  <c r="BH111" i="18"/>
  <c r="BI111" i="18"/>
  <c r="BJ111" i="18"/>
  <c r="BK111" i="18"/>
  <c r="AQ112" i="18"/>
  <c r="AR112" i="18"/>
  <c r="AS112" i="18"/>
  <c r="AT112" i="18"/>
  <c r="AU112" i="18"/>
  <c r="AV112" i="18"/>
  <c r="AW112" i="18"/>
  <c r="AX112" i="18"/>
  <c r="AY112" i="18"/>
  <c r="AZ112" i="18"/>
  <c r="BA112" i="18"/>
  <c r="BB112" i="18"/>
  <c r="BC112" i="18"/>
  <c r="BD112" i="18"/>
  <c r="BE112" i="18"/>
  <c r="BF112" i="18"/>
  <c r="BG112" i="18"/>
  <c r="BH112" i="18"/>
  <c r="BI112" i="18"/>
  <c r="BJ112" i="18"/>
  <c r="BK112" i="18"/>
  <c r="AQ114" i="18"/>
  <c r="AR114" i="18"/>
  <c r="AS114" i="18"/>
  <c r="AT114" i="18"/>
  <c r="AU114" i="18"/>
  <c r="AV114" i="18"/>
  <c r="AW114" i="18"/>
  <c r="AX114" i="18"/>
  <c r="AY114" i="18"/>
  <c r="AZ114" i="18"/>
  <c r="BA114" i="18"/>
  <c r="BB114" i="18"/>
  <c r="BC114" i="18"/>
  <c r="BD114" i="18"/>
  <c r="BE114" i="18"/>
  <c r="BF114" i="18"/>
  <c r="BG114" i="18"/>
  <c r="BH114" i="18"/>
  <c r="BI114" i="18"/>
  <c r="BJ114" i="18"/>
  <c r="BK114" i="18"/>
  <c r="AQ115" i="18"/>
  <c r="AR115" i="18"/>
  <c r="AS115" i="18"/>
  <c r="AT115" i="18"/>
  <c r="AU115" i="18"/>
  <c r="AV115" i="18"/>
  <c r="AW115" i="18"/>
  <c r="AX115" i="18"/>
  <c r="AY115" i="18"/>
  <c r="AZ115" i="18"/>
  <c r="BA115" i="18"/>
  <c r="BB115" i="18"/>
  <c r="BC115" i="18"/>
  <c r="BD115" i="18"/>
  <c r="BE115" i="18"/>
  <c r="BF115" i="18"/>
  <c r="BG115" i="18"/>
  <c r="BH115" i="18"/>
  <c r="BI115" i="18"/>
  <c r="BJ115" i="18"/>
  <c r="BK115" i="18"/>
  <c r="F120" i="18"/>
  <c r="G120" i="18"/>
  <c r="H120" i="18"/>
  <c r="I120" i="18"/>
  <c r="J120" i="18"/>
  <c r="K120" i="18"/>
  <c r="L120" i="18"/>
  <c r="M120" i="18"/>
  <c r="N120" i="18"/>
  <c r="O120" i="18"/>
  <c r="P120" i="18"/>
  <c r="Q120" i="18"/>
  <c r="R120" i="18"/>
  <c r="S120" i="18"/>
  <c r="T120" i="18"/>
  <c r="U120" i="18"/>
  <c r="V120" i="18"/>
  <c r="W120" i="18"/>
  <c r="X120" i="18"/>
  <c r="Y120" i="18"/>
  <c r="Z120" i="18"/>
  <c r="F121" i="18"/>
  <c r="G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X121" i="18"/>
  <c r="Y121" i="18"/>
  <c r="Z121" i="18"/>
  <c r="F123" i="18"/>
  <c r="G123" i="18"/>
  <c r="H123" i="18"/>
  <c r="I123" i="18"/>
  <c r="J123" i="18"/>
  <c r="K123" i="18"/>
  <c r="L123" i="18"/>
  <c r="M123" i="18"/>
  <c r="N123" i="18"/>
  <c r="O123" i="18"/>
  <c r="P123" i="18"/>
  <c r="Q123" i="18"/>
  <c r="R123" i="18"/>
  <c r="S123" i="18"/>
  <c r="T123" i="18"/>
  <c r="U123" i="18"/>
  <c r="V123" i="18"/>
  <c r="W123" i="18"/>
  <c r="X123" i="18"/>
  <c r="Y123" i="18"/>
  <c r="Z123" i="18"/>
  <c r="F124" i="18"/>
  <c r="G124" i="18"/>
  <c r="H124" i="18"/>
  <c r="I124" i="18"/>
  <c r="J124" i="18"/>
  <c r="K124" i="18"/>
  <c r="L124" i="18"/>
  <c r="M124" i="18"/>
  <c r="N124" i="18"/>
  <c r="O124" i="18"/>
  <c r="P124" i="18"/>
  <c r="Q124" i="18"/>
  <c r="R124" i="18"/>
  <c r="S124" i="18"/>
  <c r="T124" i="18"/>
  <c r="U124" i="18"/>
  <c r="V124" i="18"/>
  <c r="W124" i="18"/>
  <c r="X124" i="18"/>
  <c r="Y124" i="18"/>
  <c r="Z124" i="18"/>
  <c r="F125" i="18"/>
  <c r="G125" i="18"/>
  <c r="H125" i="18"/>
  <c r="I125" i="18"/>
  <c r="J125" i="18"/>
  <c r="K125" i="18"/>
  <c r="L125" i="18"/>
  <c r="M125" i="18"/>
  <c r="N125" i="18"/>
  <c r="O125" i="18"/>
  <c r="P125" i="18"/>
  <c r="Q125" i="18"/>
  <c r="R125" i="18"/>
  <c r="S125" i="18"/>
  <c r="T125" i="18"/>
  <c r="U125" i="18"/>
  <c r="V125" i="18"/>
  <c r="W125" i="18"/>
  <c r="X125" i="18"/>
  <c r="Y125" i="18"/>
  <c r="Z125" i="18"/>
  <c r="F127" i="18"/>
  <c r="G127" i="18"/>
  <c r="H127" i="18"/>
  <c r="I127" i="18"/>
  <c r="J127" i="18"/>
  <c r="K127" i="18"/>
  <c r="L127" i="18"/>
  <c r="M127" i="18"/>
  <c r="N127" i="18"/>
  <c r="O127" i="18"/>
  <c r="P127" i="18"/>
  <c r="Q127" i="18"/>
  <c r="R127" i="18"/>
  <c r="S127" i="18"/>
  <c r="T127" i="18"/>
  <c r="U127" i="18"/>
  <c r="V127" i="18"/>
  <c r="W127" i="18"/>
  <c r="X127" i="18"/>
  <c r="Y127" i="18"/>
  <c r="Z127" i="18"/>
  <c r="G130" i="18"/>
  <c r="H130" i="18"/>
  <c r="I130" i="18"/>
  <c r="J130" i="18"/>
  <c r="K130" i="18"/>
  <c r="L130" i="18"/>
  <c r="M130" i="18"/>
  <c r="N130" i="18"/>
  <c r="O130" i="18"/>
  <c r="P130" i="18"/>
  <c r="Q130" i="18"/>
  <c r="R130" i="18"/>
  <c r="S130" i="18"/>
  <c r="T130" i="18"/>
  <c r="U130" i="18"/>
  <c r="V130" i="18"/>
  <c r="W130" i="18"/>
  <c r="X130" i="18"/>
  <c r="Y130" i="18"/>
  <c r="Z130" i="18"/>
  <c r="J131" i="18"/>
  <c r="F132" i="18"/>
  <c r="G132" i="18"/>
  <c r="H132" i="18"/>
  <c r="I132" i="18"/>
  <c r="J132" i="18"/>
  <c r="K132" i="18"/>
  <c r="L132" i="18"/>
  <c r="M132" i="18"/>
  <c r="N132" i="18"/>
  <c r="O132" i="18"/>
  <c r="P132" i="18"/>
  <c r="Q132" i="18"/>
  <c r="R132" i="18"/>
  <c r="S132" i="18"/>
  <c r="T132" i="18"/>
  <c r="U132" i="18"/>
  <c r="V132" i="18"/>
  <c r="W132" i="18"/>
  <c r="X132" i="18"/>
  <c r="Y132" i="18"/>
  <c r="Z132" i="18"/>
  <c r="F133" i="18"/>
  <c r="G133" i="18"/>
  <c r="H133" i="18"/>
  <c r="I133" i="18"/>
  <c r="J133" i="18"/>
  <c r="K133" i="18"/>
  <c r="L133" i="18"/>
  <c r="M133" i="18"/>
  <c r="N133" i="18"/>
  <c r="O133" i="18"/>
  <c r="P133" i="18"/>
  <c r="Q133" i="18"/>
  <c r="R133" i="18"/>
  <c r="S133" i="18"/>
  <c r="T133" i="18"/>
  <c r="U133" i="18"/>
  <c r="V133" i="18"/>
  <c r="W133" i="18"/>
  <c r="X133" i="18"/>
  <c r="Y133" i="18"/>
  <c r="Z133" i="18"/>
  <c r="F135" i="18"/>
  <c r="G135" i="18"/>
  <c r="H135" i="18"/>
  <c r="I135" i="18"/>
  <c r="J135" i="18"/>
  <c r="K135" i="18"/>
  <c r="L135" i="18"/>
  <c r="M135" i="18"/>
  <c r="N135" i="18"/>
  <c r="O135" i="18"/>
  <c r="P135" i="18"/>
  <c r="Q135" i="18"/>
  <c r="R135" i="18"/>
  <c r="S135" i="18"/>
  <c r="T135" i="18"/>
  <c r="U135" i="18"/>
  <c r="V135" i="18"/>
  <c r="W135" i="18"/>
  <c r="X135" i="18"/>
  <c r="Y135" i="18"/>
  <c r="Z135" i="18"/>
  <c r="AQ135" i="18"/>
  <c r="AR135" i="18"/>
  <c r="AS135" i="18"/>
  <c r="AT135" i="18"/>
  <c r="AU135" i="18"/>
  <c r="AV135" i="18"/>
  <c r="AW135" i="18"/>
  <c r="AX135" i="18"/>
  <c r="AY135" i="18"/>
  <c r="AZ135" i="18"/>
  <c r="BA135" i="18"/>
  <c r="BB135" i="18"/>
  <c r="BC135" i="18"/>
  <c r="BD135" i="18"/>
  <c r="BE135" i="18"/>
  <c r="BF135" i="18"/>
  <c r="BG135" i="18"/>
  <c r="BH135" i="18"/>
  <c r="BI135" i="18"/>
  <c r="BJ135" i="18"/>
  <c r="BK135" i="18"/>
  <c r="F136" i="18"/>
  <c r="G136" i="18"/>
  <c r="H136" i="18"/>
  <c r="I136" i="18"/>
  <c r="J136" i="18"/>
  <c r="K136" i="18"/>
  <c r="L136" i="18"/>
  <c r="M136" i="18"/>
  <c r="N136" i="18"/>
  <c r="O136" i="18"/>
  <c r="P136" i="18"/>
  <c r="Q136" i="18"/>
  <c r="R136" i="18"/>
  <c r="S136" i="18"/>
  <c r="T136" i="18"/>
  <c r="U136" i="18"/>
  <c r="V136" i="18"/>
  <c r="W136" i="18"/>
  <c r="X136" i="18"/>
  <c r="Y136" i="18"/>
  <c r="Z136" i="18"/>
  <c r="AQ136" i="18"/>
  <c r="AR136" i="18"/>
  <c r="AS136" i="18"/>
  <c r="AT136" i="18"/>
  <c r="AU136" i="18"/>
  <c r="AV136" i="18"/>
  <c r="AW136" i="18"/>
  <c r="AX136" i="18"/>
  <c r="AY136" i="18"/>
  <c r="AZ136" i="18"/>
  <c r="BA136" i="18"/>
  <c r="BB136" i="18"/>
  <c r="BC136" i="18"/>
  <c r="BD136" i="18"/>
  <c r="BE136" i="18"/>
  <c r="BF136" i="18"/>
  <c r="BG136" i="18"/>
  <c r="BH136" i="18"/>
  <c r="BI136" i="18"/>
  <c r="BJ136" i="18"/>
  <c r="BK136" i="18"/>
  <c r="F137" i="18"/>
  <c r="G137" i="18"/>
  <c r="H137" i="18"/>
  <c r="I137" i="18"/>
  <c r="J137" i="18"/>
  <c r="K137" i="18"/>
  <c r="L137" i="18"/>
  <c r="M137" i="18"/>
  <c r="N137" i="18"/>
  <c r="O137" i="18"/>
  <c r="P137" i="18"/>
  <c r="Q137" i="18"/>
  <c r="R137" i="18"/>
  <c r="S137" i="18"/>
  <c r="T137" i="18"/>
  <c r="U137" i="18"/>
  <c r="V137" i="18"/>
  <c r="W137" i="18"/>
  <c r="X137" i="18"/>
  <c r="Y137" i="18"/>
  <c r="Z137" i="18"/>
  <c r="AQ137" i="18"/>
  <c r="AR137" i="18"/>
  <c r="AS137" i="18"/>
  <c r="AT137" i="18"/>
  <c r="AU137" i="18"/>
  <c r="AV137" i="18"/>
  <c r="AW137" i="18"/>
  <c r="AX137" i="18"/>
  <c r="AY137" i="18"/>
  <c r="AZ137" i="18"/>
  <c r="BA137" i="18"/>
  <c r="BB137" i="18"/>
  <c r="BC137" i="18"/>
  <c r="BD137" i="18"/>
  <c r="BE137" i="18"/>
  <c r="BF137" i="18"/>
  <c r="BG137" i="18"/>
  <c r="BH137" i="18"/>
  <c r="BI137" i="18"/>
  <c r="BJ137" i="18"/>
  <c r="BK137" i="18"/>
  <c r="AQ138" i="18"/>
  <c r="AR138" i="18"/>
  <c r="AS138" i="18"/>
  <c r="AT138" i="18"/>
  <c r="AU138" i="18"/>
  <c r="AV138" i="18"/>
  <c r="AW138" i="18"/>
  <c r="AX138" i="18"/>
  <c r="AY138" i="18"/>
  <c r="AZ138" i="18"/>
  <c r="BA138" i="18"/>
  <c r="BB138" i="18"/>
  <c r="BC138" i="18"/>
  <c r="BD138" i="18"/>
  <c r="BE138" i="18"/>
  <c r="BF138" i="18"/>
  <c r="BG138" i="18"/>
  <c r="BH138" i="18"/>
  <c r="BI138" i="18"/>
  <c r="BJ138" i="18"/>
  <c r="BK138" i="18"/>
  <c r="J139" i="18"/>
  <c r="F141" i="18"/>
  <c r="G141" i="18"/>
  <c r="H141" i="18"/>
  <c r="I141" i="18"/>
  <c r="J141" i="18"/>
  <c r="K141" i="18"/>
  <c r="L141" i="18"/>
  <c r="M141" i="18"/>
  <c r="N141" i="18"/>
  <c r="O141" i="18"/>
  <c r="P141" i="18"/>
  <c r="Q141" i="18"/>
  <c r="R141" i="18"/>
  <c r="S141" i="18"/>
  <c r="T141" i="18"/>
  <c r="U141" i="18"/>
  <c r="V141" i="18"/>
  <c r="W141" i="18"/>
  <c r="X141" i="18"/>
  <c r="Y141" i="18"/>
  <c r="Z141" i="18"/>
  <c r="P144" i="18"/>
  <c r="J145" i="18"/>
  <c r="P146" i="18"/>
  <c r="P147" i="18"/>
  <c r="J148" i="18"/>
  <c r="P148" i="18"/>
  <c r="F150" i="18"/>
  <c r="G150" i="18"/>
  <c r="H150" i="18"/>
  <c r="I150" i="18"/>
  <c r="J150" i="18"/>
  <c r="K150" i="18"/>
  <c r="L150" i="18"/>
  <c r="M150" i="18"/>
  <c r="N150" i="18"/>
  <c r="O150" i="18"/>
  <c r="P150" i="18"/>
  <c r="AQ153" i="18"/>
  <c r="AR153" i="18"/>
  <c r="AS153" i="18"/>
  <c r="AT153" i="18"/>
  <c r="AU153" i="18"/>
  <c r="AV153" i="18"/>
  <c r="AW153" i="18"/>
  <c r="AX153" i="18"/>
  <c r="AY153" i="18"/>
  <c r="AZ153" i="18"/>
  <c r="BA153" i="18"/>
  <c r="BB153" i="18"/>
  <c r="BC153" i="18"/>
  <c r="BD153" i="18"/>
  <c r="BE153" i="18"/>
  <c r="BF153" i="18"/>
  <c r="BG153" i="18"/>
  <c r="BH153" i="18"/>
  <c r="BI153" i="18"/>
  <c r="BJ153" i="18"/>
  <c r="BK153" i="18"/>
  <c r="AQ157" i="18"/>
  <c r="AR157" i="18"/>
  <c r="AS157" i="18"/>
  <c r="AT157" i="18"/>
  <c r="AU157" i="18"/>
  <c r="AV157" i="18"/>
  <c r="AW157" i="18"/>
  <c r="AX157" i="18"/>
  <c r="AY157" i="18"/>
  <c r="AZ157" i="18"/>
  <c r="BA157" i="18"/>
  <c r="BB157" i="18"/>
  <c r="BC157" i="18"/>
  <c r="BD157" i="18"/>
  <c r="BE157" i="18"/>
  <c r="BF157" i="18"/>
  <c r="BG157" i="18"/>
  <c r="BH157" i="18"/>
  <c r="BI157" i="18"/>
  <c r="BJ157" i="18"/>
  <c r="BK157" i="18"/>
  <c r="AQ158" i="18"/>
  <c r="AR158" i="18"/>
  <c r="AS158" i="18"/>
  <c r="AT158" i="18"/>
  <c r="AU158" i="18"/>
  <c r="AV158" i="18"/>
  <c r="AW158" i="18"/>
  <c r="AX158" i="18"/>
  <c r="AY158" i="18"/>
  <c r="AZ158" i="18"/>
  <c r="BA158" i="18"/>
  <c r="BB158" i="18"/>
  <c r="BC158" i="18"/>
  <c r="BD158" i="18"/>
  <c r="BE158" i="18"/>
  <c r="BF158" i="18"/>
  <c r="BG158" i="18"/>
  <c r="BH158" i="18"/>
  <c r="BI158" i="18"/>
  <c r="BJ158" i="18"/>
  <c r="BK158" i="18"/>
  <c r="D184" i="18"/>
  <c r="F184" i="18"/>
  <c r="G184" i="18"/>
  <c r="H184" i="18"/>
  <c r="I184" i="18"/>
  <c r="J184" i="18"/>
  <c r="K184" i="18"/>
  <c r="L184" i="18"/>
  <c r="M184" i="18"/>
  <c r="N184" i="18"/>
  <c r="O184" i="18"/>
  <c r="P184" i="18"/>
  <c r="Q184" i="18"/>
  <c r="R184" i="18"/>
  <c r="S184" i="18"/>
  <c r="T184" i="18"/>
  <c r="U184" i="18"/>
  <c r="V184" i="18"/>
  <c r="W184" i="18"/>
  <c r="X184" i="18"/>
  <c r="Y184" i="18"/>
  <c r="Z184" i="18"/>
  <c r="F188" i="18"/>
  <c r="G188" i="18"/>
  <c r="H188" i="18"/>
  <c r="I188" i="18"/>
  <c r="J188" i="18"/>
  <c r="K188" i="18"/>
  <c r="L188" i="18"/>
  <c r="M188" i="18"/>
  <c r="N188" i="18"/>
  <c r="O188" i="18"/>
  <c r="P188" i="18"/>
  <c r="Q188" i="18"/>
  <c r="R188" i="18"/>
  <c r="S188" i="18"/>
  <c r="T188" i="18"/>
  <c r="U188" i="18"/>
  <c r="V188" i="18"/>
  <c r="W188" i="18"/>
  <c r="X188" i="18"/>
  <c r="Y188" i="18"/>
  <c r="Z188" i="18"/>
  <c r="F190" i="18"/>
  <c r="G190" i="18"/>
  <c r="H190" i="18"/>
  <c r="I190" i="18"/>
  <c r="J190" i="18"/>
  <c r="K190" i="18"/>
  <c r="L190" i="18"/>
  <c r="M190" i="18"/>
  <c r="N190" i="18"/>
  <c r="O190" i="18"/>
  <c r="P190" i="18"/>
  <c r="Q190" i="18"/>
  <c r="R190" i="18"/>
  <c r="S190" i="18"/>
  <c r="T190" i="18"/>
  <c r="U190" i="18"/>
  <c r="V190" i="18"/>
  <c r="W190" i="18"/>
  <c r="X190" i="18"/>
  <c r="Y190" i="18"/>
  <c r="Z190" i="18"/>
  <c r="F194" i="18"/>
  <c r="G194" i="18"/>
  <c r="H194" i="18"/>
  <c r="I194" i="18"/>
  <c r="J194" i="18"/>
  <c r="K194" i="18"/>
  <c r="L194" i="18"/>
  <c r="M194" i="18"/>
  <c r="N194" i="18"/>
  <c r="O194" i="18"/>
  <c r="P194" i="18"/>
  <c r="Q194" i="18"/>
  <c r="R194" i="18"/>
  <c r="S194" i="18"/>
  <c r="T194" i="18"/>
  <c r="U194" i="18"/>
  <c r="V194" i="18"/>
  <c r="W194" i="18"/>
  <c r="X194" i="18"/>
  <c r="Y194" i="18"/>
  <c r="Z194" i="18"/>
  <c r="F195" i="18"/>
  <c r="G195" i="18"/>
  <c r="H195" i="18"/>
  <c r="I195" i="18"/>
  <c r="J195" i="18"/>
  <c r="K195" i="18"/>
  <c r="L195" i="18"/>
  <c r="M195" i="18"/>
  <c r="N195" i="18"/>
  <c r="O195" i="18"/>
  <c r="P195" i="18"/>
  <c r="Q195" i="18"/>
  <c r="R195" i="18"/>
  <c r="S195" i="18"/>
  <c r="T195" i="18"/>
  <c r="U195" i="18"/>
  <c r="V195" i="18"/>
  <c r="W195" i="18"/>
  <c r="X195" i="18"/>
  <c r="Y195" i="18"/>
  <c r="Z195" i="18"/>
  <c r="F196" i="18"/>
  <c r="G196" i="18"/>
  <c r="H196" i="18"/>
  <c r="I196" i="18"/>
  <c r="J196" i="18"/>
  <c r="K196" i="18"/>
  <c r="L196" i="18"/>
  <c r="M196" i="18"/>
  <c r="N196" i="18"/>
  <c r="O196" i="18"/>
  <c r="P196" i="18"/>
  <c r="Q196" i="18"/>
  <c r="R196" i="18"/>
  <c r="S196" i="18"/>
  <c r="T196" i="18"/>
  <c r="U196" i="18"/>
  <c r="V196" i="18"/>
  <c r="W196" i="18"/>
  <c r="X196" i="18"/>
  <c r="Y196" i="18"/>
  <c r="Z19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Z206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Z210" i="18"/>
  <c r="P213" i="18"/>
  <c r="P214" i="18"/>
  <c r="P216" i="18"/>
  <c r="F219" i="18"/>
  <c r="G219" i="18"/>
  <c r="H219" i="18"/>
  <c r="I219" i="18"/>
  <c r="J219" i="18"/>
  <c r="K219" i="18"/>
  <c r="L219" i="18"/>
  <c r="M219" i="18"/>
  <c r="N219" i="18"/>
  <c r="O219" i="18"/>
  <c r="P219" i="18"/>
  <c r="F293" i="18"/>
  <c r="G293" i="18"/>
  <c r="H293" i="18"/>
  <c r="I293" i="18"/>
  <c r="J293" i="18"/>
  <c r="K293" i="18"/>
  <c r="L293" i="18"/>
  <c r="M293" i="18"/>
  <c r="N293" i="18"/>
  <c r="O293" i="18"/>
  <c r="P293" i="18"/>
  <c r="F295" i="18"/>
  <c r="G295" i="18"/>
  <c r="H295" i="18"/>
  <c r="I295" i="18"/>
  <c r="J295" i="18"/>
  <c r="K295" i="18"/>
  <c r="L295" i="18"/>
  <c r="M295" i="18"/>
  <c r="N295" i="18"/>
  <c r="O295" i="18"/>
  <c r="P295" i="18"/>
  <c r="Q295" i="18"/>
  <c r="R295" i="18"/>
  <c r="S295" i="18"/>
  <c r="T295" i="18"/>
  <c r="U295" i="18"/>
  <c r="V295" i="18"/>
  <c r="W295" i="18"/>
  <c r="X295" i="18"/>
  <c r="Y295" i="18"/>
  <c r="Z295" i="18"/>
  <c r="F296" i="18"/>
  <c r="G296" i="18"/>
  <c r="H296" i="18"/>
  <c r="I296" i="18"/>
  <c r="J296" i="18"/>
  <c r="K296" i="18"/>
  <c r="L296" i="18"/>
  <c r="M296" i="18"/>
  <c r="N296" i="18"/>
  <c r="O296" i="18"/>
  <c r="P296" i="18"/>
  <c r="Q296" i="18"/>
  <c r="R296" i="18"/>
  <c r="S296" i="18"/>
  <c r="T296" i="18"/>
  <c r="U296" i="18"/>
  <c r="V296" i="18"/>
  <c r="W296" i="18"/>
  <c r="X296" i="18"/>
  <c r="Y296" i="18"/>
  <c r="Z296" i="18"/>
  <c r="D305" i="18"/>
  <c r="G305" i="18"/>
  <c r="H305" i="18"/>
  <c r="I305" i="18"/>
  <c r="D307" i="18"/>
  <c r="F307" i="18"/>
  <c r="G307" i="18"/>
  <c r="H307" i="18"/>
  <c r="I307" i="18"/>
  <c r="J307" i="18"/>
  <c r="K307" i="18"/>
  <c r="D308" i="18"/>
  <c r="F308" i="18"/>
  <c r="G308" i="18"/>
  <c r="H308" i="18"/>
  <c r="I308" i="18"/>
  <c r="J308" i="18"/>
  <c r="K308" i="18"/>
  <c r="D311" i="18"/>
  <c r="F311" i="18"/>
  <c r="G311" i="18"/>
  <c r="H311" i="18"/>
  <c r="I311" i="18"/>
  <c r="J311" i="18"/>
  <c r="K311" i="18"/>
  <c r="L311" i="18"/>
  <c r="M311" i="18"/>
  <c r="N311" i="18"/>
  <c r="O311" i="18"/>
  <c r="P311" i="18"/>
  <c r="Q311" i="18"/>
  <c r="R311" i="18"/>
  <c r="S311" i="18"/>
  <c r="T311" i="18"/>
  <c r="U311" i="18"/>
  <c r="V311" i="18"/>
  <c r="W311" i="18"/>
  <c r="X311" i="18"/>
  <c r="Y311" i="18"/>
  <c r="Z311" i="18"/>
  <c r="D312" i="18"/>
  <c r="F312" i="18"/>
  <c r="G312" i="18"/>
  <c r="H312" i="18"/>
  <c r="I312" i="18"/>
  <c r="J312" i="18"/>
  <c r="K312" i="18"/>
  <c r="L312" i="18"/>
  <c r="M312" i="18"/>
  <c r="N312" i="18"/>
  <c r="O312" i="18"/>
  <c r="P312" i="18"/>
  <c r="Q312" i="18"/>
  <c r="R312" i="18"/>
  <c r="S312" i="18"/>
  <c r="T312" i="18"/>
  <c r="U312" i="18"/>
  <c r="V312" i="18"/>
  <c r="W312" i="18"/>
  <c r="X312" i="18"/>
  <c r="Y312" i="18"/>
  <c r="Z312" i="18"/>
  <c r="D313" i="18"/>
  <c r="F313" i="18"/>
  <c r="G313" i="18"/>
  <c r="H313" i="18"/>
  <c r="I313" i="18"/>
  <c r="J313" i="18"/>
  <c r="K313" i="18"/>
  <c r="L313" i="18"/>
  <c r="M313" i="18"/>
  <c r="N313" i="18"/>
  <c r="O313" i="18"/>
  <c r="P313" i="18"/>
  <c r="Q313" i="18"/>
  <c r="R313" i="18"/>
  <c r="S313" i="18"/>
  <c r="T313" i="18"/>
  <c r="U313" i="18"/>
  <c r="V313" i="18"/>
  <c r="W313" i="18"/>
  <c r="X313" i="18"/>
  <c r="Y313" i="18"/>
  <c r="Z313" i="18"/>
  <c r="D314" i="18"/>
  <c r="F314" i="18"/>
  <c r="G314" i="18"/>
  <c r="H314" i="18"/>
  <c r="I314" i="18"/>
  <c r="J314" i="18"/>
  <c r="K314" i="18"/>
  <c r="L314" i="18"/>
  <c r="M314" i="18"/>
  <c r="N314" i="18"/>
  <c r="O314" i="18"/>
  <c r="P314" i="18"/>
  <c r="Q314" i="18"/>
  <c r="R314" i="18"/>
  <c r="S314" i="18"/>
  <c r="T314" i="18"/>
  <c r="U314" i="18"/>
  <c r="V314" i="18"/>
  <c r="W314" i="18"/>
  <c r="X314" i="18"/>
  <c r="Y314" i="18"/>
  <c r="Z314" i="18"/>
  <c r="D315" i="18"/>
  <c r="F315" i="18"/>
  <c r="G315" i="18"/>
  <c r="H315" i="18"/>
  <c r="I315" i="18"/>
  <c r="J315" i="18"/>
  <c r="K315" i="18"/>
  <c r="L315" i="18"/>
  <c r="M315" i="18"/>
  <c r="N315" i="18"/>
  <c r="O315" i="18"/>
  <c r="P315" i="18"/>
  <c r="Q315" i="18"/>
  <c r="R315" i="18"/>
  <c r="S315" i="18"/>
  <c r="T315" i="18"/>
  <c r="U315" i="18"/>
  <c r="V315" i="18"/>
  <c r="W315" i="18"/>
  <c r="X315" i="18"/>
  <c r="Y315" i="18"/>
  <c r="Z315" i="18"/>
  <c r="D316" i="18"/>
  <c r="F316" i="18"/>
  <c r="G316" i="18"/>
  <c r="H316" i="18"/>
  <c r="I316" i="18"/>
  <c r="J316" i="18"/>
  <c r="K316" i="18"/>
  <c r="L316" i="18"/>
  <c r="M316" i="18"/>
  <c r="N316" i="18"/>
  <c r="O316" i="18"/>
  <c r="P316" i="18"/>
  <c r="Q316" i="18"/>
  <c r="R316" i="18"/>
  <c r="S316" i="18"/>
  <c r="T316" i="18"/>
  <c r="U316" i="18"/>
  <c r="V316" i="18"/>
  <c r="W316" i="18"/>
  <c r="X316" i="18"/>
  <c r="Y316" i="18"/>
  <c r="Z316" i="18"/>
  <c r="D317" i="18"/>
  <c r="F317" i="18"/>
  <c r="G317" i="18"/>
  <c r="H317" i="18"/>
  <c r="I317" i="18"/>
  <c r="J317" i="18"/>
  <c r="K317" i="18"/>
  <c r="L317" i="18"/>
  <c r="M317" i="18"/>
  <c r="N317" i="18"/>
  <c r="O317" i="18"/>
  <c r="P317" i="18"/>
  <c r="Q317" i="18"/>
  <c r="R317" i="18"/>
  <c r="S317" i="18"/>
  <c r="T317" i="18"/>
  <c r="U317" i="18"/>
  <c r="V317" i="18"/>
  <c r="W317" i="18"/>
  <c r="X317" i="18"/>
  <c r="Y317" i="18"/>
  <c r="Z317" i="18"/>
  <c r="D318" i="18"/>
  <c r="F318" i="18"/>
  <c r="G318" i="18"/>
  <c r="H318" i="18"/>
  <c r="I318" i="18"/>
  <c r="J318" i="18"/>
  <c r="K318" i="18"/>
  <c r="L318" i="18"/>
  <c r="M318" i="18"/>
  <c r="N318" i="18"/>
  <c r="O318" i="18"/>
  <c r="P318" i="18"/>
  <c r="Q318" i="18"/>
  <c r="R318" i="18"/>
  <c r="S318" i="18"/>
  <c r="T318" i="18"/>
  <c r="U318" i="18"/>
  <c r="V318" i="18"/>
  <c r="W318" i="18"/>
  <c r="X318" i="18"/>
  <c r="Y318" i="18"/>
  <c r="Z318" i="18"/>
  <c r="D320" i="18"/>
  <c r="F320" i="18"/>
  <c r="G320" i="18"/>
  <c r="H320" i="18"/>
  <c r="I320" i="18"/>
  <c r="J320" i="18"/>
  <c r="K320" i="18"/>
  <c r="L320" i="18"/>
  <c r="M320" i="18"/>
  <c r="N320" i="18"/>
  <c r="O320" i="18"/>
  <c r="P320" i="18"/>
  <c r="Q320" i="18"/>
  <c r="R320" i="18"/>
  <c r="S320" i="18"/>
  <c r="T320" i="18"/>
  <c r="U320" i="18"/>
  <c r="V320" i="18"/>
  <c r="W320" i="18"/>
  <c r="X320" i="18"/>
  <c r="Y320" i="18"/>
  <c r="Z320" i="18"/>
  <c r="D323" i="18"/>
  <c r="F323" i="18"/>
  <c r="G323" i="18"/>
  <c r="H323" i="18"/>
  <c r="I323" i="18"/>
  <c r="J323" i="18"/>
  <c r="K323" i="18"/>
  <c r="L323" i="18"/>
  <c r="M323" i="18"/>
  <c r="N323" i="18"/>
  <c r="O323" i="18"/>
  <c r="P323" i="18"/>
  <c r="Q323" i="18"/>
  <c r="R323" i="18"/>
  <c r="S323" i="18"/>
  <c r="T323" i="18"/>
  <c r="U323" i="18"/>
  <c r="V323" i="18"/>
  <c r="W323" i="18"/>
  <c r="X323" i="18"/>
  <c r="Y323" i="18"/>
  <c r="Z323" i="18"/>
  <c r="D324" i="18"/>
  <c r="F324" i="18"/>
  <c r="G324" i="18"/>
  <c r="H324" i="18"/>
  <c r="I324" i="18"/>
  <c r="J324" i="18"/>
  <c r="K324" i="18"/>
  <c r="L324" i="18"/>
  <c r="M324" i="18"/>
  <c r="N324" i="18"/>
  <c r="O324" i="18"/>
  <c r="P324" i="18"/>
  <c r="D325" i="18"/>
  <c r="F325" i="18"/>
  <c r="G325" i="18"/>
  <c r="H325" i="18"/>
  <c r="I325" i="18"/>
  <c r="J325" i="18"/>
  <c r="K325" i="18"/>
  <c r="L325" i="18"/>
  <c r="M325" i="18"/>
  <c r="N325" i="18"/>
  <c r="O325" i="18"/>
  <c r="P325" i="18"/>
  <c r="Q325" i="18"/>
  <c r="R325" i="18"/>
  <c r="S325" i="18"/>
  <c r="T325" i="18"/>
  <c r="U325" i="18"/>
  <c r="V325" i="18"/>
  <c r="W325" i="18"/>
  <c r="X325" i="18"/>
  <c r="Y325" i="18"/>
  <c r="Z325" i="18"/>
  <c r="D327" i="18"/>
  <c r="D328" i="18"/>
  <c r="D329" i="18"/>
  <c r="F334" i="18"/>
  <c r="G334" i="18"/>
  <c r="H334" i="18"/>
  <c r="I334" i="18"/>
  <c r="J334" i="18"/>
  <c r="K334" i="18"/>
  <c r="L334" i="18"/>
  <c r="M334" i="18"/>
  <c r="N334" i="18"/>
  <c r="O334" i="18"/>
  <c r="P334" i="18"/>
  <c r="Q334" i="18"/>
  <c r="R334" i="18"/>
  <c r="S334" i="18"/>
  <c r="T334" i="18"/>
  <c r="U334" i="18"/>
  <c r="V334" i="18"/>
  <c r="W334" i="18"/>
  <c r="X334" i="18"/>
  <c r="Y334" i="18"/>
  <c r="Z334" i="18"/>
  <c r="F335" i="18"/>
  <c r="G335" i="18"/>
  <c r="H335" i="18"/>
  <c r="I335" i="18"/>
  <c r="J335" i="18"/>
  <c r="K335" i="18"/>
  <c r="L335" i="18"/>
  <c r="M335" i="18"/>
  <c r="N335" i="18"/>
  <c r="O335" i="18"/>
  <c r="P335" i="18"/>
  <c r="Q335" i="18"/>
  <c r="R335" i="18"/>
  <c r="S335" i="18"/>
  <c r="T335" i="18"/>
  <c r="U335" i="18"/>
  <c r="V335" i="18"/>
  <c r="W335" i="18"/>
  <c r="X335" i="18"/>
  <c r="Y335" i="18"/>
  <c r="Z335" i="18"/>
  <c r="F337" i="18"/>
  <c r="G337" i="18"/>
  <c r="H337" i="18"/>
  <c r="I337" i="18"/>
  <c r="J337" i="18"/>
  <c r="K337" i="18"/>
  <c r="L337" i="18"/>
  <c r="M337" i="18"/>
  <c r="N337" i="18"/>
  <c r="O337" i="18"/>
  <c r="P337" i="18"/>
  <c r="Q337" i="18"/>
  <c r="R337" i="18"/>
  <c r="S337" i="18"/>
  <c r="T337" i="18"/>
  <c r="U337" i="18"/>
  <c r="V337" i="18"/>
  <c r="W337" i="18"/>
  <c r="X337" i="18"/>
  <c r="Y337" i="18"/>
  <c r="Z337" i="18"/>
  <c r="P340" i="18"/>
  <c r="P341" i="18"/>
  <c r="P342" i="18"/>
  <c r="D351" i="18"/>
  <c r="F351" i="18"/>
  <c r="G351" i="18"/>
  <c r="H351" i="18"/>
  <c r="I351" i="18"/>
  <c r="J351" i="18"/>
  <c r="K351" i="18"/>
  <c r="D352" i="18"/>
  <c r="F352" i="18"/>
  <c r="G352" i="18"/>
  <c r="H352" i="18"/>
  <c r="I352" i="18"/>
  <c r="J352" i="18"/>
  <c r="K352" i="18"/>
  <c r="D355" i="18"/>
  <c r="F355" i="18"/>
  <c r="G355" i="18"/>
  <c r="H355" i="18"/>
  <c r="I355" i="18"/>
  <c r="J355" i="18"/>
  <c r="K355" i="18"/>
  <c r="L355" i="18"/>
  <c r="M355" i="18"/>
  <c r="N355" i="18"/>
  <c r="O355" i="18"/>
  <c r="P355" i="18"/>
  <c r="Q355" i="18"/>
  <c r="R355" i="18"/>
  <c r="S355" i="18"/>
  <c r="T355" i="18"/>
  <c r="U355" i="18"/>
  <c r="V355" i="18"/>
  <c r="W355" i="18"/>
  <c r="X355" i="18"/>
  <c r="Y355" i="18"/>
  <c r="Z355" i="18"/>
  <c r="D356" i="18"/>
  <c r="F356" i="18"/>
  <c r="G356" i="18"/>
  <c r="H356" i="18"/>
  <c r="I356" i="18"/>
  <c r="J356" i="18"/>
  <c r="K356" i="18"/>
  <c r="L356" i="18"/>
  <c r="M356" i="18"/>
  <c r="N356" i="18"/>
  <c r="O356" i="18"/>
  <c r="P356" i="18"/>
  <c r="Q356" i="18"/>
  <c r="R356" i="18"/>
  <c r="S356" i="18"/>
  <c r="T356" i="18"/>
  <c r="U356" i="18"/>
  <c r="V356" i="18"/>
  <c r="W356" i="18"/>
  <c r="X356" i="18"/>
  <c r="Y356" i="18"/>
  <c r="Z356" i="18"/>
  <c r="D357" i="18"/>
  <c r="F357" i="18"/>
  <c r="G357" i="18"/>
  <c r="H357" i="18"/>
  <c r="I357" i="18"/>
  <c r="J357" i="18"/>
  <c r="K357" i="18"/>
  <c r="L357" i="18"/>
  <c r="M357" i="18"/>
  <c r="N357" i="18"/>
  <c r="O357" i="18"/>
  <c r="P357" i="18"/>
  <c r="Q357" i="18"/>
  <c r="R357" i="18"/>
  <c r="S357" i="18"/>
  <c r="T357" i="18"/>
  <c r="U357" i="18"/>
  <c r="V357" i="18"/>
  <c r="W357" i="18"/>
  <c r="X357" i="18"/>
  <c r="Y357" i="18"/>
  <c r="Z357" i="18"/>
  <c r="D358" i="18"/>
  <c r="F358" i="18"/>
  <c r="G358" i="18"/>
  <c r="H358" i="18"/>
  <c r="I358" i="18"/>
  <c r="J358" i="18"/>
  <c r="K358" i="18"/>
  <c r="L358" i="18"/>
  <c r="M358" i="18"/>
  <c r="N358" i="18"/>
  <c r="O358" i="18"/>
  <c r="P358" i="18"/>
  <c r="Q358" i="18"/>
  <c r="R358" i="18"/>
  <c r="S358" i="18"/>
  <c r="T358" i="18"/>
  <c r="U358" i="18"/>
  <c r="V358" i="18"/>
  <c r="W358" i="18"/>
  <c r="X358" i="18"/>
  <c r="Y358" i="18"/>
  <c r="Z358" i="18"/>
  <c r="D359" i="18"/>
  <c r="F359" i="18"/>
  <c r="G359" i="18"/>
  <c r="H359" i="18"/>
  <c r="I359" i="18"/>
  <c r="J359" i="18"/>
  <c r="K359" i="18"/>
  <c r="L359" i="18"/>
  <c r="M359" i="18"/>
  <c r="N359" i="18"/>
  <c r="O359" i="18"/>
  <c r="P359" i="18"/>
  <c r="Q359" i="18"/>
  <c r="R359" i="18"/>
  <c r="S359" i="18"/>
  <c r="T359" i="18"/>
  <c r="U359" i="18"/>
  <c r="V359" i="18"/>
  <c r="W359" i="18"/>
  <c r="X359" i="18"/>
  <c r="Y359" i="18"/>
  <c r="Z359" i="18"/>
  <c r="D361" i="18"/>
  <c r="F361" i="18"/>
  <c r="G361" i="18"/>
  <c r="H361" i="18"/>
  <c r="I361" i="18"/>
  <c r="J361" i="18"/>
  <c r="K361" i="18"/>
  <c r="L361" i="18"/>
  <c r="M361" i="18"/>
  <c r="N361" i="18"/>
  <c r="O361" i="18"/>
  <c r="P361" i="18"/>
  <c r="Q361" i="18"/>
  <c r="R361" i="18"/>
  <c r="S361" i="18"/>
  <c r="T361" i="18"/>
  <c r="U361" i="18"/>
  <c r="V361" i="18"/>
  <c r="W361" i="18"/>
  <c r="X361" i="18"/>
  <c r="Y361" i="18"/>
  <c r="Z361" i="18"/>
  <c r="D362" i="18"/>
  <c r="F362" i="18"/>
  <c r="G362" i="18"/>
  <c r="H362" i="18"/>
  <c r="I362" i="18"/>
  <c r="J362" i="18"/>
  <c r="K362" i="18"/>
  <c r="L362" i="18"/>
  <c r="M362" i="18"/>
  <c r="N362" i="18"/>
  <c r="O362" i="18"/>
  <c r="P362" i="18"/>
  <c r="Q362" i="18"/>
  <c r="R362" i="18"/>
  <c r="S362" i="18"/>
  <c r="T362" i="18"/>
  <c r="U362" i="18"/>
  <c r="V362" i="18"/>
  <c r="W362" i="18"/>
  <c r="X362" i="18"/>
  <c r="Y362" i="18"/>
  <c r="Z362" i="18"/>
  <c r="D365" i="18"/>
  <c r="F365" i="18"/>
  <c r="G365" i="18"/>
  <c r="H365" i="18"/>
  <c r="I365" i="18"/>
  <c r="J365" i="18"/>
  <c r="K365" i="18"/>
  <c r="L365" i="18"/>
  <c r="M365" i="18"/>
  <c r="N365" i="18"/>
  <c r="O365" i="18"/>
  <c r="P365" i="18"/>
  <c r="Q365" i="18"/>
  <c r="R365" i="18"/>
  <c r="S365" i="18"/>
  <c r="T365" i="18"/>
  <c r="U365" i="18"/>
  <c r="V365" i="18"/>
  <c r="W365" i="18"/>
  <c r="X365" i="18"/>
  <c r="Y365" i="18"/>
  <c r="Z365" i="18"/>
  <c r="D366" i="18"/>
  <c r="F366" i="18"/>
  <c r="G366" i="18"/>
  <c r="H366" i="18"/>
  <c r="I366" i="18"/>
  <c r="J366" i="18"/>
  <c r="K366" i="18"/>
  <c r="L366" i="18"/>
  <c r="M366" i="18"/>
  <c r="N366" i="18"/>
  <c r="O366" i="18"/>
  <c r="P366" i="18"/>
  <c r="D367" i="18"/>
  <c r="F367" i="18"/>
  <c r="G367" i="18"/>
  <c r="H367" i="18"/>
  <c r="I367" i="18"/>
  <c r="J367" i="18"/>
  <c r="K367" i="18"/>
  <c r="L367" i="18"/>
  <c r="M367" i="18"/>
  <c r="N367" i="18"/>
  <c r="O367" i="18"/>
  <c r="P367" i="18"/>
  <c r="Q367" i="18"/>
  <c r="R367" i="18"/>
  <c r="S367" i="18"/>
  <c r="T367" i="18"/>
  <c r="U367" i="18"/>
  <c r="V367" i="18"/>
  <c r="W367" i="18"/>
  <c r="X367" i="18"/>
  <c r="Y367" i="18"/>
  <c r="Z367" i="18"/>
  <c r="D369" i="18"/>
  <c r="D370" i="18"/>
  <c r="D371" i="18"/>
  <c r="F376" i="18"/>
  <c r="G376" i="18"/>
  <c r="H376" i="18"/>
  <c r="I376" i="18"/>
  <c r="J376" i="18"/>
  <c r="K376" i="18"/>
  <c r="L376" i="18"/>
  <c r="M376" i="18"/>
  <c r="N376" i="18"/>
  <c r="O376" i="18"/>
  <c r="P376" i="18"/>
  <c r="Q376" i="18"/>
  <c r="R376" i="18"/>
  <c r="S376" i="18"/>
  <c r="T376" i="18"/>
  <c r="U376" i="18"/>
  <c r="V376" i="18"/>
  <c r="W376" i="18"/>
  <c r="X376" i="18"/>
  <c r="Y376" i="18"/>
  <c r="Z376" i="18"/>
  <c r="F379" i="18"/>
  <c r="G379" i="18"/>
  <c r="H379" i="18"/>
  <c r="I379" i="18"/>
  <c r="J379" i="18"/>
  <c r="K379" i="18"/>
  <c r="L379" i="18"/>
  <c r="M379" i="18"/>
  <c r="N379" i="18"/>
  <c r="O379" i="18"/>
  <c r="P379" i="18"/>
  <c r="F380" i="18"/>
  <c r="G380" i="18"/>
  <c r="H380" i="18"/>
  <c r="I380" i="18"/>
  <c r="J380" i="18"/>
  <c r="K380" i="18"/>
  <c r="L380" i="18"/>
  <c r="M380" i="18"/>
  <c r="N380" i="18"/>
  <c r="O380" i="18"/>
  <c r="P380" i="18"/>
  <c r="P381" i="18"/>
  <c r="P382" i="18"/>
  <c r="D383" i="18"/>
  <c r="F383" i="18"/>
  <c r="G383" i="18"/>
  <c r="H383" i="18"/>
  <c r="I383" i="18"/>
  <c r="J383" i="18"/>
  <c r="K383" i="18"/>
  <c r="L383" i="18"/>
  <c r="M383" i="18"/>
  <c r="N383" i="18"/>
  <c r="O383" i="18"/>
  <c r="P383" i="18"/>
  <c r="Q383" i="18"/>
  <c r="R383" i="18"/>
  <c r="S383" i="18"/>
  <c r="T383" i="18"/>
  <c r="U383" i="18"/>
  <c r="V383" i="18"/>
  <c r="W383" i="18"/>
  <c r="X383" i="18"/>
  <c r="Y383" i="18"/>
  <c r="Z383" i="18"/>
  <c r="D385" i="18"/>
  <c r="F388" i="18"/>
  <c r="G388" i="18"/>
  <c r="H388" i="18"/>
  <c r="I388" i="18"/>
  <c r="J388" i="18"/>
  <c r="K388" i="18"/>
  <c r="L388" i="18"/>
  <c r="M388" i="18"/>
  <c r="N388" i="18"/>
  <c r="O388" i="18"/>
  <c r="P388" i="18"/>
  <c r="Q388" i="18"/>
  <c r="R388" i="18"/>
  <c r="S388" i="18"/>
  <c r="T388" i="18"/>
  <c r="U388" i="18"/>
  <c r="V388" i="18"/>
  <c r="W388" i="18"/>
  <c r="X388" i="18"/>
  <c r="Y388" i="18"/>
  <c r="Z388" i="18"/>
  <c r="F389" i="18"/>
  <c r="G389" i="18"/>
  <c r="H389" i="18"/>
  <c r="I389" i="18"/>
  <c r="J389" i="18"/>
  <c r="K389" i="18"/>
  <c r="L389" i="18"/>
  <c r="M389" i="18"/>
  <c r="N389" i="18"/>
  <c r="O389" i="18"/>
  <c r="P389" i="18"/>
  <c r="Q389" i="18"/>
  <c r="R389" i="18"/>
  <c r="S389" i="18"/>
  <c r="T389" i="18"/>
  <c r="U389" i="18"/>
  <c r="V389" i="18"/>
  <c r="W389" i="18"/>
  <c r="X389" i="18"/>
  <c r="Y389" i="18"/>
  <c r="Z389" i="18"/>
  <c r="I390" i="18"/>
  <c r="I391" i="18"/>
  <c r="F392" i="18"/>
  <c r="G392" i="18"/>
  <c r="H392" i="18"/>
  <c r="I392" i="18"/>
  <c r="J392" i="18"/>
  <c r="K392" i="18"/>
  <c r="L392" i="18"/>
  <c r="M392" i="18"/>
  <c r="N392" i="18"/>
  <c r="O392" i="18"/>
  <c r="P392" i="18"/>
  <c r="F393" i="18"/>
  <c r="G393" i="18"/>
  <c r="H393" i="18"/>
  <c r="I393" i="18"/>
  <c r="J393" i="18"/>
  <c r="K393" i="18"/>
  <c r="L393" i="18"/>
  <c r="M393" i="18"/>
  <c r="N393" i="18"/>
  <c r="O393" i="18"/>
  <c r="P393" i="18"/>
  <c r="P394" i="18"/>
  <c r="D396" i="18"/>
  <c r="F396" i="18"/>
  <c r="G396" i="18"/>
  <c r="H396" i="18"/>
  <c r="I396" i="18"/>
  <c r="J396" i="18"/>
  <c r="K396" i="18"/>
  <c r="L396" i="18"/>
  <c r="M396" i="18"/>
  <c r="N396" i="18"/>
  <c r="O396" i="18"/>
  <c r="P396" i="18"/>
  <c r="Q396" i="18"/>
  <c r="R396" i="18"/>
  <c r="S396" i="18"/>
  <c r="T396" i="18"/>
  <c r="U396" i="18"/>
  <c r="V396" i="18"/>
  <c r="W396" i="18"/>
  <c r="X396" i="18"/>
  <c r="Y396" i="18"/>
  <c r="Z396" i="18"/>
  <c r="D398" i="18"/>
  <c r="D399" i="18"/>
  <c r="K401" i="18"/>
  <c r="L401" i="18"/>
  <c r="M401" i="18"/>
  <c r="N401" i="18"/>
  <c r="O401" i="18"/>
  <c r="P401" i="18"/>
  <c r="D404" i="18"/>
  <c r="G404" i="18"/>
  <c r="H404" i="18"/>
  <c r="I404" i="18"/>
  <c r="J404" i="18"/>
  <c r="K404" i="18"/>
  <c r="L404" i="18"/>
  <c r="M404" i="18"/>
  <c r="N404" i="18"/>
  <c r="O404" i="18"/>
  <c r="P404" i="18"/>
  <c r="Q404" i="18"/>
  <c r="R404" i="18"/>
  <c r="S404" i="18"/>
  <c r="T404" i="18"/>
  <c r="U404" i="18"/>
  <c r="V404" i="18"/>
  <c r="W404" i="18"/>
  <c r="X404" i="18"/>
  <c r="Y404" i="18"/>
  <c r="Z404" i="18"/>
  <c r="D405" i="18"/>
  <c r="F405" i="18"/>
  <c r="G405" i="18"/>
  <c r="H405" i="18"/>
  <c r="I405" i="18"/>
  <c r="J405" i="18"/>
  <c r="K405" i="18"/>
  <c r="L405" i="18"/>
  <c r="M405" i="18"/>
  <c r="N405" i="18"/>
  <c r="O405" i="18"/>
  <c r="P405" i="18"/>
  <c r="Q405" i="18"/>
  <c r="R405" i="18"/>
  <c r="S405" i="18"/>
  <c r="T405" i="18"/>
  <c r="U405" i="18"/>
  <c r="V405" i="18"/>
  <c r="W405" i="18"/>
  <c r="X405" i="18"/>
  <c r="Y405" i="18"/>
  <c r="Z405" i="18"/>
  <c r="D406" i="18"/>
  <c r="F406" i="18"/>
  <c r="G406" i="18"/>
  <c r="H406" i="18"/>
  <c r="I406" i="18"/>
  <c r="J406" i="18"/>
  <c r="K406" i="18"/>
  <c r="L406" i="18"/>
  <c r="M406" i="18"/>
  <c r="N406" i="18"/>
  <c r="O406" i="18"/>
  <c r="P406" i="18"/>
  <c r="D407" i="18"/>
  <c r="K407" i="18"/>
  <c r="L407" i="18"/>
  <c r="M407" i="18"/>
  <c r="N407" i="18"/>
  <c r="O407" i="18"/>
  <c r="P407" i="18"/>
  <c r="D408" i="18"/>
  <c r="F408" i="18"/>
  <c r="G408" i="18"/>
  <c r="H408" i="18"/>
  <c r="I408" i="18"/>
  <c r="J408" i="18"/>
  <c r="K408" i="18"/>
  <c r="L408" i="18"/>
  <c r="M408" i="18"/>
  <c r="N408" i="18"/>
  <c r="O408" i="18"/>
  <c r="P408" i="18"/>
  <c r="D409" i="18"/>
  <c r="P409" i="18"/>
  <c r="D410" i="18"/>
  <c r="P410" i="18"/>
  <c r="D411" i="18"/>
  <c r="F411" i="18"/>
  <c r="G411" i="18"/>
  <c r="H411" i="18"/>
  <c r="I411" i="18"/>
  <c r="J411" i="18"/>
  <c r="K411" i="18"/>
  <c r="L411" i="18"/>
  <c r="M411" i="18"/>
  <c r="N411" i="18"/>
  <c r="O411" i="18"/>
  <c r="P411" i="18"/>
  <c r="Q411" i="18"/>
  <c r="R411" i="18"/>
  <c r="S411" i="18"/>
  <c r="T411" i="18"/>
  <c r="U411" i="18"/>
  <c r="V411" i="18"/>
  <c r="W411" i="18"/>
  <c r="X411" i="18"/>
  <c r="Y411" i="18"/>
  <c r="Z411" i="18"/>
  <c r="F416" i="18"/>
  <c r="G416" i="18"/>
  <c r="H416" i="18"/>
  <c r="I416" i="18"/>
  <c r="J416" i="18"/>
  <c r="K416" i="18"/>
  <c r="L416" i="18"/>
  <c r="M416" i="18"/>
  <c r="N416" i="18"/>
  <c r="O416" i="18"/>
  <c r="P416" i="18"/>
  <c r="Q416" i="18"/>
  <c r="R416" i="18"/>
  <c r="S416" i="18"/>
  <c r="T416" i="18"/>
  <c r="U416" i="18"/>
  <c r="V416" i="18"/>
  <c r="W416" i="18"/>
  <c r="X416" i="18"/>
  <c r="Y416" i="18"/>
  <c r="Z416" i="18"/>
  <c r="F419" i="18"/>
  <c r="G419" i="18"/>
  <c r="H419" i="18"/>
  <c r="I419" i="18"/>
  <c r="J419" i="18"/>
  <c r="K419" i="18"/>
  <c r="L419" i="18"/>
  <c r="M419" i="18"/>
  <c r="N419" i="18"/>
  <c r="O419" i="18"/>
  <c r="P419" i="18"/>
  <c r="F420" i="18"/>
  <c r="G420" i="18"/>
  <c r="H420" i="18"/>
  <c r="I420" i="18"/>
  <c r="J420" i="18"/>
  <c r="K420" i="18"/>
  <c r="L420" i="18"/>
  <c r="M420" i="18"/>
  <c r="N420" i="18"/>
  <c r="O420" i="18"/>
  <c r="P420" i="18"/>
  <c r="J421" i="18"/>
  <c r="P421" i="18"/>
  <c r="P422" i="18"/>
  <c r="D423" i="18"/>
  <c r="F423" i="18"/>
  <c r="G423" i="18"/>
  <c r="H423" i="18"/>
  <c r="I423" i="18"/>
  <c r="J423" i="18"/>
  <c r="K423" i="18"/>
  <c r="L423" i="18"/>
  <c r="M423" i="18"/>
  <c r="N423" i="18"/>
  <c r="O423" i="18"/>
  <c r="P423" i="18"/>
  <c r="Q423" i="18"/>
  <c r="R423" i="18"/>
  <c r="S423" i="18"/>
  <c r="T423" i="18"/>
  <c r="U423" i="18"/>
  <c r="V423" i="18"/>
  <c r="W423" i="18"/>
  <c r="X423" i="18"/>
  <c r="Y423" i="18"/>
  <c r="Z423" i="18"/>
  <c r="D425" i="18"/>
  <c r="F428" i="18"/>
  <c r="G428" i="18"/>
  <c r="H428" i="18"/>
  <c r="I428" i="18"/>
  <c r="J428" i="18"/>
  <c r="K428" i="18"/>
  <c r="L428" i="18"/>
  <c r="M428" i="18"/>
  <c r="N428" i="18"/>
  <c r="O428" i="18"/>
  <c r="P428" i="18"/>
  <c r="Q428" i="18"/>
  <c r="R428" i="18"/>
  <c r="S428" i="18"/>
  <c r="T428" i="18"/>
  <c r="U428" i="18"/>
  <c r="V428" i="18"/>
  <c r="W428" i="18"/>
  <c r="X428" i="18"/>
  <c r="Y428" i="18"/>
  <c r="Z428" i="18"/>
  <c r="F429" i="18"/>
  <c r="G429" i="18"/>
  <c r="H429" i="18"/>
  <c r="I429" i="18"/>
  <c r="J429" i="18"/>
  <c r="K429" i="18"/>
  <c r="L429" i="18"/>
  <c r="M429" i="18"/>
  <c r="N429" i="18"/>
  <c r="O429" i="18"/>
  <c r="P429" i="18"/>
  <c r="Q429" i="18"/>
  <c r="R429" i="18"/>
  <c r="S429" i="18"/>
  <c r="T429" i="18"/>
  <c r="U429" i="18"/>
  <c r="V429" i="18"/>
  <c r="W429" i="18"/>
  <c r="X429" i="18"/>
  <c r="Y429" i="18"/>
  <c r="Z429" i="18"/>
  <c r="I430" i="18"/>
  <c r="I431" i="18"/>
  <c r="F432" i="18"/>
  <c r="G432" i="18"/>
  <c r="H432" i="18"/>
  <c r="I432" i="18"/>
  <c r="J432" i="18"/>
  <c r="K432" i="18"/>
  <c r="L432" i="18"/>
  <c r="M432" i="18"/>
  <c r="N432" i="18"/>
  <c r="O432" i="18"/>
  <c r="P432" i="18"/>
  <c r="F433" i="18"/>
  <c r="G433" i="18"/>
  <c r="H433" i="18"/>
  <c r="I433" i="18"/>
  <c r="J433" i="18"/>
  <c r="K433" i="18"/>
  <c r="L433" i="18"/>
  <c r="M433" i="18"/>
  <c r="N433" i="18"/>
  <c r="O433" i="18"/>
  <c r="P433" i="18"/>
  <c r="J434" i="18"/>
  <c r="P434" i="18"/>
  <c r="D436" i="18"/>
  <c r="F436" i="18"/>
  <c r="G436" i="18"/>
  <c r="H436" i="18"/>
  <c r="I436" i="18"/>
  <c r="J436" i="18"/>
  <c r="K436" i="18"/>
  <c r="L436" i="18"/>
  <c r="M436" i="18"/>
  <c r="N436" i="18"/>
  <c r="O436" i="18"/>
  <c r="P436" i="18"/>
  <c r="Q436" i="18"/>
  <c r="R436" i="18"/>
  <c r="S436" i="18"/>
  <c r="T436" i="18"/>
  <c r="U436" i="18"/>
  <c r="V436" i="18"/>
  <c r="W436" i="18"/>
  <c r="X436" i="18"/>
  <c r="Y436" i="18"/>
  <c r="Z436" i="18"/>
  <c r="D438" i="18"/>
  <c r="D439" i="18"/>
  <c r="K441" i="18"/>
  <c r="L441" i="18"/>
  <c r="M441" i="18"/>
  <c r="N441" i="18"/>
  <c r="O441" i="18"/>
  <c r="P441" i="18"/>
  <c r="D444" i="18"/>
  <c r="G444" i="18"/>
  <c r="H444" i="18"/>
  <c r="I444" i="18"/>
  <c r="J444" i="18"/>
  <c r="K444" i="18"/>
  <c r="L444" i="18"/>
  <c r="M444" i="18"/>
  <c r="N444" i="18"/>
  <c r="O444" i="18"/>
  <c r="P444" i="18"/>
  <c r="Q444" i="18"/>
  <c r="R444" i="18"/>
  <c r="S444" i="18"/>
  <c r="T444" i="18"/>
  <c r="U444" i="18"/>
  <c r="V444" i="18"/>
  <c r="W444" i="18"/>
  <c r="X444" i="18"/>
  <c r="Y444" i="18"/>
  <c r="Z444" i="18"/>
  <c r="D445" i="18"/>
  <c r="F445" i="18"/>
  <c r="G445" i="18"/>
  <c r="H445" i="18"/>
  <c r="I445" i="18"/>
  <c r="J445" i="18"/>
  <c r="K445" i="18"/>
  <c r="L445" i="18"/>
  <c r="M445" i="18"/>
  <c r="N445" i="18"/>
  <c r="O445" i="18"/>
  <c r="P445" i="18"/>
  <c r="Q445" i="18"/>
  <c r="R445" i="18"/>
  <c r="S445" i="18"/>
  <c r="T445" i="18"/>
  <c r="U445" i="18"/>
  <c r="V445" i="18"/>
  <c r="W445" i="18"/>
  <c r="X445" i="18"/>
  <c r="Y445" i="18"/>
  <c r="Z445" i="18"/>
  <c r="D446" i="18"/>
  <c r="F446" i="18"/>
  <c r="G446" i="18"/>
  <c r="H446" i="18"/>
  <c r="I446" i="18"/>
  <c r="J446" i="18"/>
  <c r="K446" i="18"/>
  <c r="L446" i="18"/>
  <c r="M446" i="18"/>
  <c r="N446" i="18"/>
  <c r="O446" i="18"/>
  <c r="P446" i="18"/>
  <c r="D447" i="18"/>
  <c r="K447" i="18"/>
  <c r="L447" i="18"/>
  <c r="M447" i="18"/>
  <c r="N447" i="18"/>
  <c r="O447" i="18"/>
  <c r="P447" i="18"/>
  <c r="D448" i="18"/>
  <c r="F448" i="18"/>
  <c r="G448" i="18"/>
  <c r="H448" i="18"/>
  <c r="I448" i="18"/>
  <c r="J448" i="18"/>
  <c r="K448" i="18"/>
  <c r="L448" i="18"/>
  <c r="M448" i="18"/>
  <c r="N448" i="18"/>
  <c r="O448" i="18"/>
  <c r="P448" i="18"/>
  <c r="D449" i="18"/>
  <c r="J449" i="18"/>
  <c r="P449" i="18"/>
  <c r="D450" i="18"/>
  <c r="P450" i="18"/>
  <c r="D451" i="18"/>
  <c r="F451" i="18"/>
  <c r="G451" i="18"/>
  <c r="H451" i="18"/>
  <c r="I451" i="18"/>
  <c r="J451" i="18"/>
  <c r="K451" i="18"/>
  <c r="L451" i="18"/>
  <c r="M451" i="18"/>
  <c r="N451" i="18"/>
  <c r="O451" i="18"/>
  <c r="P451" i="18"/>
  <c r="Q451" i="18"/>
  <c r="R451" i="18"/>
  <c r="S451" i="18"/>
  <c r="T451" i="18"/>
  <c r="U451" i="18"/>
  <c r="V451" i="18"/>
  <c r="W451" i="18"/>
  <c r="X451" i="18"/>
  <c r="Y451" i="18"/>
  <c r="Z451" i="18"/>
  <c r="F468" i="18"/>
  <c r="G468" i="18"/>
  <c r="H468" i="18"/>
  <c r="I468" i="18"/>
  <c r="J468" i="18"/>
  <c r="K468" i="18"/>
  <c r="L468" i="18"/>
  <c r="M468" i="18"/>
  <c r="N468" i="18"/>
  <c r="O468" i="18"/>
  <c r="P468" i="18"/>
  <c r="Q468" i="18"/>
  <c r="R468" i="18"/>
  <c r="S468" i="18"/>
  <c r="T468" i="18"/>
  <c r="U468" i="18"/>
  <c r="V468" i="18"/>
  <c r="W468" i="18"/>
  <c r="X468" i="18"/>
  <c r="Y468" i="18"/>
  <c r="Z468" i="18"/>
  <c r="F469" i="18"/>
  <c r="G469" i="18"/>
  <c r="H469" i="18"/>
  <c r="I469" i="18"/>
  <c r="J469" i="18"/>
  <c r="K469" i="18"/>
  <c r="L469" i="18"/>
  <c r="M469" i="18"/>
  <c r="N469" i="18"/>
  <c r="O469" i="18"/>
  <c r="P469" i="18"/>
  <c r="Q469" i="18"/>
  <c r="R469" i="18"/>
  <c r="S469" i="18"/>
  <c r="T469" i="18"/>
  <c r="U469" i="18"/>
  <c r="V469" i="18"/>
  <c r="W469" i="18"/>
  <c r="X469" i="18"/>
  <c r="Y469" i="18"/>
  <c r="Z469" i="18"/>
  <c r="F472" i="18"/>
  <c r="G472" i="18"/>
  <c r="H472" i="18"/>
  <c r="I472" i="18"/>
  <c r="J472" i="18"/>
  <c r="K472" i="18"/>
  <c r="L472" i="18"/>
  <c r="M472" i="18"/>
  <c r="N472" i="18"/>
  <c r="O472" i="18"/>
  <c r="P472" i="18"/>
  <c r="Q472" i="18"/>
  <c r="R472" i="18"/>
  <c r="S472" i="18"/>
  <c r="T472" i="18"/>
  <c r="U472" i="18"/>
  <c r="V472" i="18"/>
  <c r="W472" i="18"/>
  <c r="X472" i="18"/>
  <c r="Y472" i="18"/>
  <c r="Z472" i="18"/>
  <c r="F473" i="18"/>
  <c r="G473" i="18"/>
  <c r="H473" i="18"/>
  <c r="I473" i="18"/>
  <c r="J473" i="18"/>
  <c r="K473" i="18"/>
  <c r="L473" i="18"/>
  <c r="M473" i="18"/>
  <c r="N473" i="18"/>
  <c r="O473" i="18"/>
  <c r="P473" i="18"/>
  <c r="Q473" i="18"/>
  <c r="R473" i="18"/>
  <c r="S473" i="18"/>
  <c r="T473" i="18"/>
  <c r="U473" i="18"/>
  <c r="V473" i="18"/>
  <c r="W473" i="18"/>
  <c r="X473" i="18"/>
  <c r="Y473" i="18"/>
  <c r="Z473" i="18"/>
  <c r="F475" i="18"/>
  <c r="G475" i="18"/>
  <c r="H475" i="18"/>
  <c r="I475" i="18"/>
  <c r="J475" i="18"/>
  <c r="K475" i="18"/>
  <c r="L475" i="18"/>
  <c r="M475" i="18"/>
  <c r="N475" i="18"/>
  <c r="O475" i="18"/>
  <c r="P475" i="18"/>
  <c r="Q475" i="18"/>
  <c r="R475" i="18"/>
  <c r="S475" i="18"/>
  <c r="T475" i="18"/>
  <c r="U475" i="18"/>
  <c r="V475" i="18"/>
  <c r="W475" i="18"/>
  <c r="X475" i="18"/>
  <c r="Y475" i="18"/>
  <c r="Z475" i="18"/>
  <c r="F476" i="18"/>
  <c r="G476" i="18"/>
  <c r="H476" i="18"/>
  <c r="I476" i="18"/>
  <c r="J476" i="18"/>
  <c r="K476" i="18"/>
  <c r="L476" i="18"/>
  <c r="M476" i="18"/>
  <c r="N476" i="18"/>
  <c r="O476" i="18"/>
  <c r="P476" i="18"/>
  <c r="Q476" i="18"/>
  <c r="R476" i="18"/>
  <c r="S476" i="18"/>
  <c r="T476" i="18"/>
  <c r="U476" i="18"/>
  <c r="V476" i="18"/>
  <c r="W476" i="18"/>
  <c r="X476" i="18"/>
  <c r="Y476" i="18"/>
  <c r="Z476" i="18"/>
  <c r="F477" i="18"/>
  <c r="G477" i="18"/>
  <c r="H477" i="18"/>
  <c r="I477" i="18"/>
  <c r="J477" i="18"/>
  <c r="K477" i="18"/>
  <c r="L477" i="18"/>
  <c r="M477" i="18"/>
  <c r="N477" i="18"/>
  <c r="O477" i="18"/>
  <c r="P477" i="18"/>
  <c r="Q477" i="18"/>
  <c r="R477" i="18"/>
  <c r="S477" i="18"/>
  <c r="T477" i="18"/>
  <c r="U477" i="18"/>
  <c r="V477" i="18"/>
  <c r="W477" i="18"/>
  <c r="X477" i="18"/>
  <c r="Y477" i="18"/>
  <c r="Z477" i="18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W35" i="22"/>
  <c r="AX35" i="22"/>
  <c r="AY35" i="22"/>
  <c r="AZ35" i="22"/>
  <c r="BA35" i="22"/>
  <c r="BB35" i="22"/>
  <c r="BC35" i="22"/>
  <c r="BD35" i="22"/>
  <c r="BE35" i="22"/>
  <c r="BF35" i="22"/>
  <c r="BG35" i="22"/>
  <c r="BH35" i="22"/>
  <c r="BI35" i="22"/>
  <c r="BJ35" i="22"/>
  <c r="BK35" i="22"/>
  <c r="BL35" i="22"/>
  <c r="BM35" i="22"/>
  <c r="BN35" i="22"/>
  <c r="BO35" i="22"/>
  <c r="BP35" i="22"/>
  <c r="BQ35" i="22"/>
  <c r="AW36" i="22"/>
  <c r="AX36" i="22"/>
  <c r="AY36" i="22"/>
  <c r="AZ36" i="22"/>
  <c r="BA36" i="22"/>
  <c r="BB36" i="22"/>
  <c r="BC36" i="22"/>
  <c r="BD36" i="22"/>
  <c r="BE36" i="22"/>
  <c r="BF36" i="22"/>
  <c r="BG36" i="22"/>
  <c r="BH36" i="22"/>
  <c r="BI36" i="22"/>
  <c r="BJ36" i="22"/>
  <c r="BK36" i="22"/>
  <c r="BL36" i="22"/>
  <c r="BM36" i="22"/>
  <c r="BN36" i="22"/>
  <c r="BO36" i="22"/>
  <c r="BP36" i="22"/>
  <c r="BQ36" i="22"/>
  <c r="AW38" i="22"/>
  <c r="AX38" i="22"/>
  <c r="AY38" i="22"/>
  <c r="AZ38" i="22"/>
  <c r="BA38" i="22"/>
  <c r="BB38" i="22"/>
  <c r="BC38" i="22"/>
  <c r="BD38" i="22"/>
  <c r="BE38" i="22"/>
  <c r="BF38" i="22"/>
  <c r="BG38" i="22"/>
  <c r="BH38" i="22"/>
  <c r="BI38" i="22"/>
  <c r="BJ38" i="22"/>
  <c r="BK38" i="22"/>
  <c r="BL38" i="22"/>
  <c r="BM38" i="22"/>
  <c r="BN38" i="22"/>
  <c r="BO38" i="22"/>
  <c r="BP38" i="22"/>
  <c r="BQ38" i="22"/>
  <c r="AW39" i="22"/>
  <c r="AX39" i="22"/>
  <c r="AY39" i="22"/>
  <c r="AZ39" i="22"/>
  <c r="BA39" i="22"/>
  <c r="BB39" i="22"/>
  <c r="BC39" i="22"/>
  <c r="BD39" i="22"/>
  <c r="BE39" i="22"/>
  <c r="BF39" i="22"/>
  <c r="BG39" i="22"/>
  <c r="BH39" i="22"/>
  <c r="BI39" i="22"/>
  <c r="BJ39" i="22"/>
  <c r="BK39" i="22"/>
  <c r="BL39" i="22"/>
  <c r="BM39" i="22"/>
  <c r="BN39" i="22"/>
  <c r="BO39" i="22"/>
  <c r="BP39" i="22"/>
  <c r="BQ39" i="22"/>
  <c r="AW40" i="22"/>
  <c r="AX40" i="22"/>
  <c r="AY40" i="22"/>
  <c r="AZ40" i="22"/>
  <c r="BA40" i="22"/>
  <c r="BB40" i="22"/>
  <c r="BC40" i="22"/>
  <c r="BD40" i="22"/>
  <c r="BE40" i="22"/>
  <c r="BF40" i="22"/>
  <c r="BG40" i="22"/>
  <c r="BH40" i="22"/>
  <c r="BI40" i="22"/>
  <c r="BJ40" i="22"/>
  <c r="BK40" i="22"/>
  <c r="BL40" i="22"/>
  <c r="BM40" i="22"/>
  <c r="BN40" i="22"/>
  <c r="BO40" i="22"/>
  <c r="BP40" i="22"/>
  <c r="BQ40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W62" i="22"/>
  <c r="AX62" i="22"/>
  <c r="AY62" i="22"/>
  <c r="AZ62" i="22"/>
  <c r="BA62" i="22"/>
  <c r="BB62" i="22"/>
  <c r="BC62" i="22"/>
  <c r="BD62" i="22"/>
  <c r="BE62" i="22"/>
  <c r="BF62" i="22"/>
  <c r="BG62" i="22"/>
  <c r="BH62" i="22"/>
  <c r="BI62" i="22"/>
  <c r="BJ62" i="22"/>
  <c r="BK62" i="22"/>
  <c r="BL62" i="22"/>
  <c r="BM62" i="22"/>
  <c r="BN62" i="22"/>
  <c r="BO62" i="22"/>
  <c r="BP62" i="22"/>
  <c r="BQ62" i="22"/>
  <c r="AW63" i="22"/>
  <c r="AX63" i="22"/>
  <c r="AY63" i="22"/>
  <c r="AZ63" i="22"/>
  <c r="BA63" i="22"/>
  <c r="BB63" i="22"/>
  <c r="BC63" i="22"/>
  <c r="BD63" i="22"/>
  <c r="BE63" i="22"/>
  <c r="BF63" i="22"/>
  <c r="BG63" i="22"/>
  <c r="BH63" i="22"/>
  <c r="BI63" i="22"/>
  <c r="BJ63" i="22"/>
  <c r="BK63" i="22"/>
  <c r="BL63" i="22"/>
  <c r="BM63" i="22"/>
  <c r="BN63" i="22"/>
  <c r="BO63" i="22"/>
  <c r="BP63" i="22"/>
  <c r="BQ63" i="22"/>
  <c r="AW65" i="22"/>
  <c r="AX65" i="22"/>
  <c r="AY65" i="22"/>
  <c r="AZ65" i="22"/>
  <c r="BA65" i="22"/>
  <c r="BB65" i="22"/>
  <c r="BC65" i="22"/>
  <c r="BD65" i="22"/>
  <c r="BE65" i="22"/>
  <c r="BF65" i="22"/>
  <c r="BG65" i="22"/>
  <c r="BH65" i="22"/>
  <c r="BI65" i="22"/>
  <c r="BJ65" i="22"/>
  <c r="BK65" i="22"/>
  <c r="BL65" i="22"/>
  <c r="BM65" i="22"/>
  <c r="BN65" i="22"/>
  <c r="BO65" i="22"/>
  <c r="BP65" i="22"/>
  <c r="BQ65" i="22"/>
  <c r="AW66" i="22"/>
  <c r="AX66" i="22"/>
  <c r="AY66" i="22"/>
  <c r="AZ66" i="22"/>
  <c r="BA66" i="22"/>
  <c r="BB66" i="22"/>
  <c r="BC66" i="22"/>
  <c r="BD66" i="22"/>
  <c r="BE66" i="22"/>
  <c r="BF66" i="22"/>
  <c r="BG66" i="22"/>
  <c r="BH66" i="22"/>
  <c r="BI66" i="22"/>
  <c r="BJ66" i="22"/>
  <c r="BK66" i="22"/>
  <c r="BL66" i="22"/>
  <c r="BM66" i="22"/>
  <c r="BN66" i="22"/>
  <c r="BO66" i="22"/>
  <c r="BP66" i="22"/>
  <c r="BQ66" i="22"/>
  <c r="AW67" i="22"/>
  <c r="AX67" i="22"/>
  <c r="AY67" i="22"/>
  <c r="AZ67" i="22"/>
  <c r="BA67" i="22"/>
  <c r="BB67" i="22"/>
  <c r="BC67" i="22"/>
  <c r="BD67" i="22"/>
  <c r="BE67" i="22"/>
  <c r="BF67" i="22"/>
  <c r="BG67" i="22"/>
  <c r="BH67" i="22"/>
  <c r="BI67" i="22"/>
  <c r="BJ67" i="22"/>
  <c r="BK67" i="22"/>
  <c r="BL67" i="22"/>
  <c r="BM67" i="22"/>
  <c r="BN67" i="22"/>
  <c r="BO67" i="22"/>
  <c r="BP67" i="22"/>
  <c r="BQ67" i="22"/>
  <c r="F71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W71" i="22"/>
  <c r="X71" i="22"/>
  <c r="Y71" i="22"/>
  <c r="Z71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W76" i="22"/>
  <c r="X76" i="22"/>
  <c r="Y76" i="22"/>
  <c r="Z76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W84" i="22"/>
  <c r="X84" i="22"/>
  <c r="Y84" i="22"/>
  <c r="Z84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T85" i="22"/>
  <c r="U85" i="22"/>
  <c r="V85" i="22"/>
  <c r="W85" i="22"/>
  <c r="X85" i="22"/>
  <c r="Y85" i="22"/>
  <c r="Z85" i="22"/>
  <c r="AW89" i="22"/>
  <c r="AX89" i="22"/>
  <c r="AY89" i="22"/>
  <c r="AZ89" i="22"/>
  <c r="BA89" i="22"/>
  <c r="BB89" i="22"/>
  <c r="BC89" i="22"/>
  <c r="BD89" i="22"/>
  <c r="BE89" i="22"/>
  <c r="BF89" i="22"/>
  <c r="BG89" i="22"/>
  <c r="BH89" i="22"/>
  <c r="BI89" i="22"/>
  <c r="BJ89" i="22"/>
  <c r="BK89" i="22"/>
  <c r="BL89" i="22"/>
  <c r="BM89" i="22"/>
  <c r="BN89" i="22"/>
  <c r="BO89" i="22"/>
  <c r="BP89" i="22"/>
  <c r="BQ89" i="22"/>
  <c r="AW90" i="22"/>
  <c r="AX90" i="22"/>
  <c r="AY90" i="22"/>
  <c r="AZ90" i="22"/>
  <c r="BA90" i="22"/>
  <c r="BB90" i="22"/>
  <c r="BC90" i="22"/>
  <c r="BD90" i="22"/>
  <c r="BE90" i="22"/>
  <c r="BF90" i="22"/>
  <c r="BG90" i="22"/>
  <c r="BH90" i="22"/>
  <c r="BI90" i="22"/>
  <c r="BJ90" i="22"/>
  <c r="BK90" i="22"/>
  <c r="BL90" i="22"/>
  <c r="BM90" i="22"/>
  <c r="BN90" i="22"/>
  <c r="BO90" i="22"/>
  <c r="BP90" i="22"/>
  <c r="BQ90" i="22"/>
  <c r="AW92" i="22"/>
  <c r="AX92" i="22"/>
  <c r="AY92" i="22"/>
  <c r="AZ92" i="22"/>
  <c r="BA92" i="22"/>
  <c r="BB92" i="22"/>
  <c r="BC92" i="22"/>
  <c r="BD92" i="22"/>
  <c r="BE92" i="22"/>
  <c r="BF92" i="22"/>
  <c r="BG92" i="22"/>
  <c r="BH92" i="22"/>
  <c r="BI92" i="22"/>
  <c r="BJ92" i="22"/>
  <c r="BK92" i="22"/>
  <c r="BL92" i="22"/>
  <c r="BM92" i="22"/>
  <c r="BN92" i="22"/>
  <c r="BO92" i="22"/>
  <c r="BP92" i="22"/>
  <c r="BQ92" i="22"/>
  <c r="AW93" i="22"/>
  <c r="AX93" i="22"/>
  <c r="AY93" i="22"/>
  <c r="AZ93" i="22"/>
  <c r="BA93" i="22"/>
  <c r="BB93" i="22"/>
  <c r="BC93" i="22"/>
  <c r="BD93" i="22"/>
  <c r="BE93" i="22"/>
  <c r="BF93" i="22"/>
  <c r="BG93" i="22"/>
  <c r="BH93" i="22"/>
  <c r="BI93" i="22"/>
  <c r="BJ93" i="22"/>
  <c r="BK93" i="22"/>
  <c r="BL93" i="22"/>
  <c r="BM93" i="22"/>
  <c r="BN93" i="22"/>
  <c r="BO93" i="22"/>
  <c r="BP93" i="22"/>
  <c r="BQ93" i="22"/>
  <c r="AW94" i="22"/>
  <c r="AX94" i="22"/>
  <c r="AY94" i="22"/>
  <c r="AZ94" i="22"/>
  <c r="BA94" i="22"/>
  <c r="BB94" i="22"/>
  <c r="BC94" i="22"/>
  <c r="BD94" i="22"/>
  <c r="BE94" i="22"/>
  <c r="BF94" i="22"/>
  <c r="BG94" i="22"/>
  <c r="BH94" i="22"/>
  <c r="BI94" i="22"/>
  <c r="BJ94" i="22"/>
  <c r="BK94" i="22"/>
  <c r="BL94" i="22"/>
  <c r="BM94" i="22"/>
  <c r="BN94" i="22"/>
  <c r="BO94" i="22"/>
  <c r="BP94" i="22"/>
  <c r="BQ94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F98" i="22"/>
  <c r="G98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U101" i="22"/>
  <c r="V101" i="22"/>
  <c r="W101" i="22"/>
  <c r="X101" i="22"/>
  <c r="Y101" i="22"/>
  <c r="Z101" i="22"/>
  <c r="F102" i="22"/>
  <c r="G102" i="22"/>
  <c r="H102" i="22"/>
  <c r="I102" i="22"/>
  <c r="J102" i="22"/>
  <c r="K102" i="22"/>
  <c r="L102" i="22"/>
  <c r="M102" i="22"/>
  <c r="N102" i="22"/>
  <c r="O102" i="22"/>
  <c r="P102" i="22"/>
  <c r="Q102" i="22"/>
  <c r="R102" i="22"/>
  <c r="S102" i="22"/>
  <c r="T102" i="22"/>
  <c r="U102" i="22"/>
  <c r="V102" i="22"/>
  <c r="W102" i="22"/>
  <c r="X102" i="22"/>
  <c r="Y102" i="22"/>
  <c r="Z102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U104" i="22"/>
  <c r="V104" i="22"/>
  <c r="W104" i="22"/>
  <c r="X104" i="22"/>
  <c r="Y104" i="22"/>
  <c r="Z104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F110" i="22"/>
  <c r="G110" i="22"/>
  <c r="H110" i="22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W110" i="22"/>
  <c r="X110" i="22"/>
  <c r="Y110" i="22"/>
  <c r="Z110" i="22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U111" i="22"/>
  <c r="V111" i="22"/>
  <c r="W111" i="22"/>
  <c r="X111" i="22"/>
  <c r="Y111" i="22"/>
  <c r="Z111" i="22"/>
  <c r="BD116" i="22"/>
  <c r="BE116" i="22"/>
  <c r="BF116" i="22"/>
  <c r="BG116" i="22"/>
  <c r="BH116" i="22"/>
  <c r="BI116" i="22"/>
  <c r="BJ116" i="22"/>
  <c r="BK116" i="22"/>
  <c r="BL116" i="22"/>
  <c r="BM116" i="22"/>
  <c r="BN116" i="22"/>
  <c r="BO116" i="22"/>
  <c r="BP116" i="22"/>
  <c r="BQ116" i="22"/>
  <c r="BD117" i="22"/>
  <c r="BE117" i="22"/>
  <c r="BF117" i="22"/>
  <c r="BG117" i="22"/>
  <c r="BH117" i="22"/>
  <c r="BI117" i="22"/>
  <c r="BJ117" i="22"/>
  <c r="BK117" i="22"/>
  <c r="BL117" i="22"/>
  <c r="BM117" i="22"/>
  <c r="BN117" i="22"/>
  <c r="BO117" i="22"/>
  <c r="BP117" i="22"/>
  <c r="BQ117" i="22"/>
  <c r="BD119" i="22"/>
  <c r="BE119" i="22"/>
  <c r="BF119" i="22"/>
  <c r="BG119" i="22"/>
  <c r="BH119" i="22"/>
  <c r="BI119" i="22"/>
  <c r="BJ119" i="22"/>
  <c r="BK119" i="22"/>
  <c r="BL119" i="22"/>
  <c r="BM119" i="22"/>
  <c r="BN119" i="22"/>
  <c r="BO119" i="22"/>
  <c r="BP119" i="22"/>
  <c r="BQ119" i="22"/>
  <c r="BD120" i="22"/>
  <c r="BE120" i="22"/>
  <c r="BF120" i="22"/>
  <c r="BG120" i="22"/>
  <c r="BH120" i="22"/>
  <c r="BI120" i="22"/>
  <c r="BJ120" i="22"/>
  <c r="BK120" i="22"/>
  <c r="BL120" i="22"/>
  <c r="BM120" i="22"/>
  <c r="BN120" i="22"/>
  <c r="BO120" i="22"/>
  <c r="BP120" i="22"/>
  <c r="BQ120" i="22"/>
  <c r="BD121" i="22"/>
  <c r="BE121" i="22"/>
  <c r="BF121" i="22"/>
  <c r="BG121" i="22"/>
  <c r="BH121" i="22"/>
  <c r="BI121" i="22"/>
  <c r="BJ121" i="22"/>
  <c r="BK121" i="22"/>
  <c r="BL121" i="22"/>
  <c r="BM121" i="22"/>
  <c r="BN121" i="22"/>
  <c r="BO121" i="22"/>
  <c r="BP121" i="22"/>
  <c r="BQ121" i="22"/>
  <c r="AI122" i="22"/>
  <c r="AJ122" i="22"/>
  <c r="AK122" i="22"/>
  <c r="AL122" i="22"/>
  <c r="AM122" i="22"/>
  <c r="AN122" i="22"/>
  <c r="AO122" i="22"/>
  <c r="AP122" i="22"/>
  <c r="AQ122" i="22"/>
  <c r="AR122" i="22"/>
  <c r="AS122" i="22"/>
  <c r="AT122" i="22"/>
  <c r="AU122" i="22"/>
  <c r="AV122" i="22"/>
  <c r="AW122" i="22"/>
  <c r="AX122" i="22"/>
  <c r="AY122" i="22"/>
  <c r="AZ122" i="22"/>
  <c r="BA122" i="22"/>
  <c r="BB122" i="22"/>
  <c r="BC122" i="22"/>
  <c r="AI123" i="22"/>
  <c r="AJ123" i="22"/>
  <c r="AK123" i="22"/>
  <c r="AL123" i="22"/>
  <c r="AM123" i="22"/>
  <c r="AN123" i="22"/>
  <c r="AO123" i="22"/>
  <c r="AP123" i="22"/>
  <c r="AQ123" i="22"/>
  <c r="AR123" i="22"/>
  <c r="AS123" i="22"/>
  <c r="AT123" i="22"/>
  <c r="AU123" i="22"/>
  <c r="AV123" i="22"/>
  <c r="AW123" i="22"/>
  <c r="AX123" i="22"/>
  <c r="AY123" i="22"/>
  <c r="AZ123" i="22"/>
  <c r="BA123" i="22"/>
  <c r="BB123" i="22"/>
  <c r="BC123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AW126" i="22"/>
  <c r="AX126" i="22"/>
  <c r="AY126" i="22"/>
  <c r="AZ126" i="22"/>
  <c r="BA126" i="22"/>
  <c r="BB126" i="22"/>
  <c r="BC126" i="22"/>
  <c r="AI127" i="22"/>
  <c r="AJ127" i="22"/>
  <c r="AK127" i="22"/>
  <c r="AL127" i="22"/>
  <c r="AM127" i="22"/>
  <c r="AN127" i="22"/>
  <c r="AO127" i="22"/>
  <c r="AP127" i="22"/>
  <c r="AQ127" i="22"/>
  <c r="AR127" i="22"/>
  <c r="AS127" i="22"/>
  <c r="AT127" i="22"/>
  <c r="AU127" i="22"/>
  <c r="AV127" i="22"/>
  <c r="AW127" i="22"/>
  <c r="AX127" i="22"/>
  <c r="AY127" i="22"/>
  <c r="AZ127" i="22"/>
  <c r="BA127" i="22"/>
  <c r="BB127" i="22"/>
  <c r="BC127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U128" i="22"/>
  <c r="V128" i="22"/>
  <c r="W128" i="22"/>
  <c r="X128" i="22"/>
  <c r="Y128" i="22"/>
  <c r="Z128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U129" i="22"/>
  <c r="V129" i="22"/>
  <c r="W129" i="22"/>
  <c r="X129" i="22"/>
  <c r="Y129" i="22"/>
  <c r="Z129" i="22"/>
  <c r="AI129" i="22"/>
  <c r="AJ129" i="22"/>
  <c r="AK129" i="22"/>
  <c r="AL129" i="22"/>
  <c r="AM129" i="22"/>
  <c r="AN129" i="22"/>
  <c r="AO129" i="22"/>
  <c r="AP129" i="22"/>
  <c r="AQ129" i="22"/>
  <c r="AR129" i="22"/>
  <c r="AS129" i="22"/>
  <c r="AT129" i="22"/>
  <c r="AU129" i="22"/>
  <c r="AV129" i="22"/>
  <c r="AW129" i="22"/>
  <c r="AX129" i="22"/>
  <c r="AY129" i="22"/>
  <c r="AZ129" i="22"/>
  <c r="BA129" i="22"/>
  <c r="BB129" i="22"/>
  <c r="BC129" i="22"/>
  <c r="AI130" i="22"/>
  <c r="AJ130" i="22"/>
  <c r="AK130" i="22"/>
  <c r="AL130" i="22"/>
  <c r="AM130" i="22"/>
  <c r="AN130" i="22"/>
  <c r="AO130" i="22"/>
  <c r="AP130" i="22"/>
  <c r="AQ130" i="22"/>
  <c r="AR130" i="22"/>
  <c r="AS130" i="22"/>
  <c r="AT130" i="22"/>
  <c r="AU130" i="22"/>
  <c r="AV130" i="22"/>
  <c r="AW130" i="22"/>
  <c r="AX130" i="22"/>
  <c r="AY130" i="22"/>
  <c r="AZ130" i="22"/>
  <c r="BA130" i="22"/>
  <c r="BB130" i="22"/>
  <c r="BC130" i="22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W131" i="22"/>
  <c r="X131" i="22"/>
  <c r="Y131" i="22"/>
  <c r="Z131" i="22"/>
  <c r="AI131" i="22"/>
  <c r="AJ131" i="22"/>
  <c r="AK131" i="22"/>
  <c r="AL131" i="22"/>
  <c r="AM131" i="22"/>
  <c r="AN131" i="22"/>
  <c r="AO131" i="22"/>
  <c r="AP131" i="22"/>
  <c r="AQ131" i="22"/>
  <c r="AR131" i="22"/>
  <c r="AS131" i="22"/>
  <c r="AT131" i="22"/>
  <c r="AU131" i="22"/>
  <c r="AV131" i="22"/>
  <c r="AW131" i="22"/>
  <c r="AX131" i="22"/>
  <c r="AY131" i="22"/>
  <c r="AZ131" i="22"/>
  <c r="BA131" i="22"/>
  <c r="BB131" i="22"/>
  <c r="BC131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U133" i="22"/>
  <c r="V133" i="22"/>
  <c r="W133" i="22"/>
  <c r="X133" i="22"/>
  <c r="Y133" i="22"/>
  <c r="Z133" i="22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U135" i="22"/>
  <c r="V135" i="22"/>
  <c r="W135" i="22"/>
  <c r="X135" i="22"/>
  <c r="Y135" i="22"/>
  <c r="Z135" i="22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I139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BD140" i="22"/>
  <c r="BE140" i="22"/>
  <c r="BF140" i="22"/>
  <c r="BG140" i="22"/>
  <c r="BH140" i="22"/>
  <c r="BI140" i="22"/>
  <c r="BJ140" i="22"/>
  <c r="BK140" i="22"/>
  <c r="BL140" i="22"/>
  <c r="BM140" i="22"/>
  <c r="BN140" i="22"/>
  <c r="BO140" i="22"/>
  <c r="BP140" i="22"/>
  <c r="BQ140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U141" i="22"/>
  <c r="V141" i="22"/>
  <c r="W141" i="22"/>
  <c r="X141" i="22"/>
  <c r="Y141" i="22"/>
  <c r="Z141" i="22"/>
  <c r="BD141" i="22"/>
  <c r="BE141" i="22"/>
  <c r="BF141" i="22"/>
  <c r="BG141" i="22"/>
  <c r="BH141" i="22"/>
  <c r="BI141" i="22"/>
  <c r="BJ141" i="22"/>
  <c r="BK141" i="22"/>
  <c r="BL141" i="22"/>
  <c r="BM141" i="22"/>
  <c r="BN141" i="22"/>
  <c r="BO141" i="22"/>
  <c r="BP141" i="22"/>
  <c r="BQ141" i="22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U143" i="22"/>
  <c r="V143" i="22"/>
  <c r="W143" i="22"/>
  <c r="X143" i="22"/>
  <c r="Y143" i="22"/>
  <c r="Z143" i="22"/>
  <c r="BD143" i="22"/>
  <c r="BE143" i="22"/>
  <c r="BF143" i="22"/>
  <c r="BG143" i="22"/>
  <c r="BH143" i="22"/>
  <c r="BI143" i="22"/>
  <c r="BJ143" i="22"/>
  <c r="BK143" i="22"/>
  <c r="BL143" i="22"/>
  <c r="BM143" i="22"/>
  <c r="BN143" i="22"/>
  <c r="BO143" i="22"/>
  <c r="BP143" i="22"/>
  <c r="BQ143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U144" i="22"/>
  <c r="V144" i="22"/>
  <c r="W144" i="22"/>
  <c r="X144" i="22"/>
  <c r="Y144" i="22"/>
  <c r="Z144" i="22"/>
  <c r="BD144" i="22"/>
  <c r="BE144" i="22"/>
  <c r="BF144" i="22"/>
  <c r="BG144" i="22"/>
  <c r="BH144" i="22"/>
  <c r="BI144" i="22"/>
  <c r="BJ144" i="22"/>
  <c r="BK144" i="22"/>
  <c r="BL144" i="22"/>
  <c r="BM144" i="22"/>
  <c r="BN144" i="22"/>
  <c r="BO144" i="22"/>
  <c r="BP144" i="22"/>
  <c r="BQ144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U145" i="22"/>
  <c r="V145" i="22"/>
  <c r="W145" i="22"/>
  <c r="X145" i="22"/>
  <c r="Y145" i="22"/>
  <c r="Z145" i="22"/>
  <c r="I147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U149" i="22"/>
  <c r="V149" i="22"/>
  <c r="W149" i="22"/>
  <c r="X149" i="22"/>
  <c r="Y149" i="22"/>
  <c r="Z149" i="22"/>
  <c r="M152" i="22"/>
  <c r="I153" i="22"/>
  <c r="M154" i="22"/>
  <c r="M155" i="22"/>
  <c r="I156" i="22"/>
  <c r="M156" i="22"/>
  <c r="F158" i="22"/>
  <c r="G158" i="22"/>
  <c r="H158" i="22"/>
  <c r="I158" i="22"/>
  <c r="J158" i="22"/>
  <c r="K158" i="22"/>
  <c r="L158" i="22"/>
  <c r="M158" i="22"/>
  <c r="I164" i="22"/>
  <c r="J164" i="22"/>
  <c r="BD164" i="22"/>
  <c r="BE164" i="22"/>
  <c r="BF164" i="22"/>
  <c r="BG164" i="22"/>
  <c r="BH164" i="22"/>
  <c r="BI164" i="22"/>
  <c r="BJ164" i="22"/>
  <c r="BK164" i="22"/>
  <c r="BL164" i="22"/>
  <c r="BM164" i="22"/>
  <c r="BN164" i="22"/>
  <c r="BO164" i="22"/>
  <c r="BP164" i="22"/>
  <c r="BQ164" i="22"/>
  <c r="I165" i="22"/>
  <c r="J165" i="22"/>
  <c r="K165" i="22"/>
  <c r="L165" i="22"/>
  <c r="M165" i="22"/>
  <c r="N165" i="22"/>
  <c r="O165" i="22"/>
  <c r="P165" i="22"/>
  <c r="Q165" i="22"/>
  <c r="R165" i="22"/>
  <c r="S165" i="22"/>
  <c r="T165" i="22"/>
  <c r="U165" i="22"/>
  <c r="V165" i="22"/>
  <c r="W165" i="22"/>
  <c r="X165" i="22"/>
  <c r="Y165" i="22"/>
  <c r="Z165" i="22"/>
  <c r="BD165" i="22"/>
  <c r="BE165" i="22"/>
  <c r="BF165" i="22"/>
  <c r="BG165" i="22"/>
  <c r="BH165" i="22"/>
  <c r="BI165" i="22"/>
  <c r="BJ165" i="22"/>
  <c r="BK165" i="22"/>
  <c r="BL165" i="22"/>
  <c r="BM165" i="22"/>
  <c r="BN165" i="22"/>
  <c r="BO165" i="22"/>
  <c r="BP165" i="22"/>
  <c r="BQ165" i="22"/>
  <c r="F166" i="22"/>
  <c r="G166" i="22"/>
  <c r="H166" i="22"/>
  <c r="I166" i="22"/>
  <c r="J166" i="22"/>
  <c r="K166" i="22"/>
  <c r="L166" i="22"/>
  <c r="M166" i="22"/>
  <c r="N166" i="22"/>
  <c r="O166" i="22"/>
  <c r="P166" i="22"/>
  <c r="Q166" i="22"/>
  <c r="R166" i="22"/>
  <c r="S166" i="22"/>
  <c r="T166" i="22"/>
  <c r="U166" i="22"/>
  <c r="V166" i="22"/>
  <c r="W166" i="22"/>
  <c r="X166" i="22"/>
  <c r="Y166" i="22"/>
  <c r="Z166" i="22"/>
  <c r="BD167" i="22"/>
  <c r="BE167" i="22"/>
  <c r="BF167" i="22"/>
  <c r="BG167" i="22"/>
  <c r="BH167" i="22"/>
  <c r="BI167" i="22"/>
  <c r="BJ167" i="22"/>
  <c r="BK167" i="22"/>
  <c r="BL167" i="22"/>
  <c r="BM167" i="22"/>
  <c r="BN167" i="22"/>
  <c r="BO167" i="22"/>
  <c r="BP167" i="22"/>
  <c r="BQ167" i="22"/>
  <c r="BD168" i="22"/>
  <c r="BE168" i="22"/>
  <c r="BF168" i="22"/>
  <c r="BG168" i="22"/>
  <c r="BH168" i="22"/>
  <c r="BI168" i="22"/>
  <c r="BJ168" i="22"/>
  <c r="BK168" i="22"/>
  <c r="BL168" i="22"/>
  <c r="BM168" i="22"/>
  <c r="BN168" i="22"/>
  <c r="BO168" i="22"/>
  <c r="BP168" i="22"/>
  <c r="BQ168" i="22"/>
  <c r="I174" i="22"/>
  <c r="J174" i="22"/>
  <c r="K174" i="22"/>
  <c r="L174" i="22"/>
  <c r="M174" i="22"/>
  <c r="N174" i="22"/>
  <c r="O174" i="22"/>
  <c r="P174" i="22"/>
  <c r="Q174" i="22"/>
  <c r="R174" i="22"/>
  <c r="S174" i="22"/>
  <c r="T174" i="22"/>
  <c r="U174" i="22"/>
  <c r="V174" i="22"/>
  <c r="W174" i="22"/>
  <c r="X174" i="22"/>
  <c r="Y174" i="22"/>
  <c r="Z174" i="22"/>
  <c r="F176" i="22"/>
  <c r="G176" i="22"/>
  <c r="H176" i="22"/>
  <c r="I176" i="22"/>
  <c r="J176" i="22"/>
  <c r="K176" i="22"/>
  <c r="L176" i="22"/>
  <c r="M176" i="22"/>
  <c r="N176" i="22"/>
  <c r="O176" i="22"/>
  <c r="P176" i="22"/>
  <c r="Q176" i="22"/>
  <c r="R176" i="22"/>
  <c r="S176" i="22"/>
  <c r="T176" i="22"/>
  <c r="U176" i="22"/>
  <c r="V176" i="22"/>
  <c r="W176" i="22"/>
  <c r="X176" i="22"/>
  <c r="Y176" i="22"/>
  <c r="Z176" i="22"/>
  <c r="F177" i="22"/>
  <c r="G177" i="22"/>
  <c r="H177" i="22"/>
  <c r="I177" i="22"/>
  <c r="J177" i="22"/>
  <c r="K177" i="22"/>
  <c r="L177" i="22"/>
  <c r="M177" i="22"/>
  <c r="N177" i="22"/>
  <c r="O177" i="22"/>
  <c r="P177" i="22"/>
  <c r="Q177" i="22"/>
  <c r="R177" i="22"/>
  <c r="S177" i="22"/>
  <c r="T177" i="22"/>
  <c r="U177" i="22"/>
  <c r="V177" i="22"/>
  <c r="W177" i="22"/>
  <c r="X177" i="22"/>
  <c r="Y177" i="22"/>
  <c r="Z177" i="22"/>
  <c r="F179" i="22"/>
  <c r="G179" i="22"/>
  <c r="H179" i="22"/>
  <c r="I179" i="22"/>
  <c r="J179" i="22"/>
  <c r="K179" i="22"/>
  <c r="L179" i="22"/>
  <c r="M179" i="22"/>
  <c r="N179" i="22"/>
  <c r="O179" i="22"/>
  <c r="P179" i="22"/>
  <c r="Q179" i="22"/>
  <c r="R179" i="22"/>
  <c r="S179" i="22"/>
  <c r="T179" i="22"/>
  <c r="U179" i="22"/>
  <c r="V179" i="22"/>
  <c r="W179" i="22"/>
  <c r="X179" i="22"/>
  <c r="Y179" i="22"/>
  <c r="Z179" i="22"/>
  <c r="F180" i="22"/>
  <c r="G180" i="22"/>
  <c r="H180" i="22"/>
  <c r="I180" i="22"/>
  <c r="J180" i="22"/>
  <c r="K180" i="22"/>
  <c r="L180" i="22"/>
  <c r="M180" i="22"/>
  <c r="N180" i="22"/>
  <c r="O180" i="22"/>
  <c r="P180" i="22"/>
  <c r="Q180" i="22"/>
  <c r="R180" i="22"/>
  <c r="S180" i="22"/>
  <c r="T180" i="22"/>
  <c r="U180" i="22"/>
  <c r="V180" i="22"/>
  <c r="W180" i="22"/>
  <c r="X180" i="22"/>
  <c r="Y180" i="22"/>
  <c r="Z180" i="22"/>
  <c r="I183" i="22"/>
  <c r="J183" i="22"/>
  <c r="K183" i="22"/>
  <c r="L183" i="22"/>
  <c r="M183" i="22"/>
  <c r="N183" i="22"/>
  <c r="O183" i="22"/>
  <c r="P183" i="22"/>
  <c r="Q183" i="22"/>
  <c r="R183" i="22"/>
  <c r="S183" i="22"/>
  <c r="T183" i="22"/>
  <c r="U183" i="22"/>
  <c r="V183" i="22"/>
  <c r="W183" i="22"/>
  <c r="X183" i="22"/>
  <c r="Y183" i="22"/>
  <c r="Z183" i="22"/>
  <c r="F184" i="22"/>
  <c r="G184" i="22"/>
  <c r="H184" i="22"/>
  <c r="I184" i="22"/>
  <c r="J184" i="22"/>
  <c r="K184" i="22"/>
  <c r="L184" i="22"/>
  <c r="M184" i="22"/>
  <c r="N184" i="22"/>
  <c r="O184" i="22"/>
  <c r="P184" i="22"/>
  <c r="Q184" i="22"/>
  <c r="R184" i="22"/>
  <c r="S184" i="22"/>
  <c r="T184" i="22"/>
  <c r="U184" i="22"/>
  <c r="V184" i="22"/>
  <c r="W184" i="22"/>
  <c r="X184" i="22"/>
  <c r="Y184" i="22"/>
  <c r="Z184" i="22"/>
  <c r="F186" i="22"/>
  <c r="G186" i="22"/>
  <c r="H186" i="22"/>
  <c r="I186" i="22"/>
  <c r="J186" i="22"/>
  <c r="K186" i="22"/>
  <c r="L186" i="22"/>
  <c r="M186" i="22"/>
  <c r="N186" i="22"/>
  <c r="O186" i="22"/>
  <c r="P186" i="22"/>
  <c r="Q186" i="22"/>
  <c r="R186" i="22"/>
  <c r="S186" i="22"/>
  <c r="T186" i="22"/>
  <c r="U186" i="22"/>
  <c r="V186" i="22"/>
  <c r="W186" i="22"/>
  <c r="X186" i="22"/>
  <c r="Y186" i="22"/>
  <c r="Z186" i="22"/>
  <c r="F187" i="22"/>
  <c r="G187" i="22"/>
  <c r="H187" i="22"/>
  <c r="I187" i="22"/>
  <c r="J187" i="22"/>
  <c r="K187" i="22"/>
  <c r="L187" i="22"/>
  <c r="M187" i="22"/>
  <c r="N187" i="22"/>
  <c r="O187" i="22"/>
  <c r="P187" i="22"/>
  <c r="Q187" i="22"/>
  <c r="R187" i="22"/>
  <c r="S187" i="22"/>
  <c r="T187" i="22"/>
  <c r="U187" i="22"/>
  <c r="V187" i="22"/>
  <c r="W187" i="22"/>
  <c r="X187" i="22"/>
  <c r="Y187" i="22"/>
  <c r="Z187" i="22"/>
  <c r="F188" i="22"/>
  <c r="G188" i="22"/>
  <c r="H188" i="22"/>
  <c r="I188" i="22"/>
  <c r="J188" i="22"/>
  <c r="K188" i="22"/>
  <c r="L188" i="22"/>
  <c r="M188" i="22"/>
  <c r="N188" i="22"/>
  <c r="O188" i="22"/>
  <c r="P188" i="22"/>
  <c r="Q188" i="22"/>
  <c r="R188" i="22"/>
  <c r="S188" i="22"/>
  <c r="T188" i="22"/>
  <c r="U188" i="22"/>
  <c r="V188" i="22"/>
  <c r="W188" i="22"/>
  <c r="X188" i="22"/>
  <c r="Y188" i="22"/>
  <c r="Z188" i="22"/>
  <c r="F189" i="22"/>
  <c r="G189" i="22"/>
  <c r="H189" i="22"/>
  <c r="I189" i="22"/>
  <c r="J189" i="22"/>
  <c r="K189" i="22"/>
  <c r="L189" i="22"/>
  <c r="M189" i="22"/>
  <c r="N189" i="22"/>
  <c r="O189" i="22"/>
  <c r="P189" i="22"/>
  <c r="Q189" i="22"/>
  <c r="R189" i="22"/>
  <c r="S189" i="22"/>
  <c r="T189" i="22"/>
  <c r="U189" i="22"/>
  <c r="V189" i="22"/>
  <c r="W189" i="22"/>
  <c r="X189" i="22"/>
  <c r="Y189" i="22"/>
  <c r="Z189" i="22"/>
  <c r="F190" i="22"/>
  <c r="G190" i="22"/>
  <c r="H190" i="22"/>
  <c r="I190" i="22"/>
  <c r="J190" i="22"/>
  <c r="K190" i="22"/>
  <c r="L190" i="22"/>
  <c r="M190" i="22"/>
  <c r="N190" i="22"/>
  <c r="O190" i="22"/>
  <c r="P190" i="22"/>
  <c r="Q190" i="22"/>
  <c r="R190" i="22"/>
  <c r="S190" i="22"/>
  <c r="T190" i="22"/>
  <c r="U190" i="22"/>
  <c r="V190" i="22"/>
  <c r="W190" i="22"/>
  <c r="X190" i="22"/>
  <c r="Y190" i="22"/>
  <c r="Z190" i="22"/>
  <c r="F191" i="22"/>
  <c r="G191" i="22"/>
  <c r="H191" i="22"/>
  <c r="I191" i="22"/>
  <c r="J191" i="22"/>
  <c r="K191" i="22"/>
  <c r="L191" i="22"/>
  <c r="M191" i="22"/>
  <c r="N191" i="22"/>
  <c r="O191" i="22"/>
  <c r="P191" i="22"/>
  <c r="Q191" i="22"/>
  <c r="R191" i="22"/>
  <c r="S191" i="22"/>
  <c r="T191" i="22"/>
  <c r="U191" i="22"/>
  <c r="V191" i="22"/>
  <c r="W191" i="22"/>
  <c r="X191" i="22"/>
  <c r="Y191" i="22"/>
  <c r="Z191" i="22"/>
  <c r="F192" i="22"/>
  <c r="G192" i="22"/>
  <c r="H192" i="22"/>
  <c r="I192" i="22"/>
  <c r="J192" i="22"/>
  <c r="K192" i="22"/>
  <c r="L192" i="22"/>
  <c r="M192" i="22"/>
  <c r="N192" i="22"/>
  <c r="O192" i="22"/>
  <c r="P192" i="22"/>
  <c r="Q192" i="22"/>
  <c r="R192" i="22"/>
  <c r="S192" i="22"/>
  <c r="T192" i="22"/>
  <c r="U192" i="22"/>
  <c r="V192" i="22"/>
  <c r="W192" i="22"/>
  <c r="X192" i="22"/>
  <c r="Y192" i="22"/>
  <c r="Z192" i="22"/>
  <c r="D193" i="22"/>
  <c r="F193" i="22"/>
  <c r="G193" i="22"/>
  <c r="H193" i="22"/>
  <c r="I193" i="22"/>
  <c r="J193" i="22"/>
  <c r="K193" i="22"/>
  <c r="L193" i="22"/>
  <c r="M193" i="22"/>
  <c r="N193" i="22"/>
  <c r="O193" i="22"/>
  <c r="P193" i="22"/>
  <c r="Q193" i="22"/>
  <c r="R193" i="22"/>
  <c r="S193" i="22"/>
  <c r="T193" i="22"/>
  <c r="U193" i="22"/>
  <c r="V193" i="22"/>
  <c r="W193" i="22"/>
  <c r="X193" i="22"/>
  <c r="Y193" i="22"/>
  <c r="Z193" i="22"/>
  <c r="F194" i="22"/>
  <c r="G194" i="22"/>
  <c r="H194" i="22"/>
  <c r="I194" i="22"/>
  <c r="J194" i="22"/>
  <c r="K194" i="22"/>
  <c r="L194" i="22"/>
  <c r="M194" i="22"/>
  <c r="N194" i="22"/>
  <c r="O194" i="22"/>
  <c r="P194" i="22"/>
  <c r="Q194" i="22"/>
  <c r="R194" i="22"/>
  <c r="S194" i="22"/>
  <c r="T194" i="22"/>
  <c r="U194" i="22"/>
  <c r="V194" i="22"/>
  <c r="W194" i="22"/>
  <c r="X194" i="22"/>
  <c r="Y194" i="22"/>
  <c r="Z194" i="22"/>
  <c r="F196" i="22"/>
  <c r="G196" i="22"/>
  <c r="H196" i="22"/>
  <c r="I196" i="22"/>
  <c r="J196" i="22"/>
  <c r="K196" i="22"/>
  <c r="L196" i="22"/>
  <c r="M196" i="22"/>
  <c r="N196" i="22"/>
  <c r="O196" i="22"/>
  <c r="P196" i="22"/>
  <c r="Q196" i="22"/>
  <c r="R196" i="22"/>
  <c r="S196" i="22"/>
  <c r="T196" i="22"/>
  <c r="U196" i="22"/>
  <c r="V196" i="22"/>
  <c r="W196" i="22"/>
  <c r="X196" i="22"/>
  <c r="Y196" i="22"/>
  <c r="Z196" i="22"/>
  <c r="F197" i="22"/>
  <c r="G197" i="22"/>
  <c r="H197" i="22"/>
  <c r="I197" i="22"/>
  <c r="J197" i="22"/>
  <c r="K197" i="22"/>
  <c r="L197" i="22"/>
  <c r="M197" i="22"/>
  <c r="N197" i="22"/>
  <c r="O197" i="22"/>
  <c r="P197" i="22"/>
  <c r="Q197" i="22"/>
  <c r="R197" i="22"/>
  <c r="S197" i="22"/>
  <c r="T197" i="22"/>
  <c r="U197" i="22"/>
  <c r="V197" i="22"/>
  <c r="W197" i="22"/>
  <c r="X197" i="22"/>
  <c r="Y197" i="22"/>
  <c r="Z197" i="22"/>
  <c r="F199" i="22"/>
  <c r="G199" i="22"/>
  <c r="H199" i="22"/>
  <c r="I199" i="22"/>
  <c r="J199" i="22"/>
  <c r="K199" i="22"/>
  <c r="L199" i="22"/>
  <c r="M199" i="22"/>
  <c r="N199" i="22"/>
  <c r="O199" i="22"/>
  <c r="P199" i="22"/>
  <c r="Q199" i="22"/>
  <c r="R199" i="22"/>
  <c r="S199" i="22"/>
  <c r="T199" i="22"/>
  <c r="U199" i="22"/>
  <c r="V199" i="22"/>
  <c r="W199" i="22"/>
  <c r="X199" i="22"/>
  <c r="Y199" i="22"/>
  <c r="Z199" i="22"/>
  <c r="F202" i="22"/>
  <c r="G202" i="22"/>
  <c r="H202" i="22"/>
  <c r="I202" i="22"/>
  <c r="J202" i="22"/>
  <c r="K202" i="22"/>
  <c r="L202" i="22"/>
  <c r="M202" i="22"/>
  <c r="N202" i="22"/>
  <c r="O202" i="22"/>
  <c r="P202" i="22"/>
  <c r="Q202" i="22"/>
  <c r="R202" i="22"/>
  <c r="S202" i="22"/>
  <c r="T202" i="22"/>
  <c r="U202" i="22"/>
  <c r="V202" i="22"/>
  <c r="W202" i="22"/>
  <c r="X202" i="22"/>
  <c r="Y202" i="22"/>
  <c r="Z202" i="22"/>
  <c r="F203" i="22"/>
  <c r="G203" i="22"/>
  <c r="H203" i="22"/>
  <c r="I203" i="22"/>
  <c r="J203" i="22"/>
  <c r="K203" i="22"/>
  <c r="L203" i="22"/>
  <c r="M203" i="22"/>
  <c r="N203" i="22"/>
  <c r="O203" i="22"/>
  <c r="P203" i="22"/>
  <c r="Q203" i="22"/>
  <c r="R203" i="22"/>
  <c r="S203" i="22"/>
  <c r="T203" i="22"/>
  <c r="U203" i="22"/>
  <c r="V203" i="22"/>
  <c r="W203" i="22"/>
  <c r="X203" i="22"/>
  <c r="Y203" i="22"/>
  <c r="Z203" i="22"/>
  <c r="F204" i="22"/>
  <c r="G204" i="22"/>
  <c r="H204" i="22"/>
  <c r="I204" i="22"/>
  <c r="J204" i="22"/>
  <c r="K204" i="22"/>
  <c r="L204" i="22"/>
  <c r="M204" i="22"/>
  <c r="N204" i="22"/>
  <c r="O204" i="22"/>
  <c r="P204" i="22"/>
  <c r="Q204" i="22"/>
  <c r="R204" i="22"/>
  <c r="S204" i="22"/>
  <c r="T204" i="22"/>
  <c r="U204" i="22"/>
  <c r="V204" i="22"/>
  <c r="W204" i="22"/>
  <c r="X204" i="22"/>
  <c r="Y204" i="22"/>
  <c r="Z204" i="22"/>
  <c r="F205" i="22"/>
  <c r="G205" i="22"/>
  <c r="H205" i="22"/>
  <c r="I205" i="22"/>
  <c r="J205" i="22"/>
  <c r="K205" i="22"/>
  <c r="L205" i="22"/>
  <c r="M205" i="22"/>
  <c r="N205" i="22"/>
  <c r="O205" i="22"/>
  <c r="P205" i="22"/>
  <c r="Q205" i="22"/>
  <c r="R205" i="22"/>
  <c r="S205" i="22"/>
  <c r="T205" i="22"/>
  <c r="U205" i="22"/>
  <c r="V205" i="22"/>
  <c r="W205" i="22"/>
  <c r="X205" i="22"/>
  <c r="Y205" i="22"/>
  <c r="Z205" i="22"/>
  <c r="F215" i="22"/>
  <c r="G215" i="22"/>
  <c r="H215" i="22"/>
  <c r="I215" i="22"/>
  <c r="J215" i="22"/>
  <c r="K215" i="22"/>
  <c r="L215" i="22"/>
  <c r="M215" i="22"/>
  <c r="N215" i="22"/>
  <c r="O215" i="22"/>
  <c r="P215" i="22"/>
  <c r="Q215" i="22"/>
  <c r="R215" i="22"/>
  <c r="S215" i="22"/>
  <c r="T215" i="22"/>
  <c r="U215" i="22"/>
  <c r="V215" i="22"/>
  <c r="W215" i="22"/>
  <c r="X215" i="22"/>
  <c r="Y215" i="22"/>
  <c r="Z215" i="22"/>
  <c r="F219" i="22"/>
  <c r="G219" i="22"/>
  <c r="H219" i="22"/>
  <c r="I219" i="22"/>
  <c r="J219" i="22"/>
  <c r="K219" i="22"/>
  <c r="L219" i="22"/>
  <c r="M219" i="22"/>
  <c r="N219" i="22"/>
  <c r="O219" i="22"/>
  <c r="P219" i="22"/>
  <c r="Q219" i="22"/>
  <c r="R219" i="22"/>
  <c r="S219" i="22"/>
  <c r="T219" i="22"/>
  <c r="U219" i="22"/>
  <c r="V219" i="22"/>
  <c r="W219" i="22"/>
  <c r="X219" i="22"/>
  <c r="Y219" i="22"/>
  <c r="Z219" i="22"/>
  <c r="M222" i="22"/>
  <c r="M223" i="22"/>
  <c r="M225" i="22"/>
  <c r="F228" i="22"/>
  <c r="G228" i="22"/>
  <c r="H228" i="22"/>
  <c r="I228" i="22"/>
  <c r="J228" i="22"/>
  <c r="K228" i="22"/>
  <c r="L228" i="22"/>
  <c r="M228" i="22"/>
  <c r="F242" i="22"/>
  <c r="G242" i="22"/>
  <c r="H242" i="22"/>
  <c r="I242" i="22"/>
  <c r="J242" i="22"/>
  <c r="K242" i="22"/>
  <c r="L242" i="22"/>
  <c r="M242" i="22"/>
  <c r="N242" i="22"/>
  <c r="O242" i="22"/>
  <c r="P242" i="22"/>
  <c r="Q242" i="22"/>
  <c r="R242" i="22"/>
  <c r="S242" i="22"/>
  <c r="T242" i="22"/>
  <c r="U242" i="22"/>
  <c r="V242" i="22"/>
  <c r="W242" i="22"/>
  <c r="X242" i="22"/>
  <c r="Y242" i="22"/>
  <c r="Z242" i="22"/>
  <c r="F246" i="22"/>
  <c r="G246" i="22"/>
  <c r="H246" i="22"/>
  <c r="I246" i="22"/>
  <c r="J246" i="22"/>
  <c r="K246" i="22"/>
  <c r="L246" i="22"/>
  <c r="M246" i="22"/>
  <c r="N246" i="22"/>
  <c r="O246" i="22"/>
  <c r="P246" i="22"/>
  <c r="Q246" i="22"/>
  <c r="R246" i="22"/>
  <c r="S246" i="22"/>
  <c r="T246" i="22"/>
  <c r="U246" i="22"/>
  <c r="V246" i="22"/>
  <c r="W246" i="22"/>
  <c r="X246" i="22"/>
  <c r="Y246" i="22"/>
  <c r="Z246" i="22"/>
  <c r="F247" i="22"/>
  <c r="G247" i="22"/>
  <c r="H247" i="22"/>
  <c r="I247" i="22"/>
  <c r="J247" i="22"/>
  <c r="K247" i="22"/>
  <c r="L247" i="22"/>
  <c r="M247" i="22"/>
  <c r="N247" i="22"/>
  <c r="O247" i="22"/>
  <c r="P247" i="22"/>
  <c r="Q247" i="22"/>
  <c r="R247" i="22"/>
  <c r="S247" i="22"/>
  <c r="T247" i="22"/>
  <c r="U247" i="22"/>
  <c r="V247" i="22"/>
  <c r="W247" i="22"/>
  <c r="X247" i="22"/>
  <c r="Y247" i="22"/>
  <c r="Z247" i="22"/>
  <c r="F347" i="22"/>
  <c r="G347" i="22"/>
  <c r="H347" i="22"/>
  <c r="I347" i="22"/>
  <c r="J347" i="22"/>
  <c r="K347" i="22"/>
  <c r="L347" i="22"/>
  <c r="M347" i="22"/>
  <c r="F349" i="22"/>
  <c r="G349" i="22"/>
  <c r="H349" i="22"/>
  <c r="I349" i="22"/>
  <c r="J349" i="22"/>
  <c r="K349" i="22"/>
  <c r="L349" i="22"/>
  <c r="M349" i="22"/>
  <c r="N349" i="22"/>
  <c r="O349" i="22"/>
  <c r="P349" i="22"/>
  <c r="Q349" i="22"/>
  <c r="R349" i="22"/>
  <c r="S349" i="22"/>
  <c r="T349" i="22"/>
  <c r="U349" i="22"/>
  <c r="V349" i="22"/>
  <c r="W349" i="22"/>
  <c r="X349" i="22"/>
  <c r="Y349" i="22"/>
  <c r="Z349" i="22"/>
  <c r="F350" i="22"/>
  <c r="G350" i="22"/>
  <c r="H350" i="22"/>
  <c r="I350" i="22"/>
  <c r="J350" i="22"/>
  <c r="K350" i="22"/>
  <c r="L350" i="22"/>
  <c r="M350" i="22"/>
  <c r="N350" i="22"/>
  <c r="O350" i="22"/>
  <c r="P350" i="22"/>
  <c r="Q350" i="22"/>
  <c r="R350" i="22"/>
  <c r="S350" i="22"/>
  <c r="T350" i="22"/>
  <c r="U350" i="22"/>
  <c r="V350" i="22"/>
  <c r="W350" i="22"/>
  <c r="X350" i="22"/>
  <c r="Y350" i="22"/>
  <c r="Z350" i="22"/>
  <c r="D359" i="22"/>
  <c r="G359" i="22"/>
  <c r="H359" i="22"/>
  <c r="D361" i="22"/>
  <c r="F361" i="22"/>
  <c r="G361" i="22"/>
  <c r="H361" i="22"/>
  <c r="I361" i="22"/>
  <c r="J361" i="22"/>
  <c r="D362" i="22"/>
  <c r="F362" i="22"/>
  <c r="G362" i="22"/>
  <c r="H362" i="22"/>
  <c r="I362" i="22"/>
  <c r="J362" i="22"/>
  <c r="D365" i="22"/>
  <c r="F365" i="22"/>
  <c r="G365" i="22"/>
  <c r="H365" i="22"/>
  <c r="I365" i="22"/>
  <c r="J365" i="22"/>
  <c r="K365" i="22"/>
  <c r="L365" i="22"/>
  <c r="M365" i="22"/>
  <c r="N365" i="22"/>
  <c r="O365" i="22"/>
  <c r="P365" i="22"/>
  <c r="Q365" i="22"/>
  <c r="R365" i="22"/>
  <c r="S365" i="22"/>
  <c r="T365" i="22"/>
  <c r="U365" i="22"/>
  <c r="V365" i="22"/>
  <c r="W365" i="22"/>
  <c r="X365" i="22"/>
  <c r="Y365" i="22"/>
  <c r="Z365" i="22"/>
  <c r="D366" i="22"/>
  <c r="F366" i="22"/>
  <c r="G366" i="22"/>
  <c r="H366" i="22"/>
  <c r="I366" i="22"/>
  <c r="J366" i="22"/>
  <c r="K366" i="22"/>
  <c r="L366" i="22"/>
  <c r="M366" i="22"/>
  <c r="N366" i="22"/>
  <c r="O366" i="22"/>
  <c r="P366" i="22"/>
  <c r="Q366" i="22"/>
  <c r="R366" i="22"/>
  <c r="S366" i="22"/>
  <c r="T366" i="22"/>
  <c r="U366" i="22"/>
  <c r="V366" i="22"/>
  <c r="W366" i="22"/>
  <c r="X366" i="22"/>
  <c r="Y366" i="22"/>
  <c r="Z366" i="22"/>
  <c r="D367" i="22"/>
  <c r="F367" i="22"/>
  <c r="G367" i="22"/>
  <c r="H367" i="22"/>
  <c r="I367" i="22"/>
  <c r="J367" i="22"/>
  <c r="K367" i="22"/>
  <c r="L367" i="22"/>
  <c r="M367" i="22"/>
  <c r="N367" i="22"/>
  <c r="O367" i="22"/>
  <c r="P367" i="22"/>
  <c r="Q367" i="22"/>
  <c r="R367" i="22"/>
  <c r="S367" i="22"/>
  <c r="T367" i="22"/>
  <c r="U367" i="22"/>
  <c r="V367" i="22"/>
  <c r="W367" i="22"/>
  <c r="X367" i="22"/>
  <c r="Y367" i="22"/>
  <c r="Z367" i="22"/>
  <c r="D368" i="22"/>
  <c r="F368" i="22"/>
  <c r="G368" i="22"/>
  <c r="H368" i="22"/>
  <c r="I368" i="22"/>
  <c r="J368" i="22"/>
  <c r="K368" i="22"/>
  <c r="L368" i="22"/>
  <c r="M368" i="22"/>
  <c r="N368" i="22"/>
  <c r="O368" i="22"/>
  <c r="P368" i="22"/>
  <c r="Q368" i="22"/>
  <c r="R368" i="22"/>
  <c r="S368" i="22"/>
  <c r="T368" i="22"/>
  <c r="U368" i="22"/>
  <c r="V368" i="22"/>
  <c r="W368" i="22"/>
  <c r="X368" i="22"/>
  <c r="Y368" i="22"/>
  <c r="Z368" i="22"/>
  <c r="D369" i="22"/>
  <c r="F369" i="22"/>
  <c r="G369" i="22"/>
  <c r="H369" i="22"/>
  <c r="I369" i="22"/>
  <c r="J369" i="22"/>
  <c r="K369" i="22"/>
  <c r="L369" i="22"/>
  <c r="M369" i="22"/>
  <c r="N369" i="22"/>
  <c r="O369" i="22"/>
  <c r="P369" i="22"/>
  <c r="Q369" i="22"/>
  <c r="R369" i="22"/>
  <c r="S369" i="22"/>
  <c r="T369" i="22"/>
  <c r="U369" i="22"/>
  <c r="V369" i="22"/>
  <c r="W369" i="22"/>
  <c r="X369" i="22"/>
  <c r="Y369" i="22"/>
  <c r="Z369" i="22"/>
  <c r="D370" i="22"/>
  <c r="F370" i="22"/>
  <c r="G370" i="22"/>
  <c r="H370" i="22"/>
  <c r="I370" i="22"/>
  <c r="J370" i="22"/>
  <c r="K370" i="22"/>
  <c r="L370" i="22"/>
  <c r="M370" i="22"/>
  <c r="N370" i="22"/>
  <c r="O370" i="22"/>
  <c r="P370" i="22"/>
  <c r="Q370" i="22"/>
  <c r="R370" i="22"/>
  <c r="S370" i="22"/>
  <c r="T370" i="22"/>
  <c r="U370" i="22"/>
  <c r="V370" i="22"/>
  <c r="W370" i="22"/>
  <c r="X370" i="22"/>
  <c r="Y370" i="22"/>
  <c r="Z370" i="22"/>
  <c r="D371" i="22"/>
  <c r="F371" i="22"/>
  <c r="G371" i="22"/>
  <c r="H371" i="22"/>
  <c r="I371" i="22"/>
  <c r="J371" i="22"/>
  <c r="K371" i="22"/>
  <c r="L371" i="22"/>
  <c r="M371" i="22"/>
  <c r="N371" i="22"/>
  <c r="O371" i="22"/>
  <c r="P371" i="22"/>
  <c r="Q371" i="22"/>
  <c r="R371" i="22"/>
  <c r="S371" i="22"/>
  <c r="T371" i="22"/>
  <c r="U371" i="22"/>
  <c r="V371" i="22"/>
  <c r="W371" i="22"/>
  <c r="X371" i="22"/>
  <c r="Y371" i="22"/>
  <c r="Z371" i="22"/>
  <c r="D372" i="22"/>
  <c r="F372" i="22"/>
  <c r="G372" i="22"/>
  <c r="H372" i="22"/>
  <c r="I372" i="22"/>
  <c r="J372" i="22"/>
  <c r="K372" i="22"/>
  <c r="L372" i="22"/>
  <c r="M372" i="22"/>
  <c r="N372" i="22"/>
  <c r="O372" i="22"/>
  <c r="P372" i="22"/>
  <c r="Q372" i="22"/>
  <c r="R372" i="22"/>
  <c r="S372" i="22"/>
  <c r="T372" i="22"/>
  <c r="U372" i="22"/>
  <c r="V372" i="22"/>
  <c r="W372" i="22"/>
  <c r="X372" i="22"/>
  <c r="Y372" i="22"/>
  <c r="Z372" i="22"/>
  <c r="D374" i="22"/>
  <c r="F374" i="22"/>
  <c r="G374" i="22"/>
  <c r="H374" i="22"/>
  <c r="I374" i="22"/>
  <c r="J374" i="22"/>
  <c r="K374" i="22"/>
  <c r="L374" i="22"/>
  <c r="M374" i="22"/>
  <c r="N374" i="22"/>
  <c r="O374" i="22"/>
  <c r="P374" i="22"/>
  <c r="Q374" i="22"/>
  <c r="R374" i="22"/>
  <c r="S374" i="22"/>
  <c r="T374" i="22"/>
  <c r="U374" i="22"/>
  <c r="V374" i="22"/>
  <c r="W374" i="22"/>
  <c r="X374" i="22"/>
  <c r="Y374" i="22"/>
  <c r="Z374" i="22"/>
  <c r="D377" i="22"/>
  <c r="F377" i="22"/>
  <c r="G377" i="22"/>
  <c r="H377" i="22"/>
  <c r="I377" i="22"/>
  <c r="J377" i="22"/>
  <c r="K377" i="22"/>
  <c r="L377" i="22"/>
  <c r="M377" i="22"/>
  <c r="N377" i="22"/>
  <c r="O377" i="22"/>
  <c r="P377" i="22"/>
  <c r="Q377" i="22"/>
  <c r="R377" i="22"/>
  <c r="S377" i="22"/>
  <c r="T377" i="22"/>
  <c r="U377" i="22"/>
  <c r="V377" i="22"/>
  <c r="W377" i="22"/>
  <c r="X377" i="22"/>
  <c r="Y377" i="22"/>
  <c r="Z377" i="22"/>
  <c r="D378" i="22"/>
  <c r="F378" i="22"/>
  <c r="G378" i="22"/>
  <c r="H378" i="22"/>
  <c r="I378" i="22"/>
  <c r="J378" i="22"/>
  <c r="K378" i="22"/>
  <c r="L378" i="22"/>
  <c r="M378" i="22"/>
  <c r="D379" i="22"/>
  <c r="F379" i="22"/>
  <c r="G379" i="22"/>
  <c r="H379" i="22"/>
  <c r="I379" i="22"/>
  <c r="J379" i="22"/>
  <c r="K379" i="22"/>
  <c r="L379" i="22"/>
  <c r="M379" i="22"/>
  <c r="N379" i="22"/>
  <c r="O379" i="22"/>
  <c r="P379" i="22"/>
  <c r="Q379" i="22"/>
  <c r="R379" i="22"/>
  <c r="S379" i="22"/>
  <c r="T379" i="22"/>
  <c r="U379" i="22"/>
  <c r="V379" i="22"/>
  <c r="W379" i="22"/>
  <c r="X379" i="22"/>
  <c r="Y379" i="22"/>
  <c r="Z379" i="22"/>
  <c r="D381" i="22"/>
  <c r="D382" i="22"/>
  <c r="D383" i="22"/>
  <c r="F388" i="22"/>
  <c r="G388" i="22"/>
  <c r="H388" i="22"/>
  <c r="I388" i="22"/>
  <c r="J388" i="22"/>
  <c r="K388" i="22"/>
  <c r="L388" i="22"/>
  <c r="M388" i="22"/>
  <c r="N388" i="22"/>
  <c r="O388" i="22"/>
  <c r="P388" i="22"/>
  <c r="Q388" i="22"/>
  <c r="R388" i="22"/>
  <c r="S388" i="22"/>
  <c r="T388" i="22"/>
  <c r="U388" i="22"/>
  <c r="V388" i="22"/>
  <c r="W388" i="22"/>
  <c r="X388" i="22"/>
  <c r="Y388" i="22"/>
  <c r="Z388" i="22"/>
  <c r="F389" i="22"/>
  <c r="G389" i="22"/>
  <c r="H389" i="22"/>
  <c r="I389" i="22"/>
  <c r="J389" i="22"/>
  <c r="K389" i="22"/>
  <c r="L389" i="22"/>
  <c r="M389" i="22"/>
  <c r="N389" i="22"/>
  <c r="O389" i="22"/>
  <c r="P389" i="22"/>
  <c r="Q389" i="22"/>
  <c r="R389" i="22"/>
  <c r="S389" i="22"/>
  <c r="T389" i="22"/>
  <c r="U389" i="22"/>
  <c r="V389" i="22"/>
  <c r="W389" i="22"/>
  <c r="X389" i="22"/>
  <c r="Y389" i="22"/>
  <c r="Z389" i="22"/>
  <c r="F391" i="22"/>
  <c r="G391" i="22"/>
  <c r="H391" i="22"/>
  <c r="I391" i="22"/>
  <c r="J391" i="22"/>
  <c r="K391" i="22"/>
  <c r="L391" i="22"/>
  <c r="M391" i="22"/>
  <c r="N391" i="22"/>
  <c r="O391" i="22"/>
  <c r="P391" i="22"/>
  <c r="Q391" i="22"/>
  <c r="R391" i="22"/>
  <c r="S391" i="22"/>
  <c r="T391" i="22"/>
  <c r="U391" i="22"/>
  <c r="V391" i="22"/>
  <c r="W391" i="22"/>
  <c r="X391" i="22"/>
  <c r="Y391" i="22"/>
  <c r="Z391" i="22"/>
  <c r="M394" i="22"/>
  <c r="M395" i="22"/>
  <c r="M396" i="22"/>
  <c r="D405" i="22"/>
  <c r="F405" i="22"/>
  <c r="G405" i="22"/>
  <c r="H405" i="22"/>
  <c r="I405" i="22"/>
  <c r="J405" i="22"/>
  <c r="D406" i="22"/>
  <c r="F406" i="22"/>
  <c r="G406" i="22"/>
  <c r="H406" i="22"/>
  <c r="I406" i="22"/>
  <c r="J406" i="22"/>
  <c r="D409" i="22"/>
  <c r="F409" i="22"/>
  <c r="G409" i="22"/>
  <c r="H409" i="22"/>
  <c r="I409" i="22"/>
  <c r="J409" i="22"/>
  <c r="K409" i="22"/>
  <c r="L409" i="22"/>
  <c r="M409" i="22"/>
  <c r="N409" i="22"/>
  <c r="O409" i="22"/>
  <c r="P409" i="22"/>
  <c r="Q409" i="22"/>
  <c r="R409" i="22"/>
  <c r="S409" i="22"/>
  <c r="T409" i="22"/>
  <c r="U409" i="22"/>
  <c r="V409" i="22"/>
  <c r="W409" i="22"/>
  <c r="X409" i="22"/>
  <c r="Y409" i="22"/>
  <c r="Z409" i="22"/>
  <c r="D410" i="22"/>
  <c r="F410" i="22"/>
  <c r="G410" i="22"/>
  <c r="H410" i="22"/>
  <c r="I410" i="22"/>
  <c r="J410" i="22"/>
  <c r="K410" i="22"/>
  <c r="L410" i="22"/>
  <c r="M410" i="22"/>
  <c r="N410" i="22"/>
  <c r="O410" i="22"/>
  <c r="P410" i="22"/>
  <c r="Q410" i="22"/>
  <c r="R410" i="22"/>
  <c r="S410" i="22"/>
  <c r="T410" i="22"/>
  <c r="U410" i="22"/>
  <c r="V410" i="22"/>
  <c r="W410" i="22"/>
  <c r="X410" i="22"/>
  <c r="Y410" i="22"/>
  <c r="Z410" i="22"/>
  <c r="D411" i="22"/>
  <c r="F411" i="22"/>
  <c r="G411" i="22"/>
  <c r="H411" i="22"/>
  <c r="I411" i="22"/>
  <c r="J411" i="22"/>
  <c r="K411" i="22"/>
  <c r="L411" i="22"/>
  <c r="M411" i="22"/>
  <c r="N411" i="22"/>
  <c r="O411" i="22"/>
  <c r="P411" i="22"/>
  <c r="Q411" i="22"/>
  <c r="R411" i="22"/>
  <c r="S411" i="22"/>
  <c r="T411" i="22"/>
  <c r="U411" i="22"/>
  <c r="V411" i="22"/>
  <c r="W411" i="22"/>
  <c r="X411" i="22"/>
  <c r="Y411" i="22"/>
  <c r="Z411" i="22"/>
  <c r="D412" i="22"/>
  <c r="F412" i="22"/>
  <c r="G412" i="22"/>
  <c r="H412" i="22"/>
  <c r="I412" i="22"/>
  <c r="J412" i="22"/>
  <c r="K412" i="22"/>
  <c r="L412" i="22"/>
  <c r="M412" i="22"/>
  <c r="N412" i="22"/>
  <c r="O412" i="22"/>
  <c r="P412" i="22"/>
  <c r="Q412" i="22"/>
  <c r="R412" i="22"/>
  <c r="S412" i="22"/>
  <c r="T412" i="22"/>
  <c r="U412" i="22"/>
  <c r="V412" i="22"/>
  <c r="W412" i="22"/>
  <c r="X412" i="22"/>
  <c r="Y412" i="22"/>
  <c r="Z412" i="22"/>
  <c r="D413" i="22"/>
  <c r="F413" i="22"/>
  <c r="G413" i="22"/>
  <c r="H413" i="22"/>
  <c r="I413" i="22"/>
  <c r="J413" i="22"/>
  <c r="K413" i="22"/>
  <c r="L413" i="22"/>
  <c r="M413" i="22"/>
  <c r="N413" i="22"/>
  <c r="O413" i="22"/>
  <c r="P413" i="22"/>
  <c r="Q413" i="22"/>
  <c r="R413" i="22"/>
  <c r="S413" i="22"/>
  <c r="T413" i="22"/>
  <c r="U413" i="22"/>
  <c r="V413" i="22"/>
  <c r="W413" i="22"/>
  <c r="X413" i="22"/>
  <c r="Y413" i="22"/>
  <c r="Z413" i="22"/>
  <c r="D415" i="22"/>
  <c r="F415" i="22"/>
  <c r="G415" i="22"/>
  <c r="H415" i="22"/>
  <c r="I415" i="22"/>
  <c r="J415" i="22"/>
  <c r="K415" i="22"/>
  <c r="L415" i="22"/>
  <c r="M415" i="22"/>
  <c r="N415" i="22"/>
  <c r="O415" i="22"/>
  <c r="P415" i="22"/>
  <c r="Q415" i="22"/>
  <c r="R415" i="22"/>
  <c r="S415" i="22"/>
  <c r="T415" i="22"/>
  <c r="U415" i="22"/>
  <c r="V415" i="22"/>
  <c r="W415" i="22"/>
  <c r="X415" i="22"/>
  <c r="Y415" i="22"/>
  <c r="Z415" i="22"/>
  <c r="D416" i="22"/>
  <c r="F416" i="22"/>
  <c r="G416" i="22"/>
  <c r="H416" i="22"/>
  <c r="I416" i="22"/>
  <c r="J416" i="22"/>
  <c r="K416" i="22"/>
  <c r="L416" i="22"/>
  <c r="M416" i="22"/>
  <c r="N416" i="22"/>
  <c r="O416" i="22"/>
  <c r="P416" i="22"/>
  <c r="Q416" i="22"/>
  <c r="R416" i="22"/>
  <c r="S416" i="22"/>
  <c r="T416" i="22"/>
  <c r="U416" i="22"/>
  <c r="V416" i="22"/>
  <c r="W416" i="22"/>
  <c r="X416" i="22"/>
  <c r="Y416" i="22"/>
  <c r="Z416" i="22"/>
  <c r="D419" i="22"/>
  <c r="F419" i="22"/>
  <c r="G419" i="22"/>
  <c r="H419" i="22"/>
  <c r="I419" i="22"/>
  <c r="J419" i="22"/>
  <c r="K419" i="22"/>
  <c r="L419" i="22"/>
  <c r="M419" i="22"/>
  <c r="N419" i="22"/>
  <c r="O419" i="22"/>
  <c r="P419" i="22"/>
  <c r="Q419" i="22"/>
  <c r="R419" i="22"/>
  <c r="S419" i="22"/>
  <c r="T419" i="22"/>
  <c r="U419" i="22"/>
  <c r="V419" i="22"/>
  <c r="W419" i="22"/>
  <c r="X419" i="22"/>
  <c r="Y419" i="22"/>
  <c r="Z419" i="22"/>
  <c r="D420" i="22"/>
  <c r="F420" i="22"/>
  <c r="G420" i="22"/>
  <c r="H420" i="22"/>
  <c r="I420" i="22"/>
  <c r="J420" i="22"/>
  <c r="K420" i="22"/>
  <c r="L420" i="22"/>
  <c r="M420" i="22"/>
  <c r="D421" i="22"/>
  <c r="F421" i="22"/>
  <c r="G421" i="22"/>
  <c r="H421" i="22"/>
  <c r="I421" i="22"/>
  <c r="J421" i="22"/>
  <c r="K421" i="22"/>
  <c r="L421" i="22"/>
  <c r="M421" i="22"/>
  <c r="N421" i="22"/>
  <c r="O421" i="22"/>
  <c r="P421" i="22"/>
  <c r="Q421" i="22"/>
  <c r="R421" i="22"/>
  <c r="S421" i="22"/>
  <c r="T421" i="22"/>
  <c r="U421" i="22"/>
  <c r="V421" i="22"/>
  <c r="W421" i="22"/>
  <c r="X421" i="22"/>
  <c r="Y421" i="22"/>
  <c r="Z421" i="22"/>
  <c r="D423" i="22"/>
  <c r="D424" i="22"/>
  <c r="D425" i="22"/>
  <c r="F430" i="22"/>
  <c r="G430" i="22"/>
  <c r="H430" i="22"/>
  <c r="I430" i="22"/>
  <c r="J430" i="22"/>
  <c r="K430" i="22"/>
  <c r="L430" i="22"/>
  <c r="M430" i="22"/>
  <c r="N430" i="22"/>
  <c r="O430" i="22"/>
  <c r="P430" i="22"/>
  <c r="Q430" i="22"/>
  <c r="R430" i="22"/>
  <c r="S430" i="22"/>
  <c r="T430" i="22"/>
  <c r="U430" i="22"/>
  <c r="V430" i="22"/>
  <c r="W430" i="22"/>
  <c r="X430" i="22"/>
  <c r="Y430" i="22"/>
  <c r="Z430" i="22"/>
  <c r="F433" i="22"/>
  <c r="G433" i="22"/>
  <c r="H433" i="22"/>
  <c r="I433" i="22"/>
  <c r="J433" i="22"/>
  <c r="K433" i="22"/>
  <c r="L433" i="22"/>
  <c r="M433" i="22"/>
  <c r="F434" i="22"/>
  <c r="G434" i="22"/>
  <c r="H434" i="22"/>
  <c r="I434" i="22"/>
  <c r="J434" i="22"/>
  <c r="K434" i="22"/>
  <c r="L434" i="22"/>
  <c r="M434" i="22"/>
  <c r="M435" i="22"/>
  <c r="M436" i="22"/>
  <c r="D437" i="22"/>
  <c r="F437" i="22"/>
  <c r="G437" i="22"/>
  <c r="H437" i="22"/>
  <c r="I437" i="22"/>
  <c r="J437" i="22"/>
  <c r="K437" i="22"/>
  <c r="L437" i="22"/>
  <c r="M437" i="22"/>
  <c r="N437" i="22"/>
  <c r="O437" i="22"/>
  <c r="P437" i="22"/>
  <c r="Q437" i="22"/>
  <c r="R437" i="22"/>
  <c r="S437" i="22"/>
  <c r="T437" i="22"/>
  <c r="U437" i="22"/>
  <c r="V437" i="22"/>
  <c r="W437" i="22"/>
  <c r="X437" i="22"/>
  <c r="Y437" i="22"/>
  <c r="Z437" i="22"/>
  <c r="D439" i="22"/>
  <c r="F442" i="22"/>
  <c r="G442" i="22"/>
  <c r="H442" i="22"/>
  <c r="I442" i="22"/>
  <c r="J442" i="22"/>
  <c r="K442" i="22"/>
  <c r="L442" i="22"/>
  <c r="M442" i="22"/>
  <c r="N442" i="22"/>
  <c r="O442" i="22"/>
  <c r="P442" i="22"/>
  <c r="Q442" i="22"/>
  <c r="R442" i="22"/>
  <c r="S442" i="22"/>
  <c r="T442" i="22"/>
  <c r="U442" i="22"/>
  <c r="V442" i="22"/>
  <c r="W442" i="22"/>
  <c r="X442" i="22"/>
  <c r="Y442" i="22"/>
  <c r="Z442" i="22"/>
  <c r="F443" i="22"/>
  <c r="G443" i="22"/>
  <c r="H443" i="22"/>
  <c r="I443" i="22"/>
  <c r="J443" i="22"/>
  <c r="K443" i="22"/>
  <c r="L443" i="22"/>
  <c r="M443" i="22"/>
  <c r="N443" i="22"/>
  <c r="O443" i="22"/>
  <c r="P443" i="22"/>
  <c r="Q443" i="22"/>
  <c r="R443" i="22"/>
  <c r="S443" i="22"/>
  <c r="T443" i="22"/>
  <c r="U443" i="22"/>
  <c r="V443" i="22"/>
  <c r="W443" i="22"/>
  <c r="X443" i="22"/>
  <c r="Y443" i="22"/>
  <c r="Z443" i="22"/>
  <c r="F444" i="22"/>
  <c r="F445" i="22"/>
  <c r="F446" i="22"/>
  <c r="G446" i="22"/>
  <c r="H446" i="22"/>
  <c r="I446" i="22"/>
  <c r="J446" i="22"/>
  <c r="K446" i="22"/>
  <c r="L446" i="22"/>
  <c r="M446" i="22"/>
  <c r="F447" i="22"/>
  <c r="G447" i="22"/>
  <c r="H447" i="22"/>
  <c r="I447" i="22"/>
  <c r="J447" i="22"/>
  <c r="K447" i="22"/>
  <c r="L447" i="22"/>
  <c r="M447" i="22"/>
  <c r="M448" i="22"/>
  <c r="M449" i="22"/>
  <c r="D450" i="22"/>
  <c r="F450" i="22"/>
  <c r="G450" i="22"/>
  <c r="H450" i="22"/>
  <c r="I450" i="22"/>
  <c r="J450" i="22"/>
  <c r="K450" i="22"/>
  <c r="L450" i="22"/>
  <c r="M450" i="22"/>
  <c r="N450" i="22"/>
  <c r="O450" i="22"/>
  <c r="P450" i="22"/>
  <c r="Q450" i="22"/>
  <c r="R450" i="22"/>
  <c r="S450" i="22"/>
  <c r="T450" i="22"/>
  <c r="U450" i="22"/>
  <c r="V450" i="22"/>
  <c r="W450" i="22"/>
  <c r="X450" i="22"/>
  <c r="Y450" i="22"/>
  <c r="Z450" i="22"/>
  <c r="D452" i="22"/>
  <c r="D453" i="22"/>
  <c r="K455" i="22"/>
  <c r="L455" i="22"/>
  <c r="M455" i="22"/>
  <c r="D458" i="22"/>
  <c r="G458" i="22"/>
  <c r="H458" i="22"/>
  <c r="I458" i="22"/>
  <c r="J458" i="22"/>
  <c r="K458" i="22"/>
  <c r="L458" i="22"/>
  <c r="M458" i="22"/>
  <c r="N458" i="22"/>
  <c r="O458" i="22"/>
  <c r="P458" i="22"/>
  <c r="Q458" i="22"/>
  <c r="R458" i="22"/>
  <c r="S458" i="22"/>
  <c r="T458" i="22"/>
  <c r="U458" i="22"/>
  <c r="V458" i="22"/>
  <c r="W458" i="22"/>
  <c r="X458" i="22"/>
  <c r="Y458" i="22"/>
  <c r="Z458" i="22"/>
  <c r="D459" i="22"/>
  <c r="F459" i="22"/>
  <c r="G459" i="22"/>
  <c r="H459" i="22"/>
  <c r="I459" i="22"/>
  <c r="J459" i="22"/>
  <c r="K459" i="22"/>
  <c r="L459" i="22"/>
  <c r="M459" i="22"/>
  <c r="N459" i="22"/>
  <c r="O459" i="22"/>
  <c r="P459" i="22"/>
  <c r="Q459" i="22"/>
  <c r="R459" i="22"/>
  <c r="S459" i="22"/>
  <c r="T459" i="22"/>
  <c r="U459" i="22"/>
  <c r="V459" i="22"/>
  <c r="W459" i="22"/>
  <c r="X459" i="22"/>
  <c r="Y459" i="22"/>
  <c r="Z459" i="22"/>
  <c r="D460" i="22"/>
  <c r="F460" i="22"/>
  <c r="G460" i="22"/>
  <c r="H460" i="22"/>
  <c r="I460" i="22"/>
  <c r="J460" i="22"/>
  <c r="K460" i="22"/>
  <c r="L460" i="22"/>
  <c r="M460" i="22"/>
  <c r="D461" i="22"/>
  <c r="J461" i="22"/>
  <c r="K461" i="22"/>
  <c r="L461" i="22"/>
  <c r="M461" i="22"/>
  <c r="D462" i="22"/>
  <c r="F462" i="22"/>
  <c r="G462" i="22"/>
  <c r="H462" i="22"/>
  <c r="I462" i="22"/>
  <c r="J462" i="22"/>
  <c r="K462" i="22"/>
  <c r="L462" i="22"/>
  <c r="M462" i="22"/>
  <c r="D463" i="22"/>
  <c r="M463" i="22"/>
  <c r="D464" i="22"/>
  <c r="M464" i="22"/>
  <c r="D465" i="22"/>
  <c r="F465" i="22"/>
  <c r="G465" i="22"/>
  <c r="H465" i="22"/>
  <c r="I465" i="22"/>
  <c r="J465" i="22"/>
  <c r="K465" i="22"/>
  <c r="L465" i="22"/>
  <c r="M465" i="22"/>
  <c r="N465" i="22"/>
  <c r="O465" i="22"/>
  <c r="P465" i="22"/>
  <c r="Q465" i="22"/>
  <c r="R465" i="22"/>
  <c r="S465" i="22"/>
  <c r="T465" i="22"/>
  <c r="U465" i="22"/>
  <c r="V465" i="22"/>
  <c r="W465" i="22"/>
  <c r="X465" i="22"/>
  <c r="Y465" i="22"/>
  <c r="Z465" i="22"/>
  <c r="F470" i="22"/>
  <c r="G470" i="22"/>
  <c r="H470" i="22"/>
  <c r="I470" i="22"/>
  <c r="J470" i="22"/>
  <c r="K470" i="22"/>
  <c r="L470" i="22"/>
  <c r="M470" i="22"/>
  <c r="N470" i="22"/>
  <c r="O470" i="22"/>
  <c r="P470" i="22"/>
  <c r="Q470" i="22"/>
  <c r="R470" i="22"/>
  <c r="S470" i="22"/>
  <c r="T470" i="22"/>
  <c r="U470" i="22"/>
  <c r="V470" i="22"/>
  <c r="W470" i="22"/>
  <c r="X470" i="22"/>
  <c r="Y470" i="22"/>
  <c r="Z470" i="22"/>
  <c r="F473" i="22"/>
  <c r="G473" i="22"/>
  <c r="H473" i="22"/>
  <c r="I473" i="22"/>
  <c r="J473" i="22"/>
  <c r="K473" i="22"/>
  <c r="L473" i="22"/>
  <c r="M473" i="22"/>
  <c r="F474" i="22"/>
  <c r="G474" i="22"/>
  <c r="H474" i="22"/>
  <c r="I474" i="22"/>
  <c r="J474" i="22"/>
  <c r="K474" i="22"/>
  <c r="L474" i="22"/>
  <c r="M474" i="22"/>
  <c r="I475" i="22"/>
  <c r="M475" i="22"/>
  <c r="M476" i="22"/>
  <c r="D477" i="22"/>
  <c r="F477" i="22"/>
  <c r="G477" i="22"/>
  <c r="H477" i="22"/>
  <c r="I477" i="22"/>
  <c r="J477" i="22"/>
  <c r="K477" i="22"/>
  <c r="L477" i="22"/>
  <c r="M477" i="22"/>
  <c r="N477" i="22"/>
  <c r="O477" i="22"/>
  <c r="P477" i="22"/>
  <c r="Q477" i="22"/>
  <c r="R477" i="22"/>
  <c r="S477" i="22"/>
  <c r="T477" i="22"/>
  <c r="U477" i="22"/>
  <c r="V477" i="22"/>
  <c r="W477" i="22"/>
  <c r="X477" i="22"/>
  <c r="Y477" i="22"/>
  <c r="Z477" i="22"/>
  <c r="D479" i="22"/>
  <c r="F482" i="22"/>
  <c r="G482" i="22"/>
  <c r="H482" i="22"/>
  <c r="I482" i="22"/>
  <c r="J482" i="22"/>
  <c r="K482" i="22"/>
  <c r="L482" i="22"/>
  <c r="M482" i="22"/>
  <c r="N482" i="22"/>
  <c r="O482" i="22"/>
  <c r="P482" i="22"/>
  <c r="Q482" i="22"/>
  <c r="R482" i="22"/>
  <c r="S482" i="22"/>
  <c r="T482" i="22"/>
  <c r="U482" i="22"/>
  <c r="V482" i="22"/>
  <c r="W482" i="22"/>
  <c r="X482" i="22"/>
  <c r="Y482" i="22"/>
  <c r="Z482" i="22"/>
  <c r="F483" i="22"/>
  <c r="G483" i="22"/>
  <c r="H483" i="22"/>
  <c r="I483" i="22"/>
  <c r="J483" i="22"/>
  <c r="K483" i="22"/>
  <c r="L483" i="22"/>
  <c r="M483" i="22"/>
  <c r="N483" i="22"/>
  <c r="O483" i="22"/>
  <c r="P483" i="22"/>
  <c r="Q483" i="22"/>
  <c r="R483" i="22"/>
  <c r="S483" i="22"/>
  <c r="T483" i="22"/>
  <c r="U483" i="22"/>
  <c r="V483" i="22"/>
  <c r="W483" i="22"/>
  <c r="X483" i="22"/>
  <c r="Y483" i="22"/>
  <c r="Z483" i="22"/>
  <c r="F484" i="22"/>
  <c r="F485" i="22"/>
  <c r="F486" i="22"/>
  <c r="G486" i="22"/>
  <c r="H486" i="22"/>
  <c r="I486" i="22"/>
  <c r="J486" i="22"/>
  <c r="K486" i="22"/>
  <c r="L486" i="22"/>
  <c r="M486" i="22"/>
  <c r="F487" i="22"/>
  <c r="G487" i="22"/>
  <c r="H487" i="22"/>
  <c r="I487" i="22"/>
  <c r="J487" i="22"/>
  <c r="K487" i="22"/>
  <c r="L487" i="22"/>
  <c r="M487" i="22"/>
  <c r="I488" i="22"/>
  <c r="M488" i="22"/>
  <c r="M489" i="22"/>
  <c r="D490" i="22"/>
  <c r="F490" i="22"/>
  <c r="G490" i="22"/>
  <c r="H490" i="22"/>
  <c r="I490" i="22"/>
  <c r="J490" i="22"/>
  <c r="K490" i="22"/>
  <c r="L490" i="22"/>
  <c r="M490" i="22"/>
  <c r="N490" i="22"/>
  <c r="O490" i="22"/>
  <c r="P490" i="22"/>
  <c r="Q490" i="22"/>
  <c r="R490" i="22"/>
  <c r="S490" i="22"/>
  <c r="T490" i="22"/>
  <c r="U490" i="22"/>
  <c r="V490" i="22"/>
  <c r="W490" i="22"/>
  <c r="X490" i="22"/>
  <c r="Y490" i="22"/>
  <c r="Z490" i="22"/>
  <c r="D492" i="22"/>
  <c r="D493" i="22"/>
  <c r="K495" i="22"/>
  <c r="L495" i="22"/>
  <c r="M495" i="22"/>
  <c r="D498" i="22"/>
  <c r="G498" i="22"/>
  <c r="H498" i="22"/>
  <c r="I498" i="22"/>
  <c r="J498" i="22"/>
  <c r="K498" i="22"/>
  <c r="L498" i="22"/>
  <c r="M498" i="22"/>
  <c r="N498" i="22"/>
  <c r="O498" i="22"/>
  <c r="P498" i="22"/>
  <c r="Q498" i="22"/>
  <c r="R498" i="22"/>
  <c r="S498" i="22"/>
  <c r="T498" i="22"/>
  <c r="U498" i="22"/>
  <c r="V498" i="22"/>
  <c r="W498" i="22"/>
  <c r="X498" i="22"/>
  <c r="Y498" i="22"/>
  <c r="Z498" i="22"/>
  <c r="D499" i="22"/>
  <c r="F499" i="22"/>
  <c r="G499" i="22"/>
  <c r="H499" i="22"/>
  <c r="I499" i="22"/>
  <c r="J499" i="22"/>
  <c r="K499" i="22"/>
  <c r="L499" i="22"/>
  <c r="M499" i="22"/>
  <c r="N499" i="22"/>
  <c r="O499" i="22"/>
  <c r="P499" i="22"/>
  <c r="Q499" i="22"/>
  <c r="R499" i="22"/>
  <c r="S499" i="22"/>
  <c r="T499" i="22"/>
  <c r="U499" i="22"/>
  <c r="V499" i="22"/>
  <c r="W499" i="22"/>
  <c r="X499" i="22"/>
  <c r="Y499" i="22"/>
  <c r="Z499" i="22"/>
  <c r="D500" i="22"/>
  <c r="F500" i="22"/>
  <c r="G500" i="22"/>
  <c r="H500" i="22"/>
  <c r="I500" i="22"/>
  <c r="J500" i="22"/>
  <c r="K500" i="22"/>
  <c r="L500" i="22"/>
  <c r="M500" i="22"/>
  <c r="D501" i="22"/>
  <c r="J501" i="22"/>
  <c r="K501" i="22"/>
  <c r="L501" i="22"/>
  <c r="M501" i="22"/>
  <c r="D502" i="22"/>
  <c r="F502" i="22"/>
  <c r="G502" i="22"/>
  <c r="H502" i="22"/>
  <c r="I502" i="22"/>
  <c r="J502" i="22"/>
  <c r="K502" i="22"/>
  <c r="L502" i="22"/>
  <c r="M502" i="22"/>
  <c r="D503" i="22"/>
  <c r="I503" i="22"/>
  <c r="M503" i="22"/>
  <c r="D504" i="22"/>
  <c r="M504" i="22"/>
  <c r="D505" i="22"/>
  <c r="F505" i="22"/>
  <c r="G505" i="22"/>
  <c r="H505" i="22"/>
  <c r="I505" i="22"/>
  <c r="J505" i="22"/>
  <c r="K505" i="22"/>
  <c r="L505" i="22"/>
  <c r="M505" i="22"/>
  <c r="N505" i="22"/>
  <c r="O505" i="22"/>
  <c r="P505" i="22"/>
  <c r="Q505" i="22"/>
  <c r="R505" i="22"/>
  <c r="S505" i="22"/>
  <c r="T505" i="22"/>
  <c r="U505" i="22"/>
  <c r="V505" i="22"/>
  <c r="W505" i="22"/>
  <c r="X505" i="22"/>
  <c r="Y505" i="22"/>
  <c r="Z505" i="22"/>
  <c r="F27" i="23"/>
  <c r="G27" i="23"/>
  <c r="H27" i="23"/>
  <c r="I27" i="23"/>
  <c r="J27" i="23"/>
  <c r="K27" i="23"/>
  <c r="L27" i="23"/>
  <c r="M27" i="23"/>
  <c r="N27" i="23"/>
  <c r="O27" i="23"/>
  <c r="P27" i="23"/>
  <c r="Q27" i="23"/>
  <c r="R27" i="23"/>
  <c r="S27" i="23"/>
  <c r="T27" i="23"/>
  <c r="U27" i="23"/>
  <c r="V27" i="23"/>
  <c r="W27" i="23"/>
  <c r="X27" i="23"/>
  <c r="Y27" i="23"/>
  <c r="Z27" i="23"/>
  <c r="F28" i="23"/>
  <c r="G28" i="23"/>
  <c r="H28" i="23"/>
  <c r="I28" i="23"/>
  <c r="J28" i="23"/>
  <c r="K28" i="23"/>
  <c r="L28" i="23"/>
  <c r="M28" i="23"/>
  <c r="N28" i="23"/>
  <c r="O28" i="23"/>
  <c r="P28" i="23"/>
  <c r="Q28" i="23"/>
  <c r="R28" i="23"/>
  <c r="S28" i="23"/>
  <c r="T28" i="23"/>
  <c r="U28" i="23"/>
  <c r="V28" i="23"/>
  <c r="W28" i="23"/>
  <c r="X28" i="23"/>
  <c r="Y28" i="23"/>
  <c r="Z28" i="23"/>
  <c r="F30" i="23"/>
  <c r="G30" i="23"/>
  <c r="H30" i="23"/>
  <c r="I30" i="23"/>
  <c r="J30" i="23"/>
  <c r="K30" i="23"/>
  <c r="L30" i="23"/>
  <c r="M30" i="23"/>
  <c r="N30" i="23"/>
  <c r="O30" i="23"/>
  <c r="P30" i="23"/>
  <c r="Q30" i="23"/>
  <c r="R30" i="23"/>
  <c r="S30" i="23"/>
  <c r="T30" i="23"/>
  <c r="U30" i="23"/>
  <c r="V30" i="23"/>
  <c r="W30" i="23"/>
  <c r="X30" i="23"/>
  <c r="Y30" i="23"/>
  <c r="Z30" i="23"/>
  <c r="F31" i="23"/>
  <c r="G31" i="23"/>
  <c r="H31" i="23"/>
  <c r="I31" i="23"/>
  <c r="J31" i="23"/>
  <c r="K31" i="23"/>
  <c r="L31" i="23"/>
  <c r="M31" i="23"/>
  <c r="N31" i="23"/>
  <c r="O31" i="23"/>
  <c r="P31" i="23"/>
  <c r="Q31" i="23"/>
  <c r="R31" i="23"/>
  <c r="S31" i="23"/>
  <c r="T31" i="23"/>
  <c r="U31" i="23"/>
  <c r="V31" i="23"/>
  <c r="W31" i="23"/>
  <c r="X31" i="23"/>
  <c r="Y31" i="23"/>
  <c r="Z31" i="23"/>
  <c r="F32" i="23"/>
  <c r="G32" i="23"/>
  <c r="H32" i="23"/>
  <c r="I32" i="23"/>
  <c r="J32" i="23"/>
  <c r="K32" i="23"/>
  <c r="L32" i="23"/>
  <c r="M32" i="23"/>
  <c r="N32" i="23"/>
  <c r="O32" i="23"/>
  <c r="P32" i="23"/>
  <c r="Q32" i="23"/>
  <c r="R32" i="23"/>
  <c r="S32" i="23"/>
  <c r="T32" i="23"/>
  <c r="U32" i="23"/>
  <c r="V32" i="23"/>
  <c r="W32" i="23"/>
  <c r="X32" i="23"/>
  <c r="Y32" i="23"/>
  <c r="Z32" i="23"/>
  <c r="F54" i="23"/>
  <c r="G54" i="23"/>
  <c r="H54" i="23"/>
  <c r="I54" i="23"/>
  <c r="J54" i="23"/>
  <c r="K54" i="23"/>
  <c r="L54" i="23"/>
  <c r="M54" i="23"/>
  <c r="N54" i="23"/>
  <c r="O54" i="23"/>
  <c r="P54" i="23"/>
  <c r="Q54" i="23"/>
  <c r="R54" i="23"/>
  <c r="S54" i="23"/>
  <c r="T54" i="23"/>
  <c r="U54" i="23"/>
  <c r="V54" i="23"/>
  <c r="W54" i="23"/>
  <c r="X54" i="23"/>
  <c r="Y54" i="23"/>
  <c r="Z54" i="23"/>
  <c r="F55" i="23"/>
  <c r="G55" i="23"/>
  <c r="H55" i="23"/>
  <c r="I55" i="23"/>
  <c r="J55" i="23"/>
  <c r="K55" i="23"/>
  <c r="L55" i="23"/>
  <c r="M55" i="23"/>
  <c r="N55" i="23"/>
  <c r="O55" i="23"/>
  <c r="P55" i="23"/>
  <c r="Q55" i="23"/>
  <c r="R55" i="23"/>
  <c r="S55" i="23"/>
  <c r="T55" i="23"/>
  <c r="U55" i="23"/>
  <c r="V55" i="23"/>
  <c r="W55" i="23"/>
  <c r="X55" i="23"/>
  <c r="Y55" i="23"/>
  <c r="Z55" i="23"/>
  <c r="F57" i="23"/>
  <c r="G57" i="23"/>
  <c r="H57" i="23"/>
  <c r="I57" i="23"/>
  <c r="J57" i="23"/>
  <c r="K57" i="23"/>
  <c r="L57" i="23"/>
  <c r="M57" i="23"/>
  <c r="N57" i="23"/>
  <c r="O57" i="23"/>
  <c r="P57" i="23"/>
  <c r="Q57" i="23"/>
  <c r="R57" i="23"/>
  <c r="S57" i="23"/>
  <c r="T57" i="23"/>
  <c r="U57" i="23"/>
  <c r="V57" i="23"/>
  <c r="W57" i="23"/>
  <c r="X57" i="23"/>
  <c r="Y57" i="23"/>
  <c r="Z57" i="23"/>
  <c r="F58" i="23"/>
  <c r="G58" i="23"/>
  <c r="H58" i="23"/>
  <c r="I58" i="23"/>
  <c r="J58" i="23"/>
  <c r="K58" i="23"/>
  <c r="L58" i="23"/>
  <c r="M58" i="23"/>
  <c r="N58" i="23"/>
  <c r="O58" i="23"/>
  <c r="P58" i="23"/>
  <c r="Q58" i="23"/>
  <c r="R58" i="23"/>
  <c r="S58" i="23"/>
  <c r="T58" i="23"/>
  <c r="U58" i="23"/>
  <c r="V58" i="23"/>
  <c r="W58" i="23"/>
  <c r="X58" i="23"/>
  <c r="Y58" i="23"/>
  <c r="Z58" i="23"/>
  <c r="F59" i="23"/>
  <c r="G59" i="23"/>
  <c r="H59" i="23"/>
  <c r="I59" i="23"/>
  <c r="J59" i="23"/>
  <c r="K59" i="23"/>
  <c r="L59" i="23"/>
  <c r="M59" i="23"/>
  <c r="N59" i="23"/>
  <c r="O59" i="23"/>
  <c r="P59" i="23"/>
  <c r="Q59" i="23"/>
  <c r="R59" i="23"/>
  <c r="S59" i="23"/>
  <c r="T59" i="23"/>
  <c r="U59" i="23"/>
  <c r="V59" i="23"/>
  <c r="W59" i="23"/>
  <c r="X59" i="23"/>
  <c r="Y59" i="23"/>
  <c r="Z59" i="23"/>
  <c r="F81" i="23"/>
  <c r="G81" i="23"/>
  <c r="H81" i="23"/>
  <c r="I81" i="23"/>
  <c r="J81" i="23"/>
  <c r="K81" i="23"/>
  <c r="L81" i="23"/>
  <c r="M81" i="23"/>
  <c r="N81" i="23"/>
  <c r="O81" i="23"/>
  <c r="P81" i="23"/>
  <c r="Q81" i="23"/>
  <c r="R81" i="23"/>
  <c r="S81" i="23"/>
  <c r="T81" i="23"/>
  <c r="U81" i="23"/>
  <c r="V81" i="23"/>
  <c r="W81" i="23"/>
  <c r="X81" i="23"/>
  <c r="Y81" i="23"/>
  <c r="Z81" i="23"/>
  <c r="F82" i="23"/>
  <c r="G82" i="23"/>
  <c r="H82" i="23"/>
  <c r="I82" i="23"/>
  <c r="J82" i="23"/>
  <c r="K82" i="23"/>
  <c r="L82" i="23"/>
  <c r="M82" i="23"/>
  <c r="N82" i="23"/>
  <c r="O82" i="23"/>
  <c r="P82" i="23"/>
  <c r="Q82" i="23"/>
  <c r="R82" i="23"/>
  <c r="S82" i="23"/>
  <c r="T82" i="23"/>
  <c r="U82" i="23"/>
  <c r="V82" i="23"/>
  <c r="W82" i="23"/>
  <c r="X82" i="23"/>
  <c r="Y82" i="23"/>
  <c r="Z82" i="23"/>
  <c r="F84" i="23"/>
  <c r="G84" i="23"/>
  <c r="H84" i="23"/>
  <c r="I84" i="23"/>
  <c r="J84" i="23"/>
  <c r="K84" i="23"/>
  <c r="L84" i="23"/>
  <c r="M84" i="23"/>
  <c r="N84" i="23"/>
  <c r="O84" i="23"/>
  <c r="P84" i="23"/>
  <c r="Q84" i="23"/>
  <c r="R84" i="23"/>
  <c r="S84" i="23"/>
  <c r="T84" i="23"/>
  <c r="U84" i="23"/>
  <c r="V84" i="23"/>
  <c r="W84" i="23"/>
  <c r="X84" i="23"/>
  <c r="Y84" i="23"/>
  <c r="Z84" i="23"/>
  <c r="F85" i="23"/>
  <c r="G85" i="23"/>
  <c r="H85" i="23"/>
  <c r="I85" i="23"/>
  <c r="J85" i="23"/>
  <c r="K85" i="23"/>
  <c r="L85" i="23"/>
  <c r="M85" i="23"/>
  <c r="N85" i="23"/>
  <c r="O85" i="23"/>
  <c r="P85" i="23"/>
  <c r="Q85" i="23"/>
  <c r="R85" i="23"/>
  <c r="S85" i="23"/>
  <c r="T85" i="23"/>
  <c r="U85" i="23"/>
  <c r="V85" i="23"/>
  <c r="W85" i="23"/>
  <c r="X85" i="23"/>
  <c r="Y85" i="23"/>
  <c r="Z85" i="23"/>
  <c r="F86" i="23"/>
  <c r="G86" i="23"/>
  <c r="H86" i="23"/>
  <c r="I86" i="23"/>
  <c r="J86" i="23"/>
  <c r="K86" i="23"/>
  <c r="L86" i="23"/>
  <c r="M86" i="23"/>
  <c r="N86" i="23"/>
  <c r="O86" i="23"/>
  <c r="P86" i="23"/>
  <c r="Q86" i="23"/>
  <c r="R86" i="23"/>
  <c r="S86" i="23"/>
  <c r="T86" i="23"/>
  <c r="U86" i="23"/>
  <c r="V86" i="23"/>
  <c r="W86" i="23"/>
  <c r="X86" i="23"/>
  <c r="Y86" i="23"/>
  <c r="Z86" i="23"/>
  <c r="F108" i="23"/>
  <c r="G108" i="23"/>
  <c r="H108" i="23"/>
  <c r="I108" i="23"/>
  <c r="J108" i="23"/>
  <c r="K108" i="23"/>
  <c r="L108" i="23"/>
  <c r="M108" i="23"/>
  <c r="N108" i="23"/>
  <c r="O108" i="23"/>
  <c r="P108" i="23"/>
  <c r="Q108" i="23"/>
  <c r="R108" i="23"/>
  <c r="S108" i="23"/>
  <c r="T108" i="23"/>
  <c r="U108" i="23"/>
  <c r="V108" i="23"/>
  <c r="W108" i="23"/>
  <c r="X108" i="23"/>
  <c r="Y108" i="23"/>
  <c r="Z108" i="23"/>
  <c r="F109" i="23"/>
  <c r="G109" i="23"/>
  <c r="H109" i="23"/>
  <c r="I109" i="23"/>
  <c r="J109" i="23"/>
  <c r="K109" i="23"/>
  <c r="L109" i="23"/>
  <c r="M109" i="23"/>
  <c r="N109" i="23"/>
  <c r="O109" i="23"/>
  <c r="P109" i="23"/>
  <c r="Q109" i="23"/>
  <c r="R109" i="23"/>
  <c r="S109" i="23"/>
  <c r="T109" i="23"/>
  <c r="U109" i="23"/>
  <c r="V109" i="23"/>
  <c r="W109" i="23"/>
  <c r="X109" i="23"/>
  <c r="Y109" i="23"/>
  <c r="Z109" i="23"/>
  <c r="F111" i="23"/>
  <c r="G111" i="23"/>
  <c r="H111" i="23"/>
  <c r="I111" i="23"/>
  <c r="J111" i="23"/>
  <c r="K111" i="23"/>
  <c r="L111" i="23"/>
  <c r="M111" i="23"/>
  <c r="N111" i="23"/>
  <c r="O111" i="23"/>
  <c r="P111" i="23"/>
  <c r="Q111" i="23"/>
  <c r="R111" i="23"/>
  <c r="S111" i="23"/>
  <c r="T111" i="23"/>
  <c r="U111" i="23"/>
  <c r="V111" i="23"/>
  <c r="W111" i="23"/>
  <c r="X111" i="23"/>
  <c r="Y111" i="23"/>
  <c r="Z111" i="23"/>
  <c r="F112" i="23"/>
  <c r="G112" i="23"/>
  <c r="H112" i="23"/>
  <c r="I112" i="23"/>
  <c r="J112" i="23"/>
  <c r="K112" i="23"/>
  <c r="L112" i="23"/>
  <c r="M112" i="23"/>
  <c r="N112" i="23"/>
  <c r="O112" i="23"/>
  <c r="P112" i="23"/>
  <c r="Q112" i="23"/>
  <c r="R112" i="23"/>
  <c r="S112" i="23"/>
  <c r="T112" i="23"/>
  <c r="U112" i="23"/>
  <c r="V112" i="23"/>
  <c r="W112" i="23"/>
  <c r="X112" i="23"/>
  <c r="Y112" i="23"/>
  <c r="Z112" i="23"/>
  <c r="F113" i="23"/>
  <c r="G113" i="23"/>
  <c r="H113" i="23"/>
  <c r="I113" i="23"/>
  <c r="J113" i="23"/>
  <c r="K113" i="23"/>
  <c r="L113" i="23"/>
  <c r="M113" i="23"/>
  <c r="N113" i="23"/>
  <c r="O113" i="23"/>
  <c r="P113" i="23"/>
  <c r="Q113" i="23"/>
  <c r="R113" i="23"/>
  <c r="S113" i="23"/>
  <c r="T113" i="23"/>
  <c r="U113" i="23"/>
  <c r="V113" i="23"/>
  <c r="W113" i="23"/>
  <c r="X113" i="23"/>
  <c r="Y113" i="23"/>
  <c r="Z113" i="23"/>
  <c r="F135" i="23"/>
  <c r="G135" i="23"/>
  <c r="H135" i="23"/>
  <c r="I135" i="23"/>
  <c r="J135" i="23"/>
  <c r="K135" i="23"/>
  <c r="L135" i="23"/>
  <c r="M135" i="23"/>
  <c r="N135" i="23"/>
  <c r="O135" i="23"/>
  <c r="P135" i="23"/>
  <c r="Q135" i="23"/>
  <c r="R135" i="23"/>
  <c r="S135" i="23"/>
  <c r="T135" i="23"/>
  <c r="U135" i="23"/>
  <c r="V135" i="23"/>
  <c r="W135" i="23"/>
  <c r="X135" i="23"/>
  <c r="Y135" i="23"/>
  <c r="Z135" i="23"/>
  <c r="F136" i="23"/>
  <c r="G136" i="23"/>
  <c r="H136" i="23"/>
  <c r="I136" i="23"/>
  <c r="J136" i="23"/>
  <c r="K136" i="23"/>
  <c r="L136" i="23"/>
  <c r="M136" i="23"/>
  <c r="N136" i="23"/>
  <c r="O136" i="23"/>
  <c r="P136" i="23"/>
  <c r="Q136" i="23"/>
  <c r="R136" i="23"/>
  <c r="S136" i="23"/>
  <c r="T136" i="23"/>
  <c r="U136" i="23"/>
  <c r="V136" i="23"/>
  <c r="W136" i="23"/>
  <c r="X136" i="23"/>
  <c r="Y136" i="23"/>
  <c r="Z136" i="23"/>
  <c r="F138" i="23"/>
  <c r="G138" i="23"/>
  <c r="H138" i="23"/>
  <c r="I138" i="23"/>
  <c r="J138" i="23"/>
  <c r="K138" i="23"/>
  <c r="L138" i="23"/>
  <c r="M138" i="23"/>
  <c r="N138" i="23"/>
  <c r="O138" i="23"/>
  <c r="P138" i="23"/>
  <c r="Q138" i="23"/>
  <c r="R138" i="23"/>
  <c r="S138" i="23"/>
  <c r="T138" i="23"/>
  <c r="U138" i="23"/>
  <c r="V138" i="23"/>
  <c r="W138" i="23"/>
  <c r="X138" i="23"/>
  <c r="Y138" i="23"/>
  <c r="Z138" i="23"/>
  <c r="F139" i="23"/>
  <c r="G139" i="23"/>
  <c r="H139" i="23"/>
  <c r="I139" i="23"/>
  <c r="J139" i="23"/>
  <c r="K139" i="23"/>
  <c r="L139" i="23"/>
  <c r="M139" i="23"/>
  <c r="N139" i="23"/>
  <c r="O139" i="23"/>
  <c r="P139" i="23"/>
  <c r="Q139" i="23"/>
  <c r="R139" i="23"/>
  <c r="S139" i="23"/>
  <c r="T139" i="23"/>
  <c r="U139" i="23"/>
  <c r="V139" i="23"/>
  <c r="W139" i="23"/>
  <c r="X139" i="23"/>
  <c r="Y139" i="23"/>
  <c r="Z139" i="23"/>
  <c r="F140" i="23"/>
  <c r="G140" i="23"/>
  <c r="H140" i="23"/>
  <c r="I140" i="23"/>
  <c r="J140" i="23"/>
  <c r="K140" i="23"/>
  <c r="L140" i="23"/>
  <c r="M140" i="23"/>
  <c r="N140" i="23"/>
  <c r="O140" i="23"/>
  <c r="P140" i="23"/>
  <c r="Q140" i="23"/>
  <c r="R140" i="23"/>
  <c r="S140" i="23"/>
  <c r="T140" i="23"/>
  <c r="U140" i="23"/>
  <c r="V140" i="23"/>
  <c r="W140" i="23"/>
  <c r="X140" i="23"/>
  <c r="Y140" i="23"/>
  <c r="Z140" i="23"/>
  <c r="F162" i="23"/>
  <c r="G162" i="23"/>
  <c r="H162" i="23"/>
  <c r="I162" i="23"/>
  <c r="J162" i="23"/>
  <c r="K162" i="23"/>
  <c r="L162" i="23"/>
  <c r="M162" i="23"/>
  <c r="N162" i="23"/>
  <c r="O162" i="23"/>
  <c r="P162" i="23"/>
  <c r="Q162" i="23"/>
  <c r="R162" i="23"/>
  <c r="S162" i="23"/>
  <c r="T162" i="23"/>
  <c r="U162" i="23"/>
  <c r="V162" i="23"/>
  <c r="W162" i="23"/>
  <c r="X162" i="23"/>
  <c r="Y162" i="23"/>
  <c r="Z162" i="23"/>
  <c r="F163" i="23"/>
  <c r="G163" i="23"/>
  <c r="H163" i="23"/>
  <c r="I163" i="23"/>
  <c r="J163" i="23"/>
  <c r="K163" i="23"/>
  <c r="L163" i="23"/>
  <c r="M163" i="23"/>
  <c r="N163" i="23"/>
  <c r="O163" i="23"/>
  <c r="P163" i="23"/>
  <c r="Q163" i="23"/>
  <c r="R163" i="23"/>
  <c r="S163" i="23"/>
  <c r="T163" i="23"/>
  <c r="U163" i="23"/>
  <c r="V163" i="23"/>
  <c r="W163" i="23"/>
  <c r="X163" i="23"/>
  <c r="Y163" i="23"/>
  <c r="Z163" i="23"/>
  <c r="F165" i="23"/>
  <c r="G165" i="23"/>
  <c r="H165" i="23"/>
  <c r="I165" i="23"/>
  <c r="J165" i="23"/>
  <c r="K165" i="23"/>
  <c r="L165" i="23"/>
  <c r="M165" i="23"/>
  <c r="N165" i="23"/>
  <c r="O165" i="23"/>
  <c r="P165" i="23"/>
  <c r="Q165" i="23"/>
  <c r="R165" i="23"/>
  <c r="S165" i="23"/>
  <c r="T165" i="23"/>
  <c r="U165" i="23"/>
  <c r="V165" i="23"/>
  <c r="W165" i="23"/>
  <c r="X165" i="23"/>
  <c r="Y165" i="23"/>
  <c r="Z165" i="23"/>
  <c r="F166" i="23"/>
  <c r="G166" i="23"/>
  <c r="H166" i="23"/>
  <c r="I166" i="23"/>
  <c r="J166" i="23"/>
  <c r="K166" i="23"/>
  <c r="L166" i="23"/>
  <c r="M166" i="23"/>
  <c r="N166" i="23"/>
  <c r="O166" i="23"/>
  <c r="P166" i="23"/>
  <c r="Q166" i="23"/>
  <c r="R166" i="23"/>
  <c r="S166" i="23"/>
  <c r="T166" i="23"/>
  <c r="U166" i="23"/>
  <c r="V166" i="23"/>
  <c r="W166" i="23"/>
  <c r="X166" i="23"/>
  <c r="Y166" i="23"/>
  <c r="Z166" i="23"/>
  <c r="F167" i="23"/>
  <c r="G167" i="23"/>
  <c r="H167" i="23"/>
  <c r="I167" i="23"/>
  <c r="J167" i="23"/>
  <c r="K167" i="23"/>
  <c r="L167" i="23"/>
  <c r="M167" i="23"/>
  <c r="N167" i="23"/>
  <c r="O167" i="23"/>
  <c r="P167" i="23"/>
  <c r="Q167" i="23"/>
  <c r="R167" i="23"/>
  <c r="S167" i="23"/>
  <c r="T167" i="23"/>
  <c r="U167" i="23"/>
  <c r="V167" i="23"/>
  <c r="W167" i="23"/>
  <c r="X167" i="23"/>
  <c r="Y167" i="23"/>
  <c r="Z167" i="23"/>
  <c r="F186" i="23"/>
  <c r="G186" i="23"/>
  <c r="H186" i="23"/>
  <c r="I186" i="23"/>
  <c r="J186" i="23"/>
  <c r="K186" i="23"/>
  <c r="L186" i="23"/>
  <c r="M186" i="23"/>
  <c r="N186" i="23"/>
  <c r="O186" i="23"/>
  <c r="P186" i="23"/>
  <c r="Q186" i="23"/>
  <c r="R186" i="23"/>
  <c r="S186" i="23"/>
  <c r="T186" i="23"/>
  <c r="U186" i="23"/>
  <c r="V186" i="23"/>
  <c r="W186" i="23"/>
  <c r="X186" i="23"/>
  <c r="Y186" i="23"/>
  <c r="Z186" i="23"/>
  <c r="F187" i="23"/>
  <c r="G187" i="23"/>
  <c r="H187" i="23"/>
  <c r="I187" i="23"/>
  <c r="J187" i="23"/>
  <c r="K187" i="23"/>
  <c r="L187" i="23"/>
  <c r="M187" i="23"/>
  <c r="N187" i="23"/>
  <c r="O187" i="23"/>
  <c r="P187" i="23"/>
  <c r="Q187" i="23"/>
  <c r="R187" i="23"/>
  <c r="S187" i="23"/>
  <c r="T187" i="23"/>
  <c r="U187" i="23"/>
  <c r="V187" i="23"/>
  <c r="W187" i="23"/>
  <c r="X187" i="23"/>
  <c r="Y187" i="23"/>
  <c r="Z187" i="23"/>
  <c r="F189" i="23"/>
  <c r="G189" i="23"/>
  <c r="H189" i="23"/>
  <c r="I189" i="23"/>
  <c r="J189" i="23"/>
  <c r="K189" i="23"/>
  <c r="L189" i="23"/>
  <c r="M189" i="23"/>
  <c r="N189" i="23"/>
  <c r="O189" i="23"/>
  <c r="P189" i="23"/>
  <c r="Q189" i="23"/>
  <c r="R189" i="23"/>
  <c r="S189" i="23"/>
  <c r="T189" i="23"/>
  <c r="U189" i="23"/>
  <c r="V189" i="23"/>
  <c r="W189" i="23"/>
  <c r="X189" i="23"/>
  <c r="Y189" i="23"/>
  <c r="Z189" i="23"/>
  <c r="F190" i="23"/>
  <c r="G190" i="23"/>
  <c r="H190" i="23"/>
  <c r="I190" i="23"/>
  <c r="J190" i="23"/>
  <c r="K190" i="23"/>
  <c r="L190" i="23"/>
  <c r="M190" i="23"/>
  <c r="N190" i="23"/>
  <c r="O190" i="23"/>
  <c r="P190" i="23"/>
  <c r="Q190" i="23"/>
  <c r="R190" i="23"/>
  <c r="S190" i="23"/>
  <c r="T190" i="23"/>
  <c r="U190" i="23"/>
  <c r="V190" i="23"/>
  <c r="W190" i="23"/>
  <c r="X190" i="23"/>
  <c r="Y190" i="23"/>
  <c r="Z190" i="23"/>
  <c r="F210" i="23"/>
  <c r="G210" i="23"/>
  <c r="H210" i="23"/>
  <c r="I210" i="23"/>
  <c r="J210" i="23"/>
  <c r="K210" i="23"/>
  <c r="L210" i="23"/>
  <c r="M210" i="23"/>
  <c r="N210" i="23"/>
  <c r="O210" i="23"/>
  <c r="P210" i="23"/>
  <c r="Q210" i="23"/>
  <c r="R210" i="23"/>
  <c r="S210" i="23"/>
  <c r="T210" i="23"/>
  <c r="U210" i="23"/>
  <c r="V210" i="23"/>
  <c r="W210" i="23"/>
  <c r="X210" i="23"/>
  <c r="Y210" i="23"/>
  <c r="Z210" i="23"/>
  <c r="F211" i="23"/>
  <c r="G211" i="23"/>
  <c r="H211" i="23"/>
  <c r="I211" i="23"/>
  <c r="J211" i="23"/>
  <c r="K211" i="23"/>
  <c r="L211" i="23"/>
  <c r="M211" i="23"/>
  <c r="N211" i="23"/>
  <c r="O211" i="23"/>
  <c r="P211" i="23"/>
  <c r="Q211" i="23"/>
  <c r="R211" i="23"/>
  <c r="S211" i="23"/>
  <c r="T211" i="23"/>
  <c r="U211" i="23"/>
  <c r="V211" i="23"/>
  <c r="W211" i="23"/>
  <c r="X211" i="23"/>
  <c r="Y211" i="23"/>
  <c r="Z211" i="23"/>
  <c r="F213" i="23"/>
  <c r="G213" i="23"/>
  <c r="H213" i="23"/>
  <c r="I213" i="23"/>
  <c r="J213" i="23"/>
  <c r="K213" i="23"/>
  <c r="L213" i="23"/>
  <c r="M213" i="23"/>
  <c r="N213" i="23"/>
  <c r="O213" i="23"/>
  <c r="P213" i="23"/>
  <c r="Q213" i="23"/>
  <c r="R213" i="23"/>
  <c r="S213" i="23"/>
  <c r="T213" i="23"/>
  <c r="U213" i="23"/>
  <c r="V213" i="23"/>
  <c r="W213" i="23"/>
  <c r="X213" i="23"/>
  <c r="Y213" i="23"/>
  <c r="Z213" i="23"/>
  <c r="F214" i="23"/>
  <c r="G214" i="23"/>
  <c r="H214" i="23"/>
  <c r="I214" i="23"/>
  <c r="J214" i="23"/>
  <c r="K214" i="23"/>
  <c r="L214" i="23"/>
  <c r="M214" i="23"/>
  <c r="N214" i="23"/>
  <c r="O214" i="23"/>
  <c r="P214" i="23"/>
  <c r="Q214" i="23"/>
  <c r="R214" i="23"/>
  <c r="S214" i="23"/>
  <c r="T214" i="23"/>
  <c r="U214" i="23"/>
  <c r="V214" i="23"/>
  <c r="W214" i="23"/>
  <c r="X214" i="23"/>
  <c r="Y214" i="23"/>
  <c r="Z214" i="23"/>
  <c r="F227" i="23"/>
  <c r="G227" i="23"/>
  <c r="H227" i="23"/>
  <c r="I227" i="23"/>
  <c r="J227" i="23"/>
  <c r="K227" i="23"/>
  <c r="L227" i="23"/>
  <c r="M227" i="23"/>
  <c r="N227" i="23"/>
  <c r="O227" i="23"/>
  <c r="P227" i="23"/>
  <c r="Q227" i="23"/>
  <c r="R227" i="23"/>
  <c r="S227" i="23"/>
  <c r="T227" i="23"/>
  <c r="U227" i="23"/>
  <c r="V227" i="23"/>
  <c r="W227" i="23"/>
  <c r="X227" i="23"/>
  <c r="Y227" i="23"/>
  <c r="Z227" i="23"/>
  <c r="F228" i="23"/>
  <c r="G228" i="23"/>
  <c r="H228" i="23"/>
  <c r="I228" i="23"/>
  <c r="J228" i="23"/>
  <c r="K228" i="23"/>
  <c r="L228" i="23"/>
  <c r="M228" i="23"/>
  <c r="N228" i="23"/>
  <c r="O228" i="23"/>
  <c r="P228" i="23"/>
  <c r="Q228" i="23"/>
  <c r="R228" i="23"/>
  <c r="S228" i="23"/>
  <c r="T228" i="23"/>
  <c r="U228" i="23"/>
  <c r="V228" i="23"/>
  <c r="W228" i="23"/>
  <c r="X228" i="23"/>
  <c r="Y228" i="23"/>
  <c r="Z228" i="23"/>
  <c r="F231" i="23"/>
  <c r="G231" i="23"/>
  <c r="H231" i="23"/>
  <c r="I231" i="23"/>
  <c r="J231" i="23"/>
  <c r="K231" i="23"/>
  <c r="L231" i="23"/>
  <c r="M231" i="23"/>
  <c r="N231" i="23"/>
  <c r="O231" i="23"/>
  <c r="P231" i="23"/>
  <c r="Q231" i="23"/>
  <c r="R231" i="23"/>
  <c r="S231" i="23"/>
  <c r="T231" i="23"/>
  <c r="U231" i="23"/>
  <c r="V231" i="23"/>
  <c r="W231" i="23"/>
  <c r="X231" i="23"/>
  <c r="Y231" i="23"/>
  <c r="Z231" i="23"/>
  <c r="F232" i="23"/>
  <c r="G232" i="23"/>
  <c r="H232" i="23"/>
  <c r="I232" i="23"/>
  <c r="J232" i="23"/>
  <c r="K232" i="23"/>
  <c r="L232" i="23"/>
  <c r="M232" i="23"/>
  <c r="N232" i="23"/>
  <c r="O232" i="23"/>
  <c r="P232" i="23"/>
  <c r="Q232" i="23"/>
  <c r="R232" i="23"/>
  <c r="S232" i="23"/>
  <c r="T232" i="23"/>
  <c r="U232" i="23"/>
  <c r="V232" i="23"/>
  <c r="W232" i="23"/>
  <c r="X232" i="23"/>
  <c r="Y232" i="23"/>
  <c r="Z232" i="23"/>
  <c r="F234" i="23"/>
  <c r="G234" i="23"/>
  <c r="H234" i="23"/>
  <c r="I234" i="23"/>
  <c r="J234" i="23"/>
  <c r="K234" i="23"/>
  <c r="L234" i="23"/>
  <c r="M234" i="23"/>
  <c r="N234" i="23"/>
  <c r="O234" i="23"/>
  <c r="P234" i="23"/>
  <c r="Q234" i="23"/>
  <c r="R234" i="23"/>
  <c r="S234" i="23"/>
  <c r="T234" i="23"/>
  <c r="U234" i="23"/>
  <c r="V234" i="23"/>
  <c r="W234" i="23"/>
  <c r="X234" i="23"/>
  <c r="Y234" i="23"/>
  <c r="Z234" i="23"/>
  <c r="F235" i="23"/>
  <c r="G235" i="23"/>
  <c r="H235" i="23"/>
  <c r="I235" i="23"/>
  <c r="J235" i="23"/>
  <c r="K235" i="23"/>
  <c r="L235" i="23"/>
  <c r="M235" i="23"/>
  <c r="N235" i="23"/>
  <c r="O235" i="23"/>
  <c r="P235" i="23"/>
  <c r="Q235" i="23"/>
  <c r="R235" i="23"/>
  <c r="S235" i="23"/>
  <c r="T235" i="23"/>
  <c r="U235" i="23"/>
  <c r="V235" i="23"/>
  <c r="W235" i="23"/>
  <c r="X235" i="23"/>
  <c r="Y235" i="23"/>
  <c r="Z235" i="23"/>
  <c r="F240" i="23"/>
  <c r="G240" i="23"/>
  <c r="H240" i="23"/>
  <c r="I240" i="23"/>
  <c r="J240" i="23"/>
  <c r="K240" i="23"/>
  <c r="L240" i="23"/>
  <c r="M240" i="23"/>
  <c r="N240" i="23"/>
  <c r="O240" i="23"/>
  <c r="P240" i="23"/>
  <c r="Q240" i="23"/>
  <c r="R240" i="23"/>
  <c r="S240" i="23"/>
  <c r="T240" i="23"/>
  <c r="U240" i="23"/>
  <c r="V240" i="23"/>
  <c r="W240" i="23"/>
  <c r="X240" i="23"/>
  <c r="Y240" i="23"/>
  <c r="Z240" i="23"/>
  <c r="F241" i="23"/>
  <c r="G241" i="23"/>
  <c r="H241" i="23"/>
  <c r="I241" i="23"/>
  <c r="J241" i="23"/>
  <c r="K241" i="23"/>
  <c r="L241" i="23"/>
  <c r="M241" i="23"/>
  <c r="N241" i="23"/>
  <c r="O241" i="23"/>
  <c r="P241" i="23"/>
  <c r="Q241" i="23"/>
  <c r="R241" i="23"/>
  <c r="S241" i="23"/>
  <c r="T241" i="23"/>
  <c r="U241" i="23"/>
  <c r="V241" i="23"/>
  <c r="W241" i="23"/>
  <c r="X241" i="23"/>
  <c r="Y241" i="23"/>
  <c r="Z241" i="23"/>
  <c r="F253" i="23"/>
  <c r="G253" i="23"/>
  <c r="H253" i="23"/>
  <c r="I253" i="23"/>
  <c r="J253" i="23"/>
  <c r="K253" i="23"/>
  <c r="L253" i="23"/>
  <c r="M253" i="23"/>
  <c r="N253" i="23"/>
  <c r="O253" i="23"/>
  <c r="P253" i="23"/>
  <c r="Q253" i="23"/>
  <c r="R253" i="23"/>
  <c r="S253" i="23"/>
  <c r="T253" i="23"/>
  <c r="U253" i="23"/>
  <c r="V253" i="23"/>
  <c r="W253" i="23"/>
  <c r="X253" i="23"/>
  <c r="Y253" i="23"/>
  <c r="Z253" i="23"/>
  <c r="F254" i="23"/>
  <c r="G254" i="23"/>
  <c r="H254" i="23"/>
  <c r="I254" i="23"/>
  <c r="J254" i="23"/>
  <c r="K254" i="23"/>
  <c r="L254" i="23"/>
  <c r="M254" i="23"/>
  <c r="N254" i="23"/>
  <c r="O254" i="23"/>
  <c r="P254" i="23"/>
  <c r="Q254" i="23"/>
  <c r="R254" i="23"/>
  <c r="S254" i="23"/>
  <c r="T254" i="23"/>
  <c r="U254" i="23"/>
  <c r="V254" i="23"/>
  <c r="W254" i="23"/>
  <c r="X254" i="23"/>
  <c r="Y254" i="23"/>
  <c r="Z254" i="23"/>
  <c r="F257" i="23"/>
  <c r="G257" i="23"/>
  <c r="H257" i="23"/>
  <c r="I257" i="23"/>
  <c r="J257" i="23"/>
  <c r="K257" i="23"/>
  <c r="L257" i="23"/>
  <c r="M257" i="23"/>
  <c r="N257" i="23"/>
  <c r="O257" i="23"/>
  <c r="P257" i="23"/>
  <c r="Q257" i="23"/>
  <c r="R257" i="23"/>
  <c r="S257" i="23"/>
  <c r="T257" i="23"/>
  <c r="U257" i="23"/>
  <c r="V257" i="23"/>
  <c r="W257" i="23"/>
  <c r="X257" i="23"/>
  <c r="Y257" i="23"/>
  <c r="Z257" i="23"/>
  <c r="F258" i="23"/>
  <c r="G258" i="23"/>
  <c r="H258" i="23"/>
  <c r="I258" i="23"/>
  <c r="J258" i="23"/>
  <c r="K258" i="23"/>
  <c r="L258" i="23"/>
  <c r="M258" i="23"/>
  <c r="N258" i="23"/>
  <c r="O258" i="23"/>
  <c r="P258" i="23"/>
  <c r="Q258" i="23"/>
  <c r="R258" i="23"/>
  <c r="S258" i="23"/>
  <c r="T258" i="23"/>
  <c r="U258" i="23"/>
  <c r="V258" i="23"/>
  <c r="W258" i="23"/>
  <c r="X258" i="23"/>
  <c r="Y258" i="23"/>
  <c r="Z258" i="23"/>
  <c r="F260" i="23"/>
  <c r="G260" i="23"/>
  <c r="H260" i="23"/>
  <c r="I260" i="23"/>
  <c r="J260" i="23"/>
  <c r="K260" i="23"/>
  <c r="L260" i="23"/>
  <c r="M260" i="23"/>
  <c r="N260" i="23"/>
  <c r="O260" i="23"/>
  <c r="P260" i="23"/>
  <c r="Q260" i="23"/>
  <c r="R260" i="23"/>
  <c r="S260" i="23"/>
  <c r="T260" i="23"/>
  <c r="U260" i="23"/>
  <c r="V260" i="23"/>
  <c r="W260" i="23"/>
  <c r="X260" i="23"/>
  <c r="Y260" i="23"/>
  <c r="Z260" i="23"/>
  <c r="F261" i="23"/>
  <c r="G261" i="23"/>
  <c r="H261" i="23"/>
  <c r="I261" i="23"/>
  <c r="J261" i="23"/>
  <c r="K261" i="23"/>
  <c r="L261" i="23"/>
  <c r="M261" i="23"/>
  <c r="N261" i="23"/>
  <c r="O261" i="23"/>
  <c r="P261" i="23"/>
  <c r="Q261" i="23"/>
  <c r="R261" i="23"/>
  <c r="S261" i="23"/>
  <c r="T261" i="23"/>
  <c r="U261" i="23"/>
  <c r="V261" i="23"/>
  <c r="W261" i="23"/>
  <c r="X261" i="23"/>
  <c r="Y261" i="23"/>
  <c r="Z261" i="23"/>
  <c r="F266" i="23"/>
  <c r="G266" i="23"/>
  <c r="H266" i="23"/>
  <c r="I266" i="23"/>
  <c r="J266" i="23"/>
  <c r="K266" i="23"/>
  <c r="L266" i="23"/>
  <c r="M266" i="23"/>
  <c r="N266" i="23"/>
  <c r="O266" i="23"/>
  <c r="P266" i="23"/>
  <c r="Q266" i="23"/>
  <c r="R266" i="23"/>
  <c r="S266" i="23"/>
  <c r="T266" i="23"/>
  <c r="U266" i="23"/>
  <c r="V266" i="23"/>
  <c r="W266" i="23"/>
  <c r="X266" i="23"/>
  <c r="Y266" i="23"/>
  <c r="Z266" i="23"/>
  <c r="F267" i="23"/>
  <c r="G267" i="23"/>
  <c r="H267" i="23"/>
  <c r="I267" i="23"/>
  <c r="J267" i="23"/>
  <c r="K267" i="23"/>
  <c r="L267" i="23"/>
  <c r="M267" i="23"/>
  <c r="N267" i="23"/>
  <c r="O267" i="23"/>
  <c r="P267" i="23"/>
  <c r="Q267" i="23"/>
  <c r="R267" i="23"/>
  <c r="S267" i="23"/>
  <c r="T267" i="23"/>
  <c r="U267" i="23"/>
  <c r="V267" i="23"/>
  <c r="W267" i="23"/>
  <c r="X267" i="23"/>
  <c r="Y267" i="23"/>
  <c r="Z267" i="23"/>
  <c r="F279" i="23"/>
  <c r="G279" i="23"/>
  <c r="H279" i="23"/>
  <c r="I279" i="23"/>
  <c r="J279" i="23"/>
  <c r="K279" i="23"/>
  <c r="L279" i="23"/>
  <c r="M279" i="23"/>
  <c r="N279" i="23"/>
  <c r="O279" i="23"/>
  <c r="P279" i="23"/>
  <c r="Q279" i="23"/>
  <c r="R279" i="23"/>
  <c r="S279" i="23"/>
  <c r="T279" i="23"/>
  <c r="U279" i="23"/>
  <c r="V279" i="23"/>
  <c r="W279" i="23"/>
  <c r="X279" i="23"/>
  <c r="Y279" i="23"/>
  <c r="Z279" i="23"/>
  <c r="F280" i="23"/>
  <c r="G280" i="23"/>
  <c r="H280" i="23"/>
  <c r="I280" i="23"/>
  <c r="J280" i="23"/>
  <c r="K280" i="23"/>
  <c r="L280" i="23"/>
  <c r="M280" i="23"/>
  <c r="N280" i="23"/>
  <c r="O280" i="23"/>
  <c r="P280" i="23"/>
  <c r="Q280" i="23"/>
  <c r="R280" i="23"/>
  <c r="S280" i="23"/>
  <c r="T280" i="23"/>
  <c r="U280" i="23"/>
  <c r="V280" i="23"/>
  <c r="W280" i="23"/>
  <c r="X280" i="23"/>
  <c r="Y280" i="23"/>
  <c r="Z280" i="23"/>
  <c r="F283" i="23"/>
  <c r="G283" i="23"/>
  <c r="H283" i="23"/>
  <c r="I283" i="23"/>
  <c r="J283" i="23"/>
  <c r="K283" i="23"/>
  <c r="L283" i="23"/>
  <c r="M283" i="23"/>
  <c r="N283" i="23"/>
  <c r="O283" i="23"/>
  <c r="P283" i="23"/>
  <c r="Q283" i="23"/>
  <c r="R283" i="23"/>
  <c r="S283" i="23"/>
  <c r="T283" i="23"/>
  <c r="U283" i="23"/>
  <c r="V283" i="23"/>
  <c r="W283" i="23"/>
  <c r="X283" i="23"/>
  <c r="Y283" i="23"/>
  <c r="Z283" i="23"/>
  <c r="F284" i="23"/>
  <c r="G284" i="23"/>
  <c r="H284" i="23"/>
  <c r="I284" i="23"/>
  <c r="J284" i="23"/>
  <c r="K284" i="23"/>
  <c r="L284" i="23"/>
  <c r="M284" i="23"/>
  <c r="N284" i="23"/>
  <c r="O284" i="23"/>
  <c r="P284" i="23"/>
  <c r="Q284" i="23"/>
  <c r="R284" i="23"/>
  <c r="S284" i="23"/>
  <c r="T284" i="23"/>
  <c r="U284" i="23"/>
  <c r="V284" i="23"/>
  <c r="W284" i="23"/>
  <c r="X284" i="23"/>
  <c r="Y284" i="23"/>
  <c r="Z284" i="23"/>
  <c r="F286" i="23"/>
  <c r="G286" i="23"/>
  <c r="H286" i="23"/>
  <c r="I286" i="23"/>
  <c r="J286" i="23"/>
  <c r="K286" i="23"/>
  <c r="L286" i="23"/>
  <c r="M286" i="23"/>
  <c r="N286" i="23"/>
  <c r="O286" i="23"/>
  <c r="P286" i="23"/>
  <c r="Q286" i="23"/>
  <c r="R286" i="23"/>
  <c r="S286" i="23"/>
  <c r="T286" i="23"/>
  <c r="U286" i="23"/>
  <c r="V286" i="23"/>
  <c r="W286" i="23"/>
  <c r="X286" i="23"/>
  <c r="Y286" i="23"/>
  <c r="Z286" i="23"/>
  <c r="F287" i="23"/>
  <c r="G287" i="23"/>
  <c r="H287" i="23"/>
  <c r="I287" i="23"/>
  <c r="J287" i="23"/>
  <c r="K287" i="23"/>
  <c r="L287" i="23"/>
  <c r="M287" i="23"/>
  <c r="N287" i="23"/>
  <c r="O287" i="23"/>
  <c r="P287" i="23"/>
  <c r="Q287" i="23"/>
  <c r="R287" i="23"/>
  <c r="S287" i="23"/>
  <c r="T287" i="23"/>
  <c r="U287" i="23"/>
  <c r="V287" i="23"/>
  <c r="W287" i="23"/>
  <c r="X287" i="23"/>
  <c r="Y287" i="23"/>
  <c r="Z287" i="23"/>
  <c r="F288" i="23"/>
  <c r="G288" i="23"/>
  <c r="H288" i="23"/>
  <c r="I288" i="23"/>
  <c r="J288" i="23"/>
  <c r="K288" i="23"/>
  <c r="L288" i="23"/>
  <c r="M288" i="23"/>
  <c r="N288" i="23"/>
  <c r="O288" i="23"/>
  <c r="P288" i="23"/>
  <c r="Q288" i="23"/>
  <c r="R288" i="23"/>
  <c r="S288" i="23"/>
  <c r="T288" i="23"/>
  <c r="U288" i="23"/>
  <c r="V288" i="23"/>
  <c r="W288" i="23"/>
  <c r="X288" i="23"/>
  <c r="Y288" i="23"/>
  <c r="Z288" i="23"/>
  <c r="F300" i="23"/>
  <c r="G300" i="23"/>
  <c r="H300" i="23"/>
  <c r="I300" i="23"/>
  <c r="J300" i="23"/>
  <c r="K300" i="23"/>
  <c r="L300" i="23"/>
  <c r="M300" i="23"/>
  <c r="N300" i="23"/>
  <c r="O300" i="23"/>
  <c r="P300" i="23"/>
  <c r="Q300" i="23"/>
  <c r="R300" i="23"/>
  <c r="S300" i="23"/>
  <c r="T300" i="23"/>
  <c r="U300" i="23"/>
  <c r="V300" i="23"/>
  <c r="W300" i="23"/>
  <c r="X300" i="23"/>
  <c r="Y300" i="23"/>
  <c r="Z300" i="23"/>
  <c r="F301" i="23"/>
  <c r="G301" i="23"/>
  <c r="H301" i="23"/>
  <c r="I301" i="23"/>
  <c r="J301" i="23"/>
  <c r="K301" i="23"/>
  <c r="L301" i="23"/>
  <c r="M301" i="23"/>
  <c r="N301" i="23"/>
  <c r="O301" i="23"/>
  <c r="P301" i="23"/>
  <c r="Q301" i="23"/>
  <c r="R301" i="23"/>
  <c r="S301" i="23"/>
  <c r="T301" i="23"/>
  <c r="U301" i="23"/>
  <c r="V301" i="23"/>
  <c r="W301" i="23"/>
  <c r="X301" i="23"/>
  <c r="Y301" i="23"/>
  <c r="Z301" i="23"/>
  <c r="F304" i="23"/>
  <c r="G304" i="23"/>
  <c r="H304" i="23"/>
  <c r="I304" i="23"/>
  <c r="J304" i="23"/>
  <c r="K304" i="23"/>
  <c r="L304" i="23"/>
  <c r="M304" i="23"/>
  <c r="N304" i="23"/>
  <c r="O304" i="23"/>
  <c r="P304" i="23"/>
  <c r="Q304" i="23"/>
  <c r="R304" i="23"/>
  <c r="S304" i="23"/>
  <c r="T304" i="23"/>
  <c r="U304" i="23"/>
  <c r="V304" i="23"/>
  <c r="W304" i="23"/>
  <c r="X304" i="23"/>
  <c r="Y304" i="23"/>
  <c r="Z304" i="23"/>
  <c r="F305" i="23"/>
  <c r="G305" i="23"/>
  <c r="H305" i="23"/>
  <c r="I305" i="23"/>
  <c r="J305" i="23"/>
  <c r="K305" i="23"/>
  <c r="L305" i="23"/>
  <c r="M305" i="23"/>
  <c r="N305" i="23"/>
  <c r="O305" i="23"/>
  <c r="P305" i="23"/>
  <c r="Q305" i="23"/>
  <c r="R305" i="23"/>
  <c r="S305" i="23"/>
  <c r="T305" i="23"/>
  <c r="U305" i="23"/>
  <c r="V305" i="23"/>
  <c r="W305" i="23"/>
  <c r="X305" i="23"/>
  <c r="Y305" i="23"/>
  <c r="Z305" i="23"/>
  <c r="F307" i="23"/>
  <c r="G307" i="23"/>
  <c r="H307" i="23"/>
  <c r="I307" i="23"/>
  <c r="J307" i="23"/>
  <c r="K307" i="23"/>
  <c r="L307" i="23"/>
  <c r="M307" i="23"/>
  <c r="N307" i="23"/>
  <c r="O307" i="23"/>
  <c r="P307" i="23"/>
  <c r="Q307" i="23"/>
  <c r="R307" i="23"/>
  <c r="S307" i="23"/>
  <c r="T307" i="23"/>
  <c r="U307" i="23"/>
  <c r="V307" i="23"/>
  <c r="W307" i="23"/>
  <c r="X307" i="23"/>
  <c r="Y307" i="23"/>
  <c r="Z307" i="23"/>
  <c r="F308" i="23"/>
  <c r="G308" i="23"/>
  <c r="H308" i="23"/>
  <c r="I308" i="23"/>
  <c r="J308" i="23"/>
  <c r="K308" i="23"/>
  <c r="L308" i="23"/>
  <c r="M308" i="23"/>
  <c r="N308" i="23"/>
  <c r="O308" i="23"/>
  <c r="P308" i="23"/>
  <c r="Q308" i="23"/>
  <c r="R308" i="23"/>
  <c r="S308" i="23"/>
  <c r="T308" i="23"/>
  <c r="U308" i="23"/>
  <c r="V308" i="23"/>
  <c r="W308" i="23"/>
  <c r="X308" i="23"/>
  <c r="Y308" i="23"/>
  <c r="Z308" i="23"/>
  <c r="F309" i="23"/>
  <c r="G309" i="23"/>
  <c r="H309" i="23"/>
  <c r="I309" i="23"/>
  <c r="J309" i="23"/>
  <c r="K309" i="23"/>
  <c r="L309" i="23"/>
  <c r="M309" i="23"/>
  <c r="N309" i="23"/>
  <c r="O309" i="23"/>
  <c r="P309" i="23"/>
  <c r="Q309" i="23"/>
  <c r="R309" i="23"/>
  <c r="S309" i="23"/>
  <c r="T309" i="23"/>
  <c r="U309" i="23"/>
  <c r="V309" i="23"/>
  <c r="W309" i="23"/>
  <c r="X309" i="23"/>
  <c r="Y309" i="23"/>
  <c r="Z309" i="23"/>
  <c r="F326" i="23"/>
  <c r="G326" i="23"/>
  <c r="H326" i="23"/>
  <c r="I326" i="23"/>
  <c r="J326" i="23"/>
  <c r="K326" i="23"/>
  <c r="L326" i="23"/>
  <c r="M326" i="23"/>
  <c r="N326" i="23"/>
  <c r="O326" i="23"/>
  <c r="P326" i="23"/>
  <c r="Q326" i="23"/>
  <c r="R326" i="23"/>
  <c r="S326" i="23"/>
  <c r="T326" i="23"/>
  <c r="U326" i="23"/>
  <c r="V326" i="23"/>
  <c r="W326" i="23"/>
  <c r="X326" i="23"/>
  <c r="Y326" i="23"/>
  <c r="Z326" i="23"/>
  <c r="F327" i="23"/>
  <c r="G327" i="23"/>
  <c r="H327" i="23"/>
  <c r="I327" i="23"/>
  <c r="J327" i="23"/>
  <c r="K327" i="23"/>
  <c r="L327" i="23"/>
  <c r="M327" i="23"/>
  <c r="N327" i="23"/>
  <c r="O327" i="23"/>
  <c r="P327" i="23"/>
  <c r="Q327" i="23"/>
  <c r="R327" i="23"/>
  <c r="S327" i="23"/>
  <c r="T327" i="23"/>
  <c r="U327" i="23"/>
  <c r="V327" i="23"/>
  <c r="W327" i="23"/>
  <c r="X327" i="23"/>
  <c r="Y327" i="23"/>
  <c r="Z327" i="23"/>
  <c r="F329" i="23"/>
  <c r="G329" i="23"/>
  <c r="H329" i="23"/>
  <c r="I329" i="23"/>
  <c r="J329" i="23"/>
  <c r="K329" i="23"/>
  <c r="L329" i="23"/>
  <c r="M329" i="23"/>
  <c r="N329" i="23"/>
  <c r="O329" i="23"/>
  <c r="P329" i="23"/>
  <c r="Q329" i="23"/>
  <c r="R329" i="23"/>
  <c r="S329" i="23"/>
  <c r="T329" i="23"/>
  <c r="U329" i="23"/>
  <c r="V329" i="23"/>
  <c r="W329" i="23"/>
  <c r="X329" i="23"/>
  <c r="Y329" i="23"/>
  <c r="Z329" i="23"/>
  <c r="F330" i="23"/>
  <c r="G330" i="23"/>
  <c r="H330" i="23"/>
  <c r="I330" i="23"/>
  <c r="J330" i="23"/>
  <c r="K330" i="23"/>
  <c r="L330" i="23"/>
  <c r="M330" i="23"/>
  <c r="N330" i="23"/>
  <c r="O330" i="23"/>
  <c r="P330" i="23"/>
  <c r="Q330" i="23"/>
  <c r="R330" i="23"/>
  <c r="S330" i="23"/>
  <c r="T330" i="23"/>
  <c r="U330" i="23"/>
  <c r="V330" i="23"/>
  <c r="W330" i="23"/>
  <c r="X330" i="23"/>
  <c r="Y330" i="23"/>
  <c r="Z330" i="23"/>
  <c r="F331" i="23"/>
  <c r="G331" i="23"/>
  <c r="H331" i="23"/>
  <c r="I331" i="23"/>
  <c r="J331" i="23"/>
  <c r="K331" i="23"/>
  <c r="L331" i="23"/>
  <c r="M331" i="23"/>
  <c r="N331" i="23"/>
  <c r="O331" i="23"/>
  <c r="P331" i="23"/>
  <c r="Q331" i="23"/>
  <c r="R331" i="23"/>
  <c r="S331" i="23"/>
  <c r="T331" i="23"/>
  <c r="U331" i="23"/>
  <c r="V331" i="23"/>
  <c r="W331" i="23"/>
  <c r="X331" i="23"/>
  <c r="Y331" i="23"/>
  <c r="Z331" i="23"/>
  <c r="F333" i="23"/>
  <c r="G333" i="23"/>
  <c r="H333" i="23"/>
  <c r="I333" i="23"/>
  <c r="J333" i="23"/>
  <c r="K333" i="23"/>
  <c r="L333" i="23"/>
  <c r="M333" i="23"/>
  <c r="N333" i="23"/>
  <c r="O333" i="23"/>
  <c r="P333" i="23"/>
  <c r="Q333" i="23"/>
  <c r="R333" i="23"/>
  <c r="S333" i="23"/>
  <c r="T333" i="23"/>
  <c r="U333" i="23"/>
  <c r="V333" i="23"/>
  <c r="W333" i="23"/>
  <c r="X333" i="23"/>
  <c r="Y333" i="23"/>
  <c r="Z333" i="23"/>
  <c r="G336" i="23"/>
  <c r="H336" i="23"/>
  <c r="I336" i="23"/>
  <c r="J336" i="23"/>
  <c r="K336" i="23"/>
  <c r="L336" i="23"/>
  <c r="M336" i="23"/>
  <c r="N336" i="23"/>
  <c r="O336" i="23"/>
  <c r="P336" i="23"/>
  <c r="Q336" i="23"/>
  <c r="R336" i="23"/>
  <c r="S336" i="23"/>
  <c r="T336" i="23"/>
  <c r="U336" i="23"/>
  <c r="V336" i="23"/>
  <c r="W336" i="23"/>
  <c r="X336" i="23"/>
  <c r="Y336" i="23"/>
  <c r="Z336" i="23"/>
  <c r="I337" i="23"/>
  <c r="F338" i="23"/>
  <c r="G338" i="23"/>
  <c r="H338" i="23"/>
  <c r="I338" i="23"/>
  <c r="J338" i="23"/>
  <c r="K338" i="23"/>
  <c r="L338" i="23"/>
  <c r="M338" i="23"/>
  <c r="N338" i="23"/>
  <c r="O338" i="23"/>
  <c r="P338" i="23"/>
  <c r="Q338" i="23"/>
  <c r="R338" i="23"/>
  <c r="S338" i="23"/>
  <c r="T338" i="23"/>
  <c r="U338" i="23"/>
  <c r="V338" i="23"/>
  <c r="W338" i="23"/>
  <c r="X338" i="23"/>
  <c r="Y338" i="23"/>
  <c r="Z338" i="23"/>
  <c r="F339" i="23"/>
  <c r="G339" i="23"/>
  <c r="H339" i="23"/>
  <c r="I339" i="23"/>
  <c r="J339" i="23"/>
  <c r="K339" i="23"/>
  <c r="L339" i="23"/>
  <c r="M339" i="23"/>
  <c r="N339" i="23"/>
  <c r="O339" i="23"/>
  <c r="P339" i="23"/>
  <c r="Q339" i="23"/>
  <c r="R339" i="23"/>
  <c r="S339" i="23"/>
  <c r="T339" i="23"/>
  <c r="U339" i="23"/>
  <c r="V339" i="23"/>
  <c r="W339" i="23"/>
  <c r="X339" i="23"/>
  <c r="Y339" i="23"/>
  <c r="Z339" i="23"/>
  <c r="F341" i="23"/>
  <c r="G341" i="23"/>
  <c r="H341" i="23"/>
  <c r="I341" i="23"/>
  <c r="J341" i="23"/>
  <c r="K341" i="23"/>
  <c r="L341" i="23"/>
  <c r="M341" i="23"/>
  <c r="N341" i="23"/>
  <c r="O341" i="23"/>
  <c r="P341" i="23"/>
  <c r="Q341" i="23"/>
  <c r="R341" i="23"/>
  <c r="S341" i="23"/>
  <c r="T341" i="23"/>
  <c r="U341" i="23"/>
  <c r="V341" i="23"/>
  <c r="W341" i="23"/>
  <c r="X341" i="23"/>
  <c r="Y341" i="23"/>
  <c r="Z341" i="23"/>
  <c r="F342" i="23"/>
  <c r="G342" i="23"/>
  <c r="H342" i="23"/>
  <c r="I342" i="23"/>
  <c r="J342" i="23"/>
  <c r="K342" i="23"/>
  <c r="L342" i="23"/>
  <c r="M342" i="23"/>
  <c r="N342" i="23"/>
  <c r="O342" i="23"/>
  <c r="P342" i="23"/>
  <c r="Q342" i="23"/>
  <c r="R342" i="23"/>
  <c r="S342" i="23"/>
  <c r="T342" i="23"/>
  <c r="U342" i="23"/>
  <c r="V342" i="23"/>
  <c r="W342" i="23"/>
  <c r="X342" i="23"/>
  <c r="Y342" i="23"/>
  <c r="Z342" i="23"/>
  <c r="F343" i="23"/>
  <c r="G343" i="23"/>
  <c r="H343" i="23"/>
  <c r="I343" i="23"/>
  <c r="J343" i="23"/>
  <c r="K343" i="23"/>
  <c r="L343" i="23"/>
  <c r="M343" i="23"/>
  <c r="N343" i="23"/>
  <c r="O343" i="23"/>
  <c r="P343" i="23"/>
  <c r="Q343" i="23"/>
  <c r="R343" i="23"/>
  <c r="S343" i="23"/>
  <c r="T343" i="23"/>
  <c r="U343" i="23"/>
  <c r="V343" i="23"/>
  <c r="W343" i="23"/>
  <c r="X343" i="23"/>
  <c r="Y343" i="23"/>
  <c r="Z343" i="23"/>
  <c r="I345" i="23"/>
  <c r="F347" i="23"/>
  <c r="G347" i="23"/>
  <c r="H347" i="23"/>
  <c r="I347" i="23"/>
  <c r="J347" i="23"/>
  <c r="K347" i="23"/>
  <c r="L347" i="23"/>
  <c r="M347" i="23"/>
  <c r="N347" i="23"/>
  <c r="O347" i="23"/>
  <c r="P347" i="23"/>
  <c r="Q347" i="23"/>
  <c r="R347" i="23"/>
  <c r="S347" i="23"/>
  <c r="T347" i="23"/>
  <c r="U347" i="23"/>
  <c r="V347" i="23"/>
  <c r="W347" i="23"/>
  <c r="X347" i="23"/>
  <c r="Y347" i="23"/>
  <c r="Z347" i="23"/>
  <c r="K350" i="23"/>
  <c r="I351" i="23"/>
  <c r="K352" i="23"/>
  <c r="K353" i="23"/>
  <c r="I354" i="23"/>
  <c r="K354" i="23"/>
  <c r="F356" i="23"/>
  <c r="G356" i="23"/>
  <c r="H356" i="23"/>
  <c r="I356" i="23"/>
  <c r="J356" i="23"/>
  <c r="K356" i="23"/>
  <c r="D391" i="23"/>
  <c r="F391" i="23"/>
  <c r="G391" i="23"/>
  <c r="H391" i="23"/>
  <c r="I391" i="23"/>
  <c r="J391" i="23"/>
  <c r="K391" i="23"/>
  <c r="L391" i="23"/>
  <c r="M391" i="23"/>
  <c r="N391" i="23"/>
  <c r="O391" i="23"/>
  <c r="P391" i="23"/>
  <c r="Q391" i="23"/>
  <c r="R391" i="23"/>
  <c r="S391" i="23"/>
  <c r="T391" i="23"/>
  <c r="U391" i="23"/>
  <c r="V391" i="23"/>
  <c r="W391" i="23"/>
  <c r="X391" i="23"/>
  <c r="Y391" i="23"/>
  <c r="Z391" i="23"/>
  <c r="F395" i="23"/>
  <c r="G395" i="23"/>
  <c r="H395" i="23"/>
  <c r="I395" i="23"/>
  <c r="J395" i="23"/>
  <c r="K395" i="23"/>
  <c r="L395" i="23"/>
  <c r="M395" i="23"/>
  <c r="N395" i="23"/>
  <c r="O395" i="23"/>
  <c r="P395" i="23"/>
  <c r="Q395" i="23"/>
  <c r="R395" i="23"/>
  <c r="S395" i="23"/>
  <c r="T395" i="23"/>
  <c r="U395" i="23"/>
  <c r="V395" i="23"/>
  <c r="W395" i="23"/>
  <c r="X395" i="23"/>
  <c r="Y395" i="23"/>
  <c r="Z395" i="23"/>
  <c r="F397" i="23"/>
  <c r="G397" i="23"/>
  <c r="H397" i="23"/>
  <c r="I397" i="23"/>
  <c r="J397" i="23"/>
  <c r="K397" i="23"/>
  <c r="L397" i="23"/>
  <c r="M397" i="23"/>
  <c r="N397" i="23"/>
  <c r="O397" i="23"/>
  <c r="P397" i="23"/>
  <c r="Q397" i="23"/>
  <c r="R397" i="23"/>
  <c r="S397" i="23"/>
  <c r="T397" i="23"/>
  <c r="U397" i="23"/>
  <c r="V397" i="23"/>
  <c r="W397" i="23"/>
  <c r="X397" i="23"/>
  <c r="Y397" i="23"/>
  <c r="Z397" i="23"/>
  <c r="F401" i="23"/>
  <c r="G401" i="23"/>
  <c r="H401" i="23"/>
  <c r="I401" i="23"/>
  <c r="J401" i="23"/>
  <c r="K401" i="23"/>
  <c r="L401" i="23"/>
  <c r="M401" i="23"/>
  <c r="N401" i="23"/>
  <c r="O401" i="23"/>
  <c r="P401" i="23"/>
  <c r="Q401" i="23"/>
  <c r="R401" i="23"/>
  <c r="S401" i="23"/>
  <c r="T401" i="23"/>
  <c r="U401" i="23"/>
  <c r="V401" i="23"/>
  <c r="W401" i="23"/>
  <c r="X401" i="23"/>
  <c r="Y401" i="23"/>
  <c r="Z401" i="23"/>
  <c r="F402" i="23"/>
  <c r="G402" i="23"/>
  <c r="H402" i="23"/>
  <c r="I402" i="23"/>
  <c r="J402" i="23"/>
  <c r="K402" i="23"/>
  <c r="L402" i="23"/>
  <c r="M402" i="23"/>
  <c r="N402" i="23"/>
  <c r="O402" i="23"/>
  <c r="P402" i="23"/>
  <c r="Q402" i="23"/>
  <c r="R402" i="23"/>
  <c r="S402" i="23"/>
  <c r="T402" i="23"/>
  <c r="U402" i="23"/>
  <c r="V402" i="23"/>
  <c r="W402" i="23"/>
  <c r="X402" i="23"/>
  <c r="Y402" i="23"/>
  <c r="Z402" i="23"/>
  <c r="F403" i="23"/>
  <c r="G403" i="23"/>
  <c r="H403" i="23"/>
  <c r="I403" i="23"/>
  <c r="J403" i="23"/>
  <c r="K403" i="23"/>
  <c r="L403" i="23"/>
  <c r="M403" i="23"/>
  <c r="N403" i="23"/>
  <c r="O403" i="23"/>
  <c r="P403" i="23"/>
  <c r="Q403" i="23"/>
  <c r="R403" i="23"/>
  <c r="S403" i="23"/>
  <c r="T403" i="23"/>
  <c r="U403" i="23"/>
  <c r="V403" i="23"/>
  <c r="W403" i="23"/>
  <c r="X403" i="23"/>
  <c r="Y403" i="23"/>
  <c r="Z403" i="23"/>
  <c r="F413" i="23"/>
  <c r="G413" i="23"/>
  <c r="H413" i="23"/>
  <c r="I413" i="23"/>
  <c r="J413" i="23"/>
  <c r="K413" i="23"/>
  <c r="L413" i="23"/>
  <c r="M413" i="23"/>
  <c r="N413" i="23"/>
  <c r="O413" i="23"/>
  <c r="P413" i="23"/>
  <c r="Q413" i="23"/>
  <c r="R413" i="23"/>
  <c r="S413" i="23"/>
  <c r="T413" i="23"/>
  <c r="U413" i="23"/>
  <c r="V413" i="23"/>
  <c r="W413" i="23"/>
  <c r="X413" i="23"/>
  <c r="Y413" i="23"/>
  <c r="Z413" i="23"/>
  <c r="F417" i="23"/>
  <c r="G417" i="23"/>
  <c r="H417" i="23"/>
  <c r="I417" i="23"/>
  <c r="J417" i="23"/>
  <c r="K417" i="23"/>
  <c r="L417" i="23"/>
  <c r="M417" i="23"/>
  <c r="N417" i="23"/>
  <c r="O417" i="23"/>
  <c r="P417" i="23"/>
  <c r="Q417" i="23"/>
  <c r="R417" i="23"/>
  <c r="S417" i="23"/>
  <c r="T417" i="23"/>
  <c r="U417" i="23"/>
  <c r="V417" i="23"/>
  <c r="W417" i="23"/>
  <c r="X417" i="23"/>
  <c r="Y417" i="23"/>
  <c r="Z417" i="23"/>
  <c r="K420" i="23"/>
  <c r="K421" i="23"/>
  <c r="K423" i="23"/>
  <c r="F426" i="23"/>
  <c r="G426" i="23"/>
  <c r="H426" i="23"/>
  <c r="I426" i="23"/>
  <c r="J426" i="23"/>
  <c r="K426" i="23"/>
  <c r="G440" i="23"/>
  <c r="H440" i="23"/>
  <c r="I440" i="23"/>
  <c r="J440" i="23"/>
  <c r="K440" i="23"/>
  <c r="L440" i="23"/>
  <c r="M440" i="23"/>
  <c r="N440" i="23"/>
  <c r="O440" i="23"/>
  <c r="P440" i="23"/>
  <c r="Q440" i="23"/>
  <c r="R440" i="23"/>
  <c r="S440" i="23"/>
  <c r="T440" i="23"/>
  <c r="U440" i="23"/>
  <c r="V440" i="23"/>
  <c r="W440" i="23"/>
  <c r="X440" i="23"/>
  <c r="Y440" i="23"/>
  <c r="Z440" i="23"/>
  <c r="F444" i="23"/>
  <c r="G444" i="23"/>
  <c r="H444" i="23"/>
  <c r="I444" i="23"/>
  <c r="J444" i="23"/>
  <c r="K444" i="23"/>
  <c r="L444" i="23"/>
  <c r="M444" i="23"/>
  <c r="N444" i="23"/>
  <c r="O444" i="23"/>
  <c r="P444" i="23"/>
  <c r="Q444" i="23"/>
  <c r="R444" i="23"/>
  <c r="S444" i="23"/>
  <c r="T444" i="23"/>
  <c r="U444" i="23"/>
  <c r="V444" i="23"/>
  <c r="W444" i="23"/>
  <c r="X444" i="23"/>
  <c r="Y444" i="23"/>
  <c r="Z444" i="23"/>
  <c r="F445" i="23"/>
  <c r="G445" i="23"/>
  <c r="H445" i="23"/>
  <c r="I445" i="23"/>
  <c r="J445" i="23"/>
  <c r="K445" i="23"/>
  <c r="L445" i="23"/>
  <c r="M445" i="23"/>
  <c r="N445" i="23"/>
  <c r="O445" i="23"/>
  <c r="P445" i="23"/>
  <c r="Q445" i="23"/>
  <c r="R445" i="23"/>
  <c r="S445" i="23"/>
  <c r="T445" i="23"/>
  <c r="U445" i="23"/>
  <c r="V445" i="23"/>
  <c r="W445" i="23"/>
  <c r="X445" i="23"/>
  <c r="Y445" i="23"/>
  <c r="Z445" i="23"/>
  <c r="J452" i="23"/>
  <c r="K452" i="23"/>
  <c r="L452" i="23"/>
  <c r="M452" i="23"/>
  <c r="N452" i="23"/>
  <c r="O452" i="23"/>
  <c r="P452" i="23"/>
  <c r="Q452" i="23"/>
  <c r="R452" i="23"/>
  <c r="S452" i="23"/>
  <c r="T452" i="23"/>
  <c r="U452" i="23"/>
  <c r="V452" i="23"/>
  <c r="W452" i="23"/>
  <c r="X452" i="23"/>
  <c r="Y452" i="23"/>
  <c r="Z452" i="23"/>
  <c r="I453" i="23"/>
  <c r="I455" i="23"/>
  <c r="J455" i="23"/>
  <c r="K455" i="23"/>
  <c r="L455" i="23"/>
  <c r="M455" i="23"/>
  <c r="N455" i="23"/>
  <c r="O455" i="23"/>
  <c r="P455" i="23"/>
  <c r="Q455" i="23"/>
  <c r="R455" i="23"/>
  <c r="S455" i="23"/>
  <c r="T455" i="23"/>
  <c r="U455" i="23"/>
  <c r="V455" i="23"/>
  <c r="W455" i="23"/>
  <c r="X455" i="23"/>
  <c r="Y455" i="23"/>
  <c r="Z455" i="23"/>
  <c r="I457" i="23"/>
  <c r="J457" i="23"/>
  <c r="K457" i="23"/>
  <c r="L457" i="23"/>
  <c r="M457" i="23"/>
  <c r="N457" i="23"/>
  <c r="O457" i="23"/>
  <c r="P457" i="23"/>
  <c r="Q457" i="23"/>
  <c r="R457" i="23"/>
  <c r="S457" i="23"/>
  <c r="T457" i="23"/>
  <c r="U457" i="23"/>
  <c r="V457" i="23"/>
  <c r="W457" i="23"/>
  <c r="X457" i="23"/>
  <c r="Y457" i="23"/>
  <c r="Z457" i="23"/>
  <c r="I458" i="23"/>
  <c r="J458" i="23"/>
  <c r="K458" i="23"/>
  <c r="L458" i="23"/>
  <c r="M458" i="23"/>
  <c r="N458" i="23"/>
  <c r="O458" i="23"/>
  <c r="P458" i="23"/>
  <c r="Q458" i="23"/>
  <c r="R458" i="23"/>
  <c r="S458" i="23"/>
  <c r="T458" i="23"/>
  <c r="U458" i="23"/>
  <c r="V458" i="23"/>
  <c r="W458" i="23"/>
  <c r="X458" i="23"/>
  <c r="Y458" i="23"/>
  <c r="Z458" i="23"/>
  <c r="I459" i="23"/>
  <c r="J459" i="23"/>
  <c r="K459" i="23"/>
  <c r="L459" i="23"/>
  <c r="M459" i="23"/>
  <c r="N459" i="23"/>
  <c r="O459" i="23"/>
  <c r="P459" i="23"/>
  <c r="Q459" i="23"/>
  <c r="R459" i="23"/>
  <c r="S459" i="23"/>
  <c r="T459" i="23"/>
  <c r="U459" i="23"/>
  <c r="V459" i="23"/>
  <c r="W459" i="23"/>
  <c r="X459" i="23"/>
  <c r="Y459" i="23"/>
  <c r="Z459" i="23"/>
  <c r="I461" i="23"/>
  <c r="I463" i="23"/>
  <c r="J463" i="23"/>
  <c r="K463" i="23"/>
  <c r="L463" i="23"/>
  <c r="M463" i="23"/>
  <c r="N463" i="23"/>
  <c r="O463" i="23"/>
  <c r="P463" i="23"/>
  <c r="Q463" i="23"/>
  <c r="R463" i="23"/>
  <c r="S463" i="23"/>
  <c r="T463" i="23"/>
  <c r="U463" i="23"/>
  <c r="V463" i="23"/>
  <c r="W463" i="23"/>
  <c r="X463" i="23"/>
  <c r="Y463" i="23"/>
  <c r="Z463" i="23"/>
  <c r="K468" i="23"/>
  <c r="K469" i="23"/>
  <c r="I471" i="23"/>
  <c r="J471" i="23"/>
  <c r="K471" i="23"/>
  <c r="F545" i="23"/>
  <c r="G545" i="23"/>
  <c r="H545" i="23"/>
  <c r="I545" i="23"/>
  <c r="J545" i="23"/>
  <c r="K545" i="23"/>
  <c r="F547" i="23"/>
  <c r="G547" i="23"/>
  <c r="H547" i="23"/>
  <c r="I547" i="23"/>
  <c r="J547" i="23"/>
  <c r="K547" i="23"/>
  <c r="L547" i="23"/>
  <c r="M547" i="23"/>
  <c r="N547" i="23"/>
  <c r="O547" i="23"/>
  <c r="P547" i="23"/>
  <c r="Q547" i="23"/>
  <c r="R547" i="23"/>
  <c r="S547" i="23"/>
  <c r="T547" i="23"/>
  <c r="U547" i="23"/>
  <c r="V547" i="23"/>
  <c r="W547" i="23"/>
  <c r="X547" i="23"/>
  <c r="Y547" i="23"/>
  <c r="Z547" i="23"/>
  <c r="F548" i="23"/>
  <c r="G548" i="23"/>
  <c r="H548" i="23"/>
  <c r="I548" i="23"/>
  <c r="J548" i="23"/>
  <c r="K548" i="23"/>
  <c r="L548" i="23"/>
  <c r="M548" i="23"/>
  <c r="N548" i="23"/>
  <c r="O548" i="23"/>
  <c r="P548" i="23"/>
  <c r="Q548" i="23"/>
  <c r="R548" i="23"/>
  <c r="S548" i="23"/>
  <c r="T548" i="23"/>
  <c r="U548" i="23"/>
  <c r="V548" i="23"/>
  <c r="W548" i="23"/>
  <c r="X548" i="23"/>
  <c r="Y548" i="23"/>
  <c r="Z548" i="23"/>
  <c r="D557" i="23"/>
  <c r="G557" i="23"/>
  <c r="H557" i="23"/>
  <c r="D559" i="23"/>
  <c r="F559" i="23"/>
  <c r="G559" i="23"/>
  <c r="H559" i="23"/>
  <c r="I559" i="23"/>
  <c r="J559" i="23"/>
  <c r="D560" i="23"/>
  <c r="F560" i="23"/>
  <c r="G560" i="23"/>
  <c r="H560" i="23"/>
  <c r="I560" i="23"/>
  <c r="J560" i="23"/>
  <c r="D563" i="23"/>
  <c r="F563" i="23"/>
  <c r="G563" i="23"/>
  <c r="H563" i="23"/>
  <c r="I563" i="23"/>
  <c r="J563" i="23"/>
  <c r="K563" i="23"/>
  <c r="L563" i="23"/>
  <c r="M563" i="23"/>
  <c r="N563" i="23"/>
  <c r="O563" i="23"/>
  <c r="P563" i="23"/>
  <c r="Q563" i="23"/>
  <c r="R563" i="23"/>
  <c r="S563" i="23"/>
  <c r="T563" i="23"/>
  <c r="U563" i="23"/>
  <c r="V563" i="23"/>
  <c r="W563" i="23"/>
  <c r="X563" i="23"/>
  <c r="Y563" i="23"/>
  <c r="Z563" i="23"/>
  <c r="D564" i="23"/>
  <c r="F564" i="23"/>
  <c r="G564" i="23"/>
  <c r="H564" i="23"/>
  <c r="I564" i="23"/>
  <c r="J564" i="23"/>
  <c r="K564" i="23"/>
  <c r="L564" i="23"/>
  <c r="M564" i="23"/>
  <c r="N564" i="23"/>
  <c r="O564" i="23"/>
  <c r="P564" i="23"/>
  <c r="Q564" i="23"/>
  <c r="R564" i="23"/>
  <c r="S564" i="23"/>
  <c r="T564" i="23"/>
  <c r="U564" i="23"/>
  <c r="V564" i="23"/>
  <c r="W564" i="23"/>
  <c r="X564" i="23"/>
  <c r="Y564" i="23"/>
  <c r="Z564" i="23"/>
  <c r="D565" i="23"/>
  <c r="F565" i="23"/>
  <c r="G565" i="23"/>
  <c r="H565" i="23"/>
  <c r="I565" i="23"/>
  <c r="J565" i="23"/>
  <c r="K565" i="23"/>
  <c r="L565" i="23"/>
  <c r="M565" i="23"/>
  <c r="N565" i="23"/>
  <c r="O565" i="23"/>
  <c r="P565" i="23"/>
  <c r="Q565" i="23"/>
  <c r="R565" i="23"/>
  <c r="S565" i="23"/>
  <c r="T565" i="23"/>
  <c r="U565" i="23"/>
  <c r="V565" i="23"/>
  <c r="W565" i="23"/>
  <c r="X565" i="23"/>
  <c r="Y565" i="23"/>
  <c r="Z565" i="23"/>
  <c r="D566" i="23"/>
  <c r="F566" i="23"/>
  <c r="G566" i="23"/>
  <c r="H566" i="23"/>
  <c r="I566" i="23"/>
  <c r="J566" i="23"/>
  <c r="K566" i="23"/>
  <c r="L566" i="23"/>
  <c r="M566" i="23"/>
  <c r="N566" i="23"/>
  <c r="O566" i="23"/>
  <c r="P566" i="23"/>
  <c r="Q566" i="23"/>
  <c r="R566" i="23"/>
  <c r="S566" i="23"/>
  <c r="T566" i="23"/>
  <c r="U566" i="23"/>
  <c r="V566" i="23"/>
  <c r="W566" i="23"/>
  <c r="X566" i="23"/>
  <c r="Y566" i="23"/>
  <c r="Z566" i="23"/>
  <c r="D567" i="23"/>
  <c r="F567" i="23"/>
  <c r="G567" i="23"/>
  <c r="H567" i="23"/>
  <c r="I567" i="23"/>
  <c r="J567" i="23"/>
  <c r="K567" i="23"/>
  <c r="L567" i="23"/>
  <c r="M567" i="23"/>
  <c r="N567" i="23"/>
  <c r="O567" i="23"/>
  <c r="P567" i="23"/>
  <c r="Q567" i="23"/>
  <c r="R567" i="23"/>
  <c r="S567" i="23"/>
  <c r="T567" i="23"/>
  <c r="U567" i="23"/>
  <c r="V567" i="23"/>
  <c r="W567" i="23"/>
  <c r="X567" i="23"/>
  <c r="Y567" i="23"/>
  <c r="Z567" i="23"/>
  <c r="D568" i="23"/>
  <c r="F568" i="23"/>
  <c r="G568" i="23"/>
  <c r="H568" i="23"/>
  <c r="I568" i="23"/>
  <c r="J568" i="23"/>
  <c r="K568" i="23"/>
  <c r="L568" i="23"/>
  <c r="M568" i="23"/>
  <c r="N568" i="23"/>
  <c r="O568" i="23"/>
  <c r="P568" i="23"/>
  <c r="Q568" i="23"/>
  <c r="R568" i="23"/>
  <c r="S568" i="23"/>
  <c r="T568" i="23"/>
  <c r="U568" i="23"/>
  <c r="V568" i="23"/>
  <c r="W568" i="23"/>
  <c r="X568" i="23"/>
  <c r="Y568" i="23"/>
  <c r="Z568" i="23"/>
  <c r="D569" i="23"/>
  <c r="F569" i="23"/>
  <c r="G569" i="23"/>
  <c r="H569" i="23"/>
  <c r="I569" i="23"/>
  <c r="J569" i="23"/>
  <c r="K569" i="23"/>
  <c r="L569" i="23"/>
  <c r="M569" i="23"/>
  <c r="N569" i="23"/>
  <c r="O569" i="23"/>
  <c r="P569" i="23"/>
  <c r="Q569" i="23"/>
  <c r="R569" i="23"/>
  <c r="S569" i="23"/>
  <c r="T569" i="23"/>
  <c r="U569" i="23"/>
  <c r="V569" i="23"/>
  <c r="W569" i="23"/>
  <c r="X569" i="23"/>
  <c r="Y569" i="23"/>
  <c r="Z569" i="23"/>
  <c r="D570" i="23"/>
  <c r="F570" i="23"/>
  <c r="G570" i="23"/>
  <c r="H570" i="23"/>
  <c r="I570" i="23"/>
  <c r="J570" i="23"/>
  <c r="K570" i="23"/>
  <c r="L570" i="23"/>
  <c r="M570" i="23"/>
  <c r="N570" i="23"/>
  <c r="O570" i="23"/>
  <c r="P570" i="23"/>
  <c r="Q570" i="23"/>
  <c r="R570" i="23"/>
  <c r="S570" i="23"/>
  <c r="T570" i="23"/>
  <c r="U570" i="23"/>
  <c r="V570" i="23"/>
  <c r="W570" i="23"/>
  <c r="X570" i="23"/>
  <c r="Y570" i="23"/>
  <c r="Z570" i="23"/>
  <c r="D572" i="23"/>
  <c r="F572" i="23"/>
  <c r="G572" i="23"/>
  <c r="H572" i="23"/>
  <c r="I572" i="23"/>
  <c r="J572" i="23"/>
  <c r="K572" i="23"/>
  <c r="L572" i="23"/>
  <c r="M572" i="23"/>
  <c r="N572" i="23"/>
  <c r="O572" i="23"/>
  <c r="P572" i="23"/>
  <c r="Q572" i="23"/>
  <c r="R572" i="23"/>
  <c r="S572" i="23"/>
  <c r="T572" i="23"/>
  <c r="U572" i="23"/>
  <c r="V572" i="23"/>
  <c r="W572" i="23"/>
  <c r="X572" i="23"/>
  <c r="Y572" i="23"/>
  <c r="Z572" i="23"/>
  <c r="D575" i="23"/>
  <c r="F575" i="23"/>
  <c r="G575" i="23"/>
  <c r="H575" i="23"/>
  <c r="I575" i="23"/>
  <c r="J575" i="23"/>
  <c r="K575" i="23"/>
  <c r="L575" i="23"/>
  <c r="M575" i="23"/>
  <c r="N575" i="23"/>
  <c r="O575" i="23"/>
  <c r="P575" i="23"/>
  <c r="Q575" i="23"/>
  <c r="R575" i="23"/>
  <c r="S575" i="23"/>
  <c r="T575" i="23"/>
  <c r="U575" i="23"/>
  <c r="V575" i="23"/>
  <c r="W575" i="23"/>
  <c r="X575" i="23"/>
  <c r="Y575" i="23"/>
  <c r="Z575" i="23"/>
  <c r="D576" i="23"/>
  <c r="F576" i="23"/>
  <c r="G576" i="23"/>
  <c r="H576" i="23"/>
  <c r="I576" i="23"/>
  <c r="J576" i="23"/>
  <c r="K576" i="23"/>
  <c r="D577" i="23"/>
  <c r="F577" i="23"/>
  <c r="G577" i="23"/>
  <c r="H577" i="23"/>
  <c r="I577" i="23"/>
  <c r="J577" i="23"/>
  <c r="K577" i="23"/>
  <c r="L577" i="23"/>
  <c r="M577" i="23"/>
  <c r="N577" i="23"/>
  <c r="O577" i="23"/>
  <c r="P577" i="23"/>
  <c r="Q577" i="23"/>
  <c r="R577" i="23"/>
  <c r="S577" i="23"/>
  <c r="T577" i="23"/>
  <c r="U577" i="23"/>
  <c r="V577" i="23"/>
  <c r="W577" i="23"/>
  <c r="X577" i="23"/>
  <c r="Y577" i="23"/>
  <c r="Z577" i="23"/>
  <c r="D579" i="23"/>
  <c r="D580" i="23"/>
  <c r="D581" i="23"/>
  <c r="F586" i="23"/>
  <c r="G586" i="23"/>
  <c r="H586" i="23"/>
  <c r="I586" i="23"/>
  <c r="J586" i="23"/>
  <c r="K586" i="23"/>
  <c r="L586" i="23"/>
  <c r="M586" i="23"/>
  <c r="N586" i="23"/>
  <c r="O586" i="23"/>
  <c r="P586" i="23"/>
  <c r="Q586" i="23"/>
  <c r="R586" i="23"/>
  <c r="S586" i="23"/>
  <c r="T586" i="23"/>
  <c r="U586" i="23"/>
  <c r="V586" i="23"/>
  <c r="W586" i="23"/>
  <c r="X586" i="23"/>
  <c r="Y586" i="23"/>
  <c r="Z586" i="23"/>
  <c r="F587" i="23"/>
  <c r="G587" i="23"/>
  <c r="H587" i="23"/>
  <c r="I587" i="23"/>
  <c r="J587" i="23"/>
  <c r="K587" i="23"/>
  <c r="L587" i="23"/>
  <c r="M587" i="23"/>
  <c r="N587" i="23"/>
  <c r="O587" i="23"/>
  <c r="P587" i="23"/>
  <c r="Q587" i="23"/>
  <c r="R587" i="23"/>
  <c r="S587" i="23"/>
  <c r="T587" i="23"/>
  <c r="U587" i="23"/>
  <c r="V587" i="23"/>
  <c r="W587" i="23"/>
  <c r="X587" i="23"/>
  <c r="Y587" i="23"/>
  <c r="Z587" i="23"/>
  <c r="F589" i="23"/>
  <c r="G589" i="23"/>
  <c r="H589" i="23"/>
  <c r="I589" i="23"/>
  <c r="J589" i="23"/>
  <c r="K589" i="23"/>
  <c r="L589" i="23"/>
  <c r="M589" i="23"/>
  <c r="N589" i="23"/>
  <c r="O589" i="23"/>
  <c r="P589" i="23"/>
  <c r="Q589" i="23"/>
  <c r="R589" i="23"/>
  <c r="S589" i="23"/>
  <c r="T589" i="23"/>
  <c r="U589" i="23"/>
  <c r="V589" i="23"/>
  <c r="W589" i="23"/>
  <c r="X589" i="23"/>
  <c r="Y589" i="23"/>
  <c r="Z589" i="23"/>
  <c r="K592" i="23"/>
  <c r="K593" i="23"/>
  <c r="K594" i="23"/>
  <c r="D603" i="23"/>
  <c r="F603" i="23"/>
  <c r="G603" i="23"/>
  <c r="H603" i="23"/>
  <c r="I603" i="23"/>
  <c r="J603" i="23"/>
  <c r="D604" i="23"/>
  <c r="F604" i="23"/>
  <c r="G604" i="23"/>
  <c r="H604" i="23"/>
  <c r="I604" i="23"/>
  <c r="J604" i="23"/>
  <c r="D607" i="23"/>
  <c r="F607" i="23"/>
  <c r="G607" i="23"/>
  <c r="H607" i="23"/>
  <c r="I607" i="23"/>
  <c r="J607" i="23"/>
  <c r="K607" i="23"/>
  <c r="L607" i="23"/>
  <c r="M607" i="23"/>
  <c r="N607" i="23"/>
  <c r="O607" i="23"/>
  <c r="P607" i="23"/>
  <c r="Q607" i="23"/>
  <c r="R607" i="23"/>
  <c r="S607" i="23"/>
  <c r="T607" i="23"/>
  <c r="U607" i="23"/>
  <c r="V607" i="23"/>
  <c r="W607" i="23"/>
  <c r="X607" i="23"/>
  <c r="Y607" i="23"/>
  <c r="Z607" i="23"/>
  <c r="D608" i="23"/>
  <c r="F608" i="23"/>
  <c r="G608" i="23"/>
  <c r="H608" i="23"/>
  <c r="I608" i="23"/>
  <c r="J608" i="23"/>
  <c r="K608" i="23"/>
  <c r="L608" i="23"/>
  <c r="M608" i="23"/>
  <c r="N608" i="23"/>
  <c r="O608" i="23"/>
  <c r="P608" i="23"/>
  <c r="Q608" i="23"/>
  <c r="R608" i="23"/>
  <c r="S608" i="23"/>
  <c r="T608" i="23"/>
  <c r="U608" i="23"/>
  <c r="V608" i="23"/>
  <c r="W608" i="23"/>
  <c r="X608" i="23"/>
  <c r="Y608" i="23"/>
  <c r="Z608" i="23"/>
  <c r="D609" i="23"/>
  <c r="F609" i="23"/>
  <c r="G609" i="23"/>
  <c r="H609" i="23"/>
  <c r="I609" i="23"/>
  <c r="J609" i="23"/>
  <c r="K609" i="23"/>
  <c r="L609" i="23"/>
  <c r="M609" i="23"/>
  <c r="N609" i="23"/>
  <c r="O609" i="23"/>
  <c r="P609" i="23"/>
  <c r="Q609" i="23"/>
  <c r="R609" i="23"/>
  <c r="S609" i="23"/>
  <c r="T609" i="23"/>
  <c r="U609" i="23"/>
  <c r="V609" i="23"/>
  <c r="W609" i="23"/>
  <c r="X609" i="23"/>
  <c r="Y609" i="23"/>
  <c r="Z609" i="23"/>
  <c r="D610" i="23"/>
  <c r="F610" i="23"/>
  <c r="G610" i="23"/>
  <c r="H610" i="23"/>
  <c r="I610" i="23"/>
  <c r="J610" i="23"/>
  <c r="K610" i="23"/>
  <c r="L610" i="23"/>
  <c r="M610" i="23"/>
  <c r="N610" i="23"/>
  <c r="O610" i="23"/>
  <c r="P610" i="23"/>
  <c r="Q610" i="23"/>
  <c r="R610" i="23"/>
  <c r="S610" i="23"/>
  <c r="T610" i="23"/>
  <c r="U610" i="23"/>
  <c r="V610" i="23"/>
  <c r="W610" i="23"/>
  <c r="X610" i="23"/>
  <c r="Y610" i="23"/>
  <c r="Z610" i="23"/>
  <c r="D611" i="23"/>
  <c r="F611" i="23"/>
  <c r="G611" i="23"/>
  <c r="H611" i="23"/>
  <c r="I611" i="23"/>
  <c r="J611" i="23"/>
  <c r="K611" i="23"/>
  <c r="L611" i="23"/>
  <c r="M611" i="23"/>
  <c r="N611" i="23"/>
  <c r="O611" i="23"/>
  <c r="P611" i="23"/>
  <c r="Q611" i="23"/>
  <c r="R611" i="23"/>
  <c r="S611" i="23"/>
  <c r="T611" i="23"/>
  <c r="U611" i="23"/>
  <c r="V611" i="23"/>
  <c r="W611" i="23"/>
  <c r="X611" i="23"/>
  <c r="Y611" i="23"/>
  <c r="Z611" i="23"/>
  <c r="D613" i="23"/>
  <c r="F613" i="23"/>
  <c r="G613" i="23"/>
  <c r="H613" i="23"/>
  <c r="I613" i="23"/>
  <c r="J613" i="23"/>
  <c r="K613" i="23"/>
  <c r="L613" i="23"/>
  <c r="M613" i="23"/>
  <c r="N613" i="23"/>
  <c r="O613" i="23"/>
  <c r="P613" i="23"/>
  <c r="Q613" i="23"/>
  <c r="R613" i="23"/>
  <c r="S613" i="23"/>
  <c r="T613" i="23"/>
  <c r="U613" i="23"/>
  <c r="V613" i="23"/>
  <c r="W613" i="23"/>
  <c r="X613" i="23"/>
  <c r="Y613" i="23"/>
  <c r="Z613" i="23"/>
  <c r="D614" i="23"/>
  <c r="F614" i="23"/>
  <c r="G614" i="23"/>
  <c r="H614" i="23"/>
  <c r="I614" i="23"/>
  <c r="J614" i="23"/>
  <c r="K614" i="23"/>
  <c r="L614" i="23"/>
  <c r="M614" i="23"/>
  <c r="N614" i="23"/>
  <c r="O614" i="23"/>
  <c r="P614" i="23"/>
  <c r="Q614" i="23"/>
  <c r="R614" i="23"/>
  <c r="S614" i="23"/>
  <c r="T614" i="23"/>
  <c r="U614" i="23"/>
  <c r="V614" i="23"/>
  <c r="W614" i="23"/>
  <c r="X614" i="23"/>
  <c r="Y614" i="23"/>
  <c r="Z614" i="23"/>
  <c r="D617" i="23"/>
  <c r="F617" i="23"/>
  <c r="G617" i="23"/>
  <c r="H617" i="23"/>
  <c r="I617" i="23"/>
  <c r="J617" i="23"/>
  <c r="K617" i="23"/>
  <c r="L617" i="23"/>
  <c r="M617" i="23"/>
  <c r="N617" i="23"/>
  <c r="O617" i="23"/>
  <c r="P617" i="23"/>
  <c r="Q617" i="23"/>
  <c r="R617" i="23"/>
  <c r="S617" i="23"/>
  <c r="T617" i="23"/>
  <c r="U617" i="23"/>
  <c r="V617" i="23"/>
  <c r="W617" i="23"/>
  <c r="X617" i="23"/>
  <c r="Y617" i="23"/>
  <c r="Z617" i="23"/>
  <c r="D618" i="23"/>
  <c r="F618" i="23"/>
  <c r="G618" i="23"/>
  <c r="H618" i="23"/>
  <c r="I618" i="23"/>
  <c r="J618" i="23"/>
  <c r="K618" i="23"/>
  <c r="D619" i="23"/>
  <c r="F619" i="23"/>
  <c r="G619" i="23"/>
  <c r="H619" i="23"/>
  <c r="I619" i="23"/>
  <c r="J619" i="23"/>
  <c r="K619" i="23"/>
  <c r="L619" i="23"/>
  <c r="M619" i="23"/>
  <c r="N619" i="23"/>
  <c r="O619" i="23"/>
  <c r="P619" i="23"/>
  <c r="Q619" i="23"/>
  <c r="R619" i="23"/>
  <c r="S619" i="23"/>
  <c r="T619" i="23"/>
  <c r="U619" i="23"/>
  <c r="V619" i="23"/>
  <c r="W619" i="23"/>
  <c r="X619" i="23"/>
  <c r="Y619" i="23"/>
  <c r="Z619" i="23"/>
  <c r="D621" i="23"/>
  <c r="D622" i="23"/>
  <c r="D623" i="23"/>
  <c r="F628" i="23"/>
  <c r="G628" i="23"/>
  <c r="H628" i="23"/>
  <c r="I628" i="23"/>
  <c r="J628" i="23"/>
  <c r="K628" i="23"/>
  <c r="L628" i="23"/>
  <c r="M628" i="23"/>
  <c r="N628" i="23"/>
  <c r="O628" i="23"/>
  <c r="P628" i="23"/>
  <c r="Q628" i="23"/>
  <c r="R628" i="23"/>
  <c r="S628" i="23"/>
  <c r="T628" i="23"/>
  <c r="U628" i="23"/>
  <c r="V628" i="23"/>
  <c r="W628" i="23"/>
  <c r="X628" i="23"/>
  <c r="Y628" i="23"/>
  <c r="Z628" i="23"/>
  <c r="F631" i="23"/>
  <c r="G631" i="23"/>
  <c r="H631" i="23"/>
  <c r="I631" i="23"/>
  <c r="J631" i="23"/>
  <c r="K631" i="23"/>
  <c r="F632" i="23"/>
  <c r="G632" i="23"/>
  <c r="H632" i="23"/>
  <c r="I632" i="23"/>
  <c r="J632" i="23"/>
  <c r="K632" i="23"/>
  <c r="K633" i="23"/>
  <c r="K634" i="23"/>
  <c r="D635" i="23"/>
  <c r="F635" i="23"/>
  <c r="G635" i="23"/>
  <c r="H635" i="23"/>
  <c r="I635" i="23"/>
  <c r="J635" i="23"/>
  <c r="K635" i="23"/>
  <c r="L635" i="23"/>
  <c r="M635" i="23"/>
  <c r="N635" i="23"/>
  <c r="O635" i="23"/>
  <c r="P635" i="23"/>
  <c r="Q635" i="23"/>
  <c r="R635" i="23"/>
  <c r="S635" i="23"/>
  <c r="T635" i="23"/>
  <c r="U635" i="23"/>
  <c r="V635" i="23"/>
  <c r="W635" i="23"/>
  <c r="X635" i="23"/>
  <c r="Y635" i="23"/>
  <c r="Z635" i="23"/>
  <c r="D637" i="23"/>
  <c r="F640" i="23"/>
  <c r="G640" i="23"/>
  <c r="H640" i="23"/>
  <c r="I640" i="23"/>
  <c r="J640" i="23"/>
  <c r="K640" i="23"/>
  <c r="L640" i="23"/>
  <c r="M640" i="23"/>
  <c r="N640" i="23"/>
  <c r="O640" i="23"/>
  <c r="P640" i="23"/>
  <c r="Q640" i="23"/>
  <c r="R640" i="23"/>
  <c r="S640" i="23"/>
  <c r="T640" i="23"/>
  <c r="U640" i="23"/>
  <c r="V640" i="23"/>
  <c r="W640" i="23"/>
  <c r="X640" i="23"/>
  <c r="Y640" i="23"/>
  <c r="Z640" i="23"/>
  <c r="F641" i="23"/>
  <c r="G641" i="23"/>
  <c r="H641" i="23"/>
  <c r="I641" i="23"/>
  <c r="J641" i="23"/>
  <c r="K641" i="23"/>
  <c r="L641" i="23"/>
  <c r="M641" i="23"/>
  <c r="N641" i="23"/>
  <c r="O641" i="23"/>
  <c r="P641" i="23"/>
  <c r="Q641" i="23"/>
  <c r="R641" i="23"/>
  <c r="S641" i="23"/>
  <c r="T641" i="23"/>
  <c r="U641" i="23"/>
  <c r="V641" i="23"/>
  <c r="W641" i="23"/>
  <c r="X641" i="23"/>
  <c r="Y641" i="23"/>
  <c r="Z641" i="23"/>
  <c r="F644" i="23"/>
  <c r="G644" i="23"/>
  <c r="H644" i="23"/>
  <c r="I644" i="23"/>
  <c r="J644" i="23"/>
  <c r="K644" i="23"/>
  <c r="F645" i="23"/>
  <c r="G645" i="23"/>
  <c r="H645" i="23"/>
  <c r="I645" i="23"/>
  <c r="J645" i="23"/>
  <c r="K645" i="23"/>
  <c r="K646" i="23"/>
  <c r="K647" i="23"/>
  <c r="D648" i="23"/>
  <c r="F648" i="23"/>
  <c r="G648" i="23"/>
  <c r="H648" i="23"/>
  <c r="I648" i="23"/>
  <c r="J648" i="23"/>
  <c r="K648" i="23"/>
  <c r="L648" i="23"/>
  <c r="M648" i="23"/>
  <c r="N648" i="23"/>
  <c r="O648" i="23"/>
  <c r="P648" i="23"/>
  <c r="Q648" i="23"/>
  <c r="R648" i="23"/>
  <c r="S648" i="23"/>
  <c r="T648" i="23"/>
  <c r="U648" i="23"/>
  <c r="V648" i="23"/>
  <c r="W648" i="23"/>
  <c r="X648" i="23"/>
  <c r="Y648" i="23"/>
  <c r="Z648" i="23"/>
  <c r="D650" i="23"/>
  <c r="D651" i="23"/>
  <c r="K653" i="23"/>
  <c r="D656" i="23"/>
  <c r="G656" i="23"/>
  <c r="H656" i="23"/>
  <c r="I656" i="23"/>
  <c r="J656" i="23"/>
  <c r="K656" i="23"/>
  <c r="L656" i="23"/>
  <c r="M656" i="23"/>
  <c r="N656" i="23"/>
  <c r="O656" i="23"/>
  <c r="P656" i="23"/>
  <c r="Q656" i="23"/>
  <c r="R656" i="23"/>
  <c r="S656" i="23"/>
  <c r="T656" i="23"/>
  <c r="U656" i="23"/>
  <c r="V656" i="23"/>
  <c r="W656" i="23"/>
  <c r="X656" i="23"/>
  <c r="Y656" i="23"/>
  <c r="Z656" i="23"/>
  <c r="D657" i="23"/>
  <c r="F657" i="23"/>
  <c r="G657" i="23"/>
  <c r="H657" i="23"/>
  <c r="I657" i="23"/>
  <c r="J657" i="23"/>
  <c r="K657" i="23"/>
  <c r="L657" i="23"/>
  <c r="M657" i="23"/>
  <c r="N657" i="23"/>
  <c r="O657" i="23"/>
  <c r="P657" i="23"/>
  <c r="Q657" i="23"/>
  <c r="R657" i="23"/>
  <c r="S657" i="23"/>
  <c r="T657" i="23"/>
  <c r="U657" i="23"/>
  <c r="V657" i="23"/>
  <c r="W657" i="23"/>
  <c r="X657" i="23"/>
  <c r="Y657" i="23"/>
  <c r="Z657" i="23"/>
  <c r="D658" i="23"/>
  <c r="F658" i="23"/>
  <c r="G658" i="23"/>
  <c r="H658" i="23"/>
  <c r="I658" i="23"/>
  <c r="J658" i="23"/>
  <c r="K658" i="23"/>
  <c r="D659" i="23"/>
  <c r="J659" i="23"/>
  <c r="K659" i="23"/>
  <c r="D660" i="23"/>
  <c r="F660" i="23"/>
  <c r="G660" i="23"/>
  <c r="H660" i="23"/>
  <c r="I660" i="23"/>
  <c r="J660" i="23"/>
  <c r="K660" i="23"/>
  <c r="D661" i="23"/>
  <c r="K661" i="23"/>
  <c r="D662" i="23"/>
  <c r="K662" i="23"/>
  <c r="D663" i="23"/>
  <c r="F663" i="23"/>
  <c r="G663" i="23"/>
  <c r="H663" i="23"/>
  <c r="I663" i="23"/>
  <c r="J663" i="23"/>
  <c r="K663" i="23"/>
  <c r="L663" i="23"/>
  <c r="M663" i="23"/>
  <c r="N663" i="23"/>
  <c r="O663" i="23"/>
  <c r="P663" i="23"/>
  <c r="Q663" i="23"/>
  <c r="R663" i="23"/>
  <c r="S663" i="23"/>
  <c r="T663" i="23"/>
  <c r="U663" i="23"/>
  <c r="V663" i="23"/>
  <c r="W663" i="23"/>
  <c r="X663" i="23"/>
  <c r="Y663" i="23"/>
  <c r="Z663" i="23"/>
  <c r="F668" i="23"/>
  <c r="G668" i="23"/>
  <c r="H668" i="23"/>
  <c r="I668" i="23"/>
  <c r="J668" i="23"/>
  <c r="K668" i="23"/>
  <c r="L668" i="23"/>
  <c r="M668" i="23"/>
  <c r="N668" i="23"/>
  <c r="O668" i="23"/>
  <c r="P668" i="23"/>
  <c r="Q668" i="23"/>
  <c r="R668" i="23"/>
  <c r="S668" i="23"/>
  <c r="T668" i="23"/>
  <c r="U668" i="23"/>
  <c r="V668" i="23"/>
  <c r="W668" i="23"/>
  <c r="X668" i="23"/>
  <c r="Y668" i="23"/>
  <c r="Z668" i="23"/>
  <c r="F671" i="23"/>
  <c r="G671" i="23"/>
  <c r="H671" i="23"/>
  <c r="I671" i="23"/>
  <c r="J671" i="23"/>
  <c r="K671" i="23"/>
  <c r="F672" i="23"/>
  <c r="G672" i="23"/>
  <c r="H672" i="23"/>
  <c r="I672" i="23"/>
  <c r="J672" i="23"/>
  <c r="K672" i="23"/>
  <c r="I673" i="23"/>
  <c r="K673" i="23"/>
  <c r="K674" i="23"/>
  <c r="D675" i="23"/>
  <c r="F675" i="23"/>
  <c r="G675" i="23"/>
  <c r="H675" i="23"/>
  <c r="I675" i="23"/>
  <c r="J675" i="23"/>
  <c r="K675" i="23"/>
  <c r="L675" i="23"/>
  <c r="M675" i="23"/>
  <c r="N675" i="23"/>
  <c r="O675" i="23"/>
  <c r="P675" i="23"/>
  <c r="Q675" i="23"/>
  <c r="R675" i="23"/>
  <c r="S675" i="23"/>
  <c r="T675" i="23"/>
  <c r="U675" i="23"/>
  <c r="V675" i="23"/>
  <c r="W675" i="23"/>
  <c r="X675" i="23"/>
  <c r="Y675" i="23"/>
  <c r="Z675" i="23"/>
  <c r="D677" i="23"/>
  <c r="F680" i="23"/>
  <c r="G680" i="23"/>
  <c r="H680" i="23"/>
  <c r="I680" i="23"/>
  <c r="J680" i="23"/>
  <c r="K680" i="23"/>
  <c r="L680" i="23"/>
  <c r="M680" i="23"/>
  <c r="N680" i="23"/>
  <c r="O680" i="23"/>
  <c r="P680" i="23"/>
  <c r="Q680" i="23"/>
  <c r="R680" i="23"/>
  <c r="S680" i="23"/>
  <c r="T680" i="23"/>
  <c r="U680" i="23"/>
  <c r="V680" i="23"/>
  <c r="W680" i="23"/>
  <c r="X680" i="23"/>
  <c r="Y680" i="23"/>
  <c r="Z680" i="23"/>
  <c r="F681" i="23"/>
  <c r="G681" i="23"/>
  <c r="H681" i="23"/>
  <c r="I681" i="23"/>
  <c r="J681" i="23"/>
  <c r="K681" i="23"/>
  <c r="L681" i="23"/>
  <c r="M681" i="23"/>
  <c r="N681" i="23"/>
  <c r="O681" i="23"/>
  <c r="P681" i="23"/>
  <c r="Q681" i="23"/>
  <c r="R681" i="23"/>
  <c r="S681" i="23"/>
  <c r="T681" i="23"/>
  <c r="U681" i="23"/>
  <c r="V681" i="23"/>
  <c r="W681" i="23"/>
  <c r="X681" i="23"/>
  <c r="Y681" i="23"/>
  <c r="Z681" i="23"/>
  <c r="F684" i="23"/>
  <c r="G684" i="23"/>
  <c r="H684" i="23"/>
  <c r="I684" i="23"/>
  <c r="J684" i="23"/>
  <c r="K684" i="23"/>
  <c r="F685" i="23"/>
  <c r="G685" i="23"/>
  <c r="H685" i="23"/>
  <c r="I685" i="23"/>
  <c r="J685" i="23"/>
  <c r="K685" i="23"/>
  <c r="I686" i="23"/>
  <c r="K686" i="23"/>
  <c r="K687" i="23"/>
  <c r="D688" i="23"/>
  <c r="F688" i="23"/>
  <c r="G688" i="23"/>
  <c r="H688" i="23"/>
  <c r="I688" i="23"/>
  <c r="J688" i="23"/>
  <c r="K688" i="23"/>
  <c r="L688" i="23"/>
  <c r="M688" i="23"/>
  <c r="N688" i="23"/>
  <c r="O688" i="23"/>
  <c r="P688" i="23"/>
  <c r="Q688" i="23"/>
  <c r="R688" i="23"/>
  <c r="S688" i="23"/>
  <c r="T688" i="23"/>
  <c r="U688" i="23"/>
  <c r="V688" i="23"/>
  <c r="W688" i="23"/>
  <c r="X688" i="23"/>
  <c r="Y688" i="23"/>
  <c r="Z688" i="23"/>
  <c r="D690" i="23"/>
  <c r="D691" i="23"/>
  <c r="K693" i="23"/>
  <c r="D696" i="23"/>
  <c r="G696" i="23"/>
  <c r="H696" i="23"/>
  <c r="I696" i="23"/>
  <c r="J696" i="23"/>
  <c r="K696" i="23"/>
  <c r="L696" i="23"/>
  <c r="M696" i="23"/>
  <c r="N696" i="23"/>
  <c r="O696" i="23"/>
  <c r="P696" i="23"/>
  <c r="Q696" i="23"/>
  <c r="R696" i="23"/>
  <c r="S696" i="23"/>
  <c r="T696" i="23"/>
  <c r="U696" i="23"/>
  <c r="V696" i="23"/>
  <c r="W696" i="23"/>
  <c r="X696" i="23"/>
  <c r="Y696" i="23"/>
  <c r="Z696" i="23"/>
  <c r="D697" i="23"/>
  <c r="F697" i="23"/>
  <c r="G697" i="23"/>
  <c r="H697" i="23"/>
  <c r="I697" i="23"/>
  <c r="J697" i="23"/>
  <c r="K697" i="23"/>
  <c r="L697" i="23"/>
  <c r="M697" i="23"/>
  <c r="N697" i="23"/>
  <c r="O697" i="23"/>
  <c r="P697" i="23"/>
  <c r="Q697" i="23"/>
  <c r="R697" i="23"/>
  <c r="S697" i="23"/>
  <c r="T697" i="23"/>
  <c r="U697" i="23"/>
  <c r="V697" i="23"/>
  <c r="W697" i="23"/>
  <c r="X697" i="23"/>
  <c r="Y697" i="23"/>
  <c r="Z697" i="23"/>
  <c r="D698" i="23"/>
  <c r="F698" i="23"/>
  <c r="G698" i="23"/>
  <c r="H698" i="23"/>
  <c r="I698" i="23"/>
  <c r="J698" i="23"/>
  <c r="K698" i="23"/>
  <c r="D699" i="23"/>
  <c r="J699" i="23"/>
  <c r="K699" i="23"/>
  <c r="D700" i="23"/>
  <c r="F700" i="23"/>
  <c r="G700" i="23"/>
  <c r="H700" i="23"/>
  <c r="I700" i="23"/>
  <c r="J700" i="23"/>
  <c r="K700" i="23"/>
  <c r="D701" i="23"/>
  <c r="I701" i="23"/>
  <c r="K701" i="23"/>
  <c r="D702" i="23"/>
  <c r="K702" i="23"/>
  <c r="D703" i="23"/>
  <c r="F703" i="23"/>
  <c r="G703" i="23"/>
  <c r="H703" i="23"/>
  <c r="I703" i="23"/>
  <c r="J703" i="23"/>
  <c r="K703" i="23"/>
  <c r="L703" i="23"/>
  <c r="M703" i="23"/>
  <c r="N703" i="23"/>
  <c r="O703" i="23"/>
  <c r="P703" i="23"/>
  <c r="Q703" i="23"/>
  <c r="R703" i="23"/>
  <c r="S703" i="23"/>
  <c r="T703" i="23"/>
  <c r="U703" i="23"/>
  <c r="V703" i="23"/>
  <c r="W703" i="23"/>
  <c r="X703" i="23"/>
  <c r="Y703" i="23"/>
  <c r="Z703" i="23"/>
  <c r="F3" i="4"/>
  <c r="G3" i="4"/>
  <c r="H3" i="4"/>
  <c r="I3" i="4"/>
  <c r="J3" i="4"/>
  <c r="F4" i="4"/>
  <c r="G4" i="4"/>
  <c r="H4" i="4"/>
  <c r="I4" i="4"/>
  <c r="J4" i="4"/>
  <c r="F13" i="4"/>
  <c r="G13" i="4"/>
  <c r="H13" i="4"/>
  <c r="I13" i="4"/>
  <c r="J13" i="4"/>
  <c r="F14" i="4"/>
  <c r="G14" i="4"/>
  <c r="H14" i="4"/>
  <c r="I14" i="4"/>
  <c r="J14" i="4"/>
  <c r="F17" i="4"/>
  <c r="G17" i="4"/>
  <c r="H17" i="4"/>
  <c r="I17" i="4"/>
  <c r="J17" i="4"/>
  <c r="K17" i="4"/>
  <c r="P17" i="4"/>
  <c r="Q17" i="4"/>
  <c r="R17" i="4"/>
  <c r="S17" i="4"/>
  <c r="T17" i="4"/>
  <c r="F18" i="4"/>
  <c r="G18" i="4"/>
  <c r="H18" i="4"/>
  <c r="I18" i="4"/>
  <c r="J18" i="4"/>
  <c r="K18" i="4"/>
  <c r="K19" i="4"/>
  <c r="P19" i="4"/>
  <c r="Q19" i="4"/>
  <c r="T19" i="4"/>
  <c r="K20" i="4"/>
  <c r="P20" i="4"/>
  <c r="Q20" i="4"/>
  <c r="R20" i="4"/>
  <c r="S20" i="4"/>
  <c r="T20" i="4"/>
  <c r="F21" i="4"/>
  <c r="G21" i="4"/>
  <c r="I21" i="4"/>
  <c r="J21" i="4"/>
  <c r="K21" i="4"/>
  <c r="K22" i="4"/>
  <c r="F23" i="4"/>
  <c r="G23" i="4"/>
  <c r="H23" i="4"/>
  <c r="I23" i="4"/>
  <c r="J23" i="4"/>
  <c r="K23" i="4"/>
  <c r="P23" i="4"/>
  <c r="Q23" i="4"/>
  <c r="S23" i="4"/>
  <c r="T23" i="4"/>
  <c r="K24" i="4"/>
  <c r="K25" i="4"/>
  <c r="P25" i="4"/>
  <c r="Q25" i="4"/>
  <c r="R25" i="4"/>
  <c r="S25" i="4"/>
  <c r="T25" i="4"/>
  <c r="F26" i="4"/>
  <c r="G26" i="4"/>
  <c r="H26" i="4"/>
  <c r="I26" i="4"/>
  <c r="J26" i="4"/>
  <c r="P26" i="4"/>
  <c r="Q26" i="4"/>
  <c r="R26" i="4"/>
  <c r="S26" i="4"/>
  <c r="T26" i="4"/>
  <c r="F33" i="4"/>
  <c r="G33" i="4"/>
  <c r="H33" i="4"/>
  <c r="I33" i="4"/>
  <c r="J33" i="4"/>
  <c r="P33" i="4"/>
  <c r="Q33" i="4"/>
  <c r="R33" i="4"/>
  <c r="S33" i="4"/>
  <c r="T33" i="4"/>
  <c r="F35" i="4"/>
  <c r="G35" i="4"/>
  <c r="H35" i="4"/>
  <c r="I35" i="4"/>
  <c r="J35" i="4"/>
  <c r="P35" i="4"/>
  <c r="Q35" i="4"/>
  <c r="R35" i="4"/>
  <c r="S35" i="4"/>
  <c r="T35" i="4"/>
  <c r="F36" i="4"/>
  <c r="G36" i="4"/>
  <c r="H36" i="4"/>
  <c r="I36" i="4"/>
  <c r="J36" i="4"/>
  <c r="P36" i="4"/>
  <c r="Q36" i="4"/>
  <c r="R36" i="4"/>
  <c r="S36" i="4"/>
  <c r="T36" i="4"/>
  <c r="F43" i="4"/>
  <c r="G43" i="4"/>
  <c r="H43" i="4"/>
  <c r="I43" i="4"/>
  <c r="J43" i="4"/>
  <c r="F45" i="4"/>
  <c r="G45" i="4"/>
  <c r="H45" i="4"/>
  <c r="I45" i="4"/>
  <c r="J45" i="4"/>
  <c r="F46" i="4"/>
  <c r="G46" i="4"/>
  <c r="H46" i="4"/>
  <c r="I46" i="4"/>
  <c r="J46" i="4"/>
  <c r="P7" i="27"/>
  <c r="Q7" i="27"/>
  <c r="S7" i="27"/>
  <c r="U7" i="27"/>
  <c r="P8" i="27"/>
  <c r="Q8" i="27"/>
  <c r="S8" i="27"/>
  <c r="U8" i="27"/>
  <c r="P9" i="27"/>
  <c r="Q9" i="27"/>
  <c r="S9" i="27"/>
  <c r="U9" i="27"/>
  <c r="P10" i="27"/>
  <c r="Q10" i="27"/>
  <c r="S10" i="27"/>
  <c r="U10" i="27"/>
  <c r="Q11" i="27"/>
  <c r="S11" i="27"/>
  <c r="U11" i="27"/>
  <c r="Q12" i="27"/>
  <c r="S12" i="27"/>
  <c r="U12" i="27"/>
  <c r="P14" i="27"/>
  <c r="Q14" i="27"/>
  <c r="S14" i="27"/>
  <c r="U14" i="27"/>
  <c r="P15" i="27"/>
  <c r="Q15" i="27"/>
  <c r="S15" i="27"/>
  <c r="U15" i="27"/>
  <c r="P16" i="27"/>
  <c r="Q16" i="27"/>
  <c r="S16" i="27"/>
  <c r="U16" i="27"/>
  <c r="Q22" i="27"/>
  <c r="S22" i="27"/>
  <c r="U22" i="27"/>
  <c r="Q23" i="27"/>
  <c r="S23" i="27"/>
  <c r="U23" i="27"/>
  <c r="Q25" i="27"/>
  <c r="S25" i="27"/>
  <c r="U25" i="27"/>
  <c r="Q27" i="27"/>
  <c r="S27" i="27"/>
  <c r="U27" i="27"/>
  <c r="Q28" i="27"/>
  <c r="S28" i="27"/>
  <c r="U28" i="27"/>
  <c r="Q29" i="27"/>
  <c r="S29" i="27"/>
  <c r="U29" i="27"/>
  <c r="Q30" i="27"/>
  <c r="S30" i="27"/>
  <c r="U30" i="27"/>
  <c r="P36" i="27"/>
  <c r="Q36" i="27"/>
  <c r="R36" i="27"/>
  <c r="S36" i="27"/>
  <c r="T36" i="27"/>
  <c r="U36" i="27"/>
  <c r="V36" i="27"/>
  <c r="P37" i="27"/>
  <c r="Q37" i="27"/>
  <c r="R37" i="27"/>
  <c r="S37" i="27"/>
  <c r="T37" i="27"/>
  <c r="U37" i="27"/>
  <c r="V37" i="27"/>
  <c r="R39" i="27"/>
  <c r="T39" i="27"/>
  <c r="V39" i="27"/>
  <c r="R40" i="27"/>
  <c r="T40" i="27"/>
  <c r="V40" i="27"/>
  <c r="R41" i="27"/>
  <c r="T41" i="27"/>
  <c r="V41" i="27"/>
  <c r="R42" i="27"/>
  <c r="T42" i="27"/>
  <c r="V42" i="27"/>
  <c r="R43" i="27"/>
  <c r="T43" i="27"/>
  <c r="V43" i="27"/>
  <c r="R44" i="27"/>
  <c r="T44" i="27"/>
  <c r="V44" i="27"/>
  <c r="P45" i="27"/>
  <c r="Q45" i="27"/>
  <c r="R45" i="27"/>
  <c r="S45" i="27"/>
  <c r="T45" i="27"/>
  <c r="U45" i="27"/>
  <c r="V45" i="27"/>
  <c r="P46" i="27"/>
  <c r="Q46" i="27"/>
  <c r="R46" i="27"/>
  <c r="S46" i="27"/>
  <c r="T46" i="27"/>
  <c r="U46" i="27"/>
  <c r="V46" i="27"/>
  <c r="P50" i="27"/>
  <c r="Q50" i="27"/>
  <c r="R50" i="27"/>
  <c r="S50" i="27"/>
  <c r="T50" i="27"/>
  <c r="U50" i="27"/>
  <c r="V50" i="27"/>
  <c r="P51" i="27"/>
  <c r="Q51" i="27"/>
  <c r="R51" i="27"/>
  <c r="S51" i="27"/>
  <c r="T51" i="27"/>
  <c r="U51" i="27"/>
  <c r="V51" i="27"/>
  <c r="R52" i="27"/>
  <c r="T52" i="27"/>
  <c r="V52" i="27"/>
  <c r="P53" i="27"/>
  <c r="Q53" i="27"/>
  <c r="R53" i="27"/>
  <c r="S53" i="27"/>
  <c r="T53" i="27"/>
  <c r="U53" i="27"/>
  <c r="V53" i="27"/>
  <c r="P54" i="27"/>
  <c r="Q54" i="27"/>
  <c r="R54" i="27"/>
  <c r="S54" i="27"/>
  <c r="T54" i="27"/>
  <c r="U54" i="27"/>
  <c r="V54" i="27"/>
  <c r="R57" i="27"/>
  <c r="T57" i="27"/>
  <c r="V57" i="27"/>
  <c r="R58" i="27"/>
  <c r="T58" i="27"/>
  <c r="V58" i="27"/>
  <c r="R59" i="27"/>
  <c r="T59" i="27"/>
  <c r="V59" i="27"/>
  <c r="R60" i="27"/>
  <c r="T60" i="27"/>
  <c r="V60" i="27"/>
  <c r="P61" i="27"/>
  <c r="Q61" i="27"/>
  <c r="R61" i="27"/>
  <c r="S61" i="27"/>
  <c r="T61" i="27"/>
  <c r="U61" i="27"/>
  <c r="V61" i="27"/>
  <c r="R62" i="27"/>
  <c r="T62" i="27"/>
  <c r="V62" i="27"/>
  <c r="P63" i="27"/>
  <c r="Q63" i="27"/>
  <c r="R63" i="27"/>
  <c r="S63" i="27"/>
  <c r="T63" i="27"/>
  <c r="U63" i="27"/>
  <c r="V63" i="27"/>
  <c r="P64" i="27"/>
  <c r="Q64" i="27"/>
  <c r="R64" i="27"/>
  <c r="S64" i="27"/>
  <c r="T64" i="27"/>
  <c r="U64" i="27"/>
  <c r="V64" i="27"/>
  <c r="P68" i="27"/>
  <c r="Q68" i="27"/>
  <c r="R68" i="27"/>
  <c r="S68" i="27"/>
  <c r="T68" i="27"/>
  <c r="U68" i="27"/>
  <c r="V68" i="27"/>
  <c r="P69" i="27"/>
  <c r="Q69" i="27"/>
  <c r="R69" i="27"/>
  <c r="S69" i="27"/>
  <c r="T69" i="27"/>
  <c r="U69" i="27"/>
  <c r="V69" i="27"/>
  <c r="R70" i="27"/>
  <c r="T70" i="27"/>
  <c r="V70" i="27"/>
  <c r="P71" i="27"/>
  <c r="Q71" i="27"/>
  <c r="R71" i="27"/>
  <c r="S71" i="27"/>
  <c r="T71" i="27"/>
  <c r="U71" i="27"/>
  <c r="V71" i="27"/>
  <c r="P72" i="27"/>
  <c r="Q72" i="27"/>
  <c r="R72" i="27"/>
  <c r="S72" i="27"/>
  <c r="T72" i="27"/>
  <c r="U72" i="27"/>
  <c r="V72" i="27"/>
  <c r="R75" i="27"/>
  <c r="T75" i="27"/>
  <c r="V75" i="27"/>
  <c r="R76" i="27"/>
  <c r="T76" i="27"/>
  <c r="V76" i="27"/>
  <c r="R77" i="27"/>
  <c r="T77" i="27"/>
  <c r="V77" i="27"/>
  <c r="R78" i="27"/>
  <c r="T78" i="27"/>
  <c r="V78" i="27"/>
  <c r="P79" i="27"/>
  <c r="Q79" i="27"/>
  <c r="R79" i="27"/>
  <c r="S79" i="27"/>
  <c r="T79" i="27"/>
  <c r="U79" i="27"/>
  <c r="V79" i="27"/>
  <c r="R80" i="27"/>
  <c r="T80" i="27"/>
  <c r="V80" i="27"/>
  <c r="P81" i="27"/>
  <c r="Q81" i="27"/>
  <c r="R81" i="27"/>
  <c r="S81" i="27"/>
  <c r="T81" i="27"/>
  <c r="U81" i="27"/>
  <c r="V81" i="27"/>
  <c r="P82" i="27"/>
  <c r="Q82" i="27"/>
  <c r="R82" i="27"/>
  <c r="S82" i="27"/>
  <c r="T82" i="27"/>
  <c r="U82" i="27"/>
  <c r="V82" i="27"/>
  <c r="K9" i="20"/>
  <c r="AA9" i="20"/>
  <c r="AP9" i="20"/>
  <c r="V13" i="20"/>
  <c r="X13" i="20"/>
  <c r="Z13" i="20"/>
  <c r="AC13" i="20"/>
  <c r="AD13" i="20"/>
  <c r="AE13" i="20"/>
  <c r="AF13" i="20"/>
  <c r="AL13" i="20"/>
  <c r="AN13" i="20"/>
  <c r="AP13" i="20"/>
  <c r="AS13" i="20"/>
  <c r="AT13" i="20"/>
  <c r="AU13" i="20"/>
  <c r="AV13" i="20"/>
  <c r="F14" i="20"/>
  <c r="H14" i="20"/>
  <c r="J14" i="20"/>
  <c r="M14" i="20"/>
  <c r="N14" i="20"/>
  <c r="O14" i="20"/>
  <c r="P14" i="20"/>
  <c r="V14" i="20"/>
  <c r="X14" i="20"/>
  <c r="Z14" i="20"/>
  <c r="AC14" i="20"/>
  <c r="AD14" i="20"/>
  <c r="AE14" i="20"/>
  <c r="AF14" i="20"/>
  <c r="AL14" i="20"/>
  <c r="AN14" i="20"/>
  <c r="AP14" i="20"/>
  <c r="AS14" i="20"/>
  <c r="AT14" i="20"/>
  <c r="AU14" i="20"/>
  <c r="AV14" i="20"/>
  <c r="F15" i="20"/>
  <c r="H15" i="20"/>
  <c r="J15" i="20"/>
  <c r="M15" i="20"/>
  <c r="N15" i="20"/>
  <c r="O15" i="20"/>
  <c r="P15" i="20"/>
  <c r="V15" i="20"/>
  <c r="X15" i="20"/>
  <c r="Z15" i="20"/>
  <c r="AC15" i="20"/>
  <c r="AD15" i="20"/>
  <c r="AE15" i="20"/>
  <c r="AF15" i="20"/>
  <c r="AL15" i="20"/>
  <c r="AN15" i="20"/>
  <c r="AP15" i="20"/>
  <c r="AS15" i="20"/>
  <c r="AT15" i="20"/>
  <c r="AU15" i="20"/>
  <c r="AV15" i="20"/>
  <c r="F16" i="20"/>
  <c r="H16" i="20"/>
  <c r="J16" i="20"/>
  <c r="M16" i="20"/>
  <c r="N16" i="20"/>
  <c r="O16" i="20"/>
  <c r="P16" i="20"/>
  <c r="V16" i="20"/>
  <c r="X16" i="20"/>
  <c r="Z16" i="20"/>
  <c r="AC16" i="20"/>
  <c r="AD16" i="20"/>
  <c r="AE16" i="20"/>
  <c r="AF16" i="20"/>
  <c r="AL16" i="20"/>
  <c r="AN16" i="20"/>
  <c r="AP16" i="20"/>
  <c r="AS16" i="20"/>
  <c r="AT16" i="20"/>
  <c r="AU16" i="20"/>
  <c r="AV16" i="20"/>
  <c r="F17" i="20"/>
  <c r="H17" i="20"/>
  <c r="J17" i="20"/>
  <c r="M17" i="20"/>
  <c r="N17" i="20"/>
  <c r="O17" i="20"/>
  <c r="P17" i="20"/>
  <c r="V17" i="20"/>
  <c r="X17" i="20"/>
  <c r="Z17" i="20"/>
  <c r="AC17" i="20"/>
  <c r="AD17" i="20"/>
  <c r="AE17" i="20"/>
  <c r="AF17" i="20"/>
  <c r="AL17" i="20"/>
  <c r="AN17" i="20"/>
  <c r="AP17" i="20"/>
  <c r="AS17" i="20"/>
  <c r="AT17" i="20"/>
  <c r="AU17" i="20"/>
  <c r="AV17" i="20"/>
  <c r="F18" i="20"/>
  <c r="H18" i="20"/>
  <c r="J18" i="20"/>
  <c r="M18" i="20"/>
  <c r="N18" i="20"/>
  <c r="O18" i="20"/>
  <c r="P18" i="20"/>
  <c r="V18" i="20"/>
  <c r="X18" i="20"/>
  <c r="Z18" i="20"/>
  <c r="AC18" i="20"/>
  <c r="AD18" i="20"/>
  <c r="AE18" i="20"/>
  <c r="AF18" i="20"/>
  <c r="AL18" i="20"/>
  <c r="AN18" i="20"/>
  <c r="AP18" i="20"/>
  <c r="AS18" i="20"/>
  <c r="AT18" i="20"/>
  <c r="AU18" i="20"/>
  <c r="AV18" i="20"/>
  <c r="F19" i="20"/>
  <c r="H19" i="20"/>
  <c r="J19" i="20"/>
  <c r="M19" i="20"/>
  <c r="N19" i="20"/>
  <c r="O19" i="20"/>
  <c r="P19" i="20"/>
  <c r="V19" i="20"/>
  <c r="X19" i="20"/>
  <c r="Z19" i="20"/>
  <c r="AC19" i="20"/>
  <c r="AD19" i="20"/>
  <c r="AE19" i="20"/>
  <c r="AF19" i="20"/>
  <c r="AL19" i="20"/>
  <c r="AN19" i="20"/>
  <c r="AP19" i="20"/>
  <c r="AS19" i="20"/>
  <c r="AT19" i="20"/>
  <c r="AU19" i="20"/>
  <c r="AV19" i="20"/>
  <c r="F20" i="20"/>
  <c r="H20" i="20"/>
  <c r="J20" i="20"/>
  <c r="M20" i="20"/>
  <c r="N20" i="20"/>
  <c r="O20" i="20"/>
  <c r="P20" i="20"/>
  <c r="V20" i="20"/>
  <c r="X20" i="20"/>
  <c r="Z20" i="20"/>
  <c r="AC20" i="20"/>
  <c r="AD20" i="20"/>
  <c r="AE20" i="20"/>
  <c r="AF20" i="20"/>
  <c r="AL20" i="20"/>
  <c r="AN20" i="20"/>
  <c r="AP20" i="20"/>
  <c r="AS20" i="20"/>
  <c r="AT20" i="20"/>
  <c r="AU20" i="20"/>
  <c r="AV20" i="20"/>
  <c r="F21" i="20"/>
  <c r="H21" i="20"/>
  <c r="J21" i="20"/>
  <c r="M21" i="20"/>
  <c r="N21" i="20"/>
  <c r="O21" i="20"/>
  <c r="P21" i="20"/>
  <c r="V21" i="20"/>
  <c r="X21" i="20"/>
  <c r="Z21" i="20"/>
  <c r="AC21" i="20"/>
  <c r="AD21" i="20"/>
  <c r="AE21" i="20"/>
  <c r="AF21" i="20"/>
  <c r="AL21" i="20"/>
  <c r="AN21" i="20"/>
  <c r="AP21" i="20"/>
  <c r="AS21" i="20"/>
  <c r="AT21" i="20"/>
  <c r="AU21" i="20"/>
  <c r="AV21" i="20"/>
  <c r="F22" i="20"/>
  <c r="H22" i="20"/>
  <c r="J22" i="20"/>
  <c r="M22" i="20"/>
  <c r="N22" i="20"/>
  <c r="O22" i="20"/>
  <c r="P22" i="20"/>
  <c r="V22" i="20"/>
  <c r="X22" i="20"/>
  <c r="Z22" i="20"/>
  <c r="AC22" i="20"/>
  <c r="AD22" i="20"/>
  <c r="AE22" i="20"/>
  <c r="AF22" i="20"/>
  <c r="AL22" i="20"/>
  <c r="AN22" i="20"/>
  <c r="AP22" i="20"/>
  <c r="AS22" i="20"/>
  <c r="AT22" i="20"/>
  <c r="AU22" i="20"/>
  <c r="AV22" i="20"/>
  <c r="F23" i="20"/>
  <c r="H23" i="20"/>
  <c r="J23" i="20"/>
  <c r="M23" i="20"/>
  <c r="N23" i="20"/>
  <c r="O23" i="20"/>
  <c r="P23" i="20"/>
  <c r="V23" i="20"/>
  <c r="X23" i="20"/>
  <c r="Z23" i="20"/>
  <c r="AC23" i="20"/>
  <c r="AD23" i="20"/>
  <c r="AE23" i="20"/>
  <c r="AF23" i="20"/>
  <c r="AL23" i="20"/>
  <c r="AN23" i="20"/>
  <c r="AP23" i="20"/>
  <c r="AS23" i="20"/>
  <c r="AT23" i="20"/>
  <c r="AU23" i="20"/>
  <c r="AV23" i="20"/>
  <c r="F24" i="20"/>
  <c r="H24" i="20"/>
  <c r="J24" i="20"/>
  <c r="M24" i="20"/>
  <c r="N24" i="20"/>
  <c r="O24" i="20"/>
  <c r="P24" i="20"/>
  <c r="V24" i="20"/>
  <c r="X24" i="20"/>
  <c r="Z24" i="20"/>
  <c r="AC24" i="20"/>
  <c r="AD24" i="20"/>
  <c r="AE24" i="20"/>
  <c r="AF24" i="20"/>
  <c r="AL24" i="20"/>
  <c r="AN24" i="20"/>
  <c r="AP24" i="20"/>
  <c r="AS24" i="20"/>
  <c r="AT24" i="20"/>
  <c r="AU24" i="20"/>
  <c r="AV24" i="20"/>
  <c r="F25" i="20"/>
  <c r="H25" i="20"/>
  <c r="J25" i="20"/>
  <c r="M25" i="20"/>
  <c r="N25" i="20"/>
  <c r="O25" i="20"/>
  <c r="P25" i="20"/>
  <c r="V25" i="20"/>
  <c r="X25" i="20"/>
  <c r="Z25" i="20"/>
  <c r="AC25" i="20"/>
  <c r="AD25" i="20"/>
  <c r="AE25" i="20"/>
  <c r="AF25" i="20"/>
  <c r="AL25" i="20"/>
  <c r="AN25" i="20"/>
  <c r="AP25" i="20"/>
  <c r="AS25" i="20"/>
  <c r="AT25" i="20"/>
  <c r="AU25" i="20"/>
  <c r="AV25" i="20"/>
  <c r="F26" i="20"/>
  <c r="H26" i="20"/>
  <c r="J26" i="20"/>
  <c r="M26" i="20"/>
  <c r="N26" i="20"/>
  <c r="O26" i="20"/>
  <c r="P26" i="20"/>
  <c r="V26" i="20"/>
  <c r="X26" i="20"/>
  <c r="Z26" i="20"/>
  <c r="AC26" i="20"/>
  <c r="AD26" i="20"/>
  <c r="AE26" i="20"/>
  <c r="AF26" i="20"/>
  <c r="AL26" i="20"/>
  <c r="AN26" i="20"/>
  <c r="AP26" i="20"/>
  <c r="AS26" i="20"/>
  <c r="AT26" i="20"/>
  <c r="AU26" i="20"/>
  <c r="AV26" i="20"/>
  <c r="F27" i="20"/>
  <c r="H27" i="20"/>
  <c r="J27" i="20"/>
  <c r="M27" i="20"/>
  <c r="N27" i="20"/>
  <c r="O27" i="20"/>
  <c r="P27" i="20"/>
  <c r="V27" i="20"/>
  <c r="X27" i="20"/>
  <c r="Z27" i="20"/>
  <c r="AC27" i="20"/>
  <c r="AD27" i="20"/>
  <c r="AE27" i="20"/>
  <c r="AF27" i="20"/>
  <c r="AL27" i="20"/>
  <c r="AN27" i="20"/>
  <c r="AP27" i="20"/>
  <c r="AS27" i="20"/>
  <c r="AT27" i="20"/>
  <c r="AU27" i="20"/>
  <c r="AV27" i="20"/>
  <c r="F28" i="20"/>
  <c r="H28" i="20"/>
  <c r="J28" i="20"/>
  <c r="M28" i="20"/>
  <c r="N28" i="20"/>
  <c r="O28" i="20"/>
  <c r="P28" i="20"/>
  <c r="V28" i="20"/>
  <c r="X28" i="20"/>
  <c r="Z28" i="20"/>
  <c r="AC28" i="20"/>
  <c r="AD28" i="20"/>
  <c r="AE28" i="20"/>
  <c r="AF28" i="20"/>
  <c r="AL28" i="20"/>
  <c r="AN28" i="20"/>
  <c r="AP28" i="20"/>
  <c r="AS28" i="20"/>
  <c r="AT28" i="20"/>
  <c r="AU28" i="20"/>
  <c r="AV28" i="20"/>
  <c r="F29" i="20"/>
  <c r="H29" i="20"/>
  <c r="J29" i="20"/>
  <c r="M29" i="20"/>
  <c r="N29" i="20"/>
  <c r="O29" i="20"/>
  <c r="P29" i="20"/>
  <c r="V29" i="20"/>
  <c r="X29" i="20"/>
  <c r="Z29" i="20"/>
  <c r="AC29" i="20"/>
  <c r="AD29" i="20"/>
  <c r="AE29" i="20"/>
  <c r="AF29" i="20"/>
  <c r="AL29" i="20"/>
  <c r="AN29" i="20"/>
  <c r="AP29" i="20"/>
  <c r="AS29" i="20"/>
  <c r="AT29" i="20"/>
  <c r="AU29" i="20"/>
  <c r="AV29" i="20"/>
  <c r="F30" i="20"/>
  <c r="H30" i="20"/>
  <c r="J30" i="20"/>
  <c r="M30" i="20"/>
  <c r="N30" i="20"/>
  <c r="O30" i="20"/>
  <c r="P30" i="20"/>
  <c r="V30" i="20"/>
  <c r="X30" i="20"/>
  <c r="Z30" i="20"/>
  <c r="AC30" i="20"/>
  <c r="AD30" i="20"/>
  <c r="AE30" i="20"/>
  <c r="AF30" i="20"/>
  <c r="AL30" i="20"/>
  <c r="AN30" i="20"/>
  <c r="AP30" i="20"/>
  <c r="AS30" i="20"/>
  <c r="AT30" i="20"/>
  <c r="AU30" i="20"/>
  <c r="AV30" i="20"/>
  <c r="F31" i="20"/>
  <c r="H31" i="20"/>
  <c r="J31" i="20"/>
  <c r="M31" i="20"/>
  <c r="N31" i="20"/>
  <c r="O31" i="20"/>
  <c r="P31" i="20"/>
  <c r="V31" i="20"/>
  <c r="X31" i="20"/>
  <c r="Z31" i="20"/>
  <c r="AC31" i="20"/>
  <c r="AD31" i="20"/>
  <c r="AE31" i="20"/>
  <c r="AF31" i="20"/>
  <c r="AL31" i="20"/>
  <c r="AN31" i="20"/>
  <c r="AP31" i="20"/>
  <c r="AS31" i="20"/>
  <c r="AT31" i="20"/>
  <c r="AU31" i="20"/>
  <c r="AV31" i="20"/>
  <c r="F32" i="20"/>
  <c r="H32" i="20"/>
  <c r="J32" i="20"/>
  <c r="M32" i="20"/>
  <c r="N32" i="20"/>
  <c r="O32" i="20"/>
  <c r="P32" i="20"/>
  <c r="V32" i="20"/>
  <c r="X32" i="20"/>
  <c r="Z32" i="20"/>
  <c r="AC32" i="20"/>
  <c r="AD32" i="20"/>
  <c r="AE32" i="20"/>
  <c r="AF32" i="20"/>
  <c r="AL32" i="20"/>
  <c r="AN32" i="20"/>
  <c r="AP32" i="20"/>
  <c r="AS32" i="20"/>
  <c r="AT32" i="20"/>
  <c r="AU32" i="20"/>
  <c r="AV32" i="20"/>
  <c r="F33" i="20"/>
  <c r="H33" i="20"/>
  <c r="J33" i="20"/>
  <c r="M33" i="20"/>
  <c r="N33" i="20"/>
  <c r="O33" i="20"/>
  <c r="P33" i="20"/>
  <c r="V33" i="20"/>
  <c r="X33" i="20"/>
  <c r="Z33" i="20"/>
  <c r="AC33" i="20"/>
  <c r="AD33" i="20"/>
  <c r="AE33" i="20"/>
  <c r="AF33" i="20"/>
  <c r="AL33" i="20"/>
  <c r="AN33" i="20"/>
  <c r="AP33" i="20"/>
  <c r="AS33" i="20"/>
  <c r="AT33" i="20"/>
  <c r="AU33" i="20"/>
  <c r="AV33" i="20"/>
  <c r="F34" i="20"/>
  <c r="H34" i="20"/>
  <c r="J34" i="20"/>
  <c r="M34" i="20"/>
  <c r="N34" i="20"/>
  <c r="O34" i="20"/>
  <c r="P34" i="20"/>
  <c r="V34" i="20"/>
  <c r="X34" i="20"/>
  <c r="Z34" i="20"/>
  <c r="AC34" i="20"/>
  <c r="AD34" i="20"/>
  <c r="AE34" i="20"/>
  <c r="AF34" i="20"/>
  <c r="AL34" i="20"/>
  <c r="AN34" i="20"/>
  <c r="AP34" i="20"/>
  <c r="AS34" i="20"/>
  <c r="AT34" i="20"/>
  <c r="AU34" i="20"/>
  <c r="AV34" i="20"/>
  <c r="F35" i="20"/>
  <c r="H35" i="20"/>
  <c r="J35" i="20"/>
  <c r="M35" i="20"/>
  <c r="N35" i="20"/>
  <c r="O35" i="20"/>
  <c r="P35" i="20"/>
  <c r="V35" i="20"/>
  <c r="X35" i="20"/>
  <c r="Z35" i="20"/>
  <c r="AC35" i="20"/>
  <c r="AD35" i="20"/>
  <c r="AE35" i="20"/>
  <c r="AF35" i="20"/>
  <c r="AL35" i="20"/>
  <c r="AN35" i="20"/>
  <c r="AP35" i="20"/>
  <c r="AS35" i="20"/>
  <c r="AT35" i="20"/>
  <c r="AU35" i="20"/>
  <c r="AV35" i="20"/>
  <c r="F36" i="20"/>
  <c r="H36" i="20"/>
  <c r="J36" i="20"/>
  <c r="M36" i="20"/>
  <c r="N36" i="20"/>
  <c r="O36" i="20"/>
  <c r="P36" i="20"/>
  <c r="V36" i="20"/>
  <c r="X36" i="20"/>
  <c r="Z36" i="20"/>
  <c r="AC36" i="20"/>
  <c r="AD36" i="20"/>
  <c r="AE36" i="20"/>
  <c r="AF36" i="20"/>
  <c r="AL36" i="20"/>
  <c r="AN36" i="20"/>
  <c r="AP36" i="20"/>
  <c r="AS36" i="20"/>
  <c r="AT36" i="20"/>
  <c r="AU36" i="20"/>
  <c r="AV36" i="20"/>
  <c r="F37" i="20"/>
  <c r="H37" i="20"/>
  <c r="J37" i="20"/>
  <c r="M37" i="20"/>
  <c r="N37" i="20"/>
  <c r="O37" i="20"/>
  <c r="P37" i="20"/>
  <c r="V37" i="20"/>
  <c r="X37" i="20"/>
  <c r="Z37" i="20"/>
  <c r="AC37" i="20"/>
  <c r="AD37" i="20"/>
  <c r="AE37" i="20"/>
  <c r="AF37" i="20"/>
  <c r="AL37" i="20"/>
  <c r="AN37" i="20"/>
  <c r="AP37" i="20"/>
  <c r="AS37" i="20"/>
  <c r="AT37" i="20"/>
  <c r="AU37" i="20"/>
  <c r="AV37" i="20"/>
  <c r="F38" i="20"/>
  <c r="H38" i="20"/>
  <c r="J38" i="20"/>
  <c r="M38" i="20"/>
  <c r="N38" i="20"/>
  <c r="O38" i="20"/>
  <c r="P38" i="20"/>
  <c r="V38" i="20"/>
  <c r="X38" i="20"/>
  <c r="Z38" i="20"/>
  <c r="AC38" i="20"/>
  <c r="AD38" i="20"/>
  <c r="AE38" i="20"/>
  <c r="AF38" i="20"/>
  <c r="AL38" i="20"/>
  <c r="AN38" i="20"/>
  <c r="AP38" i="20"/>
  <c r="AS38" i="20"/>
  <c r="AT38" i="20"/>
  <c r="AU38" i="20"/>
  <c r="AV38" i="20"/>
  <c r="F39" i="20"/>
  <c r="H39" i="20"/>
  <c r="J39" i="20"/>
  <c r="M39" i="20"/>
  <c r="N39" i="20"/>
  <c r="O39" i="20"/>
  <c r="P39" i="20"/>
  <c r="V39" i="20"/>
  <c r="X39" i="20"/>
  <c r="Z39" i="20"/>
  <c r="AC39" i="20"/>
  <c r="AD39" i="20"/>
  <c r="AE39" i="20"/>
  <c r="AF39" i="20"/>
  <c r="AL39" i="20"/>
  <c r="AN39" i="20"/>
  <c r="AP39" i="20"/>
  <c r="AS39" i="20"/>
  <c r="AT39" i="20"/>
  <c r="AU39" i="20"/>
  <c r="AV39" i="20"/>
  <c r="F40" i="20"/>
  <c r="H40" i="20"/>
  <c r="J40" i="20"/>
  <c r="M40" i="20"/>
  <c r="N40" i="20"/>
  <c r="O40" i="20"/>
  <c r="P40" i="20"/>
  <c r="V40" i="20"/>
  <c r="X40" i="20"/>
  <c r="Z40" i="20"/>
  <c r="AC40" i="20"/>
  <c r="AD40" i="20"/>
  <c r="AE40" i="20"/>
  <c r="AF40" i="20"/>
  <c r="AL40" i="20"/>
  <c r="AN40" i="20"/>
  <c r="AP40" i="20"/>
  <c r="AS40" i="20"/>
  <c r="AT40" i="20"/>
  <c r="AU40" i="20"/>
  <c r="AV40" i="20"/>
  <c r="F41" i="20"/>
  <c r="H41" i="20"/>
  <c r="J41" i="20"/>
  <c r="M41" i="20"/>
  <c r="N41" i="20"/>
  <c r="O41" i="20"/>
  <c r="P41" i="20"/>
  <c r="V41" i="20"/>
  <c r="X41" i="20"/>
  <c r="Z41" i="20"/>
  <c r="AC41" i="20"/>
  <c r="AD41" i="20"/>
  <c r="AE41" i="20"/>
  <c r="AF41" i="20"/>
  <c r="AL41" i="20"/>
  <c r="AN41" i="20"/>
  <c r="AP41" i="20"/>
  <c r="AS41" i="20"/>
  <c r="AT41" i="20"/>
  <c r="AU41" i="20"/>
  <c r="AV41" i="20"/>
  <c r="F42" i="20"/>
  <c r="H42" i="20"/>
  <c r="J42" i="20"/>
  <c r="M42" i="20"/>
  <c r="N42" i="20"/>
  <c r="O42" i="20"/>
  <c r="P42" i="20"/>
  <c r="V42" i="20"/>
  <c r="X42" i="20"/>
  <c r="Z42" i="20"/>
  <c r="AC42" i="20"/>
  <c r="AD42" i="20"/>
  <c r="AE42" i="20"/>
  <c r="AF42" i="20"/>
  <c r="AL42" i="20"/>
  <c r="AN42" i="20"/>
  <c r="AP42" i="20"/>
  <c r="AS42" i="20"/>
  <c r="AT42" i="20"/>
  <c r="AU42" i="20"/>
  <c r="AV42" i="20"/>
  <c r="F43" i="20"/>
  <c r="H43" i="20"/>
  <c r="J43" i="20"/>
  <c r="M43" i="20"/>
  <c r="N43" i="20"/>
  <c r="O43" i="20"/>
  <c r="P43" i="20"/>
  <c r="V43" i="20"/>
  <c r="X43" i="20"/>
  <c r="Z43" i="20"/>
  <c r="AC43" i="20"/>
  <c r="AD43" i="20"/>
  <c r="AE43" i="20"/>
  <c r="AF43" i="20"/>
  <c r="AL43" i="20"/>
  <c r="AN43" i="20"/>
  <c r="AP43" i="20"/>
  <c r="AS43" i="20"/>
  <c r="AT43" i="20"/>
  <c r="AU43" i="20"/>
  <c r="AV43" i="20"/>
  <c r="F44" i="20"/>
  <c r="H44" i="20"/>
  <c r="J44" i="20"/>
  <c r="M44" i="20"/>
  <c r="N44" i="20"/>
  <c r="O44" i="20"/>
  <c r="P44" i="20"/>
  <c r="V44" i="20"/>
  <c r="X44" i="20"/>
  <c r="Z44" i="20"/>
  <c r="AC44" i="20"/>
  <c r="AD44" i="20"/>
  <c r="AE44" i="20"/>
  <c r="AF44" i="20"/>
  <c r="AL44" i="20"/>
  <c r="AN44" i="20"/>
  <c r="AP44" i="20"/>
  <c r="AS44" i="20"/>
  <c r="AT44" i="20"/>
  <c r="AU44" i="20"/>
  <c r="AV44" i="20"/>
  <c r="F45" i="20"/>
  <c r="H45" i="20"/>
  <c r="J45" i="20"/>
  <c r="M45" i="20"/>
  <c r="N45" i="20"/>
  <c r="O45" i="20"/>
  <c r="P45" i="20"/>
  <c r="V45" i="20"/>
  <c r="X45" i="20"/>
  <c r="Z45" i="20"/>
  <c r="AC45" i="20"/>
  <c r="AD45" i="20"/>
  <c r="AE45" i="20"/>
  <c r="AF45" i="20"/>
  <c r="AL45" i="20"/>
  <c r="AN45" i="20"/>
  <c r="AP45" i="20"/>
  <c r="AS45" i="20"/>
  <c r="AT45" i="20"/>
  <c r="AU45" i="20"/>
  <c r="AV45" i="20"/>
  <c r="O46" i="20"/>
  <c r="P46" i="20"/>
  <c r="AE46" i="20"/>
  <c r="AF46" i="20"/>
  <c r="AU46" i="20"/>
  <c r="AV46" i="20"/>
  <c r="O47" i="20"/>
  <c r="P47" i="20"/>
  <c r="AE47" i="20"/>
  <c r="AF47" i="20"/>
  <c r="AU47" i="20"/>
  <c r="AV47" i="2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 Sovchen</author>
  </authors>
  <commentList>
    <comment ref="P20" authorId="0" shapeId="0" xr:uid="{5A06E1AF-5E3A-4BDA-A522-989C65E9E1A3}">
      <text>
        <r>
          <rPr>
            <b/>
            <sz val="9"/>
            <color indexed="81"/>
            <rFont val="Tahoma"/>
            <family val="2"/>
          </rPr>
          <t>Alex Sovchen:</t>
        </r>
        <r>
          <rPr>
            <sz val="9"/>
            <color indexed="81"/>
            <rFont val="Tahoma"/>
            <family val="2"/>
          </rPr>
          <t xml:space="preserve">
1 - primarily and residential 
2- part residential and part office 15K</t>
        </r>
      </text>
    </comment>
    <comment ref="R27" authorId="0" shapeId="0" xr:uid="{3D9BB411-885A-4945-B1FF-0303960BC904}">
      <text>
        <r>
          <rPr>
            <b/>
            <sz val="9"/>
            <color indexed="81"/>
            <rFont val="Tahoma"/>
            <family val="2"/>
          </rPr>
          <t>Alex Sovchen:</t>
        </r>
        <r>
          <rPr>
            <sz val="9"/>
            <color indexed="81"/>
            <rFont val="Tahoma"/>
            <family val="2"/>
          </rPr>
          <t xml:space="preserve">
improvements to parking deck </t>
        </r>
      </text>
    </comment>
    <comment ref="T27" authorId="0" shapeId="0" xr:uid="{98E0E268-C208-4A6D-93ED-6933A8EC3C22}">
      <text>
        <r>
          <rPr>
            <b/>
            <sz val="9"/>
            <color indexed="81"/>
            <rFont val="Tahoma"/>
            <family val="2"/>
          </rPr>
          <t>Alex Sovchen:</t>
        </r>
        <r>
          <rPr>
            <sz val="9"/>
            <color indexed="81"/>
            <rFont val="Tahoma"/>
            <family val="2"/>
          </rPr>
          <t xml:space="preserve">
School / Daycare - Teachers 
Retail on 9th 
Transient 
Potentially University Students if needed </t>
        </r>
      </text>
    </comment>
    <comment ref="P41" authorId="0" shapeId="0" xr:uid="{E51990B3-7FE1-4AB8-9CE5-3B23758C62A4}">
      <text>
        <r>
          <rPr>
            <b/>
            <sz val="9"/>
            <color indexed="81"/>
            <rFont val="Tahoma"/>
            <family val="2"/>
          </rPr>
          <t>Alex Sovchen:</t>
        </r>
        <r>
          <rPr>
            <sz val="9"/>
            <color indexed="81"/>
            <rFont val="Tahoma"/>
            <family val="2"/>
          </rPr>
          <t xml:space="preserve">
University and office on site </t>
        </r>
      </text>
    </comment>
    <comment ref="T63" authorId="0" shapeId="0" xr:uid="{259AC024-8D50-4511-8204-A1371BABC16D}">
      <text>
        <r>
          <rPr>
            <b/>
            <sz val="9"/>
            <color indexed="81"/>
            <rFont val="Tahoma"/>
            <family val="2"/>
          </rPr>
          <t>Alex Sovchen:</t>
        </r>
        <r>
          <rPr>
            <sz val="9"/>
            <color indexed="81"/>
            <rFont val="Tahoma"/>
            <family val="2"/>
          </rPr>
          <t xml:space="preserve">
Mainly office and transient parking for restaurant row. Daytime for office 
</t>
        </r>
      </text>
    </comment>
    <comment ref="T79" authorId="0" shapeId="0" xr:uid="{D6DB0453-4C70-4639-A0B0-BD235451D352}">
      <text>
        <r>
          <rPr>
            <b/>
            <sz val="9"/>
            <color indexed="81"/>
            <rFont val="Tahoma"/>
            <family val="2"/>
          </rPr>
          <t>Alex Sovchen:</t>
        </r>
        <r>
          <rPr>
            <sz val="9"/>
            <color indexed="81"/>
            <rFont val="Tahoma"/>
            <family val="2"/>
          </rPr>
          <t xml:space="preserve">
office/lab, potentially parking for hotel valet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tc={9D2A6419-93C8-4010-9DD1-5270F4464C81}</author>
  </authors>
  <commentList>
    <comment ref="B295" authorId="0" shapeId="0" xr:uid="{9D2A6419-93C8-4010-9DD1-5270F4464C81}">
      <text>
        <t>[Threaded comment]
Your version of Excel allows you to read this threaded comment; however, any edits to it will get removed if the file is opened in a newer version of Excel. Learn more: https://go.microsoft.com/fwlink/?linkid=870924
Comment:
    If you incorporate more debt, you need to factor that amount into this equation</t>
      </text>
    </comment>
  </commentList>
</comments>
</file>

<file path=xl/sharedStrings.xml><?xml version="1.0" encoding="utf-8"?>
<sst xmlns="http://schemas.openxmlformats.org/spreadsheetml/2006/main" count="4463" uniqueCount="1272">
  <si>
    <t>Completed</t>
  </si>
  <si>
    <t xml:space="preserve">Excel Formulas </t>
  </si>
  <si>
    <t xml:space="preserve">Link to video </t>
  </si>
  <si>
    <t>Parcel Breakdown</t>
  </si>
  <si>
    <t xml:space="preserve">Still need to decide if you will manually change the Allocations for AF/MR Residential </t>
  </si>
  <si>
    <t xml:space="preserve">Offset </t>
  </si>
  <si>
    <t xml:space="preserve">Index &amp; Match </t>
  </si>
  <si>
    <t xml:space="preserve">Next Steps </t>
  </si>
  <si>
    <t xml:space="preserve">Completed </t>
  </si>
  <si>
    <t>Need to finish populating Operating expenses for all product types on the assumptions tab</t>
  </si>
  <si>
    <t xml:space="preserve">Yes </t>
  </si>
  <si>
    <t xml:space="preserve">Need to build out budget tab </t>
  </si>
  <si>
    <t xml:space="preserve">Need to populate Infastructure Tab </t>
  </si>
  <si>
    <t xml:space="preserve">Need to connect entire pro forma to the Summary Page Rollup </t>
  </si>
  <si>
    <t xml:space="preserve">Soft cost design fees and what costs they apply to </t>
  </si>
  <si>
    <t xml:space="preserve">Need to separate out development fee from soft costs and create a separate line item for it </t>
  </si>
  <si>
    <t xml:space="preserve">Need to calculate financing costs on the budget tab </t>
  </si>
  <si>
    <t xml:space="preserve">Need to research phasing and how you plan it out </t>
  </si>
  <si>
    <t xml:space="preserve">Complete TIF and Taxes and plug into the Pro Forma Roll Ups </t>
  </si>
  <si>
    <t>Need to build out Sources &amp; Uses before you can complete the pro forma spreadsheet</t>
  </si>
  <si>
    <t xml:space="preserve">Need to add in formula for TIF and PILOT into the Pro Forma Tab </t>
  </si>
  <si>
    <t xml:space="preserve">Finish out Pro Forma Phase 1 </t>
  </si>
  <si>
    <t>For Pro Forma Phase II and Phase III, use find and replace from Pro Forma Phase 1 to change all of the formulas to the correct columns</t>
  </si>
  <si>
    <t xml:space="preserve">Review incentive calculations and research how they are calculated </t>
  </si>
  <si>
    <t xml:space="preserve">Look into Refinance Proceeds - should not be 164M in the first year </t>
  </si>
  <si>
    <t xml:space="preserve">Gross Potential Income </t>
  </si>
  <si>
    <t xml:space="preserve">Create Pro Forma 2 </t>
  </si>
  <si>
    <t>-</t>
  </si>
  <si>
    <t xml:space="preserve">Gain / Loss To Lease </t>
  </si>
  <si>
    <t>Create Pro Forma 3</t>
  </si>
  <si>
    <t xml:space="preserve">Concessions </t>
  </si>
  <si>
    <t xml:space="preserve">Create Cash Flow Roll Up </t>
  </si>
  <si>
    <t xml:space="preserve">General Vacancy </t>
  </si>
  <si>
    <t>Create Summary Tab</t>
  </si>
  <si>
    <t xml:space="preserve">Non-Revenue Units </t>
  </si>
  <si>
    <t xml:space="preserve">Create Summary Overview Tab </t>
  </si>
  <si>
    <t xml:space="preserve">Bad Debt </t>
  </si>
  <si>
    <t xml:space="preserve">Organize Assumptions Tab more cleanly </t>
  </si>
  <si>
    <t>=</t>
  </si>
  <si>
    <t xml:space="preserve">Total Rental Income </t>
  </si>
  <si>
    <t xml:space="preserve">Need to finish populating Revenue and Operating expenses for Senior Living Pro Forma's </t>
  </si>
  <si>
    <t xml:space="preserve">Need to complete Acquisition Tab (need fair market value for the land you are acquiring) </t>
  </si>
  <si>
    <t xml:space="preserve">Other Income </t>
  </si>
  <si>
    <t xml:space="preserve">Need to review OPP Fund Returns and Tax Basis to make sure you understand how everything is populating </t>
  </si>
  <si>
    <t xml:space="preserve">Other Fee  Income </t>
  </si>
  <si>
    <t xml:space="preserve">Something is wrong with Phase 3 Cash Flows - The IRR Should be higher than Phase 1 and Phase 2 </t>
  </si>
  <si>
    <t>Parking/Garage Income</t>
  </si>
  <si>
    <t xml:space="preserve">Complete Phase I, II, and III summary charts on the Loan Sizing Tab </t>
  </si>
  <si>
    <t xml:space="preserve">Storage Income </t>
  </si>
  <si>
    <t xml:space="preserve">Change all of the % online to IFERROR and only have column lock on so that the TIF &amp; PILOT doesn’t mess up when you change parcel breakdown </t>
  </si>
  <si>
    <t xml:space="preserve">Trash Income </t>
  </si>
  <si>
    <t xml:space="preserve">Put Acquisition parcels on Acq. Tab and have it feed into parcel breakdown </t>
  </si>
  <si>
    <t xml:space="preserve">W/S Income </t>
  </si>
  <si>
    <t xml:space="preserve">put in Standard or Live-Work Res. into pro forma </t>
  </si>
  <si>
    <t xml:space="preserve">Total Other Income </t>
  </si>
  <si>
    <t xml:space="preserve">add in basis boost and total 10 year LIHTC </t>
  </si>
  <si>
    <t>need to Fix the loan sizing tab to include all of the NOI and the Pro formas so that it properly calculates from the assumptions tab</t>
  </si>
  <si>
    <t xml:space="preserve">Total Income (Rental + Other) (OR Effective Gross Income) </t>
  </si>
  <si>
    <t xml:space="preserve">Complete the community facility mix with rents/product type </t>
  </si>
  <si>
    <t xml:space="preserve">Review all Phase 2 Pro Forma Calculations (and P1 and P3 to make sure everything is linked to assumptions page) </t>
  </si>
  <si>
    <t xml:space="preserve">Expenses </t>
  </si>
  <si>
    <t xml:space="preserve">Need to link For-Sale Housing into pro forma and make sure its linked / populating from assumptions page </t>
  </si>
  <si>
    <t xml:space="preserve">Operating Expenses (Amount Per Unit) (30% of EGI) </t>
  </si>
  <si>
    <t xml:space="preserve">Taxes and TIF </t>
  </si>
  <si>
    <t xml:space="preserve">Modelling Help </t>
  </si>
  <si>
    <t xml:space="preserve">Total Expenses </t>
  </si>
  <si>
    <t xml:space="preserve">Taxes, TIF, and Tax Abatement (75% for 10 Year and 37.5% for 15 year) </t>
  </si>
  <si>
    <t xml:space="preserve">Shared Parking Underwriting </t>
  </si>
  <si>
    <t xml:space="preserve">NOI </t>
  </si>
  <si>
    <t xml:space="preserve">Incentive Underwriting (Taxes &amp; TIF) </t>
  </si>
  <si>
    <t xml:space="preserve">Ampitheatre in the park underwriting </t>
  </si>
  <si>
    <t xml:space="preserve">Leasing Costs </t>
  </si>
  <si>
    <t xml:space="preserve">Lease up for residential units </t>
  </si>
  <si>
    <t xml:space="preserve">Leasing Commission </t>
  </si>
  <si>
    <t xml:space="preserve">Leasing commissions, TI's, </t>
  </si>
  <si>
    <t xml:space="preserve">Tenant Improvements </t>
  </si>
  <si>
    <t xml:space="preserve">Ampitheatre modelling assumptions </t>
  </si>
  <si>
    <t>PILOT and TIF Taxes for For-Sale Housing (make sure total TIF for each phase is being used and accounted for in Sources and Uses )</t>
  </si>
  <si>
    <t xml:space="preserve">Operating Expenses </t>
  </si>
  <si>
    <t xml:space="preserve">Net Cash Flow </t>
  </si>
  <si>
    <t xml:space="preserve">Need to understand how to price out the Affordable For-Sale Housing </t>
  </si>
  <si>
    <t>Payroll???</t>
  </si>
  <si>
    <t xml:space="preserve">Update SF for all the Multifamily RSF's per unit </t>
  </si>
  <si>
    <t xml:space="preserve">Repairs &amp; Maintenance </t>
  </si>
  <si>
    <t xml:space="preserve">Sale </t>
  </si>
  <si>
    <t xml:space="preserve">Need to research/input the efficiency ratios in for all product types </t>
  </si>
  <si>
    <t xml:space="preserve">Administrative </t>
  </si>
  <si>
    <t xml:space="preserve">Sales Costs </t>
  </si>
  <si>
    <t xml:space="preserve">Need to rename the Live-work units to something else (Family Residential) </t>
  </si>
  <si>
    <t xml:space="preserve">Utilities </t>
  </si>
  <si>
    <t>Need to pull together Market comps for the rental rates your charging</t>
  </si>
  <si>
    <t>Management Fee????</t>
  </si>
  <si>
    <t xml:space="preserve">Need to look at financing assumptions </t>
  </si>
  <si>
    <t xml:space="preserve">Need to look at possibility of research grants for the R&amp;D component of it </t>
  </si>
  <si>
    <t xml:space="preserve">The affordable for sale housing doesn’t have to be to 50% median income, you just can apply for LIHTC if you do this </t>
  </si>
  <si>
    <t>Priorities</t>
  </si>
  <si>
    <t xml:space="preserve">1) Finalized Phasing </t>
  </si>
  <si>
    <t xml:space="preserve">2) Complete Summary Tab linking and make sure they wont change if modify assumption tab </t>
  </si>
  <si>
    <t xml:space="preserve">3) Add in Data Center + determine how to underwrite rental income and expenses </t>
  </si>
  <si>
    <t xml:space="preserve">4) Senior Living Other Income &amp; Expenses </t>
  </si>
  <si>
    <t xml:space="preserve">5) Financing &amp; Incentives </t>
  </si>
  <si>
    <t xml:space="preserve">6) Finalize Infastructure Figure, incorporate green/public space into the Infra Tab </t>
  </si>
  <si>
    <t xml:space="preserve">7) FMV for acquired land and market comps for rental rate </t>
  </si>
  <si>
    <t xml:space="preserve">8) Taxes &amp; TIF </t>
  </si>
  <si>
    <t xml:space="preserve">9) TI's, Leasing Commissions, CAPEX, and Replacement Reserves </t>
  </si>
  <si>
    <t xml:space="preserve">Questions </t>
  </si>
  <si>
    <t xml:space="preserve">TI's, Leasing Commisions and how to incorporate into budget and pro forma </t>
  </si>
  <si>
    <t xml:space="preserve">CAPEX and replacement reserves to offset the TI's and Leasing Commissions </t>
  </si>
  <si>
    <t xml:space="preserve">Do I need to use forward NOI in year 2033 to determine the Gross proceeds from the sale </t>
  </si>
  <si>
    <t xml:space="preserve">Construction timeline </t>
  </si>
  <si>
    <t xml:space="preserve">Lease Up time line </t>
  </si>
  <si>
    <t xml:space="preserve">Need to Remove Affordable LIHTC from For-Sale Properties and then increase cost according to some % of AMI </t>
  </si>
  <si>
    <t xml:space="preserve">Cost for parking needs to reflect what we are building, and not the existing parking on site </t>
  </si>
  <si>
    <t xml:space="preserve">Need to make sure all line items in pro forma are named the same (take out amenity fee and put in Other Fee income) </t>
  </si>
  <si>
    <t xml:space="preserve">Need to add in Data center and Student housing into the pro forma </t>
  </si>
  <si>
    <t xml:space="preserve">Market Value of 25 parcels + Market Value of Public ROW </t>
  </si>
  <si>
    <t xml:space="preserve">Need to fix parking in the pro formas </t>
  </si>
  <si>
    <t xml:space="preserve">Market Comps for all product types in the area </t>
  </si>
  <si>
    <t xml:space="preserve">WHEN UPDATE PRO FORMA WITH NEW PRODUCT TYPE, UPDATE TO GET VALUE AND NOI FIRST IN THE PRO FORMA (IN AUTOMATIC), Populate NOI and Value in Loan Sizing, F64-67 Values, Update formulas in 64-67 to inclkude new NOI/Value, and update % of NOI/Value formulas, switch to Manual and press F9 to recalculate loan amount </t>
  </si>
  <si>
    <t xml:space="preserve">Update TIF in all Pro Formas </t>
  </si>
  <si>
    <t xml:space="preserve">Make sure linking cells to summary wont change if you modify the assumptions tab </t>
  </si>
  <si>
    <t xml:space="preserve">Need to look at Cincy Stitch and see how they purchased or leased a parking deck, do this for east village parking deck </t>
  </si>
  <si>
    <t xml:space="preserve">Excel Shortcuts </t>
  </si>
  <si>
    <t xml:space="preserve">Type of Shortcut </t>
  </si>
  <si>
    <t xml:space="preserve">Action </t>
  </si>
  <si>
    <t xml:space="preserve">How to move around quickly </t>
  </si>
  <si>
    <t xml:space="preserve">Use Ctrl key to move around quickly </t>
  </si>
  <si>
    <t xml:space="preserve">Edit Cell </t>
  </si>
  <si>
    <t>Fn + F2</t>
  </si>
  <si>
    <t xml:space="preserve">Go to Top Left Cell of Worksheet </t>
  </si>
  <si>
    <t xml:space="preserve">Ctrl + Fn + Left Arrow </t>
  </si>
  <si>
    <t xml:space="preserve">Fn Lock </t>
  </si>
  <si>
    <t xml:space="preserve">Fn + Escape Key </t>
  </si>
  <si>
    <t xml:space="preserve">Move Pages (Right) </t>
  </si>
  <si>
    <t xml:space="preserve">Ctrl + Fn + Down Arrow </t>
  </si>
  <si>
    <t xml:space="preserve">Move Pages (Left) </t>
  </si>
  <si>
    <t xml:space="preserve">Ctrl + Fn + Up Arrow  </t>
  </si>
  <si>
    <t xml:space="preserve">Change Column Width (Manual) </t>
  </si>
  <si>
    <t xml:space="preserve">Alt + O + C + W </t>
  </si>
  <si>
    <t xml:space="preserve">Autofit Column </t>
  </si>
  <si>
    <t xml:space="preserve">Alt, H, O, I </t>
  </si>
  <si>
    <t>Autofit Row</t>
  </si>
  <si>
    <t xml:space="preserve">Alt, H, O, A </t>
  </si>
  <si>
    <t xml:space="preserve">Find and Replace </t>
  </si>
  <si>
    <t xml:space="preserve">Ctrl + H </t>
  </si>
  <si>
    <t>Team Number</t>
  </si>
  <si>
    <t>TBD</t>
  </si>
  <si>
    <t xml:space="preserve">Summary Pro Forma </t>
  </si>
  <si>
    <t xml:space="preserve">Team </t>
  </si>
  <si>
    <t>2022-5212</t>
  </si>
  <si>
    <t>Phase 1</t>
  </si>
  <si>
    <t>Phase 2</t>
  </si>
  <si>
    <t>Phase 3</t>
  </si>
  <si>
    <t>2022-2023</t>
  </si>
  <si>
    <t xml:space="preserve">Net Operating Income </t>
  </si>
  <si>
    <t>Market-Rate Rental Housing</t>
  </si>
  <si>
    <t>Market-Rate For-Sale Housing</t>
  </si>
  <si>
    <t xml:space="preserve">Affordable Rental Housing </t>
  </si>
  <si>
    <t xml:space="preserve">Affordable For-Sale Housing </t>
  </si>
  <si>
    <t>Office</t>
  </si>
  <si>
    <t xml:space="preserve">Retail </t>
  </si>
  <si>
    <t xml:space="preserve">Community Facility </t>
  </si>
  <si>
    <t xml:space="preserve">Hotel </t>
  </si>
  <si>
    <t xml:space="preserve">Industrial </t>
  </si>
  <si>
    <t xml:space="preserve">Structured and Surface Parking </t>
  </si>
  <si>
    <t xml:space="preserve">Demolition (included in Hard Costs below) </t>
  </si>
  <si>
    <t>Remediation</t>
  </si>
  <si>
    <t>Development Fees</t>
  </si>
  <si>
    <t>Other</t>
  </si>
  <si>
    <t>Total Net Operating Income</t>
  </si>
  <si>
    <t xml:space="preserve">Gross Sale Proceeds </t>
  </si>
  <si>
    <t xml:space="preserve">Less: Sales Costs </t>
  </si>
  <si>
    <t>Total Income</t>
  </si>
  <si>
    <t>Development Costs</t>
  </si>
  <si>
    <t>Phase I</t>
  </si>
  <si>
    <t>Phase II</t>
  </si>
  <si>
    <t>Phase III</t>
  </si>
  <si>
    <t xml:space="preserve">Hard Costs </t>
  </si>
  <si>
    <t xml:space="preserve">Market-Rate For-Sale Housing </t>
  </si>
  <si>
    <t>Affordable For-Sale Housing</t>
  </si>
  <si>
    <t xml:space="preserve">Specialty - Data Center </t>
  </si>
  <si>
    <t xml:space="preserve">Structured Parking </t>
  </si>
  <si>
    <t xml:space="preserve">Surface Parking </t>
  </si>
  <si>
    <t xml:space="preserve">Land Acquisition </t>
  </si>
  <si>
    <t xml:space="preserve">Total Infastructure </t>
  </si>
  <si>
    <t xml:space="preserve">Soft Costs and Reserves </t>
  </si>
  <si>
    <t xml:space="preserve">Total Unlevered Development Costs </t>
  </si>
  <si>
    <t xml:space="preserve">Tax Credits &amp; TIF Subsidies </t>
  </si>
  <si>
    <t xml:space="preserve">TDC Net of Subsidies </t>
  </si>
  <si>
    <t xml:space="preserve">Financing Costs </t>
  </si>
  <si>
    <t xml:space="preserve">Levered TDC Net of Subsidies </t>
  </si>
  <si>
    <t xml:space="preserve">Annual Cash Flow </t>
  </si>
  <si>
    <t xml:space="preserve">Total Asset Value </t>
  </si>
  <si>
    <t xml:space="preserve">Total Costs of Sale </t>
  </si>
  <si>
    <t xml:space="preserve">Total Development Costs (net of Subsidies) </t>
  </si>
  <si>
    <t xml:space="preserve">Unlevered Cash Flow </t>
  </si>
  <si>
    <t xml:space="preserve">Capitalized Financing Costs </t>
  </si>
  <si>
    <t xml:space="preserve">Loan Funding and Refinancing </t>
  </si>
  <si>
    <t>Perm Loan Debt Service, Repayment, &amp; Origination Fee</t>
  </si>
  <si>
    <t>Levered Net Cash Flow</t>
  </si>
  <si>
    <t>Net Present Value</t>
  </si>
  <si>
    <t>Blended Perm Loan to Value Ratio (LVR)</t>
  </si>
  <si>
    <t>Unlevered IRR Before Taxes</t>
  </si>
  <si>
    <t>Current Site Value (start of Year 0)</t>
  </si>
  <si>
    <t>Levered IRR Before Taxes</t>
  </si>
  <si>
    <t>Projected Site Value (end of Year 10)</t>
  </si>
  <si>
    <t xml:space="preserve">2. Multiyear Development Program </t>
  </si>
  <si>
    <t>Year-by-Year Cumulative Absorption</t>
  </si>
  <si>
    <t>Total Buildout</t>
  </si>
  <si>
    <t>Project Buildout by Development Units</t>
  </si>
  <si>
    <t xml:space="preserve">Market-Rate Rental Housing </t>
  </si>
  <si>
    <t>(units)</t>
  </si>
  <si>
    <t>Hotel</t>
  </si>
  <si>
    <t>(rooms)</t>
  </si>
  <si>
    <t>Structured Parking</t>
  </si>
  <si>
    <t>(spaces)</t>
  </si>
  <si>
    <t>Surface Parking</t>
  </si>
  <si>
    <t>Project Buildout by Area</t>
  </si>
  <si>
    <t>(s.f.)</t>
  </si>
  <si>
    <t>Total</t>
  </si>
  <si>
    <t xml:space="preserve">3. Unit Development and Infastructure Costs </t>
  </si>
  <si>
    <t>4. Equity and Financing Sources</t>
  </si>
  <si>
    <t xml:space="preserve">Unit Hard Cost </t>
  </si>
  <si>
    <t>Unit TDC</t>
  </si>
  <si>
    <t>TDC</t>
  </si>
  <si>
    <t>Amount</t>
  </si>
  <si>
    <t xml:space="preserve">Percent of Total </t>
  </si>
  <si>
    <t>Equity Sources (total)</t>
  </si>
  <si>
    <t>Construction Phase</t>
  </si>
  <si>
    <t xml:space="preserve">Permanent Phase </t>
  </si>
  <si>
    <t xml:space="preserve">Opportunity Zone Fund Equity </t>
  </si>
  <si>
    <t>Financing Sources (total)</t>
  </si>
  <si>
    <t xml:space="preserve">Construction Phase </t>
  </si>
  <si>
    <t xml:space="preserve">Other </t>
  </si>
  <si>
    <t>Construction Loan</t>
  </si>
  <si>
    <t xml:space="preserve">Permanent Bank Loan </t>
  </si>
  <si>
    <t>Infrastructure Costs</t>
  </si>
  <si>
    <t>Public - TIF</t>
  </si>
  <si>
    <t>Community Buildings</t>
  </si>
  <si>
    <t>Streets</t>
  </si>
  <si>
    <t>Sidewalks</t>
  </si>
  <si>
    <t>Public Subsidies (total, if any)</t>
  </si>
  <si>
    <t>Park Space</t>
  </si>
  <si>
    <t xml:space="preserve">TIF Loan </t>
  </si>
  <si>
    <t>Other Amenities</t>
  </si>
  <si>
    <t xml:space="preserve">Low-Income Housing Tax Credit Equity </t>
  </si>
  <si>
    <t>Acquisition Taxes and Fees</t>
  </si>
  <si>
    <t>Total Infrastructure Costs</t>
  </si>
  <si>
    <t>Total Development Costs</t>
  </si>
  <si>
    <t xml:space="preserve">Total Sources </t>
  </si>
  <si>
    <t>Team No. 2022-5212</t>
  </si>
  <si>
    <t xml:space="preserve">Development Schedule </t>
  </si>
  <si>
    <t xml:space="preserve">Phase </t>
  </si>
  <si>
    <t xml:space="preserve">Financial Performance </t>
  </si>
  <si>
    <t>Phase</t>
  </si>
  <si>
    <t>I</t>
  </si>
  <si>
    <t>II</t>
  </si>
  <si>
    <t>III</t>
  </si>
  <si>
    <t xml:space="preserve">Total </t>
  </si>
  <si>
    <t>Predevelopment Closing</t>
  </si>
  <si>
    <t xml:space="preserve">Construction Closing </t>
  </si>
  <si>
    <t xml:space="preserve">Construction Completion </t>
  </si>
  <si>
    <t xml:space="preserve">Stabilization &amp; Refinance </t>
  </si>
  <si>
    <t>Hold Period</t>
  </si>
  <si>
    <t xml:space="preserve">Project Sale </t>
  </si>
  <si>
    <t xml:space="preserve">Development Mix - Residential Mix (Units &amp; Market Rent) </t>
  </si>
  <si>
    <t>Avg. Unit Size (SF)</t>
  </si>
  <si>
    <t>Rent / PU</t>
  </si>
  <si>
    <t xml:space="preserve">Rent / PSF </t>
  </si>
  <si>
    <t xml:space="preserve">Market Rate Residential </t>
  </si>
  <si>
    <t>Studio Units</t>
  </si>
  <si>
    <t>Levered IRR Before Opportunity Zone Benefit</t>
  </si>
  <si>
    <t>1-BR Units</t>
  </si>
  <si>
    <t>2-BR Units</t>
  </si>
  <si>
    <t>3-BR Units</t>
  </si>
  <si>
    <t xml:space="preserve">Financing Assumptions </t>
  </si>
  <si>
    <t xml:space="preserve">Affordable Residential </t>
  </si>
  <si>
    <t>Rate (30 year am.)</t>
  </si>
  <si>
    <t>Stabilized Mixed-Use Component NOI</t>
  </si>
  <si>
    <t>Estimated Mixed-Use Component Value</t>
  </si>
  <si>
    <t>Market Rate For-Sale Residential</t>
  </si>
  <si>
    <t xml:space="preserve">Sale Price </t>
  </si>
  <si>
    <t>Sale $ / SF</t>
  </si>
  <si>
    <t>Maximum LTV</t>
  </si>
  <si>
    <t>Maximum Loan by LTV Test</t>
  </si>
  <si>
    <t>Minimum DSCR</t>
  </si>
  <si>
    <t>Maximum Loan by DSCR Test</t>
  </si>
  <si>
    <t xml:space="preserve">Construction Loan Amount </t>
  </si>
  <si>
    <t xml:space="preserve">Affordable For-Sale Residential </t>
  </si>
  <si>
    <t xml:space="preserve">Total Permanent Bank Loan </t>
  </si>
  <si>
    <t xml:space="preserve">Projected Annual Debt Service </t>
  </si>
  <si>
    <t xml:space="preserve">Sources &amp; Uses </t>
  </si>
  <si>
    <t>%</t>
  </si>
  <si>
    <t>Development Mix - Commercial/Office (sqft)</t>
  </si>
  <si>
    <t xml:space="preserve">Predevelopment </t>
  </si>
  <si>
    <t>Sources</t>
  </si>
  <si>
    <t xml:space="preserve">Conventional Retail </t>
  </si>
  <si>
    <t>Restaurant</t>
  </si>
  <si>
    <t xml:space="preserve">Uses </t>
  </si>
  <si>
    <t xml:space="preserve">Office </t>
  </si>
  <si>
    <t xml:space="preserve">Conventional Office </t>
  </si>
  <si>
    <t>Social Services</t>
  </si>
  <si>
    <t>Development Mix - Commercial + Other (SF and Rent)</t>
  </si>
  <si>
    <t xml:space="preserve">Room Size </t>
  </si>
  <si>
    <t xml:space="preserve">Occupancy </t>
  </si>
  <si>
    <t>Total Uses</t>
  </si>
  <si>
    <t xml:space="preserve">Type </t>
  </si>
  <si>
    <t>Full-Service</t>
  </si>
  <si>
    <t xml:space="preserve">Construction </t>
  </si>
  <si>
    <t xml:space="preserve">Stabilized ADR </t>
  </si>
  <si>
    <t>RevPAR</t>
  </si>
  <si>
    <t xml:space="preserve">Senior Construction Loan </t>
  </si>
  <si>
    <t xml:space="preserve">Federal Low-Income HTC </t>
  </si>
  <si>
    <t>Uses</t>
  </si>
  <si>
    <t xml:space="preserve">Total Uses </t>
  </si>
  <si>
    <t xml:space="preserve">Permanent </t>
  </si>
  <si>
    <t xml:space="preserve">Sources </t>
  </si>
  <si>
    <t>Federal Low-Income HTC</t>
  </si>
  <si>
    <t xml:space="preserve">Project Breakdown by GSF </t>
  </si>
  <si>
    <t xml:space="preserve">Global </t>
  </si>
  <si>
    <t>Construction Sources</t>
  </si>
  <si>
    <t>Permanent Sources</t>
  </si>
  <si>
    <t xml:space="preserve">Standard Affordable Residential </t>
  </si>
  <si>
    <t>Senior Construction Loan</t>
  </si>
  <si>
    <t>Senior Permanent Loan</t>
  </si>
  <si>
    <t xml:space="preserve">Standard Market-Rate Residential </t>
  </si>
  <si>
    <t>TIF Loan</t>
  </si>
  <si>
    <t>EB-5 Loan</t>
  </si>
  <si>
    <t>Multi-Bedroom Affordable Residential</t>
  </si>
  <si>
    <t>Federal Low-Income Housing Tax Credit Equity</t>
  </si>
  <si>
    <t>Multi-Bedroom Market-Rate Residential</t>
  </si>
  <si>
    <t xml:space="preserve">Federal New Markets Tax Credit Equity </t>
  </si>
  <si>
    <t>Federal LIHTC Equity</t>
  </si>
  <si>
    <t xml:space="preserve">Affordable Senior Living Residential </t>
  </si>
  <si>
    <t>Opportunity Zone Fund Equity</t>
  </si>
  <si>
    <t xml:space="preserve">Market-Rate Senior Living Residential </t>
  </si>
  <si>
    <t>Total Sources</t>
  </si>
  <si>
    <t>Affordable For-Sale Residential</t>
  </si>
  <si>
    <t xml:space="preserve">Market-Rate For-Sale Residential </t>
  </si>
  <si>
    <t>Construction Uses</t>
  </si>
  <si>
    <t xml:space="preserve">Affordable Student Housing </t>
  </si>
  <si>
    <t>Acquisition Costs</t>
  </si>
  <si>
    <t xml:space="preserve">Market-Rate Student Housing </t>
  </si>
  <si>
    <t xml:space="preserve">Office / Lab </t>
  </si>
  <si>
    <t>Hard Costs</t>
  </si>
  <si>
    <t>Soft Costs</t>
  </si>
  <si>
    <t>Permanent Uses</t>
  </si>
  <si>
    <t>Financing Costs</t>
  </si>
  <si>
    <t>Reserves</t>
  </si>
  <si>
    <t>Developer Fee</t>
  </si>
  <si>
    <t xml:space="preserve">Structural Parking </t>
  </si>
  <si>
    <t>Total GSF</t>
  </si>
  <si>
    <t xml:space="preserve">Product Type </t>
  </si>
  <si>
    <t xml:space="preserve">Total RSF </t>
  </si>
  <si>
    <t xml:space="preserve">Phase I </t>
  </si>
  <si>
    <t xml:space="preserve">Market-Rate Residential </t>
  </si>
  <si>
    <t xml:space="preserve">Budget Summary </t>
  </si>
  <si>
    <t>PGSF</t>
  </si>
  <si>
    <t xml:space="preserve">Site Acquisition Costs </t>
  </si>
  <si>
    <t>Office / Lab</t>
  </si>
  <si>
    <t xml:space="preserve">Infastructure Costs </t>
  </si>
  <si>
    <t xml:space="preserve">Soft Costs </t>
  </si>
  <si>
    <t xml:space="preserve">Data Center </t>
  </si>
  <si>
    <t xml:space="preserve">Reserves </t>
  </si>
  <si>
    <t xml:space="preserve">Development Fee </t>
  </si>
  <si>
    <t xml:space="preserve">Total Development Budget </t>
  </si>
  <si>
    <t xml:space="preserve">Return Summary </t>
  </si>
  <si>
    <t>Project (Unlevered) Returns</t>
  </si>
  <si>
    <t>Total Cost less Subsidies</t>
  </si>
  <si>
    <t>Total Value</t>
  </si>
  <si>
    <t xml:space="preserve">Stabilized NOI </t>
  </si>
  <si>
    <t>Yield-to-Cost</t>
  </si>
  <si>
    <t>Blended Exit Cap</t>
  </si>
  <si>
    <t xml:space="preserve">Cap Rate Spread </t>
  </si>
  <si>
    <t xml:space="preserve">Project Levered Returns </t>
  </si>
  <si>
    <t>Combined Pre-Tax Returns</t>
  </si>
  <si>
    <t>Combined Pre-Tax Equivalent Opportunity Zone Returns</t>
  </si>
  <si>
    <t>Unlevered IRR</t>
  </si>
  <si>
    <t>Levered IRR</t>
  </si>
  <si>
    <t>Equity Returns</t>
  </si>
  <si>
    <t>Opportunity Zone Unlevered Pre-Tax IRR</t>
  </si>
  <si>
    <t>Opportunity Zone Levered Pre-Tax IRR</t>
  </si>
  <si>
    <t>Equity Multiple</t>
  </si>
  <si>
    <t xml:space="preserve">Updates on 1/24 </t>
  </si>
  <si>
    <t>#</t>
  </si>
  <si>
    <t xml:space="preserve">Change Made </t>
  </si>
  <si>
    <t xml:space="preserve">Comments </t>
  </si>
  <si>
    <t xml:space="preserve">Updated Block C parking to 97,200 SF </t>
  </si>
  <si>
    <t xml:space="preserve">Updated Block I with 23,452 SF of parking </t>
  </si>
  <si>
    <t xml:space="preserve">Updated new phasing and all SF are now populating correctly </t>
  </si>
  <si>
    <t xml:space="preserve">Need to name every product type correct and re run offset formula in PB and Budget Tab </t>
  </si>
  <si>
    <t xml:space="preserve">Need to update pro formas with Data center underwriting assumptions </t>
  </si>
  <si>
    <t xml:space="preserve">Included 9K Public right of way and purchase it for fair market value </t>
  </si>
  <si>
    <t xml:space="preserve">Updated infrastructure cost formulas on the budget tab </t>
  </si>
  <si>
    <t xml:space="preserve">Need to make sure LIHTC is populating correcttly and applied to the correct portion of Aff. Housing. </t>
  </si>
  <si>
    <t xml:space="preserve">Need to incorporate Taxes and TIF for Student Housing </t>
  </si>
  <si>
    <t>Team No. 2021-2420</t>
  </si>
  <si>
    <t>Parcel Legend</t>
  </si>
  <si>
    <t>Map No.</t>
  </si>
  <si>
    <t xml:space="preserve">Parcel </t>
  </si>
  <si>
    <t>Owned or Acquired</t>
  </si>
  <si>
    <t>Type</t>
  </si>
  <si>
    <t>Parcel_Number</t>
  </si>
  <si>
    <t xml:space="preserve">Address </t>
  </si>
  <si>
    <t>Zoning</t>
  </si>
  <si>
    <t>Assessed Land</t>
  </si>
  <si>
    <t>Assessed Improved</t>
  </si>
  <si>
    <t xml:space="preserve">Total Value </t>
  </si>
  <si>
    <t>Improvements</t>
  </si>
  <si>
    <t>SF</t>
  </si>
  <si>
    <t>A</t>
  </si>
  <si>
    <t>Owned</t>
  </si>
  <si>
    <t xml:space="preserve">Original </t>
  </si>
  <si>
    <t>29-210-21-01-00-0-00-000</t>
  </si>
  <si>
    <t>805 CHERRY ST / 807 CHERRY ST</t>
  </si>
  <si>
    <t>UR</t>
  </si>
  <si>
    <t>None</t>
  </si>
  <si>
    <t>B</t>
  </si>
  <si>
    <t>29-210-22-07-00-0-00-000</t>
  </si>
  <si>
    <t>701 E 8TH ST</t>
  </si>
  <si>
    <t>Surface parking</t>
  </si>
  <si>
    <t>C</t>
  </si>
  <si>
    <t>29-210-21-06-00-0-00-000</t>
  </si>
  <si>
    <t>815 CHERRY ST</t>
  </si>
  <si>
    <t>1 level building / garage</t>
  </si>
  <si>
    <t>D</t>
  </si>
  <si>
    <t>29-210-21-07-00-0-00-000</t>
  </si>
  <si>
    <t>606 E 9th ST / 817 CHERRY ST</t>
  </si>
  <si>
    <t>4 level building</t>
  </si>
  <si>
    <t>E</t>
  </si>
  <si>
    <t>29-210-21-04-00-0-00-000</t>
  </si>
  <si>
    <t>610 E 9TH ST</t>
  </si>
  <si>
    <t>F</t>
  </si>
  <si>
    <t>29-210-30-09-00-0-00-000</t>
  </si>
  <si>
    <t>901 CHERRY ST / 921 CHERRY ST</t>
  </si>
  <si>
    <t>Parking garage</t>
  </si>
  <si>
    <t>G</t>
  </si>
  <si>
    <t>29-210-29-15-01-0-00-000</t>
  </si>
  <si>
    <t>929 HOLMES ST</t>
  </si>
  <si>
    <t>H</t>
  </si>
  <si>
    <t>29-210-29-15-02-0-00-000</t>
  </si>
  <si>
    <t>29-210-37-02-01-0-00-000</t>
  </si>
  <si>
    <t>1009 CHERRY ST</t>
  </si>
  <si>
    <t>29-210-37-01-00-0-00-000</t>
  </si>
  <si>
    <t>621 E 10TH ST</t>
  </si>
  <si>
    <t>29-210-37-05-01-0-00-000</t>
  </si>
  <si>
    <t>1010 HOLMES ST</t>
  </si>
  <si>
    <t>29-210-38-03-00-0-00-000</t>
  </si>
  <si>
    <t>703 E 10TH ST</t>
  </si>
  <si>
    <t>3 to 4 level building - Wiltshire Apartments</t>
  </si>
  <si>
    <t>29-210-38-04-00-0-00-000</t>
  </si>
  <si>
    <t>1005 HOLMES</t>
  </si>
  <si>
    <t>29-210-38-07-00-0-00-000</t>
  </si>
  <si>
    <t>1000 CHARLOTTE ST</t>
  </si>
  <si>
    <t>2 story building - Della Lam Elementary (vacant)</t>
  </si>
  <si>
    <t>29-210-38-08-01-0-00-000</t>
  </si>
  <si>
    <t>NO ADDRESS ASSIGNED</t>
  </si>
  <si>
    <t>29-210-37-02-02-0-00-000</t>
  </si>
  <si>
    <t>1015 CHERRY ST</t>
  </si>
  <si>
    <t>29-210-37-03-00-0-00-000</t>
  </si>
  <si>
    <t>1019 CHERRY ST</t>
  </si>
  <si>
    <t>29-210-37-08-00-0-00-000</t>
  </si>
  <si>
    <t>600 E 11th ST / 600 E 11th ST FL 1 / 1012 CHERRY ST</t>
  </si>
  <si>
    <t>29-210-37-05-02-0-00-000</t>
  </si>
  <si>
    <t>1030 HOLMES ST / 622 E 11TH ST</t>
  </si>
  <si>
    <t>29-210-38-08-02-0-00-000</t>
  </si>
  <si>
    <t>714 E 11TH ST</t>
  </si>
  <si>
    <t>29-210-47-02-00-0-00-000</t>
  </si>
  <si>
    <t>1109 CHERRY ST</t>
  </si>
  <si>
    <t>29-210-47-07-00-0-00-000</t>
  </si>
  <si>
    <t>1121 CHERRY ST</t>
  </si>
  <si>
    <t>29-210-47-06-00-0-00-000</t>
  </si>
  <si>
    <t>1119 CHERRY ST</t>
  </si>
  <si>
    <t>29-210-47-01-00-0-00-000</t>
  </si>
  <si>
    <t>1130 HOLMES ST</t>
  </si>
  <si>
    <t>29-210-46-01-00-0-00-000</t>
  </si>
  <si>
    <t>700 E 12TH ST / 700 E 12TH ST ABC / 700 E 12TH ST FL 1 / 1100 CHARLOTTE ST UTILITY / 1111 HOLMES ST</t>
  </si>
  <si>
    <t xml:space="preserve"> $-   </t>
  </si>
  <si>
    <t>Acquired</t>
  </si>
  <si>
    <t xml:space="preserve">Developable </t>
  </si>
  <si>
    <t>29-210-21-05-00-0-00-000</t>
  </si>
  <si>
    <t xml:space="preserve">612 E 9th Street </t>
  </si>
  <si>
    <t xml:space="preserve">Renovating building </t>
  </si>
  <si>
    <t>29-210-39-01-00-0-00-000</t>
  </si>
  <si>
    <t>801 E 10th St</t>
  </si>
  <si>
    <t xml:space="preserve">Building 8,471 Demo </t>
  </si>
  <si>
    <t>29-210-39-02-00-0-00-000</t>
  </si>
  <si>
    <t>1017 Charlotte Street</t>
  </si>
  <si>
    <t xml:space="preserve">Surface parking </t>
  </si>
  <si>
    <t>N/A</t>
  </si>
  <si>
    <t xml:space="preserve">Public Right of Way: Holmes (8th to 9th Street) </t>
  </si>
  <si>
    <t>ROW</t>
  </si>
  <si>
    <t>Public ROW</t>
  </si>
  <si>
    <t xml:space="preserve">****Need to include the portion of ROW that we acquired from the city </t>
  </si>
  <si>
    <t xml:space="preserve">Cost Per Acre </t>
  </si>
  <si>
    <t xml:space="preserve">Surface Parking Demo </t>
  </si>
  <si>
    <t>Cost (Owned)</t>
  </si>
  <si>
    <t xml:space="preserve">Building Demo </t>
  </si>
  <si>
    <t xml:space="preserve">Cost (Acquired) </t>
  </si>
  <si>
    <t>Total A</t>
  </si>
  <si>
    <t xml:space="preserve">A1 (Senior Living Site) </t>
  </si>
  <si>
    <t xml:space="preserve">Total B </t>
  </si>
  <si>
    <t xml:space="preserve">Check </t>
  </si>
  <si>
    <t>Total A/B</t>
  </si>
  <si>
    <t xml:space="preserve">New A </t>
  </si>
  <si>
    <t xml:space="preserve">New B </t>
  </si>
  <si>
    <t>Senior Living</t>
  </si>
  <si>
    <t>New A/B</t>
  </si>
  <si>
    <t xml:space="preserve">Revised A </t>
  </si>
  <si>
    <t>Delta</t>
  </si>
  <si>
    <t xml:space="preserve">Amount we took from City </t>
  </si>
  <si>
    <t>X</t>
  </si>
  <si>
    <t>Development: Roots</t>
  </si>
  <si>
    <t xml:space="preserve">Project (Levered Returns) </t>
  </si>
  <si>
    <t xml:space="preserve">Studio Units </t>
  </si>
  <si>
    <t xml:space="preserve">Average Size (RSF) </t>
  </si>
  <si>
    <t>Monthly Rent / PU</t>
  </si>
  <si>
    <t xml:space="preserve">Development Mix </t>
  </si>
  <si>
    <t>Timing Assumptions</t>
  </si>
  <si>
    <t>RSF</t>
  </si>
  <si>
    <t xml:space="preserve">Check (Pull from Parcel Breadown) </t>
  </si>
  <si>
    <t xml:space="preserve">Predevelopment Closing </t>
  </si>
  <si>
    <t>Predevelopment Period</t>
  </si>
  <si>
    <t>4-BR Units</t>
  </si>
  <si>
    <t>Construction Period</t>
  </si>
  <si>
    <t>Lease-Up Period</t>
  </si>
  <si>
    <t>Stabilization &amp; Refinance</t>
  </si>
  <si>
    <t xml:space="preserve">Sale Date </t>
  </si>
  <si>
    <t>Total RSF</t>
  </si>
  <si>
    <t xml:space="preserve">Live-Work Residential </t>
  </si>
  <si>
    <t xml:space="preserve">Years In Between Phases </t>
  </si>
  <si>
    <t>Data Center</t>
  </si>
  <si>
    <t>GSF</t>
  </si>
  <si>
    <t>Affordable Multi-Bedroom Residential</t>
  </si>
  <si>
    <t xml:space="preserve">Global Assumptions </t>
  </si>
  <si>
    <t xml:space="preserve">Inflation Rate </t>
  </si>
  <si>
    <t>Millage Rate (per $1,000/value)</t>
  </si>
  <si>
    <t>Brokerage Fee</t>
  </si>
  <si>
    <t>Market-Rate Multi-Bedroom Residential</t>
  </si>
  <si>
    <t xml:space="preserve">Cost of Sale </t>
  </si>
  <si>
    <t>Cap Rate Assumptions</t>
  </si>
  <si>
    <t xml:space="preserve">Standard Residential </t>
  </si>
  <si>
    <t xml:space="preserve">Units Summary </t>
  </si>
  <si>
    <t xml:space="preserve">Parking </t>
  </si>
  <si>
    <t xml:space="preserve">Soft Cost Summary </t>
  </si>
  <si>
    <t>% of Hard Costs</t>
  </si>
  <si>
    <t xml:space="preserve">Architecture &amp; Engineering Fees </t>
  </si>
  <si>
    <t>Contractor Fees</t>
  </si>
  <si>
    <t>Permits</t>
  </si>
  <si>
    <t xml:space="preserve">Development Fees </t>
  </si>
  <si>
    <t>Operating Assumptions</t>
  </si>
  <si>
    <t>Vacancy</t>
  </si>
  <si>
    <t xml:space="preserve">Annual Affordable For-Sale Housing Gross Rent </t>
  </si>
  <si>
    <t>Affordable Residential Vacancy</t>
  </si>
  <si>
    <t>Affordable Residential Unit Mix (50% AMI)</t>
  </si>
  <si>
    <t>Market Rate Residential Vacancy</t>
  </si>
  <si>
    <t>Total Units</t>
  </si>
  <si>
    <t>Affordable For-Sale Housing Vacancy</t>
  </si>
  <si>
    <t>Blended Rent PSF</t>
  </si>
  <si>
    <t>Market-Rate For-Sale Housing Vacancy</t>
  </si>
  <si>
    <t>Blended Rent PU</t>
  </si>
  <si>
    <t>Retail Vacancy</t>
  </si>
  <si>
    <t>Office Vacancy</t>
  </si>
  <si>
    <t>Parking Vacancy</t>
  </si>
  <si>
    <t>Rent Growth</t>
  </si>
  <si>
    <t>Affordable Residential Rent Growth</t>
  </si>
  <si>
    <t xml:space="preserve">Annual Affordable Residential Gross Rent </t>
  </si>
  <si>
    <t>Market Rate Residential Rent Growth</t>
  </si>
  <si>
    <t xml:space="preserve">Affordable For-Sale Housing Growth </t>
  </si>
  <si>
    <t xml:space="preserve">Standard </t>
  </si>
  <si>
    <t>Market-Rate For-Sale Housing Growth</t>
  </si>
  <si>
    <t xml:space="preserve">Family </t>
  </si>
  <si>
    <t>Retail Growth</t>
  </si>
  <si>
    <t xml:space="preserve">Senior Living </t>
  </si>
  <si>
    <t>every…</t>
  </si>
  <si>
    <t>For-Sale</t>
  </si>
  <si>
    <t>Hotel Growth</t>
  </si>
  <si>
    <t xml:space="preserve">Student Housing </t>
  </si>
  <si>
    <t xml:space="preserve">Market Rate Residential Unit Mix </t>
  </si>
  <si>
    <t>Office Growth</t>
  </si>
  <si>
    <t>Affordable Senior Living Residential Vacancy</t>
  </si>
  <si>
    <t>Market-Rate Senior Living Residential Vacancy</t>
  </si>
  <si>
    <t>Parking Growth</t>
  </si>
  <si>
    <t xml:space="preserve">Affordable Student Housing Vacancy </t>
  </si>
  <si>
    <t>Expense Growth</t>
  </si>
  <si>
    <t xml:space="preserve">Market Rate Student Housing Vacancy </t>
  </si>
  <si>
    <t>Affordable Residential Expense Growth</t>
  </si>
  <si>
    <t>Market Rate Residential Expense Growth</t>
  </si>
  <si>
    <t>Community Facility Vacancy</t>
  </si>
  <si>
    <t>Data Center Vacancy</t>
  </si>
  <si>
    <t xml:space="preserve">Affordable Senior Living Residential Growth </t>
  </si>
  <si>
    <t xml:space="preserve">Annual Market-Rate For-Sale Housing Gross Rent </t>
  </si>
  <si>
    <t xml:space="preserve">Market-Rate Senior Living Residential Growth </t>
  </si>
  <si>
    <t xml:space="preserve">Affordable Student Housing Growth </t>
  </si>
  <si>
    <t>Cost Growth</t>
  </si>
  <si>
    <t xml:space="preserve">Market Rate Student Housing Growth </t>
  </si>
  <si>
    <t>Inflation</t>
  </si>
  <si>
    <t>Years to Inflate</t>
  </si>
  <si>
    <t>Community Facility Growth</t>
  </si>
  <si>
    <t>CAM + Expense Reimbursement Rate</t>
  </si>
  <si>
    <t>Affordable Senior Living Residential</t>
  </si>
  <si>
    <t xml:space="preserve">Annual Market-Rate Residential Gross Rent </t>
  </si>
  <si>
    <t>Retail Reimbursement</t>
  </si>
  <si>
    <t>Independent Living</t>
  </si>
  <si>
    <t>Data Center Growth</t>
  </si>
  <si>
    <t>Office Reimbursement</t>
  </si>
  <si>
    <t>1-BR Independent Living Units</t>
  </si>
  <si>
    <t>Operating Expenses and Replacement Reserves PU (Annual)</t>
  </si>
  <si>
    <t>Affordable Residential</t>
  </si>
  <si>
    <t>Market Rate Residential</t>
  </si>
  <si>
    <t>2-BR Independent Living Units</t>
  </si>
  <si>
    <t xml:space="preserve">Residential Rental Income Loss </t>
  </si>
  <si>
    <t xml:space="preserve">Gain / Loss to Lease (% of Rental Income) </t>
  </si>
  <si>
    <t>Parking</t>
  </si>
  <si>
    <t xml:space="preserve">Office Mix </t>
  </si>
  <si>
    <t>Assisted Living</t>
  </si>
  <si>
    <t>Conventional Office Space</t>
  </si>
  <si>
    <t>Operating Expenses, Cont. / Non-Cont. Exp, Replacement Reserves PSF</t>
  </si>
  <si>
    <t>1-BR Assissted Living Units</t>
  </si>
  <si>
    <t xml:space="preserve">Square Footage </t>
  </si>
  <si>
    <t>Rent PSF</t>
  </si>
  <si>
    <t>Industrial</t>
  </si>
  <si>
    <t xml:space="preserve">Annual Rent </t>
  </si>
  <si>
    <t>Retail</t>
  </si>
  <si>
    <t xml:space="preserve">2-BR Assissted Living Units </t>
  </si>
  <si>
    <t>Community Facility</t>
  </si>
  <si>
    <t xml:space="preserve">Tenant Improvement Allowance and Leasing Commissions </t>
  </si>
  <si>
    <t>Community Facility Reimbursement</t>
  </si>
  <si>
    <t xml:space="preserve">Office TI's </t>
  </si>
  <si>
    <t>Annual Office Rent</t>
  </si>
  <si>
    <t xml:space="preserve">Retail TI's </t>
  </si>
  <si>
    <t xml:space="preserve">Memory Care </t>
  </si>
  <si>
    <t xml:space="preserve">Office Leasing Commissions </t>
  </si>
  <si>
    <t>Studio</t>
  </si>
  <si>
    <t xml:space="preserve">Blended Rent PSF </t>
  </si>
  <si>
    <t xml:space="preserve">Retail Leasing Commissions </t>
  </si>
  <si>
    <t xml:space="preserve">Retail Mix </t>
  </si>
  <si>
    <t>Hotel Operating Expenses</t>
  </si>
  <si>
    <t xml:space="preserve">Traditional Retail </t>
  </si>
  <si>
    <t>Departmental Expenses (% of Relevant Revenue)</t>
  </si>
  <si>
    <t xml:space="preserve">Annual Affordable Senior Living Gross Rent </t>
  </si>
  <si>
    <t>Room Expenses</t>
  </si>
  <si>
    <t>F&amp;B + Other Expenses</t>
  </si>
  <si>
    <t>Undistributed Expenses (% of Total Revenue)</t>
  </si>
  <si>
    <t>G&amp;A</t>
  </si>
  <si>
    <t>Telecom</t>
  </si>
  <si>
    <t>Marketing</t>
  </si>
  <si>
    <t>Market-Rate Senior Living Residential</t>
  </si>
  <si>
    <t>Franchise Fees</t>
  </si>
  <si>
    <t>Annual Retail Rent</t>
  </si>
  <si>
    <t>Utility Costs</t>
  </si>
  <si>
    <t>Maintenance</t>
  </si>
  <si>
    <t>Insurance</t>
  </si>
  <si>
    <t>Management Fees</t>
  </si>
  <si>
    <t>Reserves (% of Total Revenue)</t>
  </si>
  <si>
    <t>FF&amp;E Reserve</t>
  </si>
  <si>
    <t>Conference Space (% of Relevant Revenue)</t>
  </si>
  <si>
    <t>Expenses</t>
  </si>
  <si>
    <t>Price / PSF</t>
  </si>
  <si>
    <t xml:space="preserve">LIBOR Forecast Construction </t>
  </si>
  <si>
    <t xml:space="preserve">Construction Loan </t>
  </si>
  <si>
    <t>LTC</t>
  </si>
  <si>
    <t>LIBOR Spread</t>
  </si>
  <si>
    <t xml:space="preserve">All-in Rate </t>
  </si>
  <si>
    <t>Blended Price PSF</t>
  </si>
  <si>
    <t xml:space="preserve">Origination Fee </t>
  </si>
  <si>
    <t>Blended Price PU</t>
  </si>
  <si>
    <t xml:space="preserve">Average Utilization (Draw) </t>
  </si>
  <si>
    <t xml:space="preserve">Permanent Senior Bank Loan </t>
  </si>
  <si>
    <t>LTV</t>
  </si>
  <si>
    <t>DSCR</t>
  </si>
  <si>
    <t xml:space="preserve">Interest Rate </t>
  </si>
  <si>
    <t xml:space="preserve">Amortization </t>
  </si>
  <si>
    <t>n/a</t>
  </si>
  <si>
    <t xml:space="preserve">Other Income and Fees PU w/ Capture Rate </t>
  </si>
  <si>
    <t xml:space="preserve">Other Fee Income </t>
  </si>
  <si>
    <t>TIF Loan (EIFD)</t>
  </si>
  <si>
    <t>Hotel Mix</t>
  </si>
  <si>
    <t>Global</t>
  </si>
  <si>
    <t xml:space="preserve">Capture Rate </t>
  </si>
  <si>
    <t>Keys</t>
  </si>
  <si>
    <t>Average Size</t>
  </si>
  <si>
    <t>Amortization</t>
  </si>
  <si>
    <t>Occupancy</t>
  </si>
  <si>
    <t>Stabilized ADR</t>
  </si>
  <si>
    <t>Annual Hotel Revenue</t>
  </si>
  <si>
    <t xml:space="preserve">Amount </t>
  </si>
  <si>
    <t xml:space="preserve">Incubator </t>
  </si>
  <si>
    <t>Credits</t>
  </si>
  <si>
    <t>Low-Income Housing Tax Credit Equity</t>
  </si>
  <si>
    <t>Credit Pricing</t>
  </si>
  <si>
    <t>Total Keys</t>
  </si>
  <si>
    <t xml:space="preserve">Total Allocation (9% Credit Allocation) </t>
  </si>
  <si>
    <t>Federal New Markets Tax Credit Equity</t>
  </si>
  <si>
    <t>Blended RevPAR PSF</t>
  </si>
  <si>
    <t>Allocation</t>
  </si>
  <si>
    <t>F&amp;B</t>
  </si>
  <si>
    <t>Per Occupied Room Night</t>
  </si>
  <si>
    <t>Pricing</t>
  </si>
  <si>
    <t>Annual per Key</t>
  </si>
  <si>
    <t xml:space="preserve">Eligible Basis </t>
  </si>
  <si>
    <t xml:space="preserve">Office Converted Retail </t>
  </si>
  <si>
    <t>Miscellaneous</t>
  </si>
  <si>
    <t xml:space="preserve">Floorspace Fraction </t>
  </si>
  <si>
    <t xml:space="preserve">Unit Fraction </t>
  </si>
  <si>
    <t xml:space="preserve">Applicable Fraction </t>
  </si>
  <si>
    <t>Annual F&amp;B Revenue</t>
  </si>
  <si>
    <t>Qualified Basis</t>
  </si>
  <si>
    <t xml:space="preserve">Special Use - Data Center </t>
  </si>
  <si>
    <t>Conference Space</t>
  </si>
  <si>
    <t>Basis Boost</t>
  </si>
  <si>
    <t>Square Footage</t>
  </si>
  <si>
    <t>Total Qualified Basis</t>
  </si>
  <si>
    <t>Number of Events per Year</t>
  </si>
  <si>
    <t>Applicable Credit Percentage</t>
  </si>
  <si>
    <t xml:space="preserve">Watt / SF </t>
  </si>
  <si>
    <t>Guests / Event</t>
  </si>
  <si>
    <t>Annual LIHTC</t>
  </si>
  <si>
    <t>Total KW</t>
  </si>
  <si>
    <t>Revenue / Guest</t>
  </si>
  <si>
    <t xml:space="preserve">Credit Pricing </t>
  </si>
  <si>
    <t xml:space="preserve">Total MW (assumes N+1 model) </t>
  </si>
  <si>
    <t>Annual Revenue PSF</t>
  </si>
  <si>
    <t xml:space="preserve">Total Allocation </t>
  </si>
  <si>
    <t>Annual Conference Revenue</t>
  </si>
  <si>
    <t xml:space="preserve">Lease Up (MW/Year) </t>
  </si>
  <si>
    <t>Ramp-Up</t>
  </si>
  <si>
    <t xml:space="preserve">Other Type Industrial Space </t>
  </si>
  <si>
    <t>Year 1 Occupancy</t>
  </si>
  <si>
    <t>Year 1 ADR</t>
  </si>
  <si>
    <t>Year 2 Occupancy</t>
  </si>
  <si>
    <t>Year 2 ADR</t>
  </si>
  <si>
    <t>Parking Mix</t>
  </si>
  <si>
    <t>Structural Parking - Revenue</t>
  </si>
  <si>
    <t>Spaces</t>
  </si>
  <si>
    <t>SF / Space</t>
  </si>
  <si>
    <t>Monthly Rent / Space</t>
  </si>
  <si>
    <t xml:space="preserve">Total Annual Low-Income Housing Tax Credit Equity </t>
  </si>
  <si>
    <t>Annual Rent</t>
  </si>
  <si>
    <t xml:space="preserve">Total 10-yr LIHTC Equity </t>
  </si>
  <si>
    <t>Surface Parking - Revenue</t>
  </si>
  <si>
    <t>Annual Parking Rent</t>
  </si>
  <si>
    <t>Total RSF - Structural</t>
  </si>
  <si>
    <t xml:space="preserve">Live-Work Affordable Residential </t>
  </si>
  <si>
    <t>Total RSF - Surface</t>
  </si>
  <si>
    <t>2)</t>
  </si>
  <si>
    <t>Affordable Student Housing Residential</t>
  </si>
  <si>
    <t xml:space="preserve">University - Satellite Campus </t>
  </si>
  <si>
    <t>3)</t>
  </si>
  <si>
    <t xml:space="preserve">Affordable Senior Housing </t>
  </si>
  <si>
    <t>4)</t>
  </si>
  <si>
    <t>Community Facility Mix</t>
  </si>
  <si>
    <t>Cultural Center</t>
  </si>
  <si>
    <t>5)</t>
  </si>
  <si>
    <t>Library</t>
  </si>
  <si>
    <t>10)</t>
  </si>
  <si>
    <t xml:space="preserve">Market Rate Student Housing Residential </t>
  </si>
  <si>
    <t>11)</t>
  </si>
  <si>
    <t>Price / SF</t>
  </si>
  <si>
    <t xml:space="preserve">Market Rate Student Housing </t>
  </si>
  <si>
    <t xml:space="preserve">Data Center (% of PGI) </t>
  </si>
  <si>
    <t>Data Center Reimbursement</t>
  </si>
  <si>
    <t>Block A</t>
  </si>
  <si>
    <t>Senior Housing</t>
  </si>
  <si>
    <t>Student Housing</t>
  </si>
  <si>
    <t xml:space="preserve">Residential </t>
  </si>
  <si>
    <t>Twonhouses</t>
  </si>
  <si>
    <t>Food Hall</t>
  </si>
  <si>
    <t>Community Space</t>
  </si>
  <si>
    <t>University</t>
  </si>
  <si>
    <t>Incubator</t>
  </si>
  <si>
    <t>School/daycare</t>
  </si>
  <si>
    <t>Podium Parking</t>
  </si>
  <si>
    <t>Park/open space</t>
  </si>
  <si>
    <t>Occupiable Roof</t>
  </si>
  <si>
    <t>Green Roof</t>
  </si>
  <si>
    <t>Structured parking</t>
  </si>
  <si>
    <t>Bldg 1</t>
  </si>
  <si>
    <t>Note: Rennovated Building</t>
  </si>
  <si>
    <t>Bldg 2</t>
  </si>
  <si>
    <t>Bldg 3.A</t>
  </si>
  <si>
    <t>Bldg 3.B</t>
  </si>
  <si>
    <t>Bldg 4</t>
  </si>
  <si>
    <t>(32 units)</t>
  </si>
  <si>
    <t>Bldg 5</t>
  </si>
  <si>
    <t>P.1</t>
  </si>
  <si>
    <t>Totals:</t>
  </si>
  <si>
    <t>Block A1</t>
  </si>
  <si>
    <t>Block B</t>
  </si>
  <si>
    <t>Units</t>
  </si>
  <si>
    <t>(24 units)</t>
  </si>
  <si>
    <t>Bldg 6</t>
  </si>
  <si>
    <t>Bldg 7.A</t>
  </si>
  <si>
    <t>Bldg 7.B</t>
  </si>
  <si>
    <t>Bldg 7.C</t>
  </si>
  <si>
    <t>Bldg 8</t>
  </si>
  <si>
    <t>P.2</t>
  </si>
  <si>
    <t>Block C</t>
  </si>
  <si>
    <t>Note: All improvements above existing deck</t>
  </si>
  <si>
    <t>P.3</t>
  </si>
  <si>
    <t xml:space="preserve">No parking as of now </t>
  </si>
  <si>
    <t>Block D</t>
  </si>
  <si>
    <t>Bldg 9</t>
  </si>
  <si>
    <t>Bldg 10</t>
  </si>
  <si>
    <t>Bldg 11</t>
  </si>
  <si>
    <t>Bldg 12</t>
  </si>
  <si>
    <t>P.4</t>
  </si>
  <si>
    <t>Block E</t>
  </si>
  <si>
    <t>Bldg 13</t>
  </si>
  <si>
    <t>Bldg 14</t>
  </si>
  <si>
    <t>Bldg 15</t>
  </si>
  <si>
    <t>Bldg 16</t>
  </si>
  <si>
    <t>Bldg 17</t>
  </si>
  <si>
    <t>Bldg 18</t>
  </si>
  <si>
    <t>P.5</t>
  </si>
  <si>
    <t>Block F</t>
  </si>
  <si>
    <t>Rennovated Building</t>
  </si>
  <si>
    <t>Bldg 19</t>
  </si>
  <si>
    <t>Bldg 20</t>
  </si>
  <si>
    <t>Bldg 21</t>
  </si>
  <si>
    <t>Bldg 22</t>
  </si>
  <si>
    <t>Bldg 23</t>
  </si>
  <si>
    <t>P.6.A</t>
  </si>
  <si>
    <t>On top of exsting deck</t>
  </si>
  <si>
    <t>P.6.B</t>
  </si>
  <si>
    <t>Block G</t>
  </si>
  <si>
    <t>(4 levels of structured parking)</t>
  </si>
  <si>
    <t>Bldg 24</t>
  </si>
  <si>
    <t>P.7</t>
  </si>
  <si>
    <t>Block H</t>
  </si>
  <si>
    <t>Bldg 25</t>
  </si>
  <si>
    <t>Bldg 26</t>
  </si>
  <si>
    <t>Bldg 27</t>
  </si>
  <si>
    <t>Bldg 28</t>
  </si>
  <si>
    <t>Bldg 29</t>
  </si>
  <si>
    <t>P.8</t>
  </si>
  <si>
    <t>Block I</t>
  </si>
  <si>
    <t>Bldg 30</t>
  </si>
  <si>
    <t>Bldg 30.A</t>
  </si>
  <si>
    <t>Bldg 30.B</t>
  </si>
  <si>
    <t>P.9</t>
  </si>
  <si>
    <t>P.10</t>
  </si>
  <si>
    <t xml:space="preserve">Lab </t>
  </si>
  <si>
    <t xml:space="preserve">(4 Floors) </t>
  </si>
  <si>
    <t xml:space="preserve">DC NSF </t>
  </si>
  <si>
    <t>Office NSF</t>
  </si>
  <si>
    <t>Office SF</t>
  </si>
  <si>
    <t xml:space="preserve">Phase 1 Office </t>
  </si>
  <si>
    <t>Total NSF</t>
  </si>
  <si>
    <t xml:space="preserve">Efficiency </t>
  </si>
  <si>
    <t xml:space="preserve">Phase 2 </t>
  </si>
  <si>
    <t>Office TI</t>
  </si>
  <si>
    <t xml:space="preserve">Office LC's </t>
  </si>
  <si>
    <t xml:space="preserve">Retail TI </t>
  </si>
  <si>
    <t>Retail LC</t>
  </si>
  <si>
    <t xml:space="preserve">Assumptions </t>
  </si>
  <si>
    <t xml:space="preserve">Inflation </t>
  </si>
  <si>
    <t xml:space="preserve">Gross Square Footages </t>
  </si>
  <si>
    <t>Net Square Footages</t>
  </si>
  <si>
    <t>Original Site or Developable</t>
  </si>
  <si>
    <t>Site Area</t>
  </si>
  <si>
    <t>FAR</t>
  </si>
  <si>
    <t>Maximum SF</t>
  </si>
  <si>
    <t>Building SF</t>
  </si>
  <si>
    <t>Tower SF</t>
  </si>
  <si>
    <t>Parking SF</t>
  </si>
  <si>
    <t>Check (0)</t>
  </si>
  <si>
    <t>Parking Check (0)</t>
  </si>
  <si>
    <t>Developable</t>
  </si>
  <si>
    <t>J</t>
  </si>
  <si>
    <t xml:space="preserve">Sum Check </t>
  </si>
  <si>
    <t xml:space="preserve">Check (Needs to equal 0) </t>
  </si>
  <si>
    <t xml:space="preserve">SF Split </t>
  </si>
  <si>
    <t>Aff SH</t>
  </si>
  <si>
    <t>MR SH</t>
  </si>
  <si>
    <t>1-BR</t>
  </si>
  <si>
    <t>2-BR</t>
  </si>
  <si>
    <t>3-BR</t>
  </si>
  <si>
    <t xml:space="preserve">Total Units </t>
  </si>
  <si>
    <t>Total SF</t>
  </si>
  <si>
    <t>Live-Work</t>
  </si>
  <si>
    <t>x</t>
  </si>
  <si>
    <t xml:space="preserve">% Allocation </t>
  </si>
  <si>
    <t>Keys (SF)</t>
  </si>
  <si>
    <t xml:space="preserve">Structural </t>
  </si>
  <si>
    <t>Surface</t>
  </si>
  <si>
    <t xml:space="preserve">MR Student Housing </t>
  </si>
  <si>
    <t xml:space="preserve">Aff. Student Housing </t>
  </si>
  <si>
    <t>Memory Care</t>
  </si>
  <si>
    <t xml:space="preserve">Hard Cost Total </t>
  </si>
  <si>
    <t xml:space="preserve">Blended </t>
  </si>
  <si>
    <t xml:space="preserve">(-) Parking </t>
  </si>
  <si>
    <t>Combined Breakdown by Asset Type</t>
  </si>
  <si>
    <t>Phase I Breakdown by Asset Type</t>
  </si>
  <si>
    <t>Phase II Breakdown by Asset Type</t>
  </si>
  <si>
    <t>Phase III Breakdown by Asset Type</t>
  </si>
  <si>
    <t xml:space="preserve">Square Footages </t>
  </si>
  <si>
    <t xml:space="preserve">Square Footage for Demolition </t>
  </si>
  <si>
    <t xml:space="preserve">Gross Square Footage </t>
  </si>
  <si>
    <t xml:space="preserve">Overall Percentage </t>
  </si>
  <si>
    <t>Site Acquisition Costs</t>
  </si>
  <si>
    <t>PSF</t>
  </si>
  <si>
    <t xml:space="preserve">Site Acquisition Cost </t>
  </si>
  <si>
    <t>Placeholder</t>
  </si>
  <si>
    <t xml:space="preserve">Site Acquisition Subtotal </t>
  </si>
  <si>
    <t xml:space="preserve">Total Infastructure Costs </t>
  </si>
  <si>
    <t xml:space="preserve">Unit Cost </t>
  </si>
  <si>
    <t xml:space="preserve">Demolition </t>
  </si>
  <si>
    <t>Owner's Contingency</t>
  </si>
  <si>
    <t>Hard Costs Subtotal</t>
  </si>
  <si>
    <t>(Placeholder)</t>
  </si>
  <si>
    <t xml:space="preserve">Soft Costs Subtotal </t>
  </si>
  <si>
    <t>Construction Senior Loan Origination Fee</t>
  </si>
  <si>
    <t xml:space="preserve">Construction Senior Loan Capitalized Interest </t>
  </si>
  <si>
    <t xml:space="preserve">TIF Loan Origination Fee </t>
  </si>
  <si>
    <t xml:space="preserve">TIF Loan Capitalized Interest </t>
  </si>
  <si>
    <t xml:space="preserve">Financing Costs Subtotal </t>
  </si>
  <si>
    <t>TI's, LC's, &amp; Reserves</t>
  </si>
  <si>
    <t xml:space="preserve">Capitalized Operating Reserve </t>
  </si>
  <si>
    <t xml:space="preserve">Lease-Up Reserve </t>
  </si>
  <si>
    <t xml:space="preserve">Tenant Improvement Allowance </t>
  </si>
  <si>
    <t xml:space="preserve">Leasing Commissions </t>
  </si>
  <si>
    <t xml:space="preserve">TI's, LC's, and Reserves Subtotal </t>
  </si>
  <si>
    <t>Development Fee</t>
  </si>
  <si>
    <t xml:space="preserve">Developer Fee Subtotal </t>
  </si>
  <si>
    <t xml:space="preserve">Total Development Budget (Excluding Parking Hard Costs) </t>
  </si>
  <si>
    <t xml:space="preserve">LIHTC Basis </t>
  </si>
  <si>
    <t>TDC PSF</t>
  </si>
  <si>
    <t xml:space="preserve">Standard Aff. Residential Eligible Basis </t>
  </si>
  <si>
    <t>Hard Cost PSF</t>
  </si>
  <si>
    <t xml:space="preserve">Live-Work Aff. Residential Eligible Basis </t>
  </si>
  <si>
    <t xml:space="preserve">TDC PU </t>
  </si>
  <si>
    <t>Affordable Senior Living Eligible Basis</t>
  </si>
  <si>
    <t>Hard Cost PU</t>
  </si>
  <si>
    <t>Affordable For-Sale Residential Eligible Basis</t>
  </si>
  <si>
    <t xml:space="preserve">Affordable Student Housing Eligible Basis </t>
  </si>
  <si>
    <t>Predevelopment Sources</t>
  </si>
  <si>
    <t>Predevelopment Uses</t>
  </si>
  <si>
    <t>Hard Costs (Demolition)</t>
  </si>
  <si>
    <t>Expenditures during Construction (excluding Predevelopment)</t>
  </si>
  <si>
    <t xml:space="preserve">Infrastructure Budget </t>
  </si>
  <si>
    <t>Source</t>
  </si>
  <si>
    <t xml:space="preserve">  Other</t>
  </si>
  <si>
    <t>TIF</t>
  </si>
  <si>
    <t xml:space="preserve">Alex needs to look into utilities </t>
  </si>
  <si>
    <t xml:space="preserve">  Jefferson</t>
  </si>
  <si>
    <t xml:space="preserve">  Library</t>
  </si>
  <si>
    <t xml:space="preserve">Remove Stormwater eventully </t>
  </si>
  <si>
    <t xml:space="preserve">  Skate Park</t>
  </si>
  <si>
    <t xml:space="preserve">incorporate Occupiable roof, public/green space, and </t>
  </si>
  <si>
    <t>New Street</t>
  </si>
  <si>
    <t>Existing Street Upgrade</t>
  </si>
  <si>
    <t xml:space="preserve">Parking Structure Improvements </t>
  </si>
  <si>
    <t>Private</t>
  </si>
  <si>
    <t xml:space="preserve">Sidewalks </t>
  </si>
  <si>
    <t xml:space="preserve">New Sidewalk </t>
  </si>
  <si>
    <t xml:space="preserve">Piping, Gas, and Distribution </t>
  </si>
  <si>
    <t xml:space="preserve">Existing Sidewalk Upgrade </t>
  </si>
  <si>
    <t xml:space="preserve">Sidewalk new road </t>
  </si>
  <si>
    <t xml:space="preserve">Solar Panels </t>
  </si>
  <si>
    <t xml:space="preserve">  Jefferson Park</t>
  </si>
  <si>
    <t>Utilities Connection</t>
  </si>
  <si>
    <t xml:space="preserve">Demolition is 4,574 + Site work for all of the surface parking lots </t>
  </si>
  <si>
    <t xml:space="preserve">Storm Water </t>
  </si>
  <si>
    <t>Infrastructure Cost - Public</t>
  </si>
  <si>
    <t>Cisterns (Pumping Included)</t>
  </si>
  <si>
    <t>Total Infastructure Costs</t>
  </si>
  <si>
    <t xml:space="preserve">Storm Water and Gray Water Pipe </t>
  </si>
  <si>
    <t>Brownwater Living Machines</t>
  </si>
  <si>
    <t>Public Realm Assumption</t>
  </si>
  <si>
    <t xml:space="preserve">Brownwater Pipe </t>
  </si>
  <si>
    <t>Cost Per Unit</t>
  </si>
  <si>
    <t>Low End</t>
  </si>
  <si>
    <t>Others</t>
  </si>
  <si>
    <t>Existing Road Upgrade</t>
  </si>
  <si>
    <t>P1</t>
  </si>
  <si>
    <t>High</t>
  </si>
  <si>
    <t>P2</t>
  </si>
  <si>
    <t>Medium</t>
  </si>
  <si>
    <t>P3</t>
  </si>
  <si>
    <t xml:space="preserve">Upgrade Existing Sidewalk </t>
  </si>
  <si>
    <t xml:space="preserve">Holmes </t>
  </si>
  <si>
    <t xml:space="preserve">8th </t>
  </si>
  <si>
    <t>Green Space</t>
  </si>
  <si>
    <t xml:space="preserve">9th </t>
  </si>
  <si>
    <t xml:space="preserve">charlotte / cherry high </t>
  </si>
  <si>
    <t>Take half of sidewalk SF and include it into the public park/landscape area in lines 30-33</t>
  </si>
  <si>
    <t>Inch.</t>
  </si>
  <si>
    <t xml:space="preserve">Street Widths </t>
  </si>
  <si>
    <t xml:space="preserve">Feet </t>
  </si>
  <si>
    <t xml:space="preserve">SF </t>
  </si>
  <si>
    <t xml:space="preserve">Linear Feet </t>
  </si>
  <si>
    <t xml:space="preserve">Cherry </t>
  </si>
  <si>
    <t xml:space="preserve">Charlotte </t>
  </si>
  <si>
    <t xml:space="preserve">Street Lengths </t>
  </si>
  <si>
    <t xml:space="preserve">North South (12th to 8th) </t>
  </si>
  <si>
    <t xml:space="preserve">10th </t>
  </si>
  <si>
    <t xml:space="preserve">Cherry to Holmes </t>
  </si>
  <si>
    <t xml:space="preserve">11th </t>
  </si>
  <si>
    <t xml:space="preserve">Holmes to Charlotte </t>
  </si>
  <si>
    <t xml:space="preserve">12th </t>
  </si>
  <si>
    <t xml:space="preserve">East / West Streets </t>
  </si>
  <si>
    <t xml:space="preserve">North South Square yard </t>
  </si>
  <si>
    <t>Road</t>
  </si>
  <si>
    <t>SY</t>
  </si>
  <si>
    <t xml:space="preserve">Tennis Court </t>
  </si>
  <si>
    <t xml:space="preserve">Total SY </t>
  </si>
  <si>
    <t xml:space="preserve">Per Block </t>
  </si>
  <si>
    <t>Infrastructure Cost - Private</t>
  </si>
  <si>
    <t xml:space="preserve">Acquisition Cost - Summary </t>
  </si>
  <si>
    <t xml:space="preserve">Cost </t>
  </si>
  <si>
    <t xml:space="preserve">Check (PB Match) </t>
  </si>
  <si>
    <t xml:space="preserve">Site </t>
  </si>
  <si>
    <t>Building</t>
  </si>
  <si>
    <t>Cost</t>
  </si>
  <si>
    <t>Taxable Value</t>
  </si>
  <si>
    <t>Block</t>
  </si>
  <si>
    <t xml:space="preserve">area </t>
  </si>
  <si>
    <t>1-234-5</t>
  </si>
  <si>
    <t>1-234-4</t>
  </si>
  <si>
    <t>1-234-3</t>
  </si>
  <si>
    <t>1-211-1</t>
  </si>
  <si>
    <t>1-211-3</t>
  </si>
  <si>
    <t>1-211-6</t>
  </si>
  <si>
    <t>1-211-5</t>
  </si>
  <si>
    <t>1-211-16</t>
  </si>
  <si>
    <t>1-211-7</t>
  </si>
  <si>
    <t>1-211-8</t>
  </si>
  <si>
    <t>1-211-21</t>
  </si>
  <si>
    <t>1-211-9</t>
  </si>
  <si>
    <t>1-211-2</t>
  </si>
  <si>
    <t>1-201-21</t>
  </si>
  <si>
    <t>1-201-22</t>
  </si>
  <si>
    <t>1-201-19</t>
  </si>
  <si>
    <t>1-201-18</t>
  </si>
  <si>
    <t>1-201-17</t>
  </si>
  <si>
    <t>1-201-16</t>
  </si>
  <si>
    <t>1-199-1</t>
  </si>
  <si>
    <t>B/C/D</t>
  </si>
  <si>
    <t>1-205-13</t>
  </si>
  <si>
    <t>1-207-11</t>
  </si>
  <si>
    <t>1-203-22</t>
  </si>
  <si>
    <t>1-203-11</t>
  </si>
  <si>
    <t>1-203-12</t>
  </si>
  <si>
    <t>1-209-14-1</t>
  </si>
  <si>
    <t>1-209-15</t>
  </si>
  <si>
    <t>1-209-16</t>
  </si>
  <si>
    <t>1-209-17</t>
  </si>
  <si>
    <t>1-209-18</t>
  </si>
  <si>
    <t>1-209-7</t>
  </si>
  <si>
    <t>1-209-5</t>
  </si>
  <si>
    <t>1-209-8-1</t>
  </si>
  <si>
    <t>1-201-11</t>
  </si>
  <si>
    <t>1-201-9</t>
  </si>
  <si>
    <t>1-201-10</t>
  </si>
  <si>
    <t>Inflation Factor</t>
  </si>
  <si>
    <t>Millage Rate</t>
  </si>
  <si>
    <t>Every</t>
  </si>
  <si>
    <t>Assessment Rate</t>
  </si>
  <si>
    <t>School Percentage</t>
  </si>
  <si>
    <t>Fully Loaded Cap Rate</t>
  </si>
  <si>
    <t>Rate</t>
  </si>
  <si>
    <t>Closing Date</t>
  </si>
  <si>
    <t>Completion Date</t>
  </si>
  <si>
    <t>Project Value</t>
  </si>
  <si>
    <t xml:space="preserve">Project Value </t>
  </si>
  <si>
    <t>Date</t>
  </si>
  <si>
    <t>TIF Year</t>
  </si>
  <si>
    <t>Starting Value</t>
  </si>
  <si>
    <t>Assessed Value</t>
  </si>
  <si>
    <t>Incremental Taxes</t>
  </si>
  <si>
    <t>Existing Taxes</t>
  </si>
  <si>
    <t>Total PILOT and Taxes</t>
  </si>
  <si>
    <t>Available for Debt Service</t>
  </si>
  <si>
    <t>Maximum Projected Debt Service</t>
  </si>
  <si>
    <t>Minimum Debt Service</t>
  </si>
  <si>
    <t xml:space="preserve">Maximum Loan Size </t>
  </si>
  <si>
    <t>Loan Sizing</t>
  </si>
  <si>
    <t>Permanent Bank Loan</t>
  </si>
  <si>
    <t>% NOI</t>
  </si>
  <si>
    <t xml:space="preserve">% Value </t>
  </si>
  <si>
    <t>Standard Affordable Residential Value</t>
  </si>
  <si>
    <t>Standard Market Residential Value</t>
  </si>
  <si>
    <t>Affordable Senior Living Value</t>
  </si>
  <si>
    <t xml:space="preserve">Market Senior Living Value </t>
  </si>
  <si>
    <t>Office Value</t>
  </si>
  <si>
    <t>Retail Value</t>
  </si>
  <si>
    <t>Community Facility Value</t>
  </si>
  <si>
    <t xml:space="preserve">Parking Value </t>
  </si>
  <si>
    <t>Affordable Multi-Bedroom Residential Value</t>
  </si>
  <si>
    <t>Marekt Rate Multi-Bedroom Residential Value</t>
  </si>
  <si>
    <t>Affordable Student Housing Value</t>
  </si>
  <si>
    <t>Market-Rate Student Housing Value</t>
  </si>
  <si>
    <t xml:space="preserve">Data Center Value </t>
  </si>
  <si>
    <t>LTV Constraint Max. Proceeds</t>
  </si>
  <si>
    <t>Affordable NOI</t>
  </si>
  <si>
    <t>Market Resi NOI</t>
  </si>
  <si>
    <t>Affordable Senior Living NOI</t>
  </si>
  <si>
    <t xml:space="preserve">Market Senior Living NOI </t>
  </si>
  <si>
    <t>Office NOI</t>
  </si>
  <si>
    <t>Retail NOI</t>
  </si>
  <si>
    <t>Community Facility NOI</t>
  </si>
  <si>
    <t>Parking NOI</t>
  </si>
  <si>
    <t>Affordable Multi-Bedroom Residential NOI</t>
  </si>
  <si>
    <t>Market Multi-Bedroom Residential NOI</t>
  </si>
  <si>
    <t>Affordable Student NOI</t>
  </si>
  <si>
    <t xml:space="preserve">Market-Rate Student NOI </t>
  </si>
  <si>
    <t>Data Center NOI</t>
  </si>
  <si>
    <t>Max Annual Payment</t>
  </si>
  <si>
    <t>DSCR Constraint Max. Proceeds</t>
  </si>
  <si>
    <t>Max Permanent Loan Proceeds</t>
  </si>
  <si>
    <t>Hotel Value</t>
  </si>
  <si>
    <t>Hotel Cash Flow after Reserves</t>
  </si>
  <si>
    <t>IRB Loan</t>
  </si>
  <si>
    <t>Data Center Value</t>
  </si>
  <si>
    <t>Total Stabilized NOI</t>
  </si>
  <si>
    <t>Total Stabilized Value</t>
  </si>
  <si>
    <t>Total Loan Size</t>
  </si>
  <si>
    <t xml:space="preserve">Year from Completion </t>
  </si>
  <si>
    <t xml:space="preserve">Year from Stabilization </t>
  </si>
  <si>
    <t>Space Absorbed</t>
  </si>
  <si>
    <t>Total On-Line Space EOP</t>
  </si>
  <si>
    <t xml:space="preserve">Mixed-Use Component </t>
  </si>
  <si>
    <t>Units Brought On-Line</t>
  </si>
  <si>
    <t>Total On-Line Units</t>
  </si>
  <si>
    <t>% On-Line</t>
  </si>
  <si>
    <t>Revenue Growth Factor</t>
  </si>
  <si>
    <t>Expense Growth Factor</t>
  </si>
  <si>
    <t>Gross Revenue</t>
  </si>
  <si>
    <t xml:space="preserve">Less: Gain / Loss to Lease </t>
  </si>
  <si>
    <t>Less: Vacancy</t>
  </si>
  <si>
    <t>Net Revenue</t>
  </si>
  <si>
    <t>Operating Expenses and Replacement Reserves</t>
  </si>
  <si>
    <t>PILOT (including TIF) and Taxes</t>
  </si>
  <si>
    <t>Total Expenses</t>
  </si>
  <si>
    <t>NOI</t>
  </si>
  <si>
    <t>Operating Margin</t>
  </si>
  <si>
    <t xml:space="preserve">Multi-Bedroom Market Rate Residential </t>
  </si>
  <si>
    <t>Space Leased</t>
  </si>
  <si>
    <t xml:space="preserve">Expense / CAM Reimbursement </t>
  </si>
  <si>
    <t>Tenant Improvements</t>
  </si>
  <si>
    <t>Leasing Commissions</t>
  </si>
  <si>
    <t xml:space="preserve">Net Free Cash Flow </t>
  </si>
  <si>
    <t>Other Income</t>
  </si>
  <si>
    <t xml:space="preserve">2nd Person Rent </t>
  </si>
  <si>
    <t>Mixed-Use Component NOI</t>
  </si>
  <si>
    <t xml:space="preserve">Debt Service </t>
  </si>
  <si>
    <t>Senior Loan Balance BOP</t>
  </si>
  <si>
    <t>Funding</t>
  </si>
  <si>
    <t>Senior Loan Balance EOP</t>
  </si>
  <si>
    <t>Interest</t>
  </si>
  <si>
    <t>Total Debt Service</t>
  </si>
  <si>
    <t>Origination Fee</t>
  </si>
  <si>
    <t>Cash Flow after Debt Service</t>
  </si>
  <si>
    <t>Industrial Component</t>
  </si>
  <si>
    <t>Exit</t>
  </si>
  <si>
    <t>Gross Sale Proceeds</t>
  </si>
  <si>
    <r>
      <t>Plus: Refinance Proceeds</t>
    </r>
    <r>
      <rPr>
        <vertAlign val="superscript"/>
        <sz val="13"/>
        <rFont val="Arial"/>
        <family val="2"/>
      </rPr>
      <t>1</t>
    </r>
  </si>
  <si>
    <t>Less: Sale Costs</t>
  </si>
  <si>
    <t>Less: Outstanding Debt</t>
  </si>
  <si>
    <t>Net Sale Proceeds</t>
  </si>
  <si>
    <t xml:space="preserve">Total Cash Flow to Equity (After Debt Service+Gross Sale Proceeds) </t>
  </si>
  <si>
    <t>Hotel Component</t>
  </si>
  <si>
    <t>Expense / CAM Reimbursement</t>
  </si>
  <si>
    <t>Rooms Absorbed</t>
  </si>
  <si>
    <t>Total Available Rooms</t>
  </si>
  <si>
    <t>% Available</t>
  </si>
  <si>
    <t>Base ADR</t>
  </si>
  <si>
    <t>Growth Factor</t>
  </si>
  <si>
    <t>Adjusted ADR</t>
  </si>
  <si>
    <t>Debt Service</t>
  </si>
  <si>
    <t>Total Room Revenue</t>
  </si>
  <si>
    <t>F&amp;B and Miscellaneous Revenue</t>
  </si>
  <si>
    <t>Total Hotel Operational Revenue</t>
  </si>
  <si>
    <t>Conference Space Revenue</t>
  </si>
  <si>
    <t>Total Hotel Component Revenue</t>
  </si>
  <si>
    <t>Departmental Expenses</t>
  </si>
  <si>
    <t>Undistributed Expenses</t>
  </si>
  <si>
    <t>Capital Events</t>
  </si>
  <si>
    <t>Total Cash Flow to Equity</t>
  </si>
  <si>
    <t>Total Operating Expenses</t>
  </si>
  <si>
    <t>Hotel EBITDA (before Reserves)</t>
  </si>
  <si>
    <t xml:space="preserve">For-Sale Residential Component </t>
  </si>
  <si>
    <t xml:space="preserve">Total Gross Sales </t>
  </si>
  <si>
    <t>Amenity Fees</t>
  </si>
  <si>
    <t>Proceeds from Sale of Aff. For-Sale Residential</t>
  </si>
  <si>
    <t>Proceeds from Sale of MR For-Sale Residential</t>
  </si>
  <si>
    <t>Total Phase Cash Flows</t>
  </si>
  <si>
    <t>Total Loan Proceeds</t>
  </si>
  <si>
    <t>Total Debt Service and Origination Fees</t>
  </si>
  <si>
    <t>Levered Development Costs and Cash Flows</t>
  </si>
  <si>
    <t>Levered Development Costs</t>
  </si>
  <si>
    <t>Total Costs</t>
  </si>
  <si>
    <t>Draw Schedule</t>
  </si>
  <si>
    <t>Equity</t>
  </si>
  <si>
    <t>LIHTC Equity</t>
  </si>
  <si>
    <t>NMTC Equity</t>
  </si>
  <si>
    <t>HTC Equity</t>
  </si>
  <si>
    <t>Total Draws</t>
  </si>
  <si>
    <t>Public Subsidies</t>
  </si>
  <si>
    <t>Equity Cash Flows</t>
  </si>
  <si>
    <t>Equity Draws</t>
  </si>
  <si>
    <t>Cash to Equity</t>
  </si>
  <si>
    <t>Total Equity Cash Flows</t>
  </si>
  <si>
    <t>PnL</t>
  </si>
  <si>
    <t>Unlevered Development Costs and Cash Flows</t>
  </si>
  <si>
    <t>Mixed-Use Component</t>
  </si>
  <si>
    <t>Sale Costs</t>
  </si>
  <si>
    <t>Unlevered Development Costs</t>
  </si>
  <si>
    <t>City of Cincinnati Grant</t>
  </si>
  <si>
    <t>Unlevered Opportunity Zone Cash Flows</t>
  </si>
  <si>
    <t>Post-Tax Non-OZ Cash Flows</t>
  </si>
  <si>
    <t>Equity Investment</t>
  </si>
  <si>
    <t>Deferred Prior Capital Gains</t>
  </si>
  <si>
    <t>Payment of Prior Capital Gains</t>
  </si>
  <si>
    <t>Income Taxes</t>
  </si>
  <si>
    <t>Cash Flow</t>
  </si>
  <si>
    <t>Sale Value</t>
  </si>
  <si>
    <t>Capital Gains Taxes</t>
  </si>
  <si>
    <t>Post-Tax Non-OZ Unlevered IRR</t>
  </si>
  <si>
    <t>Post-Tax OZ Cash Flows</t>
  </si>
  <si>
    <t>Reduction of Prior Capital Gains</t>
  </si>
  <si>
    <t>Post-Tax OZ Unlevered IRR</t>
  </si>
  <si>
    <t>"Gross-Up" Pre-Tax OZ Unlevered IRR</t>
  </si>
  <si>
    <t>Eligible Prior Capital Gains Reductions</t>
  </si>
  <si>
    <t>Tax Basis</t>
  </si>
  <si>
    <t>Balance BOP</t>
  </si>
  <si>
    <t>Depreciation</t>
  </si>
  <si>
    <t>Cash Flow to Equity</t>
  </si>
  <si>
    <t>Capital Gains</t>
  </si>
  <si>
    <t>Balance EOP</t>
  </si>
  <si>
    <t>Levered Opportunity Zone Cash Flows</t>
  </si>
  <si>
    <t>Post-Tax Levered Non-OZ Cash Flows</t>
  </si>
  <si>
    <t>Benefit of Income Tax Losses / (Gains)</t>
  </si>
  <si>
    <t>Cash Flow (Return on Equity)</t>
  </si>
  <si>
    <t>Sale and Refi Proceeds (Return of Equity)</t>
  </si>
  <si>
    <t>Post-Tax Non-OZ Levered IRR</t>
  </si>
  <si>
    <t>Post-Tax Levered OZ Cash Flows</t>
  </si>
  <si>
    <t>Post-Tax OZ Levered IRR</t>
  </si>
  <si>
    <t>"Gross-Up" Pre-Tax OZ Levered IRR</t>
  </si>
  <si>
    <t>NOI less Interest</t>
  </si>
  <si>
    <t>Sale Value and Refi (Return of Equity)</t>
  </si>
  <si>
    <t xml:space="preserve">Total Cash Flow to Equity </t>
  </si>
  <si>
    <t xml:space="preserve">Level of Care Services </t>
  </si>
  <si>
    <t xml:space="preserve">Initial Fee + Level of Care Services </t>
  </si>
  <si>
    <t xml:space="preserve">Affordable Residental </t>
  </si>
  <si>
    <t>Plus: Refinance Proceeds</t>
  </si>
  <si>
    <t xml:space="preserve">Brokerage Fees </t>
  </si>
  <si>
    <t>Levered Cash Flows</t>
  </si>
  <si>
    <t>Total Levered Cash Flows</t>
  </si>
  <si>
    <t>Unlevered Cash Flows</t>
  </si>
  <si>
    <t>Total Unlevered Cash Flows</t>
  </si>
  <si>
    <t>OZ Unlevered Post-Tax Cash Flows</t>
  </si>
  <si>
    <t>Total OZ Unlevered Post-Tax Cash Flows</t>
  </si>
  <si>
    <t>OZ Unlevered Post-Tax IRR</t>
  </si>
  <si>
    <t>Pre-Tax Equivalent IRR</t>
  </si>
  <si>
    <t>OZ Levered Post-Tax Cash Flows</t>
  </si>
  <si>
    <t>OZ Levered Post-Tax IRR</t>
  </si>
  <si>
    <t>Return of Equity and Exposure</t>
  </si>
  <si>
    <t>Phase I Equity Fundings</t>
  </si>
  <si>
    <t>Phase I Return of / on Equity</t>
  </si>
  <si>
    <t>Phase II Equity Fundings</t>
  </si>
  <si>
    <t>Phase II Return of / on Equity</t>
  </si>
  <si>
    <t>Phase III Equity Fundings</t>
  </si>
  <si>
    <t>Phase III Return of / on Equity</t>
  </si>
  <si>
    <t>Combined Equity Fundings</t>
  </si>
  <si>
    <t>Combined Return of / on Equity</t>
  </si>
  <si>
    <t>Total Equity Exposure</t>
  </si>
  <si>
    <t>Combined</t>
  </si>
  <si>
    <t xml:space="preserve">Unlevered </t>
  </si>
  <si>
    <t>Levered</t>
  </si>
  <si>
    <t xml:space="preserve">Opportunity Zone Levered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</si>
</sst>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&quot;L +&quot;\ 0"/>
    <numFmt numFmtId="166" formatCode="0.00&quot;x&quot;"/>
    <numFmt numFmtId="167" formatCode="&quot;$&quot;#,##0.00"/>
    <numFmt numFmtId="168" formatCode="&quot;$&quot;#,##0.0"/>
    <numFmt numFmtId="169" formatCode="&quot;$&quot;#,##0"/>
    <numFmt numFmtId="170" formatCode="#,##0\ &quot;RSF&quot;"/>
    <numFmt numFmtId="171" formatCode="0\ &quot;Years&quot;"/>
    <numFmt numFmtId="172" formatCode="_(* #,##0_);_(* \(#,##0\);_(* &quot;-&quot;??_);_(@_)"/>
    <numFmt numFmtId="173" formatCode="&quot;$&quot;#,##0.0_);\(&quot;$&quot;#,##0.0\)"/>
    <numFmt numFmtId="174" formatCode="#,##0.0"/>
    <numFmt numFmtId="175" formatCode="0&quot; years&quot;"/>
    <numFmt numFmtId="176" formatCode="0.0&quot; years&quot;"/>
    <numFmt numFmtId="177" formatCode="0.0&quot;x&quot;"/>
    <numFmt numFmtId="178" formatCode="&quot;$&quot;#,##0.000_);\(&quot;$&quot;#,##0.000\)"/>
    <numFmt numFmtId="179" formatCode="_(* #,##0.00_);_(* \(#,##0.00\);_(* &quot;-&quot;_);_(@_)"/>
    <numFmt numFmtId="180" formatCode="0\ &quot;months&quot;"/>
    <numFmt numFmtId="181" formatCode="0\ &quot;bps&quot;"/>
    <numFmt numFmtId="182" formatCode="&quot;$&quot;#,##0.0\ &quot;pgsf&quot;"/>
    <numFmt numFmtId="183" formatCode="0\ &quot;sf&quot;"/>
    <numFmt numFmtId="184" formatCode="_(* #,##0.0_);_(* \(#,##0.0\);_(* &quot;-&quot;??_);_(@_)"/>
    <numFmt numFmtId="185" formatCode="#,##0.000000000"/>
    <numFmt numFmtId="186" formatCode="_(* #,##0.000_);_(* \(#,##0.000\);_(* &quot;-&quot;??_);_(@_)"/>
  </numFmts>
  <fonts count="95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3"/>
      <color theme="1"/>
      <name val="Arial"/>
      <family val="2"/>
    </font>
    <font>
      <b/>
      <sz val="13"/>
      <color theme="1"/>
      <name val="Arial"/>
      <family val="2"/>
    </font>
    <font>
      <sz val="13"/>
      <color rgb="FF0000FF"/>
      <name val="Arial"/>
      <family val="2"/>
    </font>
    <font>
      <sz val="10"/>
      <name val="Arial"/>
      <family val="2"/>
    </font>
    <font>
      <sz val="13"/>
      <color rgb="FF00B05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3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i/>
      <sz val="13"/>
      <color theme="1"/>
      <name val="Arial"/>
      <family val="2"/>
    </font>
    <font>
      <b/>
      <i/>
      <sz val="13"/>
      <color theme="1"/>
      <name val="Arial"/>
      <family val="2"/>
    </font>
    <font>
      <sz val="13"/>
      <name val="Arial"/>
      <family val="2"/>
    </font>
    <font>
      <b/>
      <sz val="12"/>
      <color theme="1"/>
      <name val="Arial"/>
      <family val="2"/>
    </font>
    <font>
      <b/>
      <sz val="12"/>
      <name val="Arial"/>
      <family val="2"/>
    </font>
    <font>
      <b/>
      <i/>
      <sz val="12"/>
      <color theme="2" tint="-0.249977111117893"/>
      <name val="Arial"/>
      <family val="2"/>
    </font>
    <font>
      <sz val="13"/>
      <color rgb="FF000000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name val="Arial"/>
      <family val="2"/>
    </font>
    <font>
      <b/>
      <i/>
      <sz val="12"/>
      <name val="Arial"/>
      <family val="2"/>
    </font>
    <font>
      <b/>
      <sz val="12"/>
      <color theme="4"/>
      <name val="Arial"/>
      <family val="2"/>
    </font>
    <font>
      <b/>
      <sz val="13"/>
      <color theme="3"/>
      <name val="Arial"/>
      <family val="2"/>
    </font>
    <font>
      <i/>
      <sz val="13"/>
      <name val="Arial"/>
      <family val="2"/>
    </font>
    <font>
      <vertAlign val="superscript"/>
      <sz val="13"/>
      <name val="Arial"/>
      <family val="2"/>
    </font>
    <font>
      <u/>
      <sz val="12"/>
      <color theme="1"/>
      <name val="Arial"/>
      <family val="2"/>
    </font>
    <font>
      <u/>
      <sz val="12"/>
      <color rgb="FF0000FF"/>
      <name val="Arial"/>
      <family val="2"/>
    </font>
    <font>
      <sz val="12"/>
      <color rgb="FF0000FF"/>
      <name val="Arial"/>
      <family val="2"/>
    </font>
    <font>
      <b/>
      <u/>
      <sz val="12"/>
      <name val="Arial"/>
      <family val="2"/>
    </font>
    <font>
      <sz val="12"/>
      <color rgb="FF00B050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sz val="12"/>
      <color rgb="FF00B050"/>
      <name val="Arial"/>
      <family val="2"/>
    </font>
    <font>
      <i/>
      <sz val="12"/>
      <color theme="1"/>
      <name val="Arial"/>
      <family val="2"/>
    </font>
    <font>
      <b/>
      <i/>
      <sz val="12"/>
      <color theme="0"/>
      <name val="Arial"/>
      <family val="2"/>
    </font>
    <font>
      <i/>
      <sz val="12"/>
      <color theme="0"/>
      <name val="Arial"/>
      <family val="2"/>
    </font>
    <font>
      <i/>
      <sz val="12"/>
      <color rgb="FF0000FF"/>
      <name val="Arial"/>
      <family val="2"/>
    </font>
    <font>
      <i/>
      <sz val="12"/>
      <name val="Arial"/>
      <family val="2"/>
    </font>
    <font>
      <i/>
      <sz val="10"/>
      <name val="Arial"/>
      <family val="2"/>
    </font>
    <font>
      <i/>
      <sz val="12"/>
      <color theme="0" tint="-0.34998626667073579"/>
      <name val="Arial"/>
      <family val="2"/>
    </font>
    <font>
      <b/>
      <sz val="12"/>
      <color theme="3"/>
      <name val="Arial"/>
      <family val="2"/>
    </font>
    <font>
      <u/>
      <sz val="12"/>
      <name val="Arial"/>
      <family val="2"/>
    </font>
    <font>
      <b/>
      <sz val="12"/>
      <color rgb="FF0000FF"/>
      <name val="Arial"/>
      <family val="2"/>
    </font>
    <font>
      <sz val="12"/>
      <color rgb="FF000000"/>
      <name val="Arial"/>
      <family val="2"/>
    </font>
    <font>
      <sz val="12"/>
      <color theme="2" tint="-0.249977111117893"/>
      <name val="Arial"/>
      <family val="2"/>
    </font>
    <font>
      <sz val="12"/>
      <color theme="3"/>
      <name val="Arial"/>
      <family val="2"/>
    </font>
    <font>
      <sz val="12"/>
      <color rgb="FFFF0000"/>
      <name val="Arial"/>
      <family val="2"/>
    </font>
    <font>
      <b/>
      <sz val="12"/>
      <color rgb="FF000000"/>
      <name val="Arial"/>
      <family val="2"/>
    </font>
    <font>
      <b/>
      <i/>
      <sz val="12"/>
      <color theme="1"/>
      <name val="Arial"/>
      <family val="2"/>
    </font>
    <font>
      <b/>
      <u/>
      <sz val="12"/>
      <color theme="1"/>
      <name val="Arial"/>
      <family val="2"/>
    </font>
    <font>
      <b/>
      <strike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sz val="12"/>
      <color theme="0" tint="-0.34998626667073579"/>
      <name val="Arial"/>
      <family val="2"/>
    </font>
    <font>
      <i/>
      <sz val="12"/>
      <color theme="2" tint="-0.249977111117893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sz val="12"/>
      <color indexed="12"/>
      <name val="Arial"/>
      <family val="2"/>
    </font>
    <font>
      <sz val="12"/>
      <color rgb="FFFFFF00"/>
      <name val="Arial"/>
      <family val="2"/>
    </font>
    <font>
      <sz val="10"/>
      <name val="Montserrat"/>
      <family val="3"/>
    </font>
    <font>
      <sz val="11"/>
      <name val="Calibri"/>
      <family val="2"/>
      <scheme val="minor"/>
    </font>
    <font>
      <strike/>
      <sz val="12"/>
      <color theme="1"/>
      <name val="Arial"/>
      <family val="2"/>
    </font>
    <font>
      <i/>
      <u/>
      <sz val="12"/>
      <color theme="1"/>
      <name val="Arial"/>
      <family val="2"/>
    </font>
    <font>
      <sz val="12"/>
      <color theme="0"/>
      <name val="Calibri"/>
      <family val="2"/>
      <scheme val="minor"/>
    </font>
    <font>
      <i/>
      <u/>
      <sz val="12"/>
      <name val="Arial"/>
      <family val="2"/>
    </font>
    <font>
      <sz val="10"/>
      <color rgb="FF202124"/>
      <name val="Arial"/>
      <family val="2"/>
    </font>
    <font>
      <sz val="12"/>
      <color theme="5" tint="0.39997558519241921"/>
      <name val="Arial"/>
      <family val="2"/>
    </font>
    <font>
      <sz val="12"/>
      <color theme="2"/>
      <name val="Arial"/>
      <family val="2"/>
    </font>
    <font>
      <b/>
      <sz val="13"/>
      <color theme="0"/>
      <name val="Arial"/>
      <family val="2"/>
    </font>
    <font>
      <sz val="13"/>
      <color theme="0"/>
      <name val="Arial"/>
      <family val="2"/>
    </font>
    <font>
      <b/>
      <i/>
      <sz val="13"/>
      <color theme="0"/>
      <name val="Arial"/>
      <family val="2"/>
    </font>
    <font>
      <b/>
      <sz val="13"/>
      <color rgb="FF000000"/>
      <name val="Arial"/>
      <family val="2"/>
    </font>
    <font>
      <b/>
      <sz val="13"/>
      <name val="Arial"/>
      <family val="2"/>
    </font>
    <font>
      <sz val="11"/>
      <color rgb="FFFF0000"/>
      <name val="Calibri"/>
      <family val="2"/>
      <scheme val="minor"/>
    </font>
    <font>
      <sz val="11"/>
      <color rgb="FF00B05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3"/>
      <color theme="0"/>
      <name val="Arial"/>
      <family val="2"/>
    </font>
    <font>
      <u/>
      <sz val="12"/>
      <color theme="0"/>
      <name val="Arial"/>
      <family val="2"/>
    </font>
    <font>
      <sz val="8"/>
      <name val="Calibri"/>
      <family val="2"/>
      <scheme val="minor"/>
    </font>
    <font>
      <b/>
      <sz val="12"/>
      <color rgb="FF0B6623"/>
      <name val="Arial"/>
      <family val="2"/>
    </font>
    <font>
      <sz val="12"/>
      <color rgb="FF0B6623"/>
      <name val="Arial"/>
      <family val="2"/>
    </font>
    <font>
      <strike/>
      <sz val="12"/>
      <color theme="0"/>
      <name val="Arial"/>
      <family val="2"/>
    </font>
    <font>
      <sz val="13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u/>
      <sz val="12"/>
      <color theme="0"/>
      <name val="Arial"/>
      <family val="2"/>
    </font>
    <font>
      <sz val="10"/>
      <color theme="0"/>
      <name val="Arial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0B6623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0E7C2B"/>
        <bgColor indexed="64"/>
      </patternFill>
    </fill>
    <fill>
      <patternFill patternType="solid">
        <fgColor rgb="FF2A9234"/>
        <bgColor indexed="64"/>
      </patternFill>
    </fill>
    <fill>
      <patternFill patternType="solid">
        <fgColor theme="9" tint="0.39994506668294322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9" tint="0.39997558519241921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auto="1"/>
      </top>
      <bottom/>
      <diagonal/>
    </border>
    <border>
      <left/>
      <right/>
      <top style="thin">
        <color rgb="FF376F9D"/>
      </top>
      <bottom style="thin">
        <color rgb="FF376F9D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10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25" fillId="0" borderId="0"/>
    <xf numFmtId="43" fontId="25" fillId="0" borderId="0" applyFont="0" applyFill="0" applyBorder="0" applyAlignment="0" applyProtection="0"/>
    <xf numFmtId="3" fontId="38" fillId="12" borderId="0" applyBorder="0">
      <alignment horizontal="center" vertical="center"/>
    </xf>
  </cellStyleXfs>
  <cellXfs count="1160">
    <xf numFmtId="0" fontId="0" fillId="0" borderId="0" xfId="0"/>
    <xf numFmtId="0" fontId="7" fillId="2" borderId="0" xfId="0" applyFont="1" applyFill="1"/>
    <xf numFmtId="0" fontId="8" fillId="2" borderId="0" xfId="0" applyFont="1" applyFill="1"/>
    <xf numFmtId="0" fontId="8" fillId="2" borderId="6" xfId="0" applyFont="1" applyFill="1" applyBorder="1"/>
    <xf numFmtId="0" fontId="7" fillId="2" borderId="6" xfId="0" applyFont="1" applyFill="1" applyBorder="1"/>
    <xf numFmtId="0" fontId="0" fillId="2" borderId="0" xfId="0" applyFill="1"/>
    <xf numFmtId="0" fontId="7" fillId="2" borderId="0" xfId="0" applyFont="1" applyFill="1" applyAlignment="1">
      <alignment horizontal="left" indent="1"/>
    </xf>
    <xf numFmtId="3" fontId="8" fillId="2" borderId="0" xfId="0" applyNumberFormat="1" applyFont="1" applyFill="1"/>
    <xf numFmtId="3" fontId="7" fillId="2" borderId="0" xfId="0" applyNumberFormat="1" applyFont="1" applyFill="1"/>
    <xf numFmtId="169" fontId="7" fillId="2" borderId="6" xfId="0" applyNumberFormat="1" applyFont="1" applyFill="1" applyBorder="1" applyAlignment="1">
      <alignment horizontal="center" vertical="center"/>
    </xf>
    <xf numFmtId="0" fontId="14" fillId="2" borderId="0" xfId="0" applyFont="1" applyFill="1" applyAlignment="1">
      <alignment horizontal="center" vertical="center"/>
    </xf>
    <xf numFmtId="0" fontId="13" fillId="0" borderId="1" xfId="0" applyFont="1" applyBorder="1"/>
    <xf numFmtId="169" fontId="7" fillId="2" borderId="0" xfId="0" applyNumberFormat="1" applyFont="1" applyFill="1"/>
    <xf numFmtId="167" fontId="7" fillId="2" borderId="0" xfId="0" applyNumberFormat="1" applyFont="1" applyFill="1"/>
    <xf numFmtId="0" fontId="13" fillId="0" borderId="0" xfId="0" applyFont="1"/>
    <xf numFmtId="0" fontId="13" fillId="2" borderId="0" xfId="0" applyFont="1" applyFill="1"/>
    <xf numFmtId="169" fontId="8" fillId="2" borderId="0" xfId="0" applyNumberFormat="1" applyFont="1" applyFill="1"/>
    <xf numFmtId="0" fontId="17" fillId="2" borderId="0" xfId="0" applyFont="1" applyFill="1"/>
    <xf numFmtId="3" fontId="20" fillId="2" borderId="0" xfId="0" applyNumberFormat="1" applyFont="1" applyFill="1"/>
    <xf numFmtId="3" fontId="22" fillId="2" borderId="0" xfId="0" applyNumberFormat="1" applyFont="1" applyFill="1"/>
    <xf numFmtId="3" fontId="22" fillId="2" borderId="6" xfId="0" applyNumberFormat="1" applyFont="1" applyFill="1" applyBorder="1"/>
    <xf numFmtId="0" fontId="18" fillId="2" borderId="0" xfId="0" applyFont="1" applyFill="1"/>
    <xf numFmtId="169" fontId="7" fillId="2" borderId="0" xfId="0" applyNumberFormat="1" applyFont="1" applyFill="1" applyAlignment="1">
      <alignment horizontal="center" vertical="center"/>
    </xf>
    <xf numFmtId="169" fontId="8" fillId="2" borderId="6" xfId="0" applyNumberFormat="1" applyFont="1" applyFill="1" applyBorder="1" applyAlignment="1">
      <alignment horizontal="center" vertical="center"/>
    </xf>
    <xf numFmtId="9" fontId="18" fillId="2" borderId="0" xfId="0" applyNumberFormat="1" applyFont="1" applyFill="1"/>
    <xf numFmtId="3" fontId="11" fillId="2" borderId="0" xfId="0" applyNumberFormat="1" applyFont="1" applyFill="1"/>
    <xf numFmtId="169" fontId="8" fillId="2" borderId="0" xfId="0" applyNumberFormat="1" applyFont="1" applyFill="1" applyAlignment="1">
      <alignment horizontal="center" vertical="center"/>
    </xf>
    <xf numFmtId="168" fontId="17" fillId="2" borderId="0" xfId="0" applyNumberFormat="1" applyFont="1" applyFill="1"/>
    <xf numFmtId="168" fontId="17" fillId="2" borderId="6" xfId="0" applyNumberFormat="1" applyFont="1" applyFill="1" applyBorder="1"/>
    <xf numFmtId="0" fontId="23" fillId="2" borderId="11" xfId="0" applyFont="1" applyFill="1" applyBorder="1" applyAlignment="1">
      <alignment horizontal="left" indent="1"/>
    </xf>
    <xf numFmtId="0" fontId="23" fillId="2" borderId="11" xfId="0" applyFont="1" applyFill="1" applyBorder="1" applyAlignment="1">
      <alignment horizontal="left"/>
    </xf>
    <xf numFmtId="9" fontId="7" fillId="2" borderId="0" xfId="2" applyFont="1" applyFill="1"/>
    <xf numFmtId="169" fontId="7" fillId="2" borderId="6" xfId="0" applyNumberFormat="1" applyFont="1" applyFill="1" applyBorder="1"/>
    <xf numFmtId="0" fontId="24" fillId="2" borderId="0" xfId="0" applyFont="1" applyFill="1"/>
    <xf numFmtId="164" fontId="9" fillId="2" borderId="0" xfId="2" applyNumberFormat="1" applyFont="1" applyFill="1"/>
    <xf numFmtId="169" fontId="7" fillId="3" borderId="0" xfId="0" applyNumberFormat="1" applyFont="1" applyFill="1"/>
    <xf numFmtId="0" fontId="8" fillId="6" borderId="4" xfId="0" applyFont="1" applyFill="1" applyBorder="1"/>
    <xf numFmtId="0" fontId="8" fillId="6" borderId="0" xfId="0" applyFont="1" applyFill="1"/>
    <xf numFmtId="0" fontId="8" fillId="6" borderId="5" xfId="0" applyFont="1" applyFill="1" applyBorder="1"/>
    <xf numFmtId="167" fontId="7" fillId="6" borderId="4" xfId="0" applyNumberFormat="1" applyFont="1" applyFill="1" applyBorder="1"/>
    <xf numFmtId="167" fontId="7" fillId="6" borderId="0" xfId="0" applyNumberFormat="1" applyFont="1" applyFill="1"/>
    <xf numFmtId="167" fontId="7" fillId="6" borderId="5" xfId="0" applyNumberFormat="1" applyFont="1" applyFill="1" applyBorder="1"/>
    <xf numFmtId="9" fontId="8" fillId="2" borderId="0" xfId="0" applyNumberFormat="1" applyFont="1" applyFill="1"/>
    <xf numFmtId="0" fontId="14" fillId="2" borderId="12" xfId="0" applyFont="1" applyFill="1" applyBorder="1" applyAlignment="1">
      <alignment horizontal="center"/>
    </xf>
    <xf numFmtId="3" fontId="7" fillId="2" borderId="12" xfId="0" applyNumberFormat="1" applyFont="1" applyFill="1" applyBorder="1" applyAlignment="1">
      <alignment horizontal="right"/>
    </xf>
    <xf numFmtId="5" fontId="19" fillId="2" borderId="1" xfId="0" applyNumberFormat="1" applyFont="1" applyFill="1" applyBorder="1"/>
    <xf numFmtId="5" fontId="19" fillId="2" borderId="14" xfId="0" applyNumberFormat="1" applyFont="1" applyFill="1" applyBorder="1"/>
    <xf numFmtId="0" fontId="19" fillId="2" borderId="0" xfId="0" applyFont="1" applyFill="1"/>
    <xf numFmtId="0" fontId="0" fillId="3" borderId="0" xfId="0" applyFill="1"/>
    <xf numFmtId="0" fontId="26" fillId="2" borderId="0" xfId="0" applyFont="1" applyFill="1"/>
    <xf numFmtId="0" fontId="21" fillId="7" borderId="16" xfId="0" applyFont="1" applyFill="1" applyBorder="1"/>
    <xf numFmtId="0" fontId="27" fillId="7" borderId="0" xfId="0" applyFont="1" applyFill="1"/>
    <xf numFmtId="0" fontId="26" fillId="2" borderId="6" xfId="0" applyFont="1" applyFill="1" applyBorder="1"/>
    <xf numFmtId="0" fontId="28" fillId="2" borderId="0" xfId="0" applyFont="1" applyFill="1"/>
    <xf numFmtId="14" fontId="28" fillId="2" borderId="0" xfId="0" applyNumberFormat="1" applyFont="1" applyFill="1" applyAlignment="1">
      <alignment horizontal="center"/>
    </xf>
    <xf numFmtId="5" fontId="21" fillId="7" borderId="16" xfId="0" applyNumberFormat="1" applyFont="1" applyFill="1" applyBorder="1"/>
    <xf numFmtId="10" fontId="27" fillId="7" borderId="0" xfId="2" applyNumberFormat="1" applyFont="1" applyFill="1"/>
    <xf numFmtId="5" fontId="27" fillId="7" borderId="0" xfId="0" applyNumberFormat="1" applyFont="1" applyFill="1"/>
    <xf numFmtId="0" fontId="29" fillId="2" borderId="0" xfId="0" applyFont="1" applyFill="1"/>
    <xf numFmtId="0" fontId="19" fillId="2" borderId="16" xfId="0" applyFont="1" applyFill="1" applyBorder="1"/>
    <xf numFmtId="0" fontId="30" fillId="2" borderId="0" xfId="0" applyFont="1" applyFill="1"/>
    <xf numFmtId="0" fontId="26" fillId="2" borderId="16" xfId="0" applyFont="1" applyFill="1" applyBorder="1"/>
    <xf numFmtId="5" fontId="21" fillId="2" borderId="16" xfId="0" applyNumberFormat="1" applyFont="1" applyFill="1" applyBorder="1"/>
    <xf numFmtId="5" fontId="26" fillId="0" borderId="0" xfId="0" applyNumberFormat="1" applyFont="1"/>
    <xf numFmtId="5" fontId="26" fillId="2" borderId="16" xfId="0" applyNumberFormat="1" applyFont="1" applyFill="1" applyBorder="1"/>
    <xf numFmtId="0" fontId="21" fillId="2" borderId="16" xfId="0" applyFont="1" applyFill="1" applyBorder="1"/>
    <xf numFmtId="173" fontId="40" fillId="0" borderId="6" xfId="0" applyNumberFormat="1" applyFont="1" applyBorder="1"/>
    <xf numFmtId="0" fontId="26" fillId="0" borderId="0" xfId="0" applyFont="1"/>
    <xf numFmtId="0" fontId="41" fillId="8" borderId="0" xfId="0" applyFont="1" applyFill="1"/>
    <xf numFmtId="0" fontId="42" fillId="8" borderId="0" xfId="0" applyFont="1" applyFill="1"/>
    <xf numFmtId="0" fontId="41" fillId="8" borderId="0" xfId="0" applyFont="1" applyFill="1" applyAlignment="1">
      <alignment horizontal="center"/>
    </xf>
    <xf numFmtId="0" fontId="27" fillId="2" borderId="16" xfId="0" applyFont="1" applyFill="1" applyBorder="1"/>
    <xf numFmtId="5" fontId="27" fillId="2" borderId="16" xfId="0" applyNumberFormat="1" applyFont="1" applyFill="1" applyBorder="1"/>
    <xf numFmtId="9" fontId="34" fillId="2" borderId="0" xfId="0" applyNumberFormat="1" applyFont="1" applyFill="1"/>
    <xf numFmtId="173" fontId="34" fillId="2" borderId="0" xfId="0" applyNumberFormat="1" applyFont="1" applyFill="1"/>
    <xf numFmtId="175" fontId="34" fillId="2" borderId="0" xfId="0" applyNumberFormat="1" applyFont="1" applyFill="1"/>
    <xf numFmtId="166" fontId="36" fillId="2" borderId="0" xfId="0" applyNumberFormat="1" applyFont="1" applyFill="1"/>
    <xf numFmtId="175" fontId="36" fillId="2" borderId="0" xfId="0" applyNumberFormat="1" applyFont="1" applyFill="1"/>
    <xf numFmtId="10" fontId="34" fillId="2" borderId="0" xfId="0" applyNumberFormat="1" applyFont="1" applyFill="1"/>
    <xf numFmtId="164" fontId="36" fillId="2" borderId="0" xfId="0" applyNumberFormat="1" applyFont="1" applyFill="1"/>
    <xf numFmtId="0" fontId="45" fillId="2" borderId="0" xfId="0" applyFont="1" applyFill="1"/>
    <xf numFmtId="0" fontId="21" fillId="2" borderId="0" xfId="0" applyFont="1" applyFill="1"/>
    <xf numFmtId="14" fontId="36" fillId="2" borderId="0" xfId="0" applyNumberFormat="1" applyFont="1" applyFill="1" applyAlignment="1">
      <alignment horizontal="left"/>
    </xf>
    <xf numFmtId="5" fontId="26" fillId="2" borderId="0" xfId="0" applyNumberFormat="1" applyFont="1" applyFill="1"/>
    <xf numFmtId="0" fontId="21" fillId="2" borderId="1" xfId="0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center" vertical="center" wrapText="1"/>
    </xf>
    <xf numFmtId="5" fontId="36" fillId="2" borderId="0" xfId="0" applyNumberFormat="1" applyFont="1" applyFill="1"/>
    <xf numFmtId="9" fontId="26" fillId="2" borderId="0" xfId="0" applyNumberFormat="1" applyFont="1" applyFill="1"/>
    <xf numFmtId="173" fontId="26" fillId="2" borderId="0" xfId="0" applyNumberFormat="1" applyFont="1" applyFill="1"/>
    <xf numFmtId="5" fontId="46" fillId="2" borderId="0" xfId="0" applyNumberFormat="1" applyFont="1" applyFill="1"/>
    <xf numFmtId="37" fontId="26" fillId="2" borderId="0" xfId="0" applyNumberFormat="1" applyFont="1" applyFill="1"/>
    <xf numFmtId="164" fontId="26" fillId="2" borderId="0" xfId="0" applyNumberFormat="1" applyFont="1" applyFill="1"/>
    <xf numFmtId="0" fontId="21" fillId="2" borderId="4" xfId="0" applyFont="1" applyFill="1" applyBorder="1"/>
    <xf numFmtId="5" fontId="21" fillId="2" borderId="4" xfId="0" applyNumberFormat="1" applyFont="1" applyFill="1" applyBorder="1"/>
    <xf numFmtId="5" fontId="21" fillId="2" borderId="0" xfId="0" applyNumberFormat="1" applyFont="1" applyFill="1"/>
    <xf numFmtId="0" fontId="21" fillId="2" borderId="5" xfId="0" applyFont="1" applyFill="1" applyBorder="1"/>
    <xf numFmtId="5" fontId="21" fillId="2" borderId="5" xfId="0" applyNumberFormat="1" applyFont="1" applyFill="1" applyBorder="1"/>
    <xf numFmtId="175" fontId="34" fillId="2" borderId="0" xfId="0" applyNumberFormat="1" applyFont="1" applyFill="1" applyAlignment="1">
      <alignment horizontal="center" vertical="center"/>
    </xf>
    <xf numFmtId="0" fontId="20" fillId="2" borderId="5" xfId="0" applyFont="1" applyFill="1" applyBorder="1"/>
    <xf numFmtId="0" fontId="32" fillId="2" borderId="5" xfId="0" applyFont="1" applyFill="1" applyBorder="1"/>
    <xf numFmtId="5" fontId="33" fillId="2" borderId="5" xfId="0" applyNumberFormat="1" applyFont="1" applyFill="1" applyBorder="1"/>
    <xf numFmtId="5" fontId="35" fillId="2" borderId="5" xfId="0" applyNumberFormat="1" applyFont="1" applyFill="1" applyBorder="1"/>
    <xf numFmtId="5" fontId="21" fillId="2" borderId="5" xfId="0" applyNumberFormat="1" applyFont="1" applyFill="1" applyBorder="1" applyAlignment="1">
      <alignment horizontal="center"/>
    </xf>
    <xf numFmtId="5" fontId="34" fillId="2" borderId="0" xfId="0" applyNumberFormat="1" applyFont="1" applyFill="1"/>
    <xf numFmtId="9" fontId="21" fillId="2" borderId="0" xfId="0" applyNumberFormat="1" applyFont="1" applyFill="1"/>
    <xf numFmtId="9" fontId="36" fillId="2" borderId="0" xfId="0" applyNumberFormat="1" applyFont="1" applyFill="1"/>
    <xf numFmtId="0" fontId="26" fillId="7" borderId="16" xfId="0" applyFont="1" applyFill="1" applyBorder="1"/>
    <xf numFmtId="5" fontId="26" fillId="7" borderId="16" xfId="0" applyNumberFormat="1" applyFont="1" applyFill="1" applyBorder="1"/>
    <xf numFmtId="0" fontId="10" fillId="2" borderId="0" xfId="0" applyFont="1" applyFill="1" applyAlignment="1">
      <alignment horizontal="left" indent="1"/>
    </xf>
    <xf numFmtId="8" fontId="10" fillId="2" borderId="0" xfId="0" applyNumberFormat="1" applyFont="1" applyFill="1" applyAlignment="1">
      <alignment vertical="center"/>
    </xf>
    <xf numFmtId="9" fontId="0" fillId="2" borderId="0" xfId="0" applyNumberFormat="1" applyFill="1"/>
    <xf numFmtId="10" fontId="36" fillId="2" borderId="0" xfId="0" applyNumberFormat="1" applyFont="1" applyFill="1"/>
    <xf numFmtId="0" fontId="47" fillId="2" borderId="0" xfId="0" applyFont="1" applyFill="1"/>
    <xf numFmtId="0" fontId="21" fillId="7" borderId="0" xfId="0" applyFont="1" applyFill="1"/>
    <xf numFmtId="0" fontId="48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 indent="1"/>
    </xf>
    <xf numFmtId="0" fontId="48" fillId="2" borderId="0" xfId="0" applyFont="1" applyFill="1" applyAlignment="1">
      <alignment vertical="center"/>
    </xf>
    <xf numFmtId="0" fontId="44" fillId="2" borderId="0" xfId="0" applyFont="1" applyFill="1"/>
    <xf numFmtId="0" fontId="21" fillId="2" borderId="0" xfId="0" applyFont="1" applyFill="1" applyAlignment="1">
      <alignment horizontal="left" vertical="center"/>
    </xf>
    <xf numFmtId="164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vertical="center"/>
    </xf>
    <xf numFmtId="9" fontId="34" fillId="2" borderId="0" xfId="0" applyNumberFormat="1" applyFont="1" applyFill="1" applyAlignment="1">
      <alignment horizontal="center" vertical="center"/>
    </xf>
    <xf numFmtId="166" fontId="34" fillId="2" borderId="0" xfId="0" applyNumberFormat="1" applyFont="1" applyFill="1" applyAlignment="1">
      <alignment horizontal="center" vertical="center"/>
    </xf>
    <xf numFmtId="10" fontId="34" fillId="2" borderId="0" xfId="0" applyNumberFormat="1" applyFont="1" applyFill="1" applyAlignment="1">
      <alignment horizontal="center" vertical="center"/>
    </xf>
    <xf numFmtId="6" fontId="34" fillId="2" borderId="0" xfId="0" applyNumberFormat="1" applyFont="1" applyFill="1" applyAlignment="1">
      <alignment horizontal="center" vertical="center"/>
    </xf>
    <xf numFmtId="6" fontId="26" fillId="2" borderId="0" xfId="0" applyNumberFormat="1" applyFont="1" applyFill="1" applyAlignment="1">
      <alignment horizontal="center" vertical="center"/>
    </xf>
    <xf numFmtId="8" fontId="34" fillId="2" borderId="0" xfId="0" applyNumberFormat="1" applyFont="1" applyFill="1" applyAlignment="1">
      <alignment horizontal="center" vertical="center"/>
    </xf>
    <xf numFmtId="164" fontId="34" fillId="2" borderId="0" xfId="0" applyNumberFormat="1" applyFont="1" applyFill="1" applyAlignment="1">
      <alignment horizontal="center" vertical="center"/>
    </xf>
    <xf numFmtId="9" fontId="26" fillId="2" borderId="0" xfId="0" applyNumberFormat="1" applyFont="1" applyFill="1" applyAlignment="1">
      <alignment horizontal="center" vertical="center"/>
    </xf>
    <xf numFmtId="176" fontId="26" fillId="2" borderId="0" xfId="0" applyNumberFormat="1" applyFont="1" applyFill="1" applyAlignment="1">
      <alignment horizontal="center" vertical="center"/>
    </xf>
    <xf numFmtId="9" fontId="49" fillId="2" borderId="0" xfId="0" applyNumberFormat="1" applyFont="1" applyFill="1" applyAlignment="1">
      <alignment horizontal="center" vertical="center"/>
    </xf>
    <xf numFmtId="0" fontId="20" fillId="2" borderId="0" xfId="0" applyFont="1" applyFill="1" applyAlignment="1">
      <alignment horizontal="center"/>
    </xf>
    <xf numFmtId="0" fontId="20" fillId="2" borderId="0" xfId="0" applyFont="1" applyFill="1"/>
    <xf numFmtId="0" fontId="20" fillId="2" borderId="6" xfId="0" applyFont="1" applyFill="1" applyBorder="1"/>
    <xf numFmtId="173" fontId="40" fillId="2" borderId="0" xfId="0" applyNumberFormat="1" applyFont="1" applyFill="1"/>
    <xf numFmtId="0" fontId="13" fillId="2" borderId="0" xfId="0" applyFont="1" applyFill="1" applyAlignment="1">
      <alignment horizontal="right"/>
    </xf>
    <xf numFmtId="0" fontId="51" fillId="2" borderId="0" xfId="0" applyFont="1" applyFill="1"/>
    <xf numFmtId="0" fontId="20" fillId="2" borderId="0" xfId="0" applyFont="1" applyFill="1" applyAlignment="1">
      <alignment horizontal="right"/>
    </xf>
    <xf numFmtId="9" fontId="34" fillId="2" borderId="0" xfId="2" applyFont="1" applyFill="1"/>
    <xf numFmtId="0" fontId="40" fillId="2" borderId="0" xfId="0" applyFont="1" applyFill="1"/>
    <xf numFmtId="5" fontId="43" fillId="2" borderId="0" xfId="0" applyNumberFormat="1" applyFont="1" applyFill="1"/>
    <xf numFmtId="5" fontId="44" fillId="2" borderId="0" xfId="0" applyNumberFormat="1" applyFont="1" applyFill="1"/>
    <xf numFmtId="9" fontId="43" fillId="2" borderId="0" xfId="0" applyNumberFormat="1" applyFont="1" applyFill="1"/>
    <xf numFmtId="5" fontId="0" fillId="2" borderId="0" xfId="0" applyNumberFormat="1" applyFill="1"/>
    <xf numFmtId="5" fontId="19" fillId="2" borderId="16" xfId="0" applyNumberFormat="1" applyFont="1" applyFill="1" applyBorder="1"/>
    <xf numFmtId="169" fontId="19" fillId="2" borderId="16" xfId="0" applyNumberFormat="1" applyFont="1" applyFill="1" applyBorder="1"/>
    <xf numFmtId="166" fontId="44" fillId="2" borderId="0" xfId="0" applyNumberFormat="1" applyFont="1" applyFill="1"/>
    <xf numFmtId="0" fontId="52" fillId="2" borderId="0" xfId="0" applyFont="1" applyFill="1"/>
    <xf numFmtId="14" fontId="47" fillId="2" borderId="0" xfId="0" applyNumberFormat="1" applyFont="1" applyFill="1" applyAlignment="1">
      <alignment horizontal="center"/>
    </xf>
    <xf numFmtId="9" fontId="21" fillId="7" borderId="0" xfId="0" applyNumberFormat="1" applyFont="1" applyFill="1"/>
    <xf numFmtId="5" fontId="21" fillId="7" borderId="0" xfId="0" applyNumberFormat="1" applyFont="1" applyFill="1"/>
    <xf numFmtId="0" fontId="38" fillId="2" borderId="0" xfId="0" applyFont="1" applyFill="1"/>
    <xf numFmtId="0" fontId="26" fillId="2" borderId="5" xfId="0" applyFont="1" applyFill="1" applyBorder="1"/>
    <xf numFmtId="164" fontId="26" fillId="2" borderId="0" xfId="2" applyNumberFormat="1" applyFont="1" applyFill="1"/>
    <xf numFmtId="0" fontId="21" fillId="7" borderId="4" xfId="0" applyFont="1" applyFill="1" applyBorder="1"/>
    <xf numFmtId="164" fontId="21" fillId="7" borderId="4" xfId="0" applyNumberFormat="1" applyFont="1" applyFill="1" applyBorder="1"/>
    <xf numFmtId="0" fontId="26" fillId="7" borderId="0" xfId="0" applyFont="1" applyFill="1"/>
    <xf numFmtId="0" fontId="21" fillId="7" borderId="5" xfId="0" applyFont="1" applyFill="1" applyBorder="1"/>
    <xf numFmtId="0" fontId="26" fillId="7" borderId="5" xfId="0" applyFont="1" applyFill="1" applyBorder="1"/>
    <xf numFmtId="177" fontId="21" fillId="7" borderId="5" xfId="0" applyNumberFormat="1" applyFont="1" applyFill="1" applyBorder="1"/>
    <xf numFmtId="0" fontId="26" fillId="2" borderId="4" xfId="0" applyFont="1" applyFill="1" applyBorder="1"/>
    <xf numFmtId="5" fontId="21" fillId="7" borderId="5" xfId="0" applyNumberFormat="1" applyFont="1" applyFill="1" applyBorder="1"/>
    <xf numFmtId="37" fontId="26" fillId="2" borderId="5" xfId="0" applyNumberFormat="1" applyFont="1" applyFill="1" applyBorder="1"/>
    <xf numFmtId="14" fontId="44" fillId="2" borderId="0" xfId="0" applyNumberFormat="1" applyFont="1" applyFill="1"/>
    <xf numFmtId="5" fontId="26" fillId="2" borderId="4" xfId="0" applyNumberFormat="1" applyFont="1" applyFill="1" applyBorder="1"/>
    <xf numFmtId="10" fontId="0" fillId="2" borderId="0" xfId="0" applyNumberFormat="1" applyFill="1"/>
    <xf numFmtId="10" fontId="0" fillId="2" borderId="5" xfId="0" applyNumberFormat="1" applyFill="1" applyBorder="1"/>
    <xf numFmtId="10" fontId="13" fillId="2" borderId="0" xfId="0" applyNumberFormat="1" applyFont="1" applyFill="1"/>
    <xf numFmtId="0" fontId="13" fillId="2" borderId="5" xfId="0" applyFont="1" applyFill="1" applyBorder="1"/>
    <xf numFmtId="0" fontId="13" fillId="2" borderId="0" xfId="0" applyFont="1" applyFill="1" applyAlignment="1">
      <alignment vertical="center"/>
    </xf>
    <xf numFmtId="167" fontId="0" fillId="2" borderId="0" xfId="0" applyNumberFormat="1" applyFill="1"/>
    <xf numFmtId="9" fontId="21" fillId="7" borderId="16" xfId="0" applyNumberFormat="1" applyFont="1" applyFill="1" applyBorder="1"/>
    <xf numFmtId="7" fontId="26" fillId="2" borderId="0" xfId="0" applyNumberFormat="1" applyFont="1" applyFill="1"/>
    <xf numFmtId="44" fontId="50" fillId="2" borderId="0" xfId="4" applyFont="1" applyFill="1" applyBorder="1" applyAlignment="1"/>
    <xf numFmtId="169" fontId="50" fillId="2" borderId="0" xfId="4" applyNumberFormat="1" applyFont="1" applyFill="1" applyBorder="1" applyAlignment="1"/>
    <xf numFmtId="169" fontId="20" fillId="2" borderId="0" xfId="0" applyNumberFormat="1" applyFont="1" applyFill="1"/>
    <xf numFmtId="43" fontId="54" fillId="2" borderId="0" xfId="3" applyFont="1" applyFill="1" applyBorder="1" applyAlignment="1">
      <alignment horizontal="center"/>
    </xf>
    <xf numFmtId="169" fontId="18" fillId="2" borderId="0" xfId="0" applyNumberFormat="1" applyFont="1" applyFill="1"/>
    <xf numFmtId="3" fontId="0" fillId="2" borderId="0" xfId="0" applyNumberFormat="1" applyFill="1"/>
    <xf numFmtId="0" fontId="20" fillId="2" borderId="0" xfId="0" applyFont="1" applyFill="1" applyAlignment="1">
      <alignment horizontal="center" vertical="center"/>
    </xf>
    <xf numFmtId="0" fontId="50" fillId="2" borderId="0" xfId="0" applyFont="1" applyFill="1"/>
    <xf numFmtId="0" fontId="50" fillId="2" borderId="0" xfId="0" applyFont="1" applyFill="1" applyAlignment="1">
      <alignment wrapText="1"/>
    </xf>
    <xf numFmtId="0" fontId="50" fillId="2" borderId="0" xfId="0" applyFont="1" applyFill="1" applyAlignment="1">
      <alignment horizontal="center" vertical="center"/>
    </xf>
    <xf numFmtId="169" fontId="50" fillId="2" borderId="0" xfId="0" applyNumberFormat="1" applyFont="1" applyFill="1"/>
    <xf numFmtId="169" fontId="36" fillId="2" borderId="0" xfId="0" applyNumberFormat="1" applyFont="1" applyFill="1"/>
    <xf numFmtId="169" fontId="54" fillId="2" borderId="0" xfId="0" applyNumberFormat="1" applyFont="1" applyFill="1"/>
    <xf numFmtId="169" fontId="54" fillId="2" borderId="0" xfId="4" applyNumberFormat="1" applyFont="1" applyFill="1" applyBorder="1" applyAlignment="1"/>
    <xf numFmtId="44" fontId="54" fillId="2" borderId="0" xfId="4" applyFont="1" applyFill="1" applyBorder="1" applyAlignment="1"/>
    <xf numFmtId="0" fontId="54" fillId="2" borderId="9" xfId="0" applyFont="1" applyFill="1" applyBorder="1" applyAlignment="1">
      <alignment horizontal="center" vertical="center"/>
    </xf>
    <xf numFmtId="0" fontId="20" fillId="2" borderId="15" xfId="0" applyFont="1" applyFill="1" applyBorder="1" applyAlignment="1">
      <alignment horizontal="center" vertical="center"/>
    </xf>
    <xf numFmtId="0" fontId="50" fillId="2" borderId="15" xfId="0" applyFont="1" applyFill="1" applyBorder="1"/>
    <xf numFmtId="0" fontId="50" fillId="2" borderId="15" xfId="0" applyFont="1" applyFill="1" applyBorder="1" applyAlignment="1">
      <alignment horizontal="center" vertical="center"/>
    </xf>
    <xf numFmtId="169" fontId="50" fillId="2" borderId="15" xfId="0" applyNumberFormat="1" applyFont="1" applyFill="1" applyBorder="1"/>
    <xf numFmtId="169" fontId="50" fillId="2" borderId="15" xfId="4" applyNumberFormat="1" applyFont="1" applyFill="1" applyBorder="1" applyAlignment="1"/>
    <xf numFmtId="44" fontId="50" fillId="2" borderId="15" xfId="4" applyFont="1" applyFill="1" applyBorder="1" applyAlignment="1"/>
    <xf numFmtId="43" fontId="54" fillId="2" borderId="15" xfId="3" applyFont="1" applyFill="1" applyBorder="1" applyAlignment="1">
      <alignment horizontal="center"/>
    </xf>
    <xf numFmtId="0" fontId="54" fillId="2" borderId="11" xfId="0" applyFont="1" applyFill="1" applyBorder="1" applyAlignment="1">
      <alignment horizontal="center" vertical="center"/>
    </xf>
    <xf numFmtId="0" fontId="53" fillId="2" borderId="0" xfId="0" applyFont="1" applyFill="1"/>
    <xf numFmtId="0" fontId="54" fillId="2" borderId="13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50" fillId="2" borderId="1" xfId="0" applyFont="1" applyFill="1" applyBorder="1"/>
    <xf numFmtId="0" fontId="50" fillId="2" borderId="1" xfId="0" applyFont="1" applyFill="1" applyBorder="1" applyAlignment="1">
      <alignment wrapText="1"/>
    </xf>
    <xf numFmtId="0" fontId="50" fillId="2" borderId="1" xfId="0" applyFont="1" applyFill="1" applyBorder="1" applyAlignment="1">
      <alignment horizontal="center" vertical="center"/>
    </xf>
    <xf numFmtId="169" fontId="50" fillId="2" borderId="1" xfId="0" applyNumberFormat="1" applyFont="1" applyFill="1" applyBorder="1"/>
    <xf numFmtId="169" fontId="50" fillId="2" borderId="1" xfId="4" applyNumberFormat="1" applyFont="1" applyFill="1" applyBorder="1" applyAlignment="1"/>
    <xf numFmtId="44" fontId="50" fillId="2" borderId="1" xfId="4" applyFont="1" applyFill="1" applyBorder="1" applyAlignment="1"/>
    <xf numFmtId="43" fontId="54" fillId="2" borderId="1" xfId="3" applyFont="1" applyFill="1" applyBorder="1" applyAlignment="1">
      <alignment horizontal="center"/>
    </xf>
    <xf numFmtId="169" fontId="54" fillId="2" borderId="20" xfId="0" applyNumberFormat="1" applyFont="1" applyFill="1" applyBorder="1"/>
    <xf numFmtId="169" fontId="54" fillId="2" borderId="20" xfId="4" applyNumberFormat="1" applyFont="1" applyFill="1" applyBorder="1" applyAlignment="1"/>
    <xf numFmtId="169" fontId="20" fillId="2" borderId="20" xfId="0" applyNumberFormat="1" applyFont="1" applyFill="1" applyBorder="1"/>
    <xf numFmtId="44" fontId="54" fillId="2" borderId="1" xfId="4" applyFont="1" applyFill="1" applyBorder="1" applyAlignment="1"/>
    <xf numFmtId="43" fontId="54" fillId="2" borderId="20" xfId="3" applyFont="1" applyFill="1" applyBorder="1" applyAlignment="1">
      <alignment horizontal="center"/>
    </xf>
    <xf numFmtId="0" fontId="6" fillId="2" borderId="0" xfId="0" applyFont="1" applyFill="1"/>
    <xf numFmtId="0" fontId="20" fillId="5" borderId="0" xfId="0" applyFont="1" applyFill="1" applyAlignment="1">
      <alignment wrapText="1"/>
    </xf>
    <xf numFmtId="0" fontId="20" fillId="5" borderId="0" xfId="0" applyFont="1" applyFill="1" applyAlignment="1">
      <alignment horizontal="center" wrapText="1"/>
    </xf>
    <xf numFmtId="43" fontId="20" fillId="2" borderId="20" xfId="0" applyNumberFormat="1" applyFont="1" applyFill="1" applyBorder="1"/>
    <xf numFmtId="0" fontId="55" fillId="2" borderId="0" xfId="0" applyFont="1" applyFill="1"/>
    <xf numFmtId="169" fontId="55" fillId="2" borderId="0" xfId="0" applyNumberFormat="1" applyFont="1" applyFill="1"/>
    <xf numFmtId="43" fontId="20" fillId="2" borderId="0" xfId="0" applyNumberFormat="1" applyFont="1" applyFill="1"/>
    <xf numFmtId="0" fontId="56" fillId="2" borderId="0" xfId="0" applyFont="1" applyFill="1" applyAlignment="1">
      <alignment horizontal="center"/>
    </xf>
    <xf numFmtId="167" fontId="20" fillId="2" borderId="0" xfId="0" applyNumberFormat="1" applyFont="1" applyFill="1" applyAlignment="1">
      <alignment horizontal="center"/>
    </xf>
    <xf numFmtId="0" fontId="20" fillId="2" borderId="7" xfId="0" applyFont="1" applyFill="1" applyBorder="1"/>
    <xf numFmtId="0" fontId="26" fillId="2" borderId="0" xfId="0" applyFont="1" applyFill="1" applyAlignment="1">
      <alignment horizontal="center"/>
    </xf>
    <xf numFmtId="0" fontId="27" fillId="2" borderId="0" xfId="0" applyFont="1" applyFill="1"/>
    <xf numFmtId="5" fontId="27" fillId="2" borderId="0" xfId="0" applyNumberFormat="1" applyFont="1" applyFill="1"/>
    <xf numFmtId="0" fontId="57" fillId="0" borderId="0" xfId="0" applyFont="1"/>
    <xf numFmtId="0" fontId="57" fillId="0" borderId="0" xfId="0" applyFont="1" applyAlignment="1">
      <alignment horizontal="left"/>
    </xf>
    <xf numFmtId="0" fontId="57" fillId="3" borderId="0" xfId="0" applyFont="1" applyFill="1"/>
    <xf numFmtId="0" fontId="58" fillId="0" borderId="0" xfId="0" applyFont="1"/>
    <xf numFmtId="0" fontId="0" fillId="0" borderId="0" xfId="0" applyAlignment="1">
      <alignment horizontal="left" indent="1"/>
    </xf>
    <xf numFmtId="0" fontId="21" fillId="2" borderId="0" xfId="0" applyFont="1" applyFill="1" applyAlignment="1">
      <alignment vertical="center"/>
    </xf>
    <xf numFmtId="0" fontId="26" fillId="0" borderId="0" xfId="0" applyFont="1" applyAlignment="1">
      <alignment vertical="center"/>
    </xf>
    <xf numFmtId="0" fontId="26" fillId="7" borderId="4" xfId="0" applyFont="1" applyFill="1" applyBorder="1" applyAlignment="1">
      <alignment vertical="center"/>
    </xf>
    <xf numFmtId="164" fontId="26" fillId="7" borderId="4" xfId="0" applyNumberFormat="1" applyFont="1" applyFill="1" applyBorder="1" applyAlignment="1">
      <alignment vertical="center"/>
    </xf>
    <xf numFmtId="0" fontId="26" fillId="7" borderId="5" xfId="0" applyFont="1" applyFill="1" applyBorder="1" applyAlignment="1">
      <alignment vertical="center"/>
    </xf>
    <xf numFmtId="164" fontId="26" fillId="7" borderId="5" xfId="0" applyNumberFormat="1" applyFont="1" applyFill="1" applyBorder="1" applyAlignment="1">
      <alignment vertical="center"/>
    </xf>
    <xf numFmtId="5" fontId="26" fillId="7" borderId="4" xfId="0" applyNumberFormat="1" applyFont="1" applyFill="1" applyBorder="1" applyAlignment="1">
      <alignment vertical="center"/>
    </xf>
    <xf numFmtId="0" fontId="26" fillId="7" borderId="0" xfId="0" applyFont="1" applyFill="1" applyAlignment="1">
      <alignment vertical="center"/>
    </xf>
    <xf numFmtId="5" fontId="26" fillId="7" borderId="0" xfId="0" applyNumberFormat="1" applyFont="1" applyFill="1" applyAlignment="1">
      <alignment vertical="center"/>
    </xf>
    <xf numFmtId="164" fontId="26" fillId="7" borderId="0" xfId="0" applyNumberFormat="1" applyFont="1" applyFill="1" applyAlignment="1">
      <alignment vertical="center"/>
    </xf>
    <xf numFmtId="177" fontId="26" fillId="7" borderId="5" xfId="0" applyNumberFormat="1" applyFont="1" applyFill="1" applyBorder="1" applyAlignment="1">
      <alignment vertical="center"/>
    </xf>
    <xf numFmtId="0" fontId="21" fillId="2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center" vertical="center"/>
    </xf>
    <xf numFmtId="0" fontId="21" fillId="7" borderId="6" xfId="0" applyFont="1" applyFill="1" applyBorder="1"/>
    <xf numFmtId="0" fontId="26" fillId="2" borderId="5" xfId="0" applyFont="1" applyFill="1" applyBorder="1" applyAlignment="1">
      <alignment vertical="center"/>
    </xf>
    <xf numFmtId="0" fontId="5" fillId="2" borderId="0" xfId="0" applyFont="1" applyFill="1"/>
    <xf numFmtId="0" fontId="32" fillId="2" borderId="0" xfId="0" applyFont="1" applyFill="1" applyAlignment="1">
      <alignment horizontal="center"/>
    </xf>
    <xf numFmtId="171" fontId="36" fillId="2" borderId="0" xfId="0" applyNumberFormat="1" applyFont="1" applyFill="1" applyAlignment="1">
      <alignment horizontal="center"/>
    </xf>
    <xf numFmtId="0" fontId="59" fillId="2" borderId="0" xfId="0" applyFont="1" applyFill="1"/>
    <xf numFmtId="0" fontId="20" fillId="2" borderId="0" xfId="0" applyFont="1" applyFill="1" applyAlignment="1">
      <alignment horizontal="left"/>
    </xf>
    <xf numFmtId="0" fontId="34" fillId="2" borderId="0" xfId="0" applyFont="1" applyFill="1"/>
    <xf numFmtId="3" fontId="34" fillId="2" borderId="0" xfId="0" applyNumberFormat="1" applyFont="1" applyFill="1"/>
    <xf numFmtId="174" fontId="34" fillId="2" borderId="0" xfId="0" applyNumberFormat="1" applyFont="1" applyFill="1"/>
    <xf numFmtId="3" fontId="26" fillId="2" borderId="0" xfId="0" applyNumberFormat="1" applyFont="1" applyFill="1"/>
    <xf numFmtId="43" fontId="55" fillId="2" borderId="0" xfId="0" applyNumberFormat="1" applyFont="1" applyFill="1"/>
    <xf numFmtId="172" fontId="20" fillId="2" borderId="0" xfId="3" applyNumberFormat="1" applyFont="1" applyFill="1"/>
    <xf numFmtId="169" fontId="34" fillId="2" borderId="0" xfId="0" applyNumberFormat="1" applyFont="1" applyFill="1"/>
    <xf numFmtId="0" fontId="60" fillId="2" borderId="0" xfId="0" applyFont="1" applyFill="1" applyAlignment="1">
      <alignment horizontal="left" indent="1"/>
    </xf>
    <xf numFmtId="0" fontId="49" fillId="2" borderId="0" xfId="0" applyFont="1" applyFill="1"/>
    <xf numFmtId="0" fontId="22" fillId="2" borderId="0" xfId="0" applyFont="1" applyFill="1"/>
    <xf numFmtId="169" fontId="22" fillId="2" borderId="0" xfId="0" applyNumberFormat="1" applyFont="1" applyFill="1"/>
    <xf numFmtId="172" fontId="22" fillId="2" borderId="0" xfId="3" applyNumberFormat="1" applyFont="1" applyFill="1"/>
    <xf numFmtId="43" fontId="22" fillId="2" borderId="0" xfId="0" applyNumberFormat="1" applyFont="1" applyFill="1"/>
    <xf numFmtId="0" fontId="60" fillId="2" borderId="0" xfId="0" applyFont="1" applyFill="1"/>
    <xf numFmtId="0" fontId="60" fillId="2" borderId="6" xfId="0" applyFont="1" applyFill="1" applyBorder="1" applyAlignment="1">
      <alignment horizontal="left" indent="1"/>
    </xf>
    <xf numFmtId="0" fontId="22" fillId="2" borderId="6" xfId="0" applyFont="1" applyFill="1" applyBorder="1"/>
    <xf numFmtId="43" fontId="22" fillId="2" borderId="6" xfId="0" applyNumberFormat="1" applyFont="1" applyFill="1" applyBorder="1"/>
    <xf numFmtId="0" fontId="36" fillId="2" borderId="0" xfId="0" applyFont="1" applyFill="1" applyAlignment="1">
      <alignment horizontal="center"/>
    </xf>
    <xf numFmtId="3" fontId="36" fillId="2" borderId="0" xfId="0" applyNumberFormat="1" applyFont="1" applyFill="1" applyAlignment="1">
      <alignment horizontal="center"/>
    </xf>
    <xf numFmtId="172" fontId="20" fillId="2" borderId="0" xfId="0" applyNumberFormat="1" applyFont="1" applyFill="1"/>
    <xf numFmtId="172" fontId="20" fillId="2" borderId="6" xfId="3" applyNumberFormat="1" applyFont="1" applyFill="1" applyBorder="1"/>
    <xf numFmtId="1" fontId="20" fillId="2" borderId="6" xfId="0" applyNumberFormat="1" applyFont="1" applyFill="1" applyBorder="1"/>
    <xf numFmtId="172" fontId="20" fillId="2" borderId="0" xfId="3" applyNumberFormat="1" applyFont="1" applyFill="1" applyBorder="1"/>
    <xf numFmtId="1" fontId="20" fillId="2" borderId="0" xfId="0" applyNumberFormat="1" applyFont="1" applyFill="1"/>
    <xf numFmtId="0" fontId="25" fillId="2" borderId="0" xfId="0" applyFont="1" applyFill="1"/>
    <xf numFmtId="172" fontId="20" fillId="2" borderId="6" xfId="0" applyNumberFormat="1" applyFont="1" applyFill="1" applyBorder="1"/>
    <xf numFmtId="37" fontId="36" fillId="2" borderId="0" xfId="0" applyNumberFormat="1" applyFont="1" applyFill="1" applyAlignment="1">
      <alignment horizontal="center" vertical="center"/>
    </xf>
    <xf numFmtId="37" fontId="20" fillId="2" borderId="6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1" fontId="20" fillId="2" borderId="6" xfId="0" applyNumberFormat="1" applyFont="1" applyFill="1" applyBorder="1" applyAlignment="1">
      <alignment horizontal="center"/>
    </xf>
    <xf numFmtId="172" fontId="21" fillId="7" borderId="16" xfId="3" applyNumberFormat="1" applyFont="1" applyFill="1" applyBorder="1"/>
    <xf numFmtId="169" fontId="21" fillId="7" borderId="16" xfId="3" applyNumberFormat="1" applyFont="1" applyFill="1" applyBorder="1"/>
    <xf numFmtId="0" fontId="32" fillId="2" borderId="0" xfId="0" applyFont="1" applyFill="1" applyAlignment="1">
      <alignment horizontal="center" vertical="center"/>
    </xf>
    <xf numFmtId="181" fontId="26" fillId="7" borderId="5" xfId="2" applyNumberFormat="1" applyFont="1" applyFill="1" applyBorder="1" applyAlignment="1">
      <alignment vertical="center"/>
    </xf>
    <xf numFmtId="0" fontId="13" fillId="0" borderId="0" xfId="0" applyFont="1" applyAlignment="1">
      <alignment horizontal="left" indent="1"/>
    </xf>
    <xf numFmtId="0" fontId="26" fillId="2" borderId="0" xfId="1" applyFont="1" applyFill="1" applyAlignment="1">
      <alignment horizontal="right"/>
    </xf>
    <xf numFmtId="0" fontId="26" fillId="2" borderId="0" xfId="1" applyFont="1" applyFill="1" applyAlignment="1">
      <alignment vertical="center"/>
    </xf>
    <xf numFmtId="0" fontId="26" fillId="2" borderId="0" xfId="1" applyFont="1" applyFill="1"/>
    <xf numFmtId="0" fontId="26" fillId="2" borderId="0" xfId="1" applyFont="1" applyFill="1" applyAlignment="1">
      <alignment horizontal="left"/>
    </xf>
    <xf numFmtId="0" fontId="61" fillId="2" borderId="0" xfId="1" applyFont="1" applyFill="1" applyAlignment="1">
      <alignment vertical="center"/>
    </xf>
    <xf numFmtId="0" fontId="62" fillId="2" borderId="0" xfId="1" applyFont="1" applyFill="1" applyAlignment="1">
      <alignment vertical="center"/>
    </xf>
    <xf numFmtId="0" fontId="61" fillId="2" borderId="0" xfId="1" applyFont="1" applyFill="1" applyAlignment="1">
      <alignment horizontal="right" vertical="center"/>
    </xf>
    <xf numFmtId="0" fontId="61" fillId="2" borderId="0" xfId="1" applyFont="1" applyFill="1" applyAlignment="1">
      <alignment horizontal="left" vertical="center"/>
    </xf>
    <xf numFmtId="0" fontId="21" fillId="2" borderId="0" xfId="1" applyFont="1" applyFill="1" applyAlignment="1">
      <alignment horizontal="center" vertical="center"/>
    </xf>
    <xf numFmtId="0" fontId="21" fillId="2" borderId="0" xfId="1" applyFont="1" applyFill="1" applyAlignment="1">
      <alignment horizontal="center"/>
    </xf>
    <xf numFmtId="0" fontId="26" fillId="2" borderId="0" xfId="1" applyFont="1" applyFill="1" applyAlignment="1">
      <alignment horizontal="center"/>
    </xf>
    <xf numFmtId="0" fontId="21" fillId="2" borderId="0" xfId="1" applyFont="1" applyFill="1"/>
    <xf numFmtId="0" fontId="26" fillId="2" borderId="6" xfId="1" applyFont="1" applyFill="1" applyBorder="1" applyAlignment="1">
      <alignment horizontal="center"/>
    </xf>
    <xf numFmtId="0" fontId="21" fillId="2" borderId="0" xfId="1" applyFont="1" applyFill="1" applyAlignment="1">
      <alignment horizontal="left"/>
    </xf>
    <xf numFmtId="0" fontId="21" fillId="2" borderId="6" xfId="1" applyFont="1" applyFill="1" applyBorder="1" applyAlignment="1">
      <alignment horizontal="left"/>
    </xf>
    <xf numFmtId="0" fontId="21" fillId="2" borderId="0" xfId="1" applyFont="1" applyFill="1" applyAlignment="1">
      <alignment horizontal="right"/>
    </xf>
    <xf numFmtId="0" fontId="21" fillId="2" borderId="6" xfId="1" applyFont="1" applyFill="1" applyBorder="1" applyAlignment="1">
      <alignment horizontal="right"/>
    </xf>
    <xf numFmtId="0" fontId="21" fillId="2" borderId="0" xfId="1" applyFont="1" applyFill="1" applyAlignment="1">
      <alignment horizontal="right" vertical="center"/>
    </xf>
    <xf numFmtId="0" fontId="21" fillId="2" borderId="0" xfId="1" applyFont="1" applyFill="1" applyAlignment="1">
      <alignment horizontal="left" vertical="center"/>
    </xf>
    <xf numFmtId="0" fontId="26" fillId="2" borderId="0" xfId="1" applyFont="1" applyFill="1" applyAlignment="1">
      <alignment wrapText="1"/>
    </xf>
    <xf numFmtId="0" fontId="0" fillId="3" borderId="0" xfId="0" applyFill="1" applyAlignment="1">
      <alignment horizontal="left" indent="1"/>
    </xf>
    <xf numFmtId="3" fontId="26" fillId="2" borderId="0" xfId="1" applyNumberFormat="1" applyFont="1" applyFill="1" applyAlignment="1">
      <alignment horizontal="center"/>
    </xf>
    <xf numFmtId="37" fontId="26" fillId="2" borderId="0" xfId="1" applyNumberFormat="1" applyFont="1" applyFill="1" applyAlignment="1">
      <alignment horizontal="center"/>
    </xf>
    <xf numFmtId="37" fontId="26" fillId="2" borderId="6" xfId="1" applyNumberFormat="1" applyFont="1" applyFill="1" applyBorder="1" applyAlignment="1">
      <alignment horizontal="center"/>
    </xf>
    <xf numFmtId="0" fontId="0" fillId="2" borderId="5" xfId="0" applyFill="1" applyBorder="1"/>
    <xf numFmtId="0" fontId="0" fillId="2" borderId="0" xfId="0" quotePrefix="1" applyFill="1"/>
    <xf numFmtId="0" fontId="0" fillId="2" borderId="5" xfId="0" quotePrefix="1" applyFill="1" applyBorder="1"/>
    <xf numFmtId="0" fontId="21" fillId="2" borderId="0" xfId="1" applyFont="1" applyFill="1" applyAlignment="1">
      <alignment vertical="center"/>
    </xf>
    <xf numFmtId="0" fontId="26" fillId="2" borderId="0" xfId="1" applyFont="1" applyFill="1" applyAlignment="1">
      <alignment horizontal="center" wrapText="1"/>
    </xf>
    <xf numFmtId="0" fontId="21" fillId="2" borderId="5" xfId="1" applyFont="1" applyFill="1" applyBorder="1" applyAlignment="1">
      <alignment horizontal="center"/>
    </xf>
    <xf numFmtId="37" fontId="21" fillId="2" borderId="6" xfId="1" applyNumberFormat="1" applyFont="1" applyFill="1" applyBorder="1" applyAlignment="1">
      <alignment horizontal="center"/>
    </xf>
    <xf numFmtId="37" fontId="26" fillId="2" borderId="0" xfId="3" applyNumberFormat="1" applyFont="1" applyFill="1" applyBorder="1" applyAlignment="1">
      <alignment horizontal="center"/>
    </xf>
    <xf numFmtId="43" fontId="26" fillId="2" borderId="0" xfId="1" applyNumberFormat="1" applyFont="1" applyFill="1" applyAlignment="1">
      <alignment horizontal="center"/>
    </xf>
    <xf numFmtId="0" fontId="26" fillId="2" borderId="0" xfId="1" applyFont="1" applyFill="1" applyAlignment="1">
      <alignment horizontal="left" vertical="center" indent="1"/>
    </xf>
    <xf numFmtId="0" fontId="26" fillId="2" borderId="0" xfId="1" applyFont="1" applyFill="1" applyAlignment="1">
      <alignment horizontal="left" indent="1"/>
    </xf>
    <xf numFmtId="0" fontId="26" fillId="2" borderId="0" xfId="1" applyFont="1" applyFill="1" applyAlignment="1">
      <alignment horizontal="left" vertical="center" indent="2"/>
    </xf>
    <xf numFmtId="0" fontId="26" fillId="2" borderId="0" xfId="1" applyFont="1" applyFill="1" applyAlignment="1">
      <alignment horizontal="left" indent="2"/>
    </xf>
    <xf numFmtId="37" fontId="21" fillId="2" borderId="0" xfId="1" applyNumberFormat="1" applyFont="1" applyFill="1" applyAlignment="1">
      <alignment horizontal="center"/>
    </xf>
    <xf numFmtId="3" fontId="21" fillId="2" borderId="6" xfId="1" applyNumberFormat="1" applyFont="1" applyFill="1" applyBorder="1" applyAlignment="1">
      <alignment horizontal="center"/>
    </xf>
    <xf numFmtId="0" fontId="21" fillId="2" borderId="6" xfId="1" applyFont="1" applyFill="1" applyBorder="1"/>
    <xf numFmtId="9" fontId="21" fillId="2" borderId="0" xfId="2" applyFont="1" applyFill="1" applyBorder="1" applyAlignment="1">
      <alignment horizontal="center"/>
    </xf>
    <xf numFmtId="10" fontId="21" fillId="2" borderId="0" xfId="2" applyNumberFormat="1" applyFont="1" applyFill="1" applyBorder="1" applyAlignment="1">
      <alignment horizontal="center"/>
    </xf>
    <xf numFmtId="169" fontId="26" fillId="2" borderId="0" xfId="1" applyNumberFormat="1" applyFont="1" applyFill="1"/>
    <xf numFmtId="0" fontId="64" fillId="2" borderId="0" xfId="1" applyFont="1" applyFill="1"/>
    <xf numFmtId="3" fontId="26" fillId="2" borderId="6" xfId="1" applyNumberFormat="1" applyFont="1" applyFill="1" applyBorder="1" applyAlignment="1">
      <alignment horizontal="center"/>
    </xf>
    <xf numFmtId="0" fontId="26" fillId="2" borderId="5" xfId="1" applyFont="1" applyFill="1" applyBorder="1" applyAlignment="1">
      <alignment horizontal="center"/>
    </xf>
    <xf numFmtId="169" fontId="26" fillId="2" borderId="0" xfId="4" applyNumberFormat="1" applyFont="1" applyFill="1" applyBorder="1" applyAlignment="1"/>
    <xf numFmtId="169" fontId="26" fillId="2" borderId="0" xfId="4" applyNumberFormat="1" applyFont="1" applyFill="1" applyBorder="1"/>
    <xf numFmtId="169" fontId="26" fillId="0" borderId="0" xfId="4" applyNumberFormat="1" applyFont="1"/>
    <xf numFmtId="0" fontId="21" fillId="2" borderId="5" xfId="1" applyFont="1" applyFill="1" applyBorder="1" applyAlignment="1">
      <alignment horizontal="right"/>
    </xf>
    <xf numFmtId="0" fontId="26" fillId="2" borderId="0" xfId="1" applyFont="1" applyFill="1" applyAlignment="1">
      <alignment horizontal="left" vertical="center"/>
    </xf>
    <xf numFmtId="10" fontId="26" fillId="2" borderId="0" xfId="1" applyNumberFormat="1" applyFont="1" applyFill="1" applyAlignment="1">
      <alignment horizontal="center"/>
    </xf>
    <xf numFmtId="0" fontId="65" fillId="0" borderId="0" xfId="0" applyFont="1"/>
    <xf numFmtId="0" fontId="65" fillId="2" borderId="0" xfId="0" applyFont="1" applyFill="1"/>
    <xf numFmtId="0" fontId="66" fillId="2" borderId="0" xfId="0" applyFont="1" applyFill="1"/>
    <xf numFmtId="0" fontId="13" fillId="0" borderId="5" xfId="0" applyFont="1" applyBorder="1"/>
    <xf numFmtId="172" fontId="0" fillId="0" borderId="0" xfId="3" applyNumberFormat="1" applyFont="1"/>
    <xf numFmtId="172" fontId="0" fillId="0" borderId="5" xfId="3" applyNumberFormat="1" applyFont="1" applyBorder="1"/>
    <xf numFmtId="0" fontId="13" fillId="0" borderId="5" xfId="0" applyFont="1" applyBorder="1" applyAlignment="1">
      <alignment horizontal="center"/>
    </xf>
    <xf numFmtId="0" fontId="21" fillId="2" borderId="5" xfId="0" applyFont="1" applyFill="1" applyBorder="1" applyAlignment="1">
      <alignment horizontal="center" vertical="center" wrapText="1"/>
    </xf>
    <xf numFmtId="0" fontId="26" fillId="2" borderId="17" xfId="1" applyFont="1" applyFill="1" applyBorder="1" applyAlignment="1">
      <alignment horizontal="left" vertical="center"/>
    </xf>
    <xf numFmtId="0" fontId="26" fillId="2" borderId="19" xfId="1" applyFont="1" applyFill="1" applyBorder="1" applyAlignment="1">
      <alignment vertical="center"/>
    </xf>
    <xf numFmtId="0" fontId="26" fillId="2" borderId="5" xfId="1" applyFont="1" applyFill="1" applyBorder="1" applyAlignment="1">
      <alignment vertical="center"/>
    </xf>
    <xf numFmtId="180" fontId="26" fillId="2" borderId="5" xfId="1" applyNumberFormat="1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/>
    </xf>
    <xf numFmtId="0" fontId="4" fillId="2" borderId="0" xfId="0" applyFont="1" applyFill="1"/>
    <xf numFmtId="0" fontId="20" fillId="2" borderId="2" xfId="0" applyFont="1" applyFill="1" applyBorder="1" applyAlignment="1">
      <alignment horizontal="left"/>
    </xf>
    <xf numFmtId="0" fontId="4" fillId="2" borderId="0" xfId="0" applyFont="1" applyFill="1" applyAlignment="1">
      <alignment horizontal="left"/>
    </xf>
    <xf numFmtId="0" fontId="67" fillId="2" borderId="0" xfId="0" applyFont="1" applyFill="1"/>
    <xf numFmtId="0" fontId="49" fillId="2" borderId="1" xfId="0" applyFont="1" applyFill="1" applyBorder="1" applyAlignment="1">
      <alignment horizontal="center" vertical="center"/>
    </xf>
    <xf numFmtId="3" fontId="20" fillId="2" borderId="0" xfId="0" applyNumberFormat="1" applyFont="1" applyFill="1" applyAlignment="1">
      <alignment horizontal="center"/>
    </xf>
    <xf numFmtId="0" fontId="68" fillId="2" borderId="0" xfId="0" applyFont="1" applyFill="1" applyAlignment="1">
      <alignment horizontal="center"/>
    </xf>
    <xf numFmtId="0" fontId="56" fillId="2" borderId="0" xfId="0" applyFont="1" applyFill="1"/>
    <xf numFmtId="3" fontId="40" fillId="2" borderId="0" xfId="0" applyNumberFormat="1" applyFont="1" applyFill="1" applyAlignment="1">
      <alignment horizontal="center"/>
    </xf>
    <xf numFmtId="179" fontId="40" fillId="2" borderId="0" xfId="0" applyNumberFormat="1" applyFont="1" applyFill="1" applyAlignment="1">
      <alignment horizontal="center"/>
    </xf>
    <xf numFmtId="41" fontId="40" fillId="2" borderId="0" xfId="0" applyNumberFormat="1" applyFont="1" applyFill="1" applyAlignment="1">
      <alignment horizontal="center"/>
    </xf>
    <xf numFmtId="0" fontId="34" fillId="2" borderId="0" xfId="0" applyFont="1" applyFill="1" applyAlignment="1">
      <alignment horizontal="center" vertical="center"/>
    </xf>
    <xf numFmtId="3" fontId="20" fillId="2" borderId="6" xfId="0" applyNumberFormat="1" applyFont="1" applyFill="1" applyBorder="1" applyAlignment="1">
      <alignment horizontal="center"/>
    </xf>
    <xf numFmtId="0" fontId="20" fillId="2" borderId="1" xfId="0" applyFont="1" applyFill="1" applyBorder="1"/>
    <xf numFmtId="3" fontId="21" fillId="2" borderId="0" xfId="0" applyNumberFormat="1" applyFont="1" applyFill="1" applyAlignment="1">
      <alignment horizontal="center"/>
    </xf>
    <xf numFmtId="3" fontId="39" fillId="2" borderId="0" xfId="0" applyNumberFormat="1" applyFont="1" applyFill="1" applyAlignment="1">
      <alignment horizontal="center"/>
    </xf>
    <xf numFmtId="1" fontId="40" fillId="2" borderId="0" xfId="0" applyNumberFormat="1" applyFont="1" applyFill="1" applyAlignment="1">
      <alignment horizontal="center" vertical="center"/>
    </xf>
    <xf numFmtId="0" fontId="69" fillId="2" borderId="0" xfId="0" applyFont="1" applyFill="1"/>
    <xf numFmtId="0" fontId="21" fillId="2" borderId="1" xfId="0" applyFont="1" applyFill="1" applyBorder="1"/>
    <xf numFmtId="1" fontId="36" fillId="2" borderId="0" xfId="0" applyNumberFormat="1" applyFont="1" applyFill="1" applyAlignment="1">
      <alignment horizontal="center" vertical="center"/>
    </xf>
    <xf numFmtId="170" fontId="49" fillId="2" borderId="0" xfId="0" applyNumberFormat="1" applyFont="1" applyFill="1" applyAlignment="1">
      <alignment horizontal="center" vertical="center"/>
    </xf>
    <xf numFmtId="169" fontId="34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 indent="2"/>
    </xf>
    <xf numFmtId="175" fontId="49" fillId="2" borderId="0" xfId="0" applyNumberFormat="1" applyFont="1" applyFill="1" applyAlignment="1">
      <alignment horizontal="center" vertical="center"/>
    </xf>
    <xf numFmtId="175" fontId="26" fillId="2" borderId="0" xfId="0" applyNumberFormat="1" applyFont="1" applyFill="1" applyAlignment="1">
      <alignment horizontal="center" vertical="center"/>
    </xf>
    <xf numFmtId="169" fontId="20" fillId="2" borderId="6" xfId="0" applyNumberFormat="1" applyFont="1" applyFill="1" applyBorder="1"/>
    <xf numFmtId="168" fontId="20" fillId="2" borderId="0" xfId="0" applyNumberFormat="1" applyFont="1" applyFill="1"/>
    <xf numFmtId="169" fontId="20" fillId="2" borderId="5" xfId="0" applyNumberFormat="1" applyFont="1" applyFill="1" applyBorder="1"/>
    <xf numFmtId="5" fontId="49" fillId="2" borderId="0" xfId="0" applyNumberFormat="1" applyFont="1" applyFill="1" applyAlignment="1">
      <alignment horizontal="center" vertical="center"/>
    </xf>
    <xf numFmtId="5" fontId="26" fillId="2" borderId="0" xfId="0" applyNumberFormat="1" applyFont="1" applyFill="1" applyAlignment="1">
      <alignment horizontal="center" vertical="center"/>
    </xf>
    <xf numFmtId="9" fontId="49" fillId="2" borderId="0" xfId="2" applyFont="1" applyFill="1" applyAlignment="1">
      <alignment horizontal="center" vertical="center"/>
    </xf>
    <xf numFmtId="9" fontId="26" fillId="2" borderId="0" xfId="2" applyFont="1" applyFill="1" applyAlignment="1">
      <alignment horizontal="center" vertical="center"/>
    </xf>
    <xf numFmtId="173" fontId="26" fillId="2" borderId="0" xfId="0" applyNumberFormat="1" applyFont="1" applyFill="1" applyAlignment="1">
      <alignment horizontal="center" vertical="center"/>
    </xf>
    <xf numFmtId="173" fontId="34" fillId="2" borderId="0" xfId="0" applyNumberFormat="1" applyFont="1" applyFill="1" applyAlignment="1">
      <alignment horizontal="center" vertical="center"/>
    </xf>
    <xf numFmtId="10" fontId="26" fillId="2" borderId="0" xfId="0" applyNumberFormat="1" applyFont="1" applyFill="1" applyAlignment="1">
      <alignment horizontal="center" vertical="center"/>
    </xf>
    <xf numFmtId="170" fontId="39" fillId="2" borderId="0" xfId="0" applyNumberFormat="1" applyFont="1" applyFill="1" applyAlignment="1">
      <alignment horizontal="center" vertical="center"/>
    </xf>
    <xf numFmtId="9" fontId="20" fillId="2" borderId="0" xfId="2" applyFont="1" applyFill="1"/>
    <xf numFmtId="9" fontId="20" fillId="2" borderId="0" xfId="2" applyFont="1" applyFill="1" applyAlignment="1">
      <alignment horizontal="center" vertical="center"/>
    </xf>
    <xf numFmtId="169" fontId="20" fillId="2" borderId="0" xfId="0" applyNumberFormat="1" applyFont="1" applyFill="1" applyAlignment="1">
      <alignment horizontal="center" vertical="center"/>
    </xf>
    <xf numFmtId="3" fontId="20" fillId="2" borderId="0" xfId="0" applyNumberFormat="1" applyFont="1" applyFill="1" applyAlignment="1">
      <alignment horizontal="center" vertical="center"/>
    </xf>
    <xf numFmtId="3" fontId="36" fillId="2" borderId="0" xfId="3" applyNumberFormat="1" applyFont="1" applyFill="1" applyAlignment="1">
      <alignment horizontal="center" vertical="center"/>
    </xf>
    <xf numFmtId="169" fontId="20" fillId="2" borderId="6" xfId="0" applyNumberFormat="1" applyFont="1" applyFill="1" applyBorder="1" applyAlignment="1">
      <alignment horizontal="center" vertical="center"/>
    </xf>
    <xf numFmtId="169" fontId="20" fillId="2" borderId="4" xfId="0" applyNumberFormat="1" applyFont="1" applyFill="1" applyBorder="1" applyAlignment="1">
      <alignment horizontal="center" vertical="center"/>
    </xf>
    <xf numFmtId="171" fontId="34" fillId="2" borderId="0" xfId="0" applyNumberFormat="1" applyFont="1" applyFill="1" applyAlignment="1">
      <alignment horizontal="center" vertical="center"/>
    </xf>
    <xf numFmtId="164" fontId="34" fillId="2" borderId="0" xfId="2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37" fontId="21" fillId="2" borderId="0" xfId="0" applyNumberFormat="1" applyFont="1" applyFill="1" applyAlignment="1">
      <alignment horizontal="center" vertical="center"/>
    </xf>
    <xf numFmtId="37" fontId="26" fillId="2" borderId="0" xfId="0" applyNumberFormat="1" applyFont="1" applyFill="1" applyAlignment="1">
      <alignment horizontal="center" vertical="center"/>
    </xf>
    <xf numFmtId="0" fontId="21" fillId="2" borderId="6" xfId="0" applyFont="1" applyFill="1" applyBorder="1" applyAlignment="1">
      <alignment vertical="center"/>
    </xf>
    <xf numFmtId="0" fontId="26" fillId="2" borderId="6" xfId="0" applyFont="1" applyFill="1" applyBorder="1" applyAlignment="1">
      <alignment vertical="center"/>
    </xf>
    <xf numFmtId="5" fontId="21" fillId="2" borderId="6" xfId="0" applyNumberFormat="1" applyFont="1" applyFill="1" applyBorder="1" applyAlignment="1">
      <alignment horizontal="center" vertical="center"/>
    </xf>
    <xf numFmtId="5" fontId="26" fillId="2" borderId="6" xfId="0" applyNumberFormat="1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horizontal="left" vertical="center" indent="1"/>
    </xf>
    <xf numFmtId="0" fontId="26" fillId="2" borderId="4" xfId="0" applyFont="1" applyFill="1" applyBorder="1" applyAlignment="1">
      <alignment vertical="center"/>
    </xf>
    <xf numFmtId="37" fontId="21" fillId="2" borderId="4" xfId="0" applyNumberFormat="1" applyFont="1" applyFill="1" applyBorder="1" applyAlignment="1">
      <alignment horizontal="center" vertical="center"/>
    </xf>
    <xf numFmtId="37" fontId="26" fillId="2" borderId="4" xfId="0" applyNumberFormat="1" applyFont="1" applyFill="1" applyBorder="1" applyAlignment="1">
      <alignment horizontal="center" vertical="center"/>
    </xf>
    <xf numFmtId="0" fontId="26" fillId="2" borderId="5" xfId="0" applyFont="1" applyFill="1" applyBorder="1" applyAlignment="1">
      <alignment horizontal="left" vertical="center" indent="1"/>
    </xf>
    <xf numFmtId="173" fontId="26" fillId="2" borderId="5" xfId="0" applyNumberFormat="1" applyFont="1" applyFill="1" applyBorder="1" applyAlignment="1">
      <alignment horizontal="center" vertical="center"/>
    </xf>
    <xf numFmtId="173" fontId="21" fillId="2" borderId="0" xfId="0" applyNumberFormat="1" applyFont="1" applyFill="1" applyAlignment="1">
      <alignment horizontal="center" vertical="center"/>
    </xf>
    <xf numFmtId="5" fontId="21" fillId="2" borderId="0" xfId="0" applyNumberFormat="1" applyFont="1" applyFill="1" applyAlignment="1">
      <alignment horizontal="center" vertical="center"/>
    </xf>
    <xf numFmtId="173" fontId="49" fillId="2" borderId="0" xfId="0" applyNumberFormat="1" applyFont="1" applyFill="1" applyAlignment="1">
      <alignment horizontal="center" vertical="center"/>
    </xf>
    <xf numFmtId="1" fontId="36" fillId="2" borderId="0" xfId="1" applyNumberFormat="1" applyFont="1" applyFill="1" applyAlignment="1">
      <alignment horizontal="center" vertical="center"/>
    </xf>
    <xf numFmtId="0" fontId="20" fillId="2" borderId="15" xfId="0" applyFont="1" applyFill="1" applyBorder="1" applyAlignment="1">
      <alignment horizontal="left" indent="1"/>
    </xf>
    <xf numFmtId="0" fontId="20" fillId="2" borderId="0" xfId="0" applyFont="1" applyFill="1" applyAlignment="1">
      <alignment horizontal="left" indent="1"/>
    </xf>
    <xf numFmtId="0" fontId="20" fillId="2" borderId="7" xfId="0" applyFont="1" applyFill="1" applyBorder="1" applyAlignment="1">
      <alignment horizontal="left"/>
    </xf>
    <xf numFmtId="0" fontId="20" fillId="2" borderId="17" xfId="0" applyFont="1" applyFill="1" applyBorder="1" applyAlignment="1">
      <alignment horizontal="left"/>
    </xf>
    <xf numFmtId="1" fontId="20" fillId="2" borderId="0" xfId="0" applyNumberFormat="1" applyFont="1" applyFill="1" applyAlignment="1">
      <alignment horizontal="center" vertical="center"/>
    </xf>
    <xf numFmtId="1" fontId="20" fillId="2" borderId="5" xfId="0" applyNumberFormat="1" applyFont="1" applyFill="1" applyBorder="1" applyAlignment="1">
      <alignment horizontal="center" vertical="center"/>
    </xf>
    <xf numFmtId="1" fontId="20" fillId="2" borderId="4" xfId="0" applyNumberFormat="1" applyFont="1" applyFill="1" applyBorder="1" applyAlignment="1">
      <alignment horizontal="center" vertical="center"/>
    </xf>
    <xf numFmtId="0" fontId="21" fillId="2" borderId="6" xfId="1" applyFont="1" applyFill="1" applyBorder="1" applyAlignment="1">
      <alignment vertical="center"/>
    </xf>
    <xf numFmtId="172" fontId="40" fillId="2" borderId="0" xfId="3" applyNumberFormat="1" applyFont="1" applyFill="1" applyBorder="1" applyAlignment="1">
      <alignment horizontal="center" vertical="center"/>
    </xf>
    <xf numFmtId="172" fontId="40" fillId="2" borderId="5" xfId="3" applyNumberFormat="1" applyFont="1" applyFill="1" applyBorder="1" applyAlignment="1">
      <alignment horizontal="center" vertical="center"/>
    </xf>
    <xf numFmtId="172" fontId="40" fillId="2" borderId="4" xfId="3" applyNumberFormat="1" applyFont="1" applyFill="1" applyBorder="1" applyAlignment="1">
      <alignment horizontal="center" vertical="center"/>
    </xf>
    <xf numFmtId="172" fontId="40" fillId="2" borderId="6" xfId="3" applyNumberFormat="1" applyFont="1" applyFill="1" applyBorder="1" applyAlignment="1">
      <alignment vertical="center"/>
    </xf>
    <xf numFmtId="0" fontId="21" fillId="2" borderId="17" xfId="1" applyFont="1" applyFill="1" applyBorder="1" applyAlignment="1">
      <alignment vertical="center"/>
    </xf>
    <xf numFmtId="0" fontId="26" fillId="2" borderId="4" xfId="1" applyFont="1" applyFill="1" applyBorder="1" applyAlignment="1">
      <alignment vertical="center"/>
    </xf>
    <xf numFmtId="0" fontId="26" fillId="2" borderId="17" xfId="1" applyFont="1" applyFill="1" applyBorder="1" applyAlignment="1">
      <alignment vertical="center"/>
    </xf>
    <xf numFmtId="164" fontId="26" fillId="2" borderId="5" xfId="1" applyNumberFormat="1" applyFont="1" applyFill="1" applyBorder="1" applyAlignment="1">
      <alignment vertical="center"/>
    </xf>
    <xf numFmtId="177" fontId="26" fillId="2" borderId="5" xfId="1" applyNumberFormat="1" applyFont="1" applyFill="1" applyBorder="1" applyAlignment="1">
      <alignment vertical="center"/>
    </xf>
    <xf numFmtId="0" fontId="20" fillId="2" borderId="17" xfId="1" applyFont="1" applyFill="1" applyBorder="1"/>
    <xf numFmtId="0" fontId="20" fillId="2" borderId="19" xfId="1" applyFont="1" applyFill="1" applyBorder="1"/>
    <xf numFmtId="5" fontId="20" fillId="2" borderId="5" xfId="1" applyNumberFormat="1" applyFont="1" applyFill="1" applyBorder="1"/>
    <xf numFmtId="0" fontId="26" fillId="2" borderId="17" xfId="1" applyFont="1" applyFill="1" applyBorder="1" applyAlignment="1">
      <alignment horizontal="left" vertical="center" indent="1"/>
    </xf>
    <xf numFmtId="0" fontId="21" fillId="2" borderId="6" xfId="1" applyFont="1" applyFill="1" applyBorder="1" applyAlignment="1">
      <alignment horizontal="center" vertical="center"/>
    </xf>
    <xf numFmtId="5" fontId="26" fillId="2" borderId="0" xfId="1" applyNumberFormat="1" applyFont="1" applyFill="1" applyAlignment="1">
      <alignment vertical="center"/>
    </xf>
    <xf numFmtId="164" fontId="26" fillId="2" borderId="0" xfId="1" applyNumberFormat="1" applyFont="1" applyFill="1" applyAlignment="1">
      <alignment vertical="center"/>
    </xf>
    <xf numFmtId="5" fontId="26" fillId="2" borderId="18" xfId="1" applyNumberFormat="1" applyFont="1" applyFill="1" applyBorder="1" applyAlignment="1">
      <alignment vertical="center"/>
    </xf>
    <xf numFmtId="164" fontId="26" fillId="2" borderId="18" xfId="1" applyNumberFormat="1" applyFont="1" applyFill="1" applyBorder="1" applyAlignment="1">
      <alignment vertical="center"/>
    </xf>
    <xf numFmtId="0" fontId="26" fillId="2" borderId="18" xfId="1" applyFont="1" applyFill="1" applyBorder="1" applyAlignment="1">
      <alignment vertical="center"/>
    </xf>
    <xf numFmtId="0" fontId="21" fillId="2" borderId="2" xfId="1" applyFont="1" applyFill="1" applyBorder="1" applyAlignment="1">
      <alignment vertical="center"/>
    </xf>
    <xf numFmtId="5" fontId="26" fillId="2" borderId="5" xfId="1" applyNumberFormat="1" applyFont="1" applyFill="1" applyBorder="1" applyAlignment="1">
      <alignment vertical="center"/>
    </xf>
    <xf numFmtId="164" fontId="26" fillId="2" borderId="8" xfId="1" applyNumberFormat="1" applyFont="1" applyFill="1" applyBorder="1" applyAlignment="1">
      <alignment vertical="center"/>
    </xf>
    <xf numFmtId="177" fontId="26" fillId="2" borderId="5" xfId="0" applyNumberFormat="1" applyFont="1" applyFill="1" applyBorder="1" applyAlignment="1">
      <alignment vertical="center"/>
    </xf>
    <xf numFmtId="9" fontId="44" fillId="2" borderId="18" xfId="1" applyNumberFormat="1" applyFont="1" applyFill="1" applyBorder="1" applyAlignment="1">
      <alignment horizontal="center" vertical="center"/>
    </xf>
    <xf numFmtId="5" fontId="44" fillId="2" borderId="18" xfId="1" applyNumberFormat="1" applyFont="1" applyFill="1" applyBorder="1" applyAlignment="1">
      <alignment horizontal="center" vertical="center"/>
    </xf>
    <xf numFmtId="9" fontId="44" fillId="2" borderId="0" xfId="1" applyNumberFormat="1" applyFont="1" applyFill="1" applyAlignment="1">
      <alignment horizontal="center" vertical="center"/>
    </xf>
    <xf numFmtId="5" fontId="44" fillId="2" borderId="0" xfId="1" applyNumberFormat="1" applyFont="1" applyFill="1" applyAlignment="1">
      <alignment horizontal="center" vertical="center"/>
    </xf>
    <xf numFmtId="0" fontId="70" fillId="2" borderId="0" xfId="1" applyFont="1" applyFill="1" applyAlignment="1">
      <alignment horizontal="center" vertical="center"/>
    </xf>
    <xf numFmtId="9" fontId="44" fillId="2" borderId="6" xfId="2" applyFont="1" applyFill="1" applyBorder="1" applyAlignment="1">
      <alignment horizontal="center" vertical="center"/>
    </xf>
    <xf numFmtId="10" fontId="44" fillId="2" borderId="6" xfId="2" applyNumberFormat="1" applyFont="1" applyFill="1" applyBorder="1" applyAlignment="1">
      <alignment horizontal="center" vertical="center"/>
    </xf>
    <xf numFmtId="9" fontId="44" fillId="2" borderId="0" xfId="2" applyFont="1" applyFill="1" applyBorder="1" applyAlignment="1">
      <alignment horizontal="center" vertical="center"/>
    </xf>
    <xf numFmtId="9" fontId="70" fillId="2" borderId="0" xfId="2" applyFont="1" applyFill="1" applyBorder="1" applyAlignment="1">
      <alignment horizontal="center" vertical="center"/>
    </xf>
    <xf numFmtId="0" fontId="21" fillId="2" borderId="7" xfId="1" applyFont="1" applyFill="1" applyBorder="1" applyAlignment="1">
      <alignment horizontal="left" vertical="center"/>
    </xf>
    <xf numFmtId="9" fontId="44" fillId="2" borderId="21" xfId="1" applyNumberFormat="1" applyFont="1" applyFill="1" applyBorder="1" applyAlignment="1">
      <alignment horizontal="center" vertical="center"/>
    </xf>
    <xf numFmtId="0" fontId="48" fillId="2" borderId="0" xfId="1" applyFont="1" applyFill="1" applyAlignment="1">
      <alignment horizontal="left" vertical="center" indent="1"/>
    </xf>
    <xf numFmtId="37" fontId="26" fillId="2" borderId="0" xfId="1" applyNumberFormat="1" applyFont="1" applyFill="1" applyAlignment="1">
      <alignment horizontal="center" vertical="center"/>
    </xf>
    <xf numFmtId="5" fontId="26" fillId="2" borderId="0" xfId="1" applyNumberFormat="1" applyFont="1" applyFill="1" applyAlignment="1">
      <alignment horizontal="center" vertical="center"/>
    </xf>
    <xf numFmtId="9" fontId="44" fillId="2" borderId="18" xfId="2" applyFont="1" applyFill="1" applyBorder="1" applyAlignment="1">
      <alignment horizontal="center" vertical="center"/>
    </xf>
    <xf numFmtId="0" fontId="48" fillId="2" borderId="0" xfId="1" applyFont="1" applyFill="1" applyAlignment="1">
      <alignment horizontal="center" vertical="center"/>
    </xf>
    <xf numFmtId="10" fontId="44" fillId="2" borderId="0" xfId="2" applyNumberFormat="1" applyFont="1" applyFill="1" applyBorder="1" applyAlignment="1">
      <alignment horizontal="center" vertical="center"/>
    </xf>
    <xf numFmtId="9" fontId="44" fillId="2" borderId="3" xfId="1" applyNumberFormat="1" applyFont="1" applyFill="1" applyBorder="1" applyAlignment="1">
      <alignment horizontal="center" vertical="center"/>
    </xf>
    <xf numFmtId="9" fontId="44" fillId="2" borderId="6" xfId="1" applyNumberFormat="1" applyFont="1" applyFill="1" applyBorder="1" applyAlignment="1">
      <alignment horizontal="center" vertical="center"/>
    </xf>
    <xf numFmtId="9" fontId="70" fillId="2" borderId="18" xfId="1" applyNumberFormat="1" applyFont="1" applyFill="1" applyBorder="1" applyAlignment="1">
      <alignment horizontal="center" vertical="center"/>
    </xf>
    <xf numFmtId="9" fontId="44" fillId="2" borderId="3" xfId="2" applyFont="1" applyFill="1" applyBorder="1" applyAlignment="1">
      <alignment horizontal="center" vertical="center"/>
    </xf>
    <xf numFmtId="9" fontId="26" fillId="2" borderId="18" xfId="2" applyFont="1" applyFill="1" applyBorder="1" applyAlignment="1">
      <alignment horizontal="center" vertical="center"/>
    </xf>
    <xf numFmtId="5" fontId="20" fillId="2" borderId="0" xfId="1" applyNumberFormat="1" applyFont="1" applyFill="1"/>
    <xf numFmtId="0" fontId="20" fillId="2" borderId="7" xfId="1" applyFont="1" applyFill="1" applyBorder="1"/>
    <xf numFmtId="0" fontId="3" fillId="2" borderId="0" xfId="0" applyFont="1" applyFill="1"/>
    <xf numFmtId="0" fontId="37" fillId="9" borderId="0" xfId="0" applyFont="1" applyFill="1"/>
    <xf numFmtId="0" fontId="37" fillId="9" borderId="0" xfId="0" applyFont="1" applyFill="1" applyAlignment="1">
      <alignment horizontal="center" vertical="center"/>
    </xf>
    <xf numFmtId="168" fontId="37" fillId="9" borderId="0" xfId="0" applyNumberFormat="1" applyFont="1" applyFill="1" applyAlignment="1">
      <alignment horizontal="center" vertical="center"/>
    </xf>
    <xf numFmtId="169" fontId="37" fillId="9" borderId="0" xfId="0" applyNumberFormat="1" applyFont="1" applyFill="1" applyAlignment="1">
      <alignment horizontal="center" vertical="center"/>
    </xf>
    <xf numFmtId="0" fontId="71" fillId="2" borderId="0" xfId="0" applyFont="1" applyFill="1"/>
    <xf numFmtId="37" fontId="21" fillId="10" borderId="6" xfId="1" applyNumberFormat="1" applyFont="1" applyFill="1" applyBorder="1" applyAlignment="1">
      <alignment horizontal="center" vertical="center"/>
    </xf>
    <xf numFmtId="37" fontId="26" fillId="10" borderId="6" xfId="1" applyNumberFormat="1" applyFont="1" applyFill="1" applyBorder="1" applyAlignment="1">
      <alignment horizontal="center" vertical="center"/>
    </xf>
    <xf numFmtId="37" fontId="26" fillId="10" borderId="3" xfId="1" applyNumberFormat="1" applyFont="1" applyFill="1" applyBorder="1" applyAlignment="1">
      <alignment horizontal="center" vertical="center"/>
    </xf>
    <xf numFmtId="181" fontId="26" fillId="2" borderId="5" xfId="2" applyNumberFormat="1" applyFont="1" applyFill="1" applyBorder="1" applyAlignment="1">
      <alignment vertical="center"/>
    </xf>
    <xf numFmtId="177" fontId="26" fillId="2" borderId="18" xfId="1" applyNumberFormat="1" applyFont="1" applyFill="1" applyBorder="1" applyAlignment="1">
      <alignment vertical="center"/>
    </xf>
    <xf numFmtId="5" fontId="26" fillId="2" borderId="8" xfId="1" applyNumberFormat="1" applyFont="1" applyFill="1" applyBorder="1" applyAlignment="1">
      <alignment vertical="center"/>
    </xf>
    <xf numFmtId="37" fontId="21" fillId="2" borderId="4" xfId="1" applyNumberFormat="1" applyFont="1" applyFill="1" applyBorder="1" applyAlignment="1">
      <alignment horizontal="center" vertical="center"/>
    </xf>
    <xf numFmtId="37" fontId="21" fillId="2" borderId="0" xfId="1" applyNumberFormat="1" applyFont="1" applyFill="1" applyAlignment="1">
      <alignment horizontal="center" vertical="center"/>
    </xf>
    <xf numFmtId="37" fontId="44" fillId="2" borderId="0" xfId="1" applyNumberFormat="1" applyFont="1" applyFill="1" applyAlignment="1">
      <alignment horizontal="center" vertical="center"/>
    </xf>
    <xf numFmtId="37" fontId="21" fillId="10" borderId="0" xfId="1" applyNumberFormat="1" applyFont="1" applyFill="1" applyAlignment="1">
      <alignment horizontal="center" vertical="center"/>
    </xf>
    <xf numFmtId="37" fontId="26" fillId="10" borderId="0" xfId="1" applyNumberFormat="1" applyFont="1" applyFill="1" applyAlignment="1">
      <alignment horizontal="center" vertical="center"/>
    </xf>
    <xf numFmtId="0" fontId="21" fillId="10" borderId="2" xfId="1" applyFont="1" applyFill="1" applyBorder="1" applyAlignment="1">
      <alignment horizontal="left" vertical="center"/>
    </xf>
    <xf numFmtId="0" fontId="26" fillId="2" borderId="17" xfId="1" applyFont="1" applyFill="1" applyBorder="1" applyAlignment="1">
      <alignment horizontal="left" vertical="center" indent="3"/>
    </xf>
    <xf numFmtId="0" fontId="26" fillId="10" borderId="0" xfId="1" applyFont="1" applyFill="1" applyAlignment="1">
      <alignment horizontal="left" vertical="center" indent="3"/>
    </xf>
    <xf numFmtId="10" fontId="26" fillId="2" borderId="5" xfId="2" applyNumberFormat="1" applyFont="1" applyFill="1" applyBorder="1" applyAlignment="1">
      <alignment vertical="center"/>
    </xf>
    <xf numFmtId="10" fontId="26" fillId="2" borderId="0" xfId="2" applyNumberFormat="1" applyFont="1" applyFill="1" applyBorder="1" applyAlignment="1">
      <alignment vertical="center"/>
    </xf>
    <xf numFmtId="172" fontId="40" fillId="2" borderId="0" xfId="3" applyNumberFormat="1" applyFont="1" applyFill="1" applyBorder="1" applyAlignment="1">
      <alignment vertical="center"/>
    </xf>
    <xf numFmtId="0" fontId="21" fillId="10" borderId="0" xfId="1" applyFont="1" applyFill="1" applyAlignment="1">
      <alignment horizontal="left" vertical="center" indent="1"/>
    </xf>
    <xf numFmtId="0" fontId="21" fillId="10" borderId="7" xfId="1" applyFont="1" applyFill="1" applyBorder="1" applyAlignment="1">
      <alignment horizontal="left" vertical="center"/>
    </xf>
    <xf numFmtId="37" fontId="21" fillId="10" borderId="4" xfId="1" applyNumberFormat="1" applyFont="1" applyFill="1" applyBorder="1" applyAlignment="1">
      <alignment horizontal="center" vertical="center"/>
    </xf>
    <xf numFmtId="37" fontId="26" fillId="10" borderId="4" xfId="1" applyNumberFormat="1" applyFont="1" applyFill="1" applyBorder="1" applyAlignment="1">
      <alignment horizontal="center" vertical="center"/>
    </xf>
    <xf numFmtId="37" fontId="26" fillId="10" borderId="21" xfId="1" applyNumberFormat="1" applyFont="1" applyFill="1" applyBorder="1" applyAlignment="1">
      <alignment horizontal="center" vertical="center"/>
    </xf>
    <xf numFmtId="0" fontId="26" fillId="10" borderId="17" xfId="1" applyFont="1" applyFill="1" applyBorder="1" applyAlignment="1">
      <alignment horizontal="left" vertical="center" indent="3"/>
    </xf>
    <xf numFmtId="37" fontId="26" fillId="10" borderId="18" xfId="1" applyNumberFormat="1" applyFont="1" applyFill="1" applyBorder="1" applyAlignment="1">
      <alignment horizontal="center" vertical="center"/>
    </xf>
    <xf numFmtId="5" fontId="26" fillId="10" borderId="18" xfId="1" applyNumberFormat="1" applyFont="1" applyFill="1" applyBorder="1" applyAlignment="1">
      <alignment horizontal="center" vertical="center"/>
    </xf>
    <xf numFmtId="0" fontId="26" fillId="10" borderId="19" xfId="1" applyFont="1" applyFill="1" applyBorder="1" applyAlignment="1">
      <alignment horizontal="left" vertical="center" indent="3"/>
    </xf>
    <xf numFmtId="37" fontId="21" fillId="10" borderId="5" xfId="1" applyNumberFormat="1" applyFont="1" applyFill="1" applyBorder="1" applyAlignment="1">
      <alignment horizontal="center" vertical="center"/>
    </xf>
    <xf numFmtId="5" fontId="26" fillId="10" borderId="8" xfId="1" applyNumberFormat="1" applyFont="1" applyFill="1" applyBorder="1" applyAlignment="1">
      <alignment horizontal="center" vertical="center"/>
    </xf>
    <xf numFmtId="14" fontId="3" fillId="2" borderId="0" xfId="0" applyNumberFormat="1" applyFont="1" applyFill="1"/>
    <xf numFmtId="0" fontId="20" fillId="2" borderId="0" xfId="1" applyFont="1" applyFill="1" applyAlignment="1">
      <alignment horizontal="center"/>
    </xf>
    <xf numFmtId="9" fontId="55" fillId="2" borderId="0" xfId="2" applyFont="1" applyFill="1" applyBorder="1" applyAlignment="1">
      <alignment horizontal="center"/>
    </xf>
    <xf numFmtId="0" fontId="55" fillId="2" borderId="0" xfId="1" applyFont="1" applyFill="1" applyAlignment="1">
      <alignment horizontal="center"/>
    </xf>
    <xf numFmtId="0" fontId="50" fillId="10" borderId="6" xfId="1" applyFont="1" applyFill="1" applyBorder="1"/>
    <xf numFmtId="0" fontId="50" fillId="10" borderId="4" xfId="1" applyFont="1" applyFill="1" applyBorder="1"/>
    <xf numFmtId="0" fontId="50" fillId="10" borderId="0" xfId="1" applyFont="1" applyFill="1"/>
    <xf numFmtId="0" fontId="50" fillId="10" borderId="5" xfId="1" applyFont="1" applyFill="1" applyBorder="1"/>
    <xf numFmtId="0" fontId="25" fillId="2" borderId="0" xfId="0" applyFont="1" applyFill="1" applyAlignment="1">
      <alignment horizontal="left" indent="3"/>
    </xf>
    <xf numFmtId="164" fontId="25" fillId="2" borderId="0" xfId="0" applyNumberFormat="1" applyFont="1" applyFill="1" applyAlignment="1">
      <alignment horizontal="center" vertical="center"/>
    </xf>
    <xf numFmtId="167" fontId="25" fillId="2" borderId="0" xfId="0" applyNumberFormat="1" applyFont="1" applyFill="1" applyAlignment="1">
      <alignment horizontal="center" vertical="center"/>
    </xf>
    <xf numFmtId="10" fontId="25" fillId="2" borderId="0" xfId="2" applyNumberFormat="1" applyFont="1" applyFill="1" applyAlignment="1">
      <alignment horizontal="center" vertical="center"/>
    </xf>
    <xf numFmtId="0" fontId="72" fillId="2" borderId="0" xfId="0" applyFont="1" applyFill="1"/>
    <xf numFmtId="0" fontId="73" fillId="2" borderId="0" xfId="0" applyFont="1" applyFill="1"/>
    <xf numFmtId="0" fontId="0" fillId="0" borderId="0" xfId="0" applyAlignment="1">
      <alignment wrapText="1"/>
    </xf>
    <xf numFmtId="0" fontId="13" fillId="0" borderId="1" xfId="0" applyFont="1" applyBorder="1" applyAlignment="1">
      <alignment horizontal="left" indent="1"/>
    </xf>
    <xf numFmtId="0" fontId="13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left"/>
    </xf>
    <xf numFmtId="37" fontId="26" fillId="2" borderId="18" xfId="1" applyNumberFormat="1" applyFont="1" applyFill="1" applyBorder="1" applyAlignment="1">
      <alignment horizontal="center" vertical="center"/>
    </xf>
    <xf numFmtId="0" fontId="21" fillId="10" borderId="0" xfId="1" applyFont="1" applyFill="1" applyAlignment="1">
      <alignment horizontal="left" vertical="center"/>
    </xf>
    <xf numFmtId="0" fontId="3" fillId="11" borderId="0" xfId="0" applyFont="1" applyFill="1"/>
    <xf numFmtId="9" fontId="21" fillId="10" borderId="0" xfId="1" applyNumberFormat="1" applyFont="1" applyFill="1" applyAlignment="1">
      <alignment horizontal="center" vertical="center"/>
    </xf>
    <xf numFmtId="183" fontId="50" fillId="10" borderId="0" xfId="1" applyNumberFormat="1" applyFont="1" applyFill="1" applyAlignment="1">
      <alignment horizontal="center" vertical="center"/>
    </xf>
    <xf numFmtId="5" fontId="26" fillId="10" borderId="0" xfId="1" applyNumberFormat="1" applyFont="1" applyFill="1" applyAlignment="1">
      <alignment horizontal="center" vertical="center"/>
    </xf>
    <xf numFmtId="5" fontId="32" fillId="2" borderId="4" xfId="0" applyNumberFormat="1" applyFont="1" applyFill="1" applyBorder="1" applyAlignment="1">
      <alignment horizontal="center" vertical="center"/>
    </xf>
    <xf numFmtId="0" fontId="37" fillId="9" borderId="7" xfId="1" applyFont="1" applyFill="1" applyBorder="1"/>
    <xf numFmtId="0" fontId="37" fillId="9" borderId="4" xfId="1" applyFont="1" applyFill="1" applyBorder="1"/>
    <xf numFmtId="0" fontId="37" fillId="9" borderId="17" xfId="1" applyFont="1" applyFill="1" applyBorder="1"/>
    <xf numFmtId="0" fontId="37" fillId="9" borderId="0" xfId="1" applyFont="1" applyFill="1"/>
    <xf numFmtId="0" fontId="37" fillId="9" borderId="0" xfId="1" applyFont="1" applyFill="1" applyAlignment="1">
      <alignment horizontal="center"/>
    </xf>
    <xf numFmtId="0" fontId="37" fillId="9" borderId="18" xfId="1" applyFont="1" applyFill="1" applyBorder="1" applyAlignment="1">
      <alignment horizontal="center"/>
    </xf>
    <xf numFmtId="0" fontId="37" fillId="9" borderId="21" xfId="1" applyFont="1" applyFill="1" applyBorder="1" applyAlignment="1">
      <alignment horizontal="center"/>
    </xf>
    <xf numFmtId="0" fontId="37" fillId="9" borderId="0" xfId="1" applyFont="1" applyFill="1" applyAlignment="1">
      <alignment horizontal="center" vertical="center"/>
    </xf>
    <xf numFmtId="0" fontId="37" fillId="9" borderId="19" xfId="1" applyFont="1" applyFill="1" applyBorder="1"/>
    <xf numFmtId="0" fontId="37" fillId="9" borderId="0" xfId="1" applyFont="1" applyFill="1" applyAlignment="1">
      <alignment horizontal="center" vertical="center" wrapText="1"/>
    </xf>
    <xf numFmtId="0" fontId="37" fillId="9" borderId="18" xfId="1" applyFont="1" applyFill="1" applyBorder="1" applyAlignment="1">
      <alignment horizontal="center" vertical="center"/>
    </xf>
    <xf numFmtId="0" fontId="37" fillId="9" borderId="0" xfId="0" applyFont="1" applyFill="1" applyAlignment="1">
      <alignment horizontal="center" wrapText="1"/>
    </xf>
    <xf numFmtId="0" fontId="0" fillId="9" borderId="0" xfId="0" applyFill="1"/>
    <xf numFmtId="0" fontId="38" fillId="9" borderId="0" xfId="0" applyFont="1" applyFill="1"/>
    <xf numFmtId="0" fontId="37" fillId="9" borderId="0" xfId="0" applyFont="1" applyFill="1" applyAlignment="1">
      <alignment horizontal="center"/>
    </xf>
    <xf numFmtId="0" fontId="74" fillId="9" borderId="0" xfId="0" applyFont="1" applyFill="1"/>
    <xf numFmtId="0" fontId="75" fillId="9" borderId="0" xfId="0" applyFont="1" applyFill="1"/>
    <xf numFmtId="0" fontId="74" fillId="9" borderId="0" xfId="0" applyFont="1" applyFill="1" applyAlignment="1">
      <alignment horizontal="center"/>
    </xf>
    <xf numFmtId="0" fontId="74" fillId="9" borderId="0" xfId="0" applyFont="1" applyFill="1" applyAlignment="1">
      <alignment horizontal="center" vertical="center"/>
    </xf>
    <xf numFmtId="0" fontId="74" fillId="9" borderId="0" xfId="0" applyFont="1" applyFill="1" applyAlignment="1">
      <alignment horizontal="center" vertical="center" wrapText="1"/>
    </xf>
    <xf numFmtId="0" fontId="76" fillId="9" borderId="0" xfId="0" applyFont="1" applyFill="1" applyAlignment="1">
      <alignment horizontal="center"/>
    </xf>
    <xf numFmtId="0" fontId="74" fillId="9" borderId="0" xfId="0" applyFont="1" applyFill="1" applyAlignment="1">
      <alignment horizontal="left"/>
    </xf>
    <xf numFmtId="0" fontId="75" fillId="9" borderId="0" xfId="0" applyFont="1" applyFill="1" applyAlignment="1">
      <alignment horizontal="left"/>
    </xf>
    <xf numFmtId="0" fontId="75" fillId="9" borderId="0" xfId="0" applyFont="1" applyFill="1" applyAlignment="1">
      <alignment horizontal="center"/>
    </xf>
    <xf numFmtId="0" fontId="74" fillId="9" borderId="9" xfId="0" applyFont="1" applyFill="1" applyBorder="1" applyAlignment="1">
      <alignment wrapText="1"/>
    </xf>
    <xf numFmtId="0" fontId="74" fillId="9" borderId="15" xfId="0" applyFont="1" applyFill="1" applyBorder="1" applyAlignment="1">
      <alignment wrapText="1"/>
    </xf>
    <xf numFmtId="0" fontId="74" fillId="9" borderId="10" xfId="0" applyFont="1" applyFill="1" applyBorder="1" applyAlignment="1">
      <alignment wrapText="1"/>
    </xf>
    <xf numFmtId="0" fontId="37" fillId="9" borderId="6" xfId="1" applyFont="1" applyFill="1" applyBorder="1" applyAlignment="1">
      <alignment vertical="center"/>
    </xf>
    <xf numFmtId="0" fontId="38" fillId="9" borderId="6" xfId="1" applyFont="1" applyFill="1" applyBorder="1" applyAlignment="1">
      <alignment vertical="center"/>
    </xf>
    <xf numFmtId="0" fontId="37" fillId="9" borderId="5" xfId="1" applyFont="1" applyFill="1" applyBorder="1" applyAlignment="1">
      <alignment wrapText="1"/>
    </xf>
    <xf numFmtId="0" fontId="37" fillId="9" borderId="6" xfId="1" applyFont="1" applyFill="1" applyBorder="1" applyAlignment="1">
      <alignment horizontal="center" wrapText="1"/>
    </xf>
    <xf numFmtId="0" fontId="38" fillId="9" borderId="6" xfId="1" applyFont="1" applyFill="1" applyBorder="1"/>
    <xf numFmtId="0" fontId="37" fillId="9" borderId="6" xfId="1" applyFont="1" applyFill="1" applyBorder="1"/>
    <xf numFmtId="0" fontId="37" fillId="9" borderId="6" xfId="1" applyFont="1" applyFill="1" applyBorder="1" applyAlignment="1">
      <alignment horizontal="left"/>
    </xf>
    <xf numFmtId="0" fontId="37" fillId="9" borderId="5" xfId="1" applyFont="1" applyFill="1" applyBorder="1"/>
    <xf numFmtId="0" fontId="37" fillId="9" borderId="5" xfId="1" applyFont="1" applyFill="1" applyBorder="1" applyAlignment="1">
      <alignment horizontal="right"/>
    </xf>
    <xf numFmtId="0" fontId="54" fillId="2" borderId="0" xfId="0" applyFont="1" applyFill="1" applyAlignment="1">
      <alignment horizontal="left" vertical="center"/>
    </xf>
    <xf numFmtId="0" fontId="54" fillId="2" borderId="0" xfId="0" applyFont="1" applyFill="1" applyAlignment="1">
      <alignment horizontal="center" vertical="center"/>
    </xf>
    <xf numFmtId="0" fontId="77" fillId="2" borderId="11" xfId="0" applyFont="1" applyFill="1" applyBorder="1" applyAlignment="1">
      <alignment horizontal="left"/>
    </xf>
    <xf numFmtId="0" fontId="2" fillId="2" borderId="0" xfId="0" applyFont="1" applyFill="1"/>
    <xf numFmtId="0" fontId="37" fillId="3" borderId="0" xfId="0" applyFont="1" applyFill="1" applyAlignment="1">
      <alignment horizontal="center" wrapText="1"/>
    </xf>
    <xf numFmtId="0" fontId="0" fillId="2" borderId="25" xfId="0" applyFill="1" applyBorder="1"/>
    <xf numFmtId="0" fontId="0" fillId="2" borderId="22" xfId="0" applyFill="1" applyBorder="1"/>
    <xf numFmtId="0" fontId="70" fillId="2" borderId="0" xfId="0" applyFont="1" applyFill="1" applyAlignment="1">
      <alignment horizontal="center" vertical="center"/>
    </xf>
    <xf numFmtId="169" fontId="44" fillId="2" borderId="0" xfId="0" applyNumberFormat="1" applyFont="1" applyFill="1" applyAlignment="1">
      <alignment horizontal="center" vertical="center"/>
    </xf>
    <xf numFmtId="172" fontId="21" fillId="7" borderId="16" xfId="3" applyNumberFormat="1" applyFont="1" applyFill="1" applyBorder="1" applyAlignment="1">
      <alignment horizontal="center" vertical="center"/>
    </xf>
    <xf numFmtId="184" fontId="21" fillId="7" borderId="16" xfId="3" applyNumberFormat="1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left"/>
    </xf>
    <xf numFmtId="0" fontId="14" fillId="2" borderId="15" xfId="0" applyFont="1" applyFill="1" applyBorder="1" applyAlignment="1">
      <alignment horizontal="center"/>
    </xf>
    <xf numFmtId="0" fontId="14" fillId="2" borderId="10" xfId="0" applyFont="1" applyFill="1" applyBorder="1" applyAlignment="1">
      <alignment horizontal="center"/>
    </xf>
    <xf numFmtId="0" fontId="14" fillId="2" borderId="0" xfId="0" applyFont="1" applyFill="1" applyAlignment="1">
      <alignment horizontal="center"/>
    </xf>
    <xf numFmtId="5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center"/>
    </xf>
    <xf numFmtId="3" fontId="9" fillId="2" borderId="0" xfId="0" applyNumberFormat="1" applyFont="1" applyFill="1" applyAlignment="1">
      <alignment horizontal="center"/>
    </xf>
    <xf numFmtId="0" fontId="19" fillId="2" borderId="11" xfId="0" applyFont="1" applyFill="1" applyBorder="1" applyAlignment="1">
      <alignment horizontal="left" indent="1"/>
    </xf>
    <xf numFmtId="0" fontId="74" fillId="2" borderId="0" xfId="0" applyFont="1" applyFill="1"/>
    <xf numFmtId="169" fontId="75" fillId="2" borderId="0" xfId="0" applyNumberFormat="1" applyFont="1" applyFill="1"/>
    <xf numFmtId="0" fontId="75" fillId="2" borderId="0" xfId="0" applyFont="1" applyFill="1"/>
    <xf numFmtId="0" fontId="21" fillId="2" borderId="4" xfId="1" applyFont="1" applyFill="1" applyBorder="1" applyAlignment="1">
      <alignment horizontal="center" wrapText="1"/>
    </xf>
    <xf numFmtId="3" fontId="26" fillId="13" borderId="0" xfId="7" applyFont="1" applyFill="1" applyBorder="1">
      <alignment horizontal="center" vertical="center"/>
    </xf>
    <xf numFmtId="3" fontId="26" fillId="13" borderId="0" xfId="7" applyFont="1" applyFill="1">
      <alignment horizontal="center" vertical="center"/>
    </xf>
    <xf numFmtId="3" fontId="26" fillId="13" borderId="6" xfId="7" applyFont="1" applyFill="1" applyBorder="1">
      <alignment horizontal="center" vertical="center"/>
    </xf>
    <xf numFmtId="3" fontId="21" fillId="13" borderId="0" xfId="7" applyFont="1" applyFill="1" applyBorder="1">
      <alignment horizontal="center" vertical="center"/>
    </xf>
    <xf numFmtId="0" fontId="21" fillId="7" borderId="6" xfId="1" applyFont="1" applyFill="1" applyBorder="1" applyAlignment="1">
      <alignment horizontal="left"/>
    </xf>
    <xf numFmtId="37" fontId="21" fillId="7" borderId="6" xfId="1" applyNumberFormat="1" applyFont="1" applyFill="1" applyBorder="1" applyAlignment="1">
      <alignment horizontal="center"/>
    </xf>
    <xf numFmtId="0" fontId="21" fillId="2" borderId="2" xfId="1" applyFont="1" applyFill="1" applyBorder="1" applyAlignment="1">
      <alignment horizontal="left" vertical="center" indent="1"/>
    </xf>
    <xf numFmtId="5" fontId="21" fillId="2" borderId="6" xfId="1" applyNumberFormat="1" applyFont="1" applyFill="1" applyBorder="1" applyAlignment="1">
      <alignment horizontal="center" vertical="center"/>
    </xf>
    <xf numFmtId="0" fontId="35" fillId="2" borderId="17" xfId="1" applyFont="1" applyFill="1" applyBorder="1" applyAlignment="1">
      <alignment horizontal="left" vertical="center" indent="1"/>
    </xf>
    <xf numFmtId="5" fontId="26" fillId="2" borderId="0" xfId="1" applyNumberFormat="1" applyFont="1" applyFill="1"/>
    <xf numFmtId="3" fontId="37" fillId="9" borderId="6" xfId="1" applyNumberFormat="1" applyFont="1" applyFill="1" applyBorder="1"/>
    <xf numFmtId="5" fontId="26" fillId="2" borderId="4" xfId="1" applyNumberFormat="1" applyFont="1" applyFill="1" applyBorder="1"/>
    <xf numFmtId="0" fontId="21" fillId="2" borderId="4" xfId="1" applyFont="1" applyFill="1" applyBorder="1" applyAlignment="1">
      <alignment wrapText="1"/>
    </xf>
    <xf numFmtId="0" fontId="37" fillId="9" borderId="6" xfId="1" applyFont="1" applyFill="1" applyBorder="1" applyAlignment="1">
      <alignment horizontal="center" vertical="center"/>
    </xf>
    <xf numFmtId="0" fontId="26" fillId="2" borderId="0" xfId="1" applyFont="1" applyFill="1" applyAlignment="1">
      <alignment horizontal="center" vertical="center"/>
    </xf>
    <xf numFmtId="5" fontId="26" fillId="2" borderId="4" xfId="1" applyNumberFormat="1" applyFont="1" applyFill="1" applyBorder="1" applyAlignment="1">
      <alignment horizontal="center" vertical="center"/>
    </xf>
    <xf numFmtId="169" fontId="26" fillId="2" borderId="0" xfId="1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3" fontId="37" fillId="9" borderId="6" xfId="1" applyNumberFormat="1" applyFont="1" applyFill="1" applyBorder="1" applyAlignment="1">
      <alignment horizontal="center" vertical="center"/>
    </xf>
    <xf numFmtId="10" fontId="26" fillId="2" borderId="0" xfId="2" applyNumberFormat="1" applyFont="1" applyFill="1" applyBorder="1" applyAlignment="1"/>
    <xf numFmtId="10" fontId="26" fillId="2" borderId="0" xfId="2" applyNumberFormat="1" applyFont="1" applyFill="1" applyBorder="1" applyAlignment="1">
      <alignment horizontal="right"/>
    </xf>
    <xf numFmtId="10" fontId="26" fillId="2" borderId="0" xfId="2" applyNumberFormat="1" applyFont="1" applyFill="1" applyBorder="1"/>
    <xf numFmtId="10" fontId="26" fillId="2" borderId="4" xfId="2" applyNumberFormat="1" applyFont="1" applyFill="1" applyBorder="1" applyAlignment="1"/>
    <xf numFmtId="10" fontId="0" fillId="2" borderId="0" xfId="2" applyNumberFormat="1" applyFont="1" applyFill="1"/>
    <xf numFmtId="9" fontId="37" fillId="9" borderId="6" xfId="2" applyFont="1" applyFill="1" applyBorder="1" applyAlignment="1"/>
    <xf numFmtId="0" fontId="21" fillId="4" borderId="0" xfId="1" applyFont="1" applyFill="1" applyAlignment="1">
      <alignment horizontal="center"/>
    </xf>
    <xf numFmtId="0" fontId="21" fillId="4" borderId="0" xfId="1" applyFont="1" applyFill="1" applyAlignment="1">
      <alignment horizontal="center" vertical="center"/>
    </xf>
    <xf numFmtId="3" fontId="26" fillId="4" borderId="0" xfId="1" applyNumberFormat="1" applyFont="1" applyFill="1" applyAlignment="1">
      <alignment horizontal="center"/>
    </xf>
    <xf numFmtId="43" fontId="26" fillId="4" borderId="0" xfId="1" applyNumberFormat="1" applyFont="1" applyFill="1" applyAlignment="1">
      <alignment horizontal="center"/>
    </xf>
    <xf numFmtId="37" fontId="26" fillId="4" borderId="0" xfId="1" applyNumberFormat="1" applyFont="1" applyFill="1" applyAlignment="1">
      <alignment horizontal="center"/>
    </xf>
    <xf numFmtId="0" fontId="26" fillId="4" borderId="0" xfId="1" applyFont="1" applyFill="1"/>
    <xf numFmtId="37" fontId="26" fillId="4" borderId="0" xfId="3" applyNumberFormat="1" applyFont="1" applyFill="1" applyBorder="1" applyAlignment="1">
      <alignment horizontal="center"/>
    </xf>
    <xf numFmtId="3" fontId="21" fillId="4" borderId="6" xfId="1" applyNumberFormat="1" applyFont="1" applyFill="1" applyBorder="1" applyAlignment="1">
      <alignment horizontal="center"/>
    </xf>
    <xf numFmtId="37" fontId="21" fillId="4" borderId="6" xfId="1" applyNumberFormat="1" applyFont="1" applyFill="1" applyBorder="1" applyAlignment="1">
      <alignment horizontal="center"/>
    </xf>
    <xf numFmtId="37" fontId="26" fillId="4" borderId="6" xfId="1" applyNumberFormat="1" applyFont="1" applyFill="1" applyBorder="1" applyAlignment="1">
      <alignment horizontal="center"/>
    </xf>
    <xf numFmtId="0" fontId="21" fillId="7" borderId="0" xfId="0" applyFont="1" applyFill="1" applyAlignment="1">
      <alignment horizontal="center" vertical="center"/>
    </xf>
    <xf numFmtId="3" fontId="26" fillId="7" borderId="0" xfId="1" applyNumberFormat="1" applyFont="1" applyFill="1" applyAlignment="1">
      <alignment horizontal="center"/>
    </xf>
    <xf numFmtId="43" fontId="26" fillId="7" borderId="0" xfId="1" applyNumberFormat="1" applyFont="1" applyFill="1" applyAlignment="1">
      <alignment horizontal="center"/>
    </xf>
    <xf numFmtId="37" fontId="26" fillId="7" borderId="0" xfId="1" applyNumberFormat="1" applyFont="1" applyFill="1" applyAlignment="1">
      <alignment horizontal="center"/>
    </xf>
    <xf numFmtId="0" fontId="26" fillId="7" borderId="0" xfId="1" applyFont="1" applyFill="1"/>
    <xf numFmtId="37" fontId="26" fillId="7" borderId="0" xfId="3" applyNumberFormat="1" applyFont="1" applyFill="1" applyBorder="1" applyAlignment="1">
      <alignment horizontal="center"/>
    </xf>
    <xf numFmtId="0" fontId="21" fillId="7" borderId="0" xfId="1" applyFont="1" applyFill="1" applyAlignment="1">
      <alignment horizontal="center" vertical="center"/>
    </xf>
    <xf numFmtId="3" fontId="21" fillId="7" borderId="6" xfId="1" applyNumberFormat="1" applyFont="1" applyFill="1" applyBorder="1" applyAlignment="1">
      <alignment horizontal="center"/>
    </xf>
    <xf numFmtId="37" fontId="26" fillId="7" borderId="6" xfId="1" applyNumberFormat="1" applyFont="1" applyFill="1" applyBorder="1" applyAlignment="1">
      <alignment horizontal="center"/>
    </xf>
    <xf numFmtId="0" fontId="21" fillId="14" borderId="0" xfId="1" applyFont="1" applyFill="1" applyAlignment="1">
      <alignment horizontal="center"/>
    </xf>
    <xf numFmtId="0" fontId="21" fillId="14" borderId="0" xfId="1" applyFont="1" applyFill="1" applyAlignment="1">
      <alignment horizontal="center" vertical="center"/>
    </xf>
    <xf numFmtId="3" fontId="26" fillId="14" borderId="0" xfId="1" applyNumberFormat="1" applyFont="1" applyFill="1" applyAlignment="1">
      <alignment horizontal="center"/>
    </xf>
    <xf numFmtId="43" fontId="26" fillId="14" borderId="0" xfId="1" applyNumberFormat="1" applyFont="1" applyFill="1" applyAlignment="1">
      <alignment horizontal="center"/>
    </xf>
    <xf numFmtId="37" fontId="26" fillId="14" borderId="0" xfId="1" applyNumberFormat="1" applyFont="1" applyFill="1" applyAlignment="1">
      <alignment horizontal="center"/>
    </xf>
    <xf numFmtId="0" fontId="26" fillId="14" borderId="0" xfId="1" applyFont="1" applyFill="1"/>
    <xf numFmtId="37" fontId="21" fillId="14" borderId="6" xfId="1" applyNumberFormat="1" applyFont="1" applyFill="1" applyBorder="1" applyAlignment="1">
      <alignment horizontal="center"/>
    </xf>
    <xf numFmtId="37" fontId="26" fillId="14" borderId="0" xfId="3" applyNumberFormat="1" applyFont="1" applyFill="1" applyBorder="1" applyAlignment="1">
      <alignment horizontal="center"/>
    </xf>
    <xf numFmtId="3" fontId="21" fillId="14" borderId="6" xfId="1" applyNumberFormat="1" applyFont="1" applyFill="1" applyBorder="1" applyAlignment="1">
      <alignment horizontal="center"/>
    </xf>
    <xf numFmtId="37" fontId="26" fillId="14" borderId="6" xfId="1" applyNumberFormat="1" applyFont="1" applyFill="1" applyBorder="1" applyAlignment="1">
      <alignment horizontal="center"/>
    </xf>
    <xf numFmtId="167" fontId="20" fillId="2" borderId="0" xfId="0" applyNumberFormat="1" applyFont="1" applyFill="1"/>
    <xf numFmtId="10" fontId="27" fillId="2" borderId="0" xfId="2" applyNumberFormat="1" applyFont="1" applyFill="1"/>
    <xf numFmtId="169" fontId="26" fillId="2" borderId="0" xfId="2" applyNumberFormat="1" applyFont="1" applyFill="1"/>
    <xf numFmtId="9" fontId="7" fillId="2" borderId="0" xfId="0" applyNumberFormat="1" applyFont="1" applyFill="1"/>
    <xf numFmtId="0" fontId="26" fillId="2" borderId="0" xfId="0" applyFont="1" applyFill="1" applyAlignment="1">
      <alignment horizontal="center" vertical="center"/>
    </xf>
    <xf numFmtId="168" fontId="37" fillId="9" borderId="0" xfId="0" applyNumberFormat="1" applyFont="1" applyFill="1" applyAlignment="1">
      <alignment horizontal="center"/>
    </xf>
    <xf numFmtId="169" fontId="37" fillId="9" borderId="0" xfId="0" applyNumberFormat="1" applyFont="1" applyFill="1"/>
    <xf numFmtId="3" fontId="20" fillId="2" borderId="6" xfId="0" applyNumberFormat="1" applyFont="1" applyFill="1" applyBorder="1"/>
    <xf numFmtId="172" fontId="20" fillId="0" borderId="6" xfId="3" applyNumberFormat="1" applyFont="1" applyBorder="1"/>
    <xf numFmtId="172" fontId="20" fillId="0" borderId="6" xfId="0" applyNumberFormat="1" applyFont="1" applyBorder="1"/>
    <xf numFmtId="168" fontId="20" fillId="2" borderId="0" xfId="0" applyNumberFormat="1" applyFont="1" applyFill="1" applyAlignment="1">
      <alignment horizontal="center" vertical="center"/>
    </xf>
    <xf numFmtId="169" fontId="20" fillId="2" borderId="5" xfId="0" applyNumberFormat="1" applyFont="1" applyFill="1" applyBorder="1" applyAlignment="1">
      <alignment horizontal="center" vertical="center"/>
    </xf>
    <xf numFmtId="4" fontId="75" fillId="2" borderId="0" xfId="0" applyNumberFormat="1" applyFont="1" applyFill="1"/>
    <xf numFmtId="10" fontId="75" fillId="2" borderId="0" xfId="0" applyNumberFormat="1" applyFont="1" applyFill="1"/>
    <xf numFmtId="5" fontId="9" fillId="2" borderId="1" xfId="0" applyNumberFormat="1" applyFont="1" applyFill="1" applyBorder="1" applyAlignment="1">
      <alignment horizontal="center"/>
    </xf>
    <xf numFmtId="0" fontId="9" fillId="2" borderId="1" xfId="0" applyFont="1" applyFill="1" applyBorder="1" applyAlignment="1">
      <alignment horizontal="center"/>
    </xf>
    <xf numFmtId="0" fontId="77" fillId="2" borderId="13" xfId="0" applyFont="1" applyFill="1" applyBorder="1" applyAlignment="1">
      <alignment horizontal="left"/>
    </xf>
    <xf numFmtId="0" fontId="79" fillId="2" borderId="0" xfId="0" applyFont="1" applyFill="1"/>
    <xf numFmtId="0" fontId="13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80" fillId="2" borderId="0" xfId="0" applyFont="1" applyFill="1" applyAlignment="1">
      <alignment wrapText="1"/>
    </xf>
    <xf numFmtId="0" fontId="79" fillId="2" borderId="0" xfId="0" applyFont="1" applyFill="1" applyAlignment="1">
      <alignment wrapText="1"/>
    </xf>
    <xf numFmtId="4" fontId="0" fillId="2" borderId="0" xfId="0" applyNumberFormat="1" applyFill="1"/>
    <xf numFmtId="4" fontId="81" fillId="2" borderId="0" xfId="0" applyNumberFormat="1" applyFont="1" applyFill="1"/>
    <xf numFmtId="4" fontId="79" fillId="2" borderId="0" xfId="0" applyNumberFormat="1" applyFont="1" applyFill="1"/>
    <xf numFmtId="4" fontId="0" fillId="2" borderId="5" xfId="0" applyNumberFormat="1" applyFill="1" applyBorder="1"/>
    <xf numFmtId="4" fontId="79" fillId="2" borderId="5" xfId="0" applyNumberFormat="1" applyFont="1" applyFill="1" applyBorder="1"/>
    <xf numFmtId="4" fontId="0" fillId="2" borderId="0" xfId="3" applyNumberFormat="1" applyFont="1" applyFill="1"/>
    <xf numFmtId="4" fontId="13" fillId="2" borderId="0" xfId="3" applyNumberFormat="1" applyFont="1" applyFill="1"/>
    <xf numFmtId="0" fontId="83" fillId="2" borderId="0" xfId="0" applyFont="1" applyFill="1" applyAlignment="1">
      <alignment wrapText="1"/>
    </xf>
    <xf numFmtId="0" fontId="82" fillId="2" borderId="0" xfId="0" applyFont="1" applyFill="1" applyAlignment="1">
      <alignment wrapText="1"/>
    </xf>
    <xf numFmtId="4" fontId="13" fillId="2" borderId="0" xfId="0" applyNumberFormat="1" applyFont="1" applyFill="1"/>
    <xf numFmtId="43" fontId="0" fillId="2" borderId="0" xfId="3" applyFont="1" applyFill="1"/>
    <xf numFmtId="4" fontId="79" fillId="2" borderId="0" xfId="3" applyNumberFormat="1" applyFont="1" applyFill="1"/>
    <xf numFmtId="2" fontId="0" fillId="2" borderId="0" xfId="0" applyNumberFormat="1" applyFill="1" applyAlignment="1">
      <alignment wrapText="1"/>
    </xf>
    <xf numFmtId="2" fontId="79" fillId="2" borderId="0" xfId="0" applyNumberFormat="1" applyFont="1" applyFill="1" applyAlignment="1">
      <alignment wrapText="1"/>
    </xf>
    <xf numFmtId="2" fontId="0" fillId="2" borderId="0" xfId="0" applyNumberFormat="1" applyFill="1"/>
    <xf numFmtId="4" fontId="13" fillId="2" borderId="0" xfId="0" applyNumberFormat="1" applyFont="1" applyFill="1" applyAlignment="1">
      <alignment wrapText="1"/>
    </xf>
    <xf numFmtId="4" fontId="82" fillId="2" borderId="0" xfId="0" applyNumberFormat="1" applyFont="1" applyFill="1" applyAlignment="1">
      <alignment wrapText="1"/>
    </xf>
    <xf numFmtId="43" fontId="0" fillId="2" borderId="0" xfId="0" applyNumberFormat="1" applyFill="1"/>
    <xf numFmtId="0" fontId="82" fillId="2" borderId="0" xfId="0" applyFont="1" applyFill="1"/>
    <xf numFmtId="4" fontId="13" fillId="2" borderId="5" xfId="0" applyNumberFormat="1" applyFont="1" applyFill="1" applyBorder="1"/>
    <xf numFmtId="39" fontId="13" fillId="2" borderId="0" xfId="3" applyNumberFormat="1" applyFont="1" applyFill="1"/>
    <xf numFmtId="43" fontId="13" fillId="2" borderId="0" xfId="3" applyFont="1" applyFill="1"/>
    <xf numFmtId="167" fontId="13" fillId="2" borderId="0" xfId="0" applyNumberFormat="1" applyFont="1" applyFill="1"/>
    <xf numFmtId="0" fontId="38" fillId="2" borderId="0" xfId="0" applyFont="1" applyFill="1" applyAlignment="1">
      <alignment horizontal="left" indent="1"/>
    </xf>
    <xf numFmtId="167" fontId="38" fillId="2" borderId="0" xfId="0" applyNumberFormat="1" applyFont="1" applyFill="1" applyAlignment="1">
      <alignment horizontal="center" vertical="center"/>
    </xf>
    <xf numFmtId="3" fontId="38" fillId="2" borderId="0" xfId="0" applyNumberFormat="1" applyFont="1" applyFill="1"/>
    <xf numFmtId="9" fontId="84" fillId="2" borderId="0" xfId="0" applyNumberFormat="1" applyFont="1" applyFill="1"/>
    <xf numFmtId="0" fontId="84" fillId="2" borderId="0" xfId="0" applyFont="1" applyFill="1"/>
    <xf numFmtId="43" fontId="21" fillId="7" borderId="16" xfId="3" applyFont="1" applyFill="1" applyBorder="1" applyAlignment="1">
      <alignment horizontal="center" vertical="center"/>
    </xf>
    <xf numFmtId="172" fontId="13" fillId="0" borderId="0" xfId="3" applyNumberFormat="1" applyFont="1"/>
    <xf numFmtId="37" fontId="26" fillId="15" borderId="0" xfId="1" applyNumberFormat="1" applyFont="1" applyFill="1" applyAlignment="1">
      <alignment horizontal="center" vertical="center"/>
    </xf>
    <xf numFmtId="0" fontId="26" fillId="15" borderId="0" xfId="1" applyFont="1" applyFill="1" applyAlignment="1">
      <alignment horizontal="left" vertical="center" indent="3"/>
    </xf>
    <xf numFmtId="0" fontId="50" fillId="15" borderId="0" xfId="1" applyFont="1" applyFill="1"/>
    <xf numFmtId="0" fontId="54" fillId="15" borderId="0" xfId="1" applyFont="1" applyFill="1"/>
    <xf numFmtId="37" fontId="21" fillId="15" borderId="0" xfId="1" applyNumberFormat="1" applyFont="1" applyFill="1" applyAlignment="1">
      <alignment horizontal="center" vertical="center"/>
    </xf>
    <xf numFmtId="10" fontId="50" fillId="15" borderId="0" xfId="2" applyNumberFormat="1" applyFont="1" applyFill="1" applyBorder="1" applyAlignment="1">
      <alignment horizontal="left"/>
    </xf>
    <xf numFmtId="9" fontId="26" fillId="15" borderId="0" xfId="2" applyFont="1" applyFill="1" applyBorder="1" applyAlignment="1">
      <alignment horizontal="center" vertical="center"/>
    </xf>
    <xf numFmtId="0" fontId="1" fillId="2" borderId="0" xfId="0" applyFont="1" applyFill="1"/>
    <xf numFmtId="3" fontId="26" fillId="2" borderId="0" xfId="7" applyFont="1" applyFill="1" applyBorder="1">
      <alignment horizontal="center" vertical="center"/>
    </xf>
    <xf numFmtId="37" fontId="21" fillId="2" borderId="6" xfId="7" applyNumberFormat="1" applyFont="1" applyFill="1" applyBorder="1">
      <alignment horizontal="center" vertical="center"/>
    </xf>
    <xf numFmtId="37" fontId="26" fillId="13" borderId="0" xfId="7" applyNumberFormat="1" applyFont="1" applyFill="1" applyBorder="1">
      <alignment horizontal="center" vertical="center"/>
    </xf>
    <xf numFmtId="37" fontId="26" fillId="13" borderId="6" xfId="7" applyNumberFormat="1" applyFont="1" applyFill="1" applyBorder="1">
      <alignment horizontal="center" vertical="center"/>
    </xf>
    <xf numFmtId="37" fontId="26" fillId="2" borderId="0" xfId="1" applyNumberFormat="1" applyFont="1" applyFill="1"/>
    <xf numFmtId="37" fontId="26" fillId="4" borderId="0" xfId="1" applyNumberFormat="1" applyFont="1" applyFill="1"/>
    <xf numFmtId="37" fontId="26" fillId="7" borderId="0" xfId="1" applyNumberFormat="1" applyFont="1" applyFill="1"/>
    <xf numFmtId="37" fontId="26" fillId="14" borderId="0" xfId="1" applyNumberFormat="1" applyFont="1" applyFill="1"/>
    <xf numFmtId="0" fontId="21" fillId="13" borderId="0" xfId="7" applyNumberFormat="1" applyFont="1" applyFill="1" applyBorder="1">
      <alignment horizontal="center" vertical="center"/>
    </xf>
    <xf numFmtId="0" fontId="7" fillId="3" borderId="0" xfId="0" applyFont="1" applyFill="1"/>
    <xf numFmtId="164" fontId="49" fillId="2" borderId="0" xfId="0" applyNumberFormat="1" applyFont="1" applyFill="1" applyAlignment="1">
      <alignment horizontal="center"/>
    </xf>
    <xf numFmtId="3" fontId="26" fillId="4" borderId="0" xfId="7" applyFont="1" applyFill="1" applyBorder="1">
      <alignment horizontal="center" vertical="center"/>
    </xf>
    <xf numFmtId="0" fontId="21" fillId="7" borderId="0" xfId="1" applyFont="1" applyFill="1" applyAlignment="1">
      <alignment horizontal="center"/>
    </xf>
    <xf numFmtId="3" fontId="26" fillId="7" borderId="0" xfId="7" applyFont="1" applyFill="1" applyBorder="1">
      <alignment horizontal="center" vertical="center"/>
    </xf>
    <xf numFmtId="14" fontId="26" fillId="2" borderId="18" xfId="1" applyNumberFormat="1" applyFont="1" applyFill="1" applyBorder="1" applyAlignment="1">
      <alignment horizontal="center" vertical="center"/>
    </xf>
    <xf numFmtId="14" fontId="26" fillId="2" borderId="5" xfId="1" applyNumberFormat="1" applyFont="1" applyFill="1" applyBorder="1" applyAlignment="1">
      <alignment horizontal="center" vertical="center"/>
    </xf>
    <xf numFmtId="14" fontId="26" fillId="2" borderId="8" xfId="1" applyNumberFormat="1" applyFont="1" applyFill="1" applyBorder="1" applyAlignment="1">
      <alignment horizontal="center" vertical="center"/>
    </xf>
    <xf numFmtId="0" fontId="38" fillId="2" borderId="0" xfId="0" applyFont="1" applyFill="1" applyAlignment="1">
      <alignment horizontal="center" vertical="center"/>
    </xf>
    <xf numFmtId="0" fontId="37" fillId="2" borderId="0" xfId="0" applyFont="1" applyFill="1"/>
    <xf numFmtId="0" fontId="37" fillId="2" borderId="0" xfId="0" applyFont="1" applyFill="1" applyAlignment="1">
      <alignment wrapText="1"/>
    </xf>
    <xf numFmtId="3" fontId="84" fillId="2" borderId="0" xfId="3" applyNumberFormat="1" applyFont="1" applyFill="1" applyBorder="1"/>
    <xf numFmtId="3" fontId="84" fillId="2" borderId="0" xfId="0" applyNumberFormat="1" applyFont="1" applyFill="1"/>
    <xf numFmtId="2" fontId="84" fillId="2" borderId="0" xfId="0" applyNumberFormat="1" applyFont="1" applyFill="1"/>
    <xf numFmtId="168" fontId="85" fillId="2" borderId="0" xfId="0" applyNumberFormat="1" applyFont="1" applyFill="1"/>
    <xf numFmtId="169" fontId="74" fillId="2" borderId="0" xfId="0" applyNumberFormat="1" applyFont="1" applyFill="1" applyAlignment="1">
      <alignment horizontal="center" vertical="center"/>
    </xf>
    <xf numFmtId="169" fontId="75" fillId="2" borderId="0" xfId="0" applyNumberFormat="1" applyFont="1" applyFill="1" applyAlignment="1">
      <alignment horizontal="center" vertical="center"/>
    </xf>
    <xf numFmtId="0" fontId="37" fillId="9" borderId="6" xfId="1" applyFont="1" applyFill="1" applyBorder="1" applyAlignment="1">
      <alignment horizontal="right" vertical="center"/>
    </xf>
    <xf numFmtId="0" fontId="37" fillId="2" borderId="0" xfId="0" applyFont="1" applyFill="1" applyAlignment="1">
      <alignment horizontal="left" indent="1"/>
    </xf>
    <xf numFmtId="0" fontId="38" fillId="2" borderId="0" xfId="0" applyFont="1" applyFill="1" applyAlignment="1">
      <alignment horizontal="left"/>
    </xf>
    <xf numFmtId="1" fontId="38" fillId="2" borderId="0" xfId="0" applyNumberFormat="1" applyFont="1" applyFill="1" applyAlignment="1">
      <alignment horizontal="center" vertical="center"/>
    </xf>
    <xf numFmtId="170" fontId="37" fillId="2" borderId="0" xfId="0" applyNumberFormat="1" applyFont="1" applyFill="1" applyAlignment="1">
      <alignment horizontal="center" vertical="center"/>
    </xf>
    <xf numFmtId="3" fontId="38" fillId="2" borderId="0" xfId="0" applyNumberFormat="1" applyFont="1" applyFill="1" applyAlignment="1">
      <alignment horizontal="center" vertical="center"/>
    </xf>
    <xf numFmtId="169" fontId="38" fillId="2" borderId="0" xfId="0" applyNumberFormat="1" applyFont="1" applyFill="1" applyAlignment="1">
      <alignment horizontal="center" vertical="center"/>
    </xf>
    <xf numFmtId="169" fontId="37" fillId="2" borderId="0" xfId="0" applyNumberFormat="1" applyFont="1" applyFill="1" applyAlignment="1">
      <alignment horizontal="center" vertical="center"/>
    </xf>
    <xf numFmtId="3" fontId="37" fillId="2" borderId="0" xfId="0" applyNumberFormat="1" applyFont="1" applyFill="1" applyAlignment="1">
      <alignment horizontal="center" vertical="center"/>
    </xf>
    <xf numFmtId="168" fontId="37" fillId="2" borderId="0" xfId="0" applyNumberFormat="1" applyFont="1" applyFill="1" applyAlignment="1">
      <alignment horizontal="center" vertical="center"/>
    </xf>
    <xf numFmtId="168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vertical="center"/>
    </xf>
    <xf numFmtId="6" fontId="38" fillId="2" borderId="0" xfId="0" applyNumberFormat="1" applyFont="1" applyFill="1" applyAlignment="1">
      <alignment horizontal="center" vertical="center"/>
    </xf>
    <xf numFmtId="9" fontId="38" fillId="2" borderId="0" xfId="2" applyFont="1" applyFill="1" applyAlignment="1">
      <alignment horizontal="center" vertical="center"/>
    </xf>
    <xf numFmtId="8" fontId="38" fillId="2" borderId="0" xfId="0" applyNumberFormat="1" applyFont="1" applyFill="1" applyAlignment="1">
      <alignment horizontal="center" vertical="center"/>
    </xf>
    <xf numFmtId="172" fontId="37" fillId="2" borderId="0" xfId="0" applyNumberFormat="1" applyFont="1" applyFill="1"/>
    <xf numFmtId="1" fontId="37" fillId="2" borderId="0" xfId="0" applyNumberFormat="1" applyFont="1" applyFill="1"/>
    <xf numFmtId="0" fontId="86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 wrapText="1"/>
    </xf>
    <xf numFmtId="0" fontId="42" fillId="2" borderId="0" xfId="0" applyFont="1" applyFill="1"/>
    <xf numFmtId="0" fontId="38" fillId="2" borderId="0" xfId="0" applyFont="1" applyFill="1" applyAlignment="1">
      <alignment horizontal="center"/>
    </xf>
    <xf numFmtId="3" fontId="38" fillId="2" borderId="0" xfId="0" applyNumberFormat="1" applyFont="1" applyFill="1" applyAlignment="1">
      <alignment horizontal="center"/>
    </xf>
    <xf numFmtId="9" fontId="38" fillId="2" borderId="0" xfId="0" applyNumberFormat="1" applyFont="1" applyFill="1"/>
    <xf numFmtId="9" fontId="38" fillId="2" borderId="0" xfId="2" applyFont="1" applyFill="1" applyBorder="1"/>
    <xf numFmtId="172" fontId="38" fillId="2" borderId="0" xfId="0" applyNumberFormat="1" applyFont="1" applyFill="1"/>
    <xf numFmtId="172" fontId="37" fillId="2" borderId="0" xfId="3" applyNumberFormat="1" applyFont="1" applyFill="1" applyBorder="1"/>
    <xf numFmtId="0" fontId="37" fillId="2" borderId="0" xfId="0" applyFont="1" applyFill="1" applyAlignment="1">
      <alignment horizontal="center"/>
    </xf>
    <xf numFmtId="37" fontId="26" fillId="16" borderId="0" xfId="1" applyNumberFormat="1" applyFont="1" applyFill="1" applyAlignment="1">
      <alignment horizontal="center"/>
    </xf>
    <xf numFmtId="0" fontId="37" fillId="9" borderId="15" xfId="0" applyFont="1" applyFill="1" applyBorder="1" applyAlignment="1">
      <alignment horizontal="center" wrapText="1"/>
    </xf>
    <xf numFmtId="0" fontId="37" fillId="9" borderId="26" xfId="0" applyFont="1" applyFill="1" applyBorder="1" applyAlignment="1">
      <alignment horizontal="center" wrapText="1"/>
    </xf>
    <xf numFmtId="0" fontId="20" fillId="0" borderId="0" xfId="0" applyFont="1"/>
    <xf numFmtId="43" fontId="26" fillId="2" borderId="0" xfId="0" applyNumberFormat="1" applyFont="1" applyFill="1"/>
    <xf numFmtId="0" fontId="1" fillId="2" borderId="0" xfId="0" applyFont="1" applyFill="1" applyAlignment="1">
      <alignment horizontal="left" indent="1"/>
    </xf>
    <xf numFmtId="14" fontId="37" fillId="9" borderId="0" xfId="0" applyNumberFormat="1" applyFont="1" applyFill="1" applyAlignment="1">
      <alignment horizontal="center"/>
    </xf>
    <xf numFmtId="9" fontId="9" fillId="2" borderId="0" xfId="0" applyNumberFormat="1" applyFont="1" applyFill="1"/>
    <xf numFmtId="167" fontId="37" fillId="2" borderId="0" xfId="0" applyNumberFormat="1" applyFont="1" applyFill="1"/>
    <xf numFmtId="10" fontId="26" fillId="2" borderId="0" xfId="2" applyNumberFormat="1" applyFont="1" applyFill="1"/>
    <xf numFmtId="10" fontId="38" fillId="2" borderId="0" xfId="2" applyNumberFormat="1" applyFont="1" applyFill="1" applyBorder="1"/>
    <xf numFmtId="1" fontId="37" fillId="2" borderId="0" xfId="0" applyNumberFormat="1" applyFont="1" applyFill="1" applyAlignment="1">
      <alignment horizontal="center"/>
    </xf>
    <xf numFmtId="10" fontId="49" fillId="2" borderId="0" xfId="0" applyNumberFormat="1" applyFont="1" applyFill="1"/>
    <xf numFmtId="169" fontId="26" fillId="2" borderId="0" xfId="0" applyNumberFormat="1" applyFont="1" applyFill="1" applyAlignment="1">
      <alignment horizontal="center" vertical="center"/>
    </xf>
    <xf numFmtId="3" fontId="26" fillId="2" borderId="0" xfId="0" applyNumberFormat="1" applyFont="1" applyFill="1" applyAlignment="1">
      <alignment horizontal="center" vertical="center"/>
    </xf>
    <xf numFmtId="14" fontId="21" fillId="2" borderId="0" xfId="0" applyNumberFormat="1" applyFont="1" applyFill="1" applyAlignment="1">
      <alignment horizontal="center"/>
    </xf>
    <xf numFmtId="1" fontId="26" fillId="2" borderId="0" xfId="0" applyNumberFormat="1" applyFont="1" applyFill="1"/>
    <xf numFmtId="9" fontId="26" fillId="2" borderId="0" xfId="2" applyFont="1" applyFill="1" applyBorder="1"/>
    <xf numFmtId="169" fontId="26" fillId="2" borderId="0" xfId="0" applyNumberFormat="1" applyFont="1" applyFill="1"/>
    <xf numFmtId="10" fontId="27" fillId="2" borderId="0" xfId="2" applyNumberFormat="1" applyFont="1" applyFill="1" applyBorder="1"/>
    <xf numFmtId="169" fontId="19" fillId="2" borderId="0" xfId="0" applyNumberFormat="1" applyFont="1" applyFill="1"/>
    <xf numFmtId="5" fontId="19" fillId="2" borderId="0" xfId="0" applyNumberFormat="1" applyFont="1" applyFill="1"/>
    <xf numFmtId="9" fontId="49" fillId="2" borderId="0" xfId="2" applyFont="1" applyFill="1" applyBorder="1"/>
    <xf numFmtId="186" fontId="26" fillId="2" borderId="0" xfId="0" applyNumberFormat="1" applyFont="1" applyFill="1"/>
    <xf numFmtId="0" fontId="21" fillId="2" borderId="0" xfId="0" applyFont="1" applyFill="1" applyAlignment="1">
      <alignment horizontal="right"/>
    </xf>
    <xf numFmtId="0" fontId="37" fillId="2" borderId="0" xfId="0" applyFont="1" applyFill="1" applyAlignment="1">
      <alignment horizontal="center" vertical="center"/>
    </xf>
    <xf numFmtId="0" fontId="21" fillId="2" borderId="1" xfId="0" applyFont="1" applyFill="1" applyBorder="1" applyAlignment="1">
      <alignment horizontal="center" vertical="center"/>
    </xf>
    <xf numFmtId="169" fontId="9" fillId="2" borderId="0" xfId="0" applyNumberFormat="1" applyFont="1" applyFill="1"/>
    <xf numFmtId="0" fontId="1" fillId="2" borderId="0" xfId="5" applyFont="1" applyFill="1"/>
    <xf numFmtId="0" fontId="1" fillId="2" borderId="0" xfId="0" applyFont="1" applyFill="1" applyAlignment="1">
      <alignment horizontal="center"/>
    </xf>
    <xf numFmtId="3" fontId="26" fillId="7" borderId="9" xfId="7" applyFont="1" applyFill="1" applyBorder="1">
      <alignment horizontal="center" vertical="center"/>
    </xf>
    <xf numFmtId="3" fontId="26" fillId="7" borderId="15" xfId="7" applyFont="1" applyFill="1" applyBorder="1">
      <alignment horizontal="center" vertical="center"/>
    </xf>
    <xf numFmtId="3" fontId="26" fillId="7" borderId="11" xfId="7" applyFont="1" applyFill="1" applyBorder="1">
      <alignment horizontal="center" vertical="center"/>
    </xf>
    <xf numFmtId="3" fontId="26" fillId="13" borderId="11" xfId="7" applyFont="1" applyFill="1" applyBorder="1">
      <alignment horizontal="center" vertical="center"/>
    </xf>
    <xf numFmtId="3" fontId="26" fillId="13" borderId="12" xfId="7" applyFont="1" applyFill="1" applyBorder="1">
      <alignment horizontal="center" vertical="center"/>
    </xf>
    <xf numFmtId="3" fontId="26" fillId="7" borderId="13" xfId="7" applyFont="1" applyFill="1" applyBorder="1">
      <alignment horizontal="center" vertical="center"/>
    </xf>
    <xf numFmtId="3" fontId="26" fillId="7" borderId="1" xfId="7" applyFont="1" applyFill="1" applyBorder="1">
      <alignment horizontal="center" vertical="center"/>
    </xf>
    <xf numFmtId="3" fontId="26" fillId="4" borderId="27" xfId="7" applyFont="1" applyFill="1" applyBorder="1">
      <alignment horizontal="center" vertical="center"/>
    </xf>
    <xf numFmtId="3" fontId="26" fillId="13" borderId="27" xfId="7" applyFont="1" applyFill="1" applyBorder="1">
      <alignment horizontal="center" vertical="center"/>
    </xf>
    <xf numFmtId="3" fontId="26" fillId="4" borderId="26" xfId="7" applyFont="1" applyFill="1" applyBorder="1">
      <alignment horizontal="center" vertical="center"/>
    </xf>
    <xf numFmtId="3" fontId="26" fillId="4" borderId="20" xfId="7" applyFont="1" applyFill="1" applyBorder="1">
      <alignment horizontal="center" vertical="center"/>
    </xf>
    <xf numFmtId="3" fontId="26" fillId="13" borderId="26" xfId="7" applyFont="1" applyFill="1" applyBorder="1">
      <alignment horizontal="center" vertical="center"/>
    </xf>
    <xf numFmtId="3" fontId="26" fillId="13" borderId="15" xfId="7" applyFont="1" applyFill="1" applyBorder="1">
      <alignment horizontal="center" vertical="center"/>
    </xf>
    <xf numFmtId="3" fontId="26" fillId="13" borderId="10" xfId="7" applyFont="1" applyFill="1" applyBorder="1">
      <alignment horizontal="center" vertical="center"/>
    </xf>
    <xf numFmtId="3" fontId="26" fillId="13" borderId="20" xfId="7" applyFont="1" applyFill="1" applyBorder="1">
      <alignment horizontal="center" vertical="center"/>
    </xf>
    <xf numFmtId="3" fontId="26" fillId="13" borderId="1" xfId="7" applyFont="1" applyFill="1" applyBorder="1">
      <alignment horizontal="center" vertical="center"/>
    </xf>
    <xf numFmtId="3" fontId="26" fillId="13" borderId="14" xfId="7" applyFont="1" applyFill="1" applyBorder="1">
      <alignment horizontal="center" vertical="center"/>
    </xf>
    <xf numFmtId="3" fontId="26" fillId="4" borderId="10" xfId="7" applyFont="1" applyFill="1" applyBorder="1">
      <alignment horizontal="center" vertical="center"/>
    </xf>
    <xf numFmtId="3" fontId="26" fillId="4" borderId="12" xfId="7" applyFont="1" applyFill="1" applyBorder="1">
      <alignment horizontal="center" vertical="center"/>
    </xf>
    <xf numFmtId="3" fontId="26" fillId="4" borderId="14" xfId="7" applyFont="1" applyFill="1" applyBorder="1">
      <alignment horizontal="center" vertical="center"/>
    </xf>
    <xf numFmtId="3" fontId="26" fillId="13" borderId="9" xfId="7" applyFont="1" applyFill="1" applyBorder="1">
      <alignment horizontal="center" vertical="center"/>
    </xf>
    <xf numFmtId="3" fontId="26" fillId="7" borderId="10" xfId="7" applyFont="1" applyFill="1" applyBorder="1">
      <alignment horizontal="center" vertical="center"/>
    </xf>
    <xf numFmtId="3" fontId="26" fillId="7" borderId="12" xfId="7" applyFont="1" applyFill="1" applyBorder="1">
      <alignment horizontal="center" vertical="center"/>
    </xf>
    <xf numFmtId="3" fontId="26" fillId="7" borderId="14" xfId="7" applyFont="1" applyFill="1" applyBorder="1">
      <alignment horizontal="center" vertical="center"/>
    </xf>
    <xf numFmtId="3" fontId="26" fillId="13" borderId="13" xfId="7" applyFont="1" applyFill="1" applyBorder="1">
      <alignment horizontal="center" vertical="center"/>
    </xf>
    <xf numFmtId="0" fontId="50" fillId="2" borderId="11" xfId="0" applyFont="1" applyFill="1" applyBorder="1" applyAlignment="1">
      <alignment horizontal="center"/>
    </xf>
    <xf numFmtId="169" fontId="1" fillId="2" borderId="12" xfId="0" applyNumberFormat="1" applyFont="1" applyFill="1" applyBorder="1" applyAlignment="1">
      <alignment horizontal="center"/>
    </xf>
    <xf numFmtId="0" fontId="26" fillId="2" borderId="11" xfId="0" applyFont="1" applyFill="1" applyBorder="1" applyAlignment="1">
      <alignment horizontal="center"/>
    </xf>
    <xf numFmtId="0" fontId="1" fillId="2" borderId="11" xfId="0" applyFont="1" applyFill="1" applyBorder="1" applyAlignment="1">
      <alignment horizontal="center"/>
    </xf>
    <xf numFmtId="0" fontId="20" fillId="2" borderId="13" xfId="0" applyFont="1" applyFill="1" applyBorder="1"/>
    <xf numFmtId="169" fontId="20" fillId="2" borderId="14" xfId="0" applyNumberFormat="1" applyFont="1" applyFill="1" applyBorder="1"/>
    <xf numFmtId="0" fontId="20" fillId="2" borderId="9" xfId="0" applyFont="1" applyFill="1" applyBorder="1" applyAlignment="1">
      <alignment horizontal="center"/>
    </xf>
    <xf numFmtId="0" fontId="20" fillId="2" borderId="15" xfId="0" applyFont="1" applyFill="1" applyBorder="1" applyAlignment="1">
      <alignment horizontal="center"/>
    </xf>
    <xf numFmtId="0" fontId="20" fillId="2" borderId="10" xfId="0" applyFont="1" applyFill="1" applyBorder="1" applyAlignment="1">
      <alignment horizontal="center"/>
    </xf>
    <xf numFmtId="0" fontId="1" fillId="2" borderId="13" xfId="0" applyFont="1" applyFill="1" applyBorder="1" applyAlignment="1">
      <alignment horizontal="center"/>
    </xf>
    <xf numFmtId="0" fontId="26" fillId="2" borderId="1" xfId="0" applyFont="1" applyFill="1" applyBorder="1" applyAlignment="1">
      <alignment horizontal="center"/>
    </xf>
    <xf numFmtId="3" fontId="26" fillId="2" borderId="14" xfId="0" applyNumberFormat="1" applyFont="1" applyFill="1" applyBorder="1" applyAlignment="1">
      <alignment horizontal="center"/>
    </xf>
    <xf numFmtId="0" fontId="42" fillId="2" borderId="0" xfId="0" applyFont="1" applyFill="1" applyAlignment="1">
      <alignment horizontal="center"/>
    </xf>
    <xf numFmtId="168" fontId="38" fillId="2" borderId="0" xfId="0" applyNumberFormat="1" applyFont="1" applyFill="1" applyAlignment="1">
      <alignment horizontal="center"/>
    </xf>
    <xf numFmtId="169" fontId="38" fillId="2" borderId="0" xfId="0" applyNumberFormat="1" applyFont="1" applyFill="1"/>
    <xf numFmtId="169" fontId="37" fillId="2" borderId="0" xfId="0" applyNumberFormat="1" applyFont="1" applyFill="1"/>
    <xf numFmtId="169" fontId="41" fillId="2" borderId="0" xfId="0" applyNumberFormat="1" applyFont="1" applyFill="1"/>
    <xf numFmtId="3" fontId="41" fillId="2" borderId="0" xfId="0" applyNumberFormat="1" applyFont="1" applyFill="1"/>
    <xf numFmtId="0" fontId="41" fillId="2" borderId="0" xfId="0" applyFont="1" applyFill="1"/>
    <xf numFmtId="0" fontId="89" fillId="9" borderId="0" xfId="0" applyFont="1" applyFill="1"/>
    <xf numFmtId="0" fontId="88" fillId="9" borderId="0" xfId="0" applyFont="1" applyFill="1" applyAlignment="1">
      <alignment horizontal="center" wrapText="1"/>
    </xf>
    <xf numFmtId="3" fontId="38" fillId="2" borderId="0" xfId="0" applyNumberFormat="1" applyFont="1" applyFill="1" applyAlignment="1">
      <alignment horizontal="right"/>
    </xf>
    <xf numFmtId="3" fontId="34" fillId="2" borderId="0" xfId="0" applyNumberFormat="1" applyFont="1" applyFill="1" applyAlignment="1">
      <alignment horizontal="right"/>
    </xf>
    <xf numFmtId="41" fontId="44" fillId="2" borderId="0" xfId="0" applyNumberFormat="1" applyFont="1" applyFill="1" applyAlignment="1">
      <alignment horizontal="center"/>
    </xf>
    <xf numFmtId="9" fontId="49" fillId="2" borderId="0" xfId="2" applyFont="1" applyFill="1"/>
    <xf numFmtId="10" fontId="38" fillId="2" borderId="0" xfId="2" applyNumberFormat="1" applyFont="1" applyFill="1"/>
    <xf numFmtId="9" fontId="37" fillId="2" borderId="0" xfId="2" applyFont="1" applyFill="1" applyBorder="1"/>
    <xf numFmtId="172" fontId="38" fillId="2" borderId="0" xfId="3" applyNumberFormat="1" applyFont="1" applyFill="1" applyBorder="1"/>
    <xf numFmtId="172" fontId="41" fillId="2" borderId="0" xfId="3" applyNumberFormat="1" applyFont="1" applyFill="1" applyBorder="1"/>
    <xf numFmtId="172" fontId="26" fillId="2" borderId="0" xfId="0" applyNumberFormat="1" applyFont="1" applyFill="1"/>
    <xf numFmtId="1" fontId="21" fillId="2" borderId="0" xfId="0" applyNumberFormat="1" applyFont="1" applyFill="1"/>
    <xf numFmtId="3" fontId="34" fillId="2" borderId="0" xfId="0" applyNumberFormat="1" applyFont="1" applyFill="1" applyAlignment="1">
      <alignment horizontal="center" vertical="center"/>
    </xf>
    <xf numFmtId="174" fontId="34" fillId="2" borderId="0" xfId="0" applyNumberFormat="1" applyFont="1" applyFill="1" applyAlignment="1">
      <alignment horizontal="center" vertical="center"/>
    </xf>
    <xf numFmtId="4" fontId="34" fillId="2" borderId="0" xfId="0" applyNumberFormat="1" applyFont="1" applyFill="1" applyAlignment="1">
      <alignment horizontal="center" vertical="center"/>
    </xf>
    <xf numFmtId="164" fontId="37" fillId="2" borderId="0" xfId="0" applyNumberFormat="1" applyFont="1" applyFill="1" applyAlignment="1">
      <alignment horizontal="center"/>
    </xf>
    <xf numFmtId="3" fontId="9" fillId="2" borderId="0" xfId="0" applyNumberFormat="1" applyFont="1" applyFill="1"/>
    <xf numFmtId="9" fontId="9" fillId="2" borderId="0" xfId="2" applyFont="1" applyFill="1"/>
    <xf numFmtId="10" fontId="9" fillId="2" borderId="0" xfId="2" applyNumberFormat="1" applyFont="1" applyFill="1"/>
    <xf numFmtId="169" fontId="9" fillId="2" borderId="0" xfId="0" applyNumberFormat="1" applyFont="1" applyFill="1" applyAlignment="1">
      <alignment horizontal="center" vertical="center"/>
    </xf>
    <xf numFmtId="0" fontId="37" fillId="2" borderId="0" xfId="0" applyFont="1" applyFill="1" applyAlignment="1">
      <alignment horizontal="left"/>
    </xf>
    <xf numFmtId="0" fontId="38" fillId="2" borderId="0" xfId="0" applyFont="1" applyFill="1" applyAlignment="1">
      <alignment horizontal="left" indent="2"/>
    </xf>
    <xf numFmtId="0" fontId="90" fillId="2" borderId="0" xfId="0" applyFont="1" applyFill="1"/>
    <xf numFmtId="1" fontId="42" fillId="2" borderId="0" xfId="0" applyNumberFormat="1" applyFont="1" applyFill="1" applyAlignment="1">
      <alignment horizontal="center" vertical="center"/>
    </xf>
    <xf numFmtId="41" fontId="42" fillId="2" borderId="0" xfId="0" applyNumberFormat="1" applyFont="1" applyFill="1" applyAlignment="1">
      <alignment horizontal="center"/>
    </xf>
    <xf numFmtId="10" fontId="38" fillId="2" borderId="0" xfId="0" applyNumberFormat="1" applyFont="1" applyFill="1" applyAlignment="1">
      <alignment horizontal="center" vertical="center"/>
    </xf>
    <xf numFmtId="3" fontId="37" fillId="2" borderId="0" xfId="0" applyNumberFormat="1" applyFont="1" applyFill="1" applyAlignment="1">
      <alignment horizontal="center"/>
    </xf>
    <xf numFmtId="3" fontId="42" fillId="2" borderId="0" xfId="0" applyNumberFormat="1" applyFont="1" applyFill="1" applyAlignment="1">
      <alignment horizontal="center"/>
    </xf>
    <xf numFmtId="10" fontId="38" fillId="2" borderId="0" xfId="0" applyNumberFormat="1" applyFont="1" applyFill="1"/>
    <xf numFmtId="1" fontId="38" fillId="2" borderId="0" xfId="0" applyNumberFormat="1" applyFont="1" applyFill="1" applyAlignment="1">
      <alignment horizontal="center"/>
    </xf>
    <xf numFmtId="9" fontId="37" fillId="2" borderId="0" xfId="0" applyNumberFormat="1" applyFont="1" applyFill="1" applyAlignment="1">
      <alignment horizontal="center" vertical="center"/>
    </xf>
    <xf numFmtId="9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left" vertical="center" indent="1"/>
    </xf>
    <xf numFmtId="0" fontId="38" fillId="2" borderId="0" xfId="0" applyFont="1" applyFill="1" applyAlignment="1">
      <alignment horizontal="left" vertical="center" indent="2"/>
    </xf>
    <xf numFmtId="175" fontId="37" fillId="2" borderId="0" xfId="0" applyNumberFormat="1" applyFont="1" applyFill="1" applyAlignment="1">
      <alignment horizontal="center" vertical="center"/>
    </xf>
    <xf numFmtId="175" fontId="38" fillId="2" borderId="0" xfId="0" applyNumberFormat="1" applyFont="1" applyFill="1" applyAlignment="1">
      <alignment horizontal="center" vertical="center"/>
    </xf>
    <xf numFmtId="173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left" vertical="center" indent="3"/>
    </xf>
    <xf numFmtId="5" fontId="37" fillId="2" borderId="0" xfId="0" applyNumberFormat="1" applyFont="1" applyFill="1" applyAlignment="1">
      <alignment horizontal="center" vertical="center"/>
    </xf>
    <xf numFmtId="5" fontId="38" fillId="2" borderId="0" xfId="0" applyNumberFormat="1" applyFont="1" applyFill="1" applyAlignment="1">
      <alignment horizontal="center" vertical="center"/>
    </xf>
    <xf numFmtId="0" fontId="38" fillId="2" borderId="0" xfId="0" applyFont="1" applyFill="1" applyAlignment="1">
      <alignment horizontal="left" indent="3"/>
    </xf>
    <xf numFmtId="9" fontId="37" fillId="2" borderId="0" xfId="2" applyFont="1" applyFill="1" applyBorder="1" applyAlignment="1">
      <alignment horizontal="center" vertical="center"/>
    </xf>
    <xf numFmtId="9" fontId="38" fillId="2" borderId="0" xfId="2" applyFont="1" applyFill="1" applyBorder="1" applyAlignment="1">
      <alignment horizontal="center" vertical="center"/>
    </xf>
    <xf numFmtId="3" fontId="38" fillId="2" borderId="0" xfId="3" applyNumberFormat="1" applyFont="1" applyFill="1" applyBorder="1" applyAlignment="1">
      <alignment horizontal="center" vertical="center"/>
    </xf>
    <xf numFmtId="167" fontId="37" fillId="2" borderId="0" xfId="0" applyNumberFormat="1" applyFont="1" applyFill="1" applyAlignment="1">
      <alignment horizontal="center" vertical="center"/>
    </xf>
    <xf numFmtId="1" fontId="37" fillId="2" borderId="0" xfId="0" applyNumberFormat="1" applyFont="1" applyFill="1" applyAlignment="1">
      <alignment horizontal="center" vertical="center"/>
    </xf>
    <xf numFmtId="4" fontId="38" fillId="2" borderId="0" xfId="3" applyNumberFormat="1" applyFont="1" applyFill="1" applyBorder="1" applyAlignment="1">
      <alignment horizontal="center" vertical="center"/>
    </xf>
    <xf numFmtId="0" fontId="37" fillId="2" borderId="0" xfId="0" applyFont="1" applyFill="1" applyAlignment="1">
      <alignment horizontal="right"/>
    </xf>
    <xf numFmtId="37" fontId="37" fillId="2" borderId="0" xfId="0" applyNumberFormat="1" applyFont="1" applyFill="1" applyAlignment="1">
      <alignment horizontal="center" vertical="center"/>
    </xf>
    <xf numFmtId="37" fontId="38" fillId="2" borderId="0" xfId="0" applyNumberFormat="1" applyFont="1" applyFill="1" applyAlignment="1">
      <alignment horizontal="center" vertical="center"/>
    </xf>
    <xf numFmtId="169" fontId="7" fillId="3" borderId="6" xfId="0" applyNumberFormat="1" applyFont="1" applyFill="1" applyBorder="1"/>
    <xf numFmtId="168" fontId="30" fillId="2" borderId="0" xfId="0" applyNumberFormat="1" applyFont="1" applyFill="1"/>
    <xf numFmtId="169" fontId="78" fillId="2" borderId="0" xfId="0" applyNumberFormat="1" applyFont="1" applyFill="1" applyAlignment="1">
      <alignment horizontal="center" vertical="center"/>
    </xf>
    <xf numFmtId="169" fontId="19" fillId="2" borderId="0" xfId="0" applyNumberFormat="1" applyFont="1" applyFill="1" applyAlignment="1">
      <alignment horizontal="center" vertical="center"/>
    </xf>
    <xf numFmtId="167" fontId="7" fillId="6" borderId="6" xfId="0" applyNumberFormat="1" applyFont="1" applyFill="1" applyBorder="1"/>
    <xf numFmtId="5" fontId="75" fillId="2" borderId="0" xfId="0" applyNumberFormat="1" applyFont="1" applyFill="1" applyAlignment="1">
      <alignment horizontal="center"/>
    </xf>
    <xf numFmtId="0" fontId="75" fillId="2" borderId="0" xfId="0" applyFont="1" applyFill="1" applyAlignment="1">
      <alignment horizontal="center"/>
    </xf>
    <xf numFmtId="3" fontId="75" fillId="2" borderId="12" xfId="0" applyNumberFormat="1" applyFont="1" applyFill="1" applyBorder="1" applyAlignment="1">
      <alignment horizontal="right"/>
    </xf>
    <xf numFmtId="14" fontId="34" fillId="2" borderId="0" xfId="0" applyNumberFormat="1" applyFont="1" applyFill="1" applyAlignment="1">
      <alignment horizontal="center"/>
    </xf>
    <xf numFmtId="0" fontId="34" fillId="2" borderId="0" xfId="0" applyFont="1" applyFill="1" applyAlignment="1">
      <alignment horizontal="center"/>
    </xf>
    <xf numFmtId="9" fontId="34" fillId="2" borderId="15" xfId="0" applyNumberFormat="1" applyFont="1" applyFill="1" applyBorder="1" applyAlignment="1">
      <alignment horizontal="center"/>
    </xf>
    <xf numFmtId="10" fontId="34" fillId="2" borderId="0" xfId="0" applyNumberFormat="1" applyFont="1" applyFill="1" applyAlignment="1">
      <alignment horizontal="center"/>
    </xf>
    <xf numFmtId="10" fontId="34" fillId="2" borderId="1" xfId="0" applyNumberFormat="1" applyFont="1" applyFill="1" applyBorder="1"/>
    <xf numFmtId="167" fontId="49" fillId="2" borderId="0" xfId="0" applyNumberFormat="1" applyFont="1" applyFill="1" applyAlignment="1">
      <alignment horizontal="center" vertical="center"/>
    </xf>
    <xf numFmtId="167" fontId="34" fillId="2" borderId="0" xfId="0" applyNumberFormat="1" applyFont="1" applyFill="1" applyAlignment="1">
      <alignment horizontal="center" vertical="center"/>
    </xf>
    <xf numFmtId="37" fontId="49" fillId="2" borderId="0" xfId="0" applyNumberFormat="1" applyFont="1" applyFill="1" applyAlignment="1">
      <alignment horizontal="center" vertical="center"/>
    </xf>
    <xf numFmtId="37" fontId="34" fillId="2" borderId="0" xfId="0" applyNumberFormat="1" applyFont="1" applyFill="1" applyAlignment="1">
      <alignment horizontal="center" vertical="center"/>
    </xf>
    <xf numFmtId="5" fontId="34" fillId="2" borderId="0" xfId="0" applyNumberFormat="1" applyFont="1" applyFill="1" applyAlignment="1">
      <alignment horizontal="center" vertical="center"/>
    </xf>
    <xf numFmtId="169" fontId="49" fillId="2" borderId="0" xfId="0" applyNumberFormat="1" applyFont="1" applyFill="1" applyAlignment="1">
      <alignment horizontal="center" vertical="center"/>
    </xf>
    <xf numFmtId="164" fontId="49" fillId="2" borderId="0" xfId="0" applyNumberFormat="1" applyFont="1" applyFill="1" applyAlignment="1">
      <alignment horizontal="center" vertical="center"/>
    </xf>
    <xf numFmtId="3" fontId="75" fillId="2" borderId="0" xfId="0" applyNumberFormat="1" applyFont="1" applyFill="1" applyAlignment="1">
      <alignment horizontal="center"/>
    </xf>
    <xf numFmtId="172" fontId="21" fillId="2" borderId="0" xfId="2" applyNumberFormat="1" applyFont="1" applyFill="1" applyBorder="1"/>
    <xf numFmtId="0" fontId="7" fillId="2" borderId="11" xfId="0" applyFont="1" applyFill="1" applyBorder="1"/>
    <xf numFmtId="3" fontId="7" fillId="2" borderId="14" xfId="0" applyNumberFormat="1" applyFont="1" applyFill="1" applyBorder="1" applyAlignment="1">
      <alignment horizontal="right"/>
    </xf>
    <xf numFmtId="0" fontId="74" fillId="2" borderId="0" xfId="0" applyFont="1" applyFill="1" applyAlignment="1">
      <alignment horizontal="left"/>
    </xf>
    <xf numFmtId="3" fontId="75" fillId="2" borderId="0" xfId="0" applyNumberFormat="1" applyFont="1" applyFill="1" applyAlignment="1">
      <alignment horizontal="right"/>
    </xf>
    <xf numFmtId="0" fontId="75" fillId="2" borderId="0" xfId="0" applyFont="1" applyFill="1" applyAlignment="1">
      <alignment horizontal="left"/>
    </xf>
    <xf numFmtId="0" fontId="75" fillId="2" borderId="0" xfId="0" applyFont="1" applyFill="1" applyAlignment="1">
      <alignment horizontal="right"/>
    </xf>
    <xf numFmtId="0" fontId="75" fillId="2" borderId="0" xfId="0" applyFont="1" applyFill="1" applyAlignment="1">
      <alignment horizontal="left" indent="1"/>
    </xf>
    <xf numFmtId="0" fontId="7" fillId="2" borderId="12" xfId="0" applyFont="1" applyFill="1" applyBorder="1"/>
    <xf numFmtId="3" fontId="9" fillId="2" borderId="1" xfId="0" applyNumberFormat="1" applyFont="1" applyFill="1" applyBorder="1" applyAlignment="1">
      <alignment horizontal="center"/>
    </xf>
    <xf numFmtId="3" fontId="19" fillId="2" borderId="12" xfId="0" applyNumberFormat="1" applyFont="1" applyFill="1" applyBorder="1" applyAlignment="1">
      <alignment horizontal="right"/>
    </xf>
    <xf numFmtId="0" fontId="7" fillId="2" borderId="15" xfId="0" applyFont="1" applyFill="1" applyBorder="1"/>
    <xf numFmtId="0" fontId="14" fillId="2" borderId="15" xfId="0" applyFont="1" applyFill="1" applyBorder="1"/>
    <xf numFmtId="0" fontId="14" fillId="2" borderId="15" xfId="0" applyFont="1" applyFill="1" applyBorder="1" applyAlignment="1">
      <alignment horizontal="center" vertical="center"/>
    </xf>
    <xf numFmtId="169" fontId="7" fillId="2" borderId="12" xfId="0" applyNumberFormat="1" applyFont="1" applyFill="1" applyBorder="1"/>
    <xf numFmtId="169" fontId="75" fillId="2" borderId="12" xfId="0" applyNumberFormat="1" applyFont="1" applyFill="1" applyBorder="1"/>
    <xf numFmtId="0" fontId="78" fillId="2" borderId="13" xfId="0" applyFont="1" applyFill="1" applyBorder="1" applyAlignment="1">
      <alignment horizontal="left" vertical="top"/>
    </xf>
    <xf numFmtId="0" fontId="91" fillId="2" borderId="1" xfId="0" applyFont="1" applyFill="1" applyBorder="1" applyAlignment="1">
      <alignment horizontal="center"/>
    </xf>
    <xf numFmtId="0" fontId="75" fillId="2" borderId="0" xfId="0" applyFont="1" applyFill="1" applyAlignment="1">
      <alignment horizontal="left" indent="2"/>
    </xf>
    <xf numFmtId="43" fontId="75" fillId="2" borderId="0" xfId="3" applyFont="1" applyFill="1" applyBorder="1"/>
    <xf numFmtId="0" fontId="75" fillId="2" borderId="0" xfId="0" applyFont="1" applyFill="1" applyAlignment="1">
      <alignment horizontal="left" vertical="top"/>
    </xf>
    <xf numFmtId="0" fontId="19" fillId="2" borderId="6" xfId="0" applyFont="1" applyFill="1" applyBorder="1"/>
    <xf numFmtId="169" fontId="19" fillId="2" borderId="6" xfId="0" applyNumberFormat="1" applyFont="1" applyFill="1" applyBorder="1"/>
    <xf numFmtId="0" fontId="19" fillId="2" borderId="28" xfId="0" applyFont="1" applyFill="1" applyBorder="1" applyAlignment="1">
      <alignment horizontal="left" vertical="top"/>
    </xf>
    <xf numFmtId="3" fontId="19" fillId="2" borderId="29" xfId="0" applyNumberFormat="1" applyFont="1" applyFill="1" applyBorder="1" applyAlignment="1">
      <alignment horizontal="right"/>
    </xf>
    <xf numFmtId="172" fontId="21" fillId="2" borderId="0" xfId="0" applyNumberFormat="1" applyFont="1" applyFill="1"/>
    <xf numFmtId="0" fontId="26" fillId="2" borderId="6" xfId="1" applyFont="1" applyFill="1" applyBorder="1"/>
    <xf numFmtId="178" fontId="34" fillId="2" borderId="0" xfId="0" applyNumberFormat="1" applyFont="1" applyFill="1"/>
    <xf numFmtId="164" fontId="34" fillId="2" borderId="0" xfId="0" applyNumberFormat="1" applyFont="1" applyFill="1"/>
    <xf numFmtId="43" fontId="34" fillId="2" borderId="0" xfId="0" applyNumberFormat="1" applyFont="1" applyFill="1"/>
    <xf numFmtId="0" fontId="21" fillId="2" borderId="0" xfId="0" applyFont="1" applyFill="1" applyAlignment="1">
      <alignment horizontal="center"/>
    </xf>
    <xf numFmtId="173" fontId="44" fillId="2" borderId="0" xfId="0" applyNumberFormat="1" applyFont="1" applyFill="1"/>
    <xf numFmtId="165" fontId="34" fillId="2" borderId="0" xfId="0" applyNumberFormat="1" applyFont="1" applyFill="1" applyAlignment="1">
      <alignment horizontal="center" vertical="center"/>
    </xf>
    <xf numFmtId="176" fontId="49" fillId="2" borderId="0" xfId="0" applyNumberFormat="1" applyFont="1" applyFill="1" applyAlignment="1">
      <alignment horizontal="center" vertical="center"/>
    </xf>
    <xf numFmtId="0" fontId="37" fillId="2" borderId="0" xfId="0" applyFont="1" applyFill="1" applyAlignment="1">
      <alignment vertical="center"/>
    </xf>
    <xf numFmtId="164" fontId="38" fillId="2" borderId="0" xfId="0" applyNumberFormat="1" applyFont="1" applyFill="1" applyAlignment="1">
      <alignment vertical="center"/>
    </xf>
    <xf numFmtId="0" fontId="37" fillId="2" borderId="0" xfId="0" applyFont="1" applyFill="1" applyAlignment="1">
      <alignment horizontal="center" vertical="center" wrapText="1"/>
    </xf>
    <xf numFmtId="14" fontId="26" fillId="2" borderId="0" xfId="1" applyNumberFormat="1" applyFont="1" applyFill="1" applyAlignment="1">
      <alignment horizontal="center" vertical="center"/>
    </xf>
    <xf numFmtId="0" fontId="38" fillId="15" borderId="0" xfId="1" applyFont="1" applyFill="1"/>
    <xf numFmtId="37" fontId="37" fillId="15" borderId="0" xfId="1" applyNumberFormat="1" applyFont="1" applyFill="1" applyAlignment="1">
      <alignment horizontal="center" vertical="center"/>
    </xf>
    <xf numFmtId="37" fontId="38" fillId="15" borderId="0" xfId="1" applyNumberFormat="1" applyFont="1" applyFill="1" applyAlignment="1">
      <alignment horizontal="center" vertical="center"/>
    </xf>
    <xf numFmtId="7" fontId="38" fillId="2" borderId="0" xfId="0" applyNumberFormat="1" applyFont="1" applyFill="1" applyAlignment="1">
      <alignment horizontal="center" vertical="center"/>
    </xf>
    <xf numFmtId="37" fontId="37" fillId="2" borderId="0" xfId="1" applyNumberFormat="1" applyFont="1" applyFill="1" applyAlignment="1">
      <alignment horizontal="center" vertical="center"/>
    </xf>
    <xf numFmtId="0" fontId="37" fillId="2" borderId="0" xfId="1" applyFont="1" applyFill="1"/>
    <xf numFmtId="0" fontId="37" fillId="2" borderId="0" xfId="1" applyFont="1" applyFill="1" applyAlignment="1">
      <alignment horizontal="center" vertical="center"/>
    </xf>
    <xf numFmtId="0" fontId="37" fillId="2" borderId="0" xfId="1" applyFont="1" applyFill="1" applyAlignment="1">
      <alignment horizontal="center" vertical="center" wrapText="1"/>
    </xf>
    <xf numFmtId="0" fontId="37" fillId="15" borderId="0" xfId="1" applyFont="1" applyFill="1" applyAlignment="1">
      <alignment horizontal="left" vertical="center"/>
    </xf>
    <xf numFmtId="0" fontId="38" fillId="15" borderId="0" xfId="1" applyFont="1" applyFill="1" applyAlignment="1">
      <alignment horizontal="left" vertical="center" indent="3"/>
    </xf>
    <xf numFmtId="5" fontId="38" fillId="2" borderId="0" xfId="0" applyNumberFormat="1" applyFont="1" applyFill="1"/>
    <xf numFmtId="173" fontId="42" fillId="2" borderId="0" xfId="0" applyNumberFormat="1" applyFont="1" applyFill="1"/>
    <xf numFmtId="5" fontId="37" fillId="2" borderId="0" xfId="0" applyNumberFormat="1" applyFont="1" applyFill="1"/>
    <xf numFmtId="166" fontId="38" fillId="2" borderId="0" xfId="0" applyNumberFormat="1" applyFont="1" applyFill="1" applyAlignment="1">
      <alignment horizontal="center" vertical="center"/>
    </xf>
    <xf numFmtId="0" fontId="37" fillId="2" borderId="0" xfId="0" applyFont="1" applyFill="1" applyAlignment="1">
      <alignment horizontal="left" vertical="center"/>
    </xf>
    <xf numFmtId="0" fontId="86" fillId="2" borderId="0" xfId="0" applyFont="1" applyFill="1"/>
    <xf numFmtId="5" fontId="86" fillId="2" borderId="0" xfId="0" applyNumberFormat="1" applyFont="1" applyFill="1"/>
    <xf numFmtId="5" fontId="93" fillId="2" borderId="0" xfId="0" applyNumberFormat="1" applyFont="1" applyFill="1"/>
    <xf numFmtId="5" fontId="37" fillId="2" borderId="0" xfId="0" applyNumberFormat="1" applyFont="1" applyFill="1" applyAlignment="1">
      <alignment horizontal="center"/>
    </xf>
    <xf numFmtId="164" fontId="38" fillId="2" borderId="0" xfId="0" applyNumberFormat="1" applyFont="1" applyFill="1"/>
    <xf numFmtId="9" fontId="37" fillId="2" borderId="0" xfId="0" applyNumberFormat="1" applyFont="1" applyFill="1"/>
    <xf numFmtId="0" fontId="94" fillId="2" borderId="0" xfId="0" applyFont="1" applyFill="1" applyAlignment="1">
      <alignment horizontal="left"/>
    </xf>
    <xf numFmtId="8" fontId="84" fillId="2" borderId="0" xfId="0" applyNumberFormat="1" applyFont="1" applyFill="1"/>
    <xf numFmtId="166" fontId="38" fillId="2" borderId="0" xfId="0" applyNumberFormat="1" applyFont="1" applyFill="1"/>
    <xf numFmtId="175" fontId="38" fillId="2" borderId="0" xfId="0" applyNumberFormat="1" applyFont="1" applyFill="1" applyAlignment="1">
      <alignment horizontal="right"/>
    </xf>
    <xf numFmtId="0" fontId="94" fillId="2" borderId="0" xfId="0" applyFont="1" applyFill="1" applyAlignment="1">
      <alignment horizontal="left" indent="1"/>
    </xf>
    <xf numFmtId="8" fontId="94" fillId="2" borderId="0" xfId="0" applyNumberFormat="1" applyFont="1" applyFill="1" applyAlignment="1">
      <alignment vertical="center"/>
    </xf>
    <xf numFmtId="0" fontId="92" fillId="2" borderId="0" xfId="0" applyFont="1" applyFill="1" applyAlignment="1">
      <alignment vertical="center"/>
    </xf>
    <xf numFmtId="10" fontId="84" fillId="2" borderId="0" xfId="0" applyNumberFormat="1" applyFont="1" applyFill="1"/>
    <xf numFmtId="10" fontId="92" fillId="2" borderId="0" xfId="0" applyNumberFormat="1" applyFont="1" applyFill="1"/>
    <xf numFmtId="164" fontId="37" fillId="2" borderId="0" xfId="0" applyNumberFormat="1" applyFont="1" applyFill="1"/>
    <xf numFmtId="164" fontId="37" fillId="2" borderId="0" xfId="2" applyNumberFormat="1" applyFont="1" applyFill="1" applyBorder="1"/>
    <xf numFmtId="0" fontId="26" fillId="7" borderId="6" xfId="0" applyFont="1" applyFill="1" applyBorder="1"/>
    <xf numFmtId="9" fontId="34" fillId="2" borderId="0" xfId="2" applyFont="1" applyFill="1" applyAlignment="1">
      <alignment horizontal="center" vertical="center"/>
    </xf>
    <xf numFmtId="0" fontId="26" fillId="9" borderId="0" xfId="0" applyFont="1" applyFill="1"/>
    <xf numFmtId="14" fontId="37" fillId="2" borderId="0" xfId="0" applyNumberFormat="1" applyFont="1" applyFill="1" applyAlignment="1">
      <alignment horizontal="center"/>
    </xf>
    <xf numFmtId="37" fontId="38" fillId="2" borderId="0" xfId="0" applyNumberFormat="1" applyFont="1" applyFill="1"/>
    <xf numFmtId="10" fontId="41" fillId="2" borderId="0" xfId="2" applyNumberFormat="1" applyFont="1" applyFill="1" applyBorder="1"/>
    <xf numFmtId="5" fontId="41" fillId="2" borderId="0" xfId="0" applyNumberFormat="1" applyFont="1" applyFill="1"/>
    <xf numFmtId="1" fontId="38" fillId="2" borderId="0" xfId="0" applyNumberFormat="1" applyFont="1" applyFill="1"/>
    <xf numFmtId="0" fontId="1" fillId="2" borderId="6" xfId="1" applyFont="1" applyFill="1" applyBorder="1"/>
    <xf numFmtId="0" fontId="1" fillId="2" borderId="3" xfId="1" applyFont="1" applyFill="1" applyBorder="1"/>
    <xf numFmtId="0" fontId="1" fillId="2" borderId="4" xfId="0" applyFont="1" applyFill="1" applyBorder="1"/>
    <xf numFmtId="0" fontId="1" fillId="2" borderId="21" xfId="0" applyFont="1" applyFill="1" applyBorder="1"/>
    <xf numFmtId="0" fontId="1" fillId="2" borderId="17" xfId="0" applyFont="1" applyFill="1" applyBorder="1" applyAlignment="1">
      <alignment horizontal="left" indent="3"/>
    </xf>
    <xf numFmtId="5" fontId="1" fillId="2" borderId="0" xfId="0" applyNumberFormat="1" applyFont="1" applyFill="1" applyAlignment="1">
      <alignment horizontal="center" vertical="center"/>
    </xf>
    <xf numFmtId="173" fontId="1" fillId="2" borderId="0" xfId="0" applyNumberFormat="1" applyFont="1" applyFill="1" applyAlignment="1">
      <alignment horizontal="center" vertical="center"/>
    </xf>
    <xf numFmtId="1" fontId="1" fillId="2" borderId="0" xfId="0" applyNumberFormat="1" applyFont="1" applyFill="1" applyAlignment="1">
      <alignment horizontal="center" vertical="center"/>
    </xf>
    <xf numFmtId="1" fontId="1" fillId="2" borderId="18" xfId="0" applyNumberFormat="1" applyFont="1" applyFill="1" applyBorder="1" applyAlignment="1">
      <alignment horizontal="center" vertical="center"/>
    </xf>
    <xf numFmtId="0" fontId="1" fillId="2" borderId="8" xfId="0" applyFont="1" applyFill="1" applyBorder="1"/>
    <xf numFmtId="0" fontId="1" fillId="2" borderId="0" xfId="1" applyFont="1" applyFill="1"/>
    <xf numFmtId="5" fontId="1" fillId="2" borderId="4" xfId="0" applyNumberFormat="1" applyFont="1" applyFill="1" applyBorder="1" applyAlignment="1">
      <alignment horizontal="center" vertical="center"/>
    </xf>
    <xf numFmtId="173" fontId="1" fillId="2" borderId="4" xfId="0" applyNumberFormat="1" applyFont="1" applyFill="1" applyBorder="1" applyAlignment="1">
      <alignment horizontal="center" vertical="center"/>
    </xf>
    <xf numFmtId="1" fontId="1" fillId="2" borderId="4" xfId="0" applyNumberFormat="1" applyFont="1" applyFill="1" applyBorder="1" applyAlignment="1">
      <alignment horizontal="center" vertical="center"/>
    </xf>
    <xf numFmtId="1" fontId="1" fillId="2" borderId="21" xfId="0" applyNumberFormat="1" applyFont="1" applyFill="1" applyBorder="1" applyAlignment="1">
      <alignment horizontal="center" vertical="center"/>
    </xf>
    <xf numFmtId="0" fontId="1" fillId="2" borderId="4" xfId="1" applyFont="1" applyFill="1" applyBorder="1"/>
    <xf numFmtId="5" fontId="1" fillId="2" borderId="21" xfId="1" applyNumberFormat="1" applyFont="1" applyFill="1" applyBorder="1"/>
    <xf numFmtId="0" fontId="1" fillId="2" borderId="17" xfId="1" applyFont="1" applyFill="1" applyBorder="1" applyAlignment="1">
      <alignment horizontal="left" indent="1"/>
    </xf>
    <xf numFmtId="10" fontId="1" fillId="2" borderId="0" xfId="1" applyNumberFormat="1" applyFont="1" applyFill="1"/>
    <xf numFmtId="5" fontId="1" fillId="2" borderId="18" xfId="1" applyNumberFormat="1" applyFont="1" applyFill="1" applyBorder="1"/>
    <xf numFmtId="0" fontId="1" fillId="2" borderId="19" xfId="0" applyFont="1" applyFill="1" applyBorder="1" applyAlignment="1">
      <alignment horizontal="left" indent="3"/>
    </xf>
    <xf numFmtId="5" fontId="1" fillId="2" borderId="5" xfId="0" applyNumberFormat="1" applyFont="1" applyFill="1" applyBorder="1" applyAlignment="1">
      <alignment horizontal="center" vertical="center"/>
    </xf>
    <xf numFmtId="173" fontId="1" fillId="2" borderId="5" xfId="0" applyNumberFormat="1" applyFont="1" applyFill="1" applyBorder="1" applyAlignment="1">
      <alignment horizontal="center" vertical="center"/>
    </xf>
    <xf numFmtId="1" fontId="1" fillId="2" borderId="5" xfId="0" applyNumberFormat="1" applyFont="1" applyFill="1" applyBorder="1" applyAlignment="1">
      <alignment horizontal="center" vertical="center"/>
    </xf>
    <xf numFmtId="1" fontId="1" fillId="2" borderId="8" xfId="0" applyNumberFormat="1" applyFont="1" applyFill="1" applyBorder="1" applyAlignment="1">
      <alignment horizontal="center" vertical="center"/>
    </xf>
    <xf numFmtId="5" fontId="1" fillId="2" borderId="0" xfId="1" applyNumberFormat="1" applyFont="1" applyFill="1"/>
    <xf numFmtId="9" fontId="1" fillId="2" borderId="18" xfId="1" applyNumberFormat="1" applyFont="1" applyFill="1" applyBorder="1"/>
    <xf numFmtId="9" fontId="1" fillId="2" borderId="0" xfId="1" applyNumberFormat="1" applyFont="1" applyFill="1"/>
    <xf numFmtId="0" fontId="1" fillId="2" borderId="18" xfId="1" applyFont="1" applyFill="1" applyBorder="1"/>
    <xf numFmtId="166" fontId="1" fillId="2" borderId="0" xfId="1" applyNumberFormat="1" applyFont="1" applyFill="1"/>
    <xf numFmtId="0" fontId="1" fillId="2" borderId="18" xfId="0" applyFont="1" applyFill="1" applyBorder="1"/>
    <xf numFmtId="0" fontId="1" fillId="2" borderId="5" xfId="1" applyFont="1" applyFill="1" applyBorder="1"/>
    <xf numFmtId="5" fontId="1" fillId="2" borderId="6" xfId="0" applyNumberFormat="1" applyFont="1" applyFill="1" applyBorder="1" applyAlignment="1">
      <alignment horizontal="center" vertical="center"/>
    </xf>
    <xf numFmtId="173" fontId="1" fillId="2" borderId="6" xfId="0" applyNumberFormat="1" applyFont="1" applyFill="1" applyBorder="1" applyAlignment="1">
      <alignment horizontal="center" vertical="center"/>
    </xf>
    <xf numFmtId="1" fontId="1" fillId="2" borderId="6" xfId="0" applyNumberFormat="1" applyFont="1" applyFill="1" applyBorder="1" applyAlignment="1">
      <alignment horizontal="center" vertical="center"/>
    </xf>
    <xf numFmtId="1" fontId="1" fillId="2" borderId="3" xfId="0" applyNumberFormat="1" applyFont="1" applyFill="1" applyBorder="1" applyAlignment="1">
      <alignment horizontal="center" vertical="center"/>
    </xf>
    <xf numFmtId="0" fontId="1" fillId="2" borderId="21" xfId="1" applyFont="1" applyFill="1" applyBorder="1"/>
    <xf numFmtId="7" fontId="1" fillId="2" borderId="0" xfId="0" applyNumberFormat="1" applyFont="1" applyFill="1" applyAlignment="1">
      <alignment horizontal="center" vertical="center"/>
    </xf>
    <xf numFmtId="3" fontId="1" fillId="2" borderId="0" xfId="1" applyNumberFormat="1" applyFont="1" applyFill="1" applyAlignment="1">
      <alignment horizontal="center" vertical="center"/>
    </xf>
    <xf numFmtId="3" fontId="1" fillId="2" borderId="18" xfId="1" applyNumberFormat="1" applyFont="1" applyFill="1" applyBorder="1" applyAlignment="1">
      <alignment horizontal="center" vertical="center"/>
    </xf>
    <xf numFmtId="0" fontId="1" fillId="2" borderId="0" xfId="0" quotePrefix="1" applyFont="1" applyFill="1" applyAlignment="1">
      <alignment horizontal="center" vertical="center"/>
    </xf>
    <xf numFmtId="0" fontId="1" fillId="2" borderId="5" xfId="0" quotePrefix="1" applyFont="1" applyFill="1" applyBorder="1" applyAlignment="1">
      <alignment horizontal="center" vertical="center"/>
    </xf>
    <xf numFmtId="10" fontId="1" fillId="2" borderId="0" xfId="0" applyNumberFormat="1" applyFont="1" applyFill="1" applyAlignment="1">
      <alignment horizontal="center" vertical="center"/>
    </xf>
    <xf numFmtId="9" fontId="1" fillId="2" borderId="8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left" indent="6"/>
    </xf>
    <xf numFmtId="14" fontId="1" fillId="2" borderId="0" xfId="0" applyNumberFormat="1" applyFont="1" applyFill="1"/>
    <xf numFmtId="0" fontId="1" fillId="11" borderId="0" xfId="0" applyFont="1" applyFill="1"/>
    <xf numFmtId="14" fontId="1" fillId="11" borderId="0" xfId="0" applyNumberFormat="1" applyFont="1" applyFill="1"/>
    <xf numFmtId="0" fontId="1" fillId="0" borderId="1" xfId="0" applyFont="1" applyBorder="1"/>
    <xf numFmtId="3" fontId="1" fillId="2" borderId="0" xfId="0" applyNumberFormat="1" applyFont="1" applyFill="1" applyAlignment="1">
      <alignment horizontal="left" indent="1"/>
    </xf>
    <xf numFmtId="3" fontId="1" fillId="0" borderId="0" xfId="0" applyNumberFormat="1" applyFont="1"/>
    <xf numFmtId="168" fontId="1" fillId="2" borderId="0" xfId="0" applyNumberFormat="1" applyFont="1" applyFill="1" applyAlignment="1">
      <alignment horizontal="center"/>
    </xf>
    <xf numFmtId="169" fontId="1" fillId="2" borderId="0" xfId="0" applyNumberFormat="1" applyFont="1" applyFill="1"/>
    <xf numFmtId="0" fontId="1" fillId="2" borderId="5" xfId="0" applyFont="1" applyFill="1" applyBorder="1"/>
    <xf numFmtId="168" fontId="1" fillId="2" borderId="5" xfId="0" applyNumberFormat="1" applyFont="1" applyFill="1" applyBorder="1" applyAlignment="1">
      <alignment horizontal="center"/>
    </xf>
    <xf numFmtId="169" fontId="1" fillId="2" borderId="5" xfId="0" applyNumberFormat="1" applyFont="1" applyFill="1" applyBorder="1"/>
    <xf numFmtId="172" fontId="1" fillId="2" borderId="0" xfId="3" applyNumberFormat="1" applyFont="1" applyFill="1"/>
    <xf numFmtId="0" fontId="1" fillId="2" borderId="15" xfId="0" applyFont="1" applyFill="1" applyBorder="1"/>
    <xf numFmtId="169" fontId="1" fillId="2" borderId="15" xfId="0" applyNumberFormat="1" applyFont="1" applyFill="1" applyBorder="1"/>
    <xf numFmtId="43" fontId="1" fillId="2" borderId="10" xfId="0" applyNumberFormat="1" applyFont="1" applyFill="1" applyBorder="1"/>
    <xf numFmtId="43" fontId="1" fillId="2" borderId="12" xfId="0" applyNumberFormat="1" applyFont="1" applyFill="1" applyBorder="1"/>
    <xf numFmtId="0" fontId="1" fillId="2" borderId="12" xfId="0" applyFont="1" applyFill="1" applyBorder="1"/>
    <xf numFmtId="0" fontId="1" fillId="2" borderId="1" xfId="0" applyFont="1" applyFill="1" applyBorder="1"/>
    <xf numFmtId="169" fontId="1" fillId="2" borderId="1" xfId="0" applyNumberFormat="1" applyFont="1" applyFill="1" applyBorder="1"/>
    <xf numFmtId="43" fontId="1" fillId="2" borderId="14" xfId="0" applyNumberFormat="1" applyFont="1" applyFill="1" applyBorder="1"/>
    <xf numFmtId="43" fontId="1" fillId="2" borderId="0" xfId="0" applyNumberFormat="1" applyFont="1" applyFill="1"/>
    <xf numFmtId="167" fontId="1" fillId="2" borderId="0" xfId="0" applyNumberFormat="1" applyFont="1" applyFill="1"/>
    <xf numFmtId="44" fontId="1" fillId="2" borderId="0" xfId="4" applyFont="1" applyFill="1"/>
    <xf numFmtId="43" fontId="1" fillId="2" borderId="5" xfId="0" applyNumberFormat="1" applyFont="1" applyFill="1" applyBorder="1"/>
    <xf numFmtId="4" fontId="1" fillId="2" borderId="0" xfId="0" applyNumberFormat="1" applyFont="1" applyFill="1"/>
    <xf numFmtId="4" fontId="1" fillId="2" borderId="5" xfId="0" applyNumberFormat="1" applyFont="1" applyFill="1" applyBorder="1"/>
    <xf numFmtId="0" fontId="1" fillId="2" borderId="0" xfId="0" applyFont="1" applyFill="1" applyAlignment="1">
      <alignment horizontal="left"/>
    </xf>
    <xf numFmtId="3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 vertical="center"/>
    </xf>
    <xf numFmtId="3" fontId="1" fillId="2" borderId="0" xfId="0" applyNumberFormat="1" applyFont="1" applyFill="1"/>
    <xf numFmtId="14" fontId="1" fillId="2" borderId="0" xfId="0" applyNumberFormat="1" applyFont="1" applyFill="1" applyAlignment="1">
      <alignment horizontal="center"/>
    </xf>
    <xf numFmtId="0" fontId="1" fillId="2" borderId="6" xfId="0" applyFont="1" applyFill="1" applyBorder="1"/>
    <xf numFmtId="3" fontId="1" fillId="2" borderId="6" xfId="0" applyNumberFormat="1" applyFont="1" applyFill="1" applyBorder="1" applyAlignment="1">
      <alignment horizontal="center"/>
    </xf>
    <xf numFmtId="0" fontId="1" fillId="0" borderId="0" xfId="0" applyFont="1"/>
    <xf numFmtId="1" fontId="1" fillId="2" borderId="0" xfId="0" applyNumberFormat="1" applyFont="1" applyFill="1" applyAlignment="1">
      <alignment horizontal="center"/>
    </xf>
    <xf numFmtId="0" fontId="1" fillId="2" borderId="1" xfId="0" applyFont="1" applyFill="1" applyBorder="1" applyAlignment="1">
      <alignment horizontal="left" indent="1"/>
    </xf>
    <xf numFmtId="0" fontId="1" fillId="2" borderId="0" xfId="0" applyFont="1" applyFill="1" applyAlignment="1">
      <alignment horizontal="center" vertical="center"/>
    </xf>
    <xf numFmtId="3" fontId="1" fillId="2" borderId="0" xfId="0" applyNumberFormat="1" applyFont="1" applyFill="1" applyAlignment="1">
      <alignment horizontal="center" vertical="center"/>
    </xf>
    <xf numFmtId="167" fontId="1" fillId="2" borderId="0" xfId="0" applyNumberFormat="1" applyFont="1" applyFill="1" applyAlignment="1">
      <alignment horizontal="center" vertical="center"/>
    </xf>
    <xf numFmtId="169" fontId="1" fillId="2" borderId="6" xfId="0" applyNumberFormat="1" applyFont="1" applyFill="1" applyBorder="1" applyAlignment="1">
      <alignment horizontal="center" vertical="center"/>
    </xf>
    <xf numFmtId="168" fontId="1" fillId="2" borderId="0" xfId="0" applyNumberFormat="1" applyFont="1" applyFill="1" applyAlignment="1">
      <alignment horizontal="center" vertical="center"/>
    </xf>
    <xf numFmtId="0" fontId="1" fillId="2" borderId="5" xfId="0" applyFont="1" applyFill="1" applyBorder="1" applyAlignment="1">
      <alignment horizontal="left" indent="1"/>
    </xf>
    <xf numFmtId="169" fontId="1" fillId="2" borderId="5" xfId="0" applyNumberFormat="1" applyFont="1" applyFill="1" applyBorder="1" applyAlignment="1">
      <alignment horizontal="center" vertical="center"/>
    </xf>
    <xf numFmtId="185" fontId="1" fillId="2" borderId="0" xfId="0" applyNumberFormat="1" applyFont="1" applyFill="1"/>
    <xf numFmtId="10" fontId="1" fillId="2" borderId="0" xfId="2" applyNumberFormat="1" applyFont="1" applyFill="1"/>
    <xf numFmtId="9" fontId="1" fillId="2" borderId="0" xfId="0" applyNumberFormat="1" applyFont="1" applyFill="1"/>
    <xf numFmtId="0" fontId="1" fillId="2" borderId="0" xfId="0" applyFont="1" applyFill="1" applyAlignment="1">
      <alignment horizontal="left" indent="2"/>
    </xf>
    <xf numFmtId="169" fontId="1" fillId="2" borderId="0" xfId="0" applyNumberFormat="1" applyFont="1" applyFill="1" applyAlignment="1">
      <alignment horizontal="center" vertical="center"/>
    </xf>
    <xf numFmtId="10" fontId="1" fillId="2" borderId="0" xfId="0" applyNumberFormat="1" applyFont="1" applyFill="1"/>
    <xf numFmtId="167" fontId="1" fillId="2" borderId="5" xfId="0" applyNumberFormat="1" applyFont="1" applyFill="1" applyBorder="1" applyAlignment="1">
      <alignment horizontal="center" vertical="center"/>
    </xf>
    <xf numFmtId="9" fontId="1" fillId="2" borderId="0" xfId="2" applyFont="1" applyFill="1" applyAlignment="1">
      <alignment horizontal="center" vertical="center"/>
    </xf>
    <xf numFmtId="0" fontId="1" fillId="2" borderId="0" xfId="0" applyFont="1" applyFill="1" applyAlignment="1">
      <alignment vertical="center"/>
    </xf>
    <xf numFmtId="3" fontId="1" fillId="2" borderId="0" xfId="3" applyNumberFormat="1" applyFont="1" applyFill="1" applyAlignment="1">
      <alignment horizontal="center" vertical="center"/>
    </xf>
    <xf numFmtId="9" fontId="1" fillId="2" borderId="0" xfId="2" applyFont="1" applyFill="1"/>
    <xf numFmtId="8" fontId="1" fillId="2" borderId="0" xfId="0" applyNumberFormat="1" applyFont="1" applyFill="1"/>
    <xf numFmtId="0" fontId="1" fillId="9" borderId="0" xfId="0" applyFont="1" applyFill="1"/>
    <xf numFmtId="3" fontId="1" fillId="2" borderId="0" xfId="0" applyNumberFormat="1" applyFont="1" applyFill="1" applyAlignment="1">
      <alignment horizontal="right"/>
    </xf>
    <xf numFmtId="172" fontId="1" fillId="2" borderId="0" xfId="0" applyNumberFormat="1" applyFont="1" applyFill="1"/>
    <xf numFmtId="0" fontId="1" fillId="2" borderId="0" xfId="0" applyFont="1" applyFill="1" applyAlignment="1">
      <alignment horizontal="right"/>
    </xf>
    <xf numFmtId="0" fontId="1" fillId="2" borderId="0" xfId="2" applyNumberFormat="1" applyFont="1" applyFill="1"/>
    <xf numFmtId="0" fontId="1" fillId="0" borderId="9" xfId="0" applyFont="1" applyBorder="1"/>
    <xf numFmtId="3" fontId="1" fillId="2" borderId="12" xfId="0" applyNumberFormat="1" applyFont="1" applyFill="1" applyBorder="1" applyAlignment="1">
      <alignment horizontal="center"/>
    </xf>
    <xf numFmtId="14" fontId="1" fillId="2" borderId="0" xfId="0" applyNumberFormat="1" applyFont="1" applyFill="1" applyAlignment="1">
      <alignment horizontal="left"/>
    </xf>
    <xf numFmtId="1" fontId="1" fillId="2" borderId="0" xfId="0" applyNumberFormat="1" applyFont="1" applyFill="1"/>
    <xf numFmtId="37" fontId="1" fillId="2" borderId="0" xfId="0" applyNumberFormat="1" applyFont="1" applyFill="1"/>
    <xf numFmtId="169" fontId="1" fillId="2" borderId="6" xfId="0" applyNumberFormat="1" applyFont="1" applyFill="1" applyBorder="1"/>
    <xf numFmtId="5" fontId="1" fillId="2" borderId="0" xfId="0" applyNumberFormat="1" applyFont="1" applyFill="1"/>
    <xf numFmtId="5" fontId="1" fillId="2" borderId="6" xfId="0" applyNumberFormat="1" applyFont="1" applyFill="1" applyBorder="1"/>
    <xf numFmtId="0" fontId="13" fillId="0" borderId="1" xfId="0" applyFont="1" applyBorder="1" applyAlignment="1">
      <alignment horizontal="left" indent="3"/>
    </xf>
    <xf numFmtId="0" fontId="37" fillId="9" borderId="5" xfId="1" applyFont="1" applyFill="1" applyBorder="1" applyAlignment="1">
      <alignment horizontal="center"/>
    </xf>
    <xf numFmtId="3" fontId="37" fillId="9" borderId="6" xfId="1" applyNumberFormat="1" applyFont="1" applyFill="1" applyBorder="1" applyAlignment="1">
      <alignment horizontal="right" vertical="center"/>
    </xf>
    <xf numFmtId="0" fontId="21" fillId="2" borderId="6" xfId="1" applyFont="1" applyFill="1" applyBorder="1" applyAlignment="1">
      <alignment horizontal="center"/>
    </xf>
    <xf numFmtId="0" fontId="21" fillId="2" borderId="6" xfId="1" applyFont="1" applyFill="1" applyBorder="1" applyAlignment="1">
      <alignment horizontal="right"/>
    </xf>
    <xf numFmtId="0" fontId="26" fillId="2" borderId="0" xfId="1" applyFont="1" applyFill="1" applyAlignment="1">
      <alignment horizontal="center"/>
    </xf>
    <xf numFmtId="0" fontId="26" fillId="2" borderId="4" xfId="1" applyFont="1" applyFill="1" applyBorder="1" applyAlignment="1">
      <alignment horizontal="right"/>
    </xf>
    <xf numFmtId="182" fontId="26" fillId="2" borderId="0" xfId="1" applyNumberFormat="1" applyFont="1" applyFill="1" applyAlignment="1">
      <alignment horizontal="center"/>
    </xf>
    <xf numFmtId="0" fontId="26" fillId="2" borderId="4" xfId="1" applyFont="1" applyFill="1" applyBorder="1" applyAlignment="1">
      <alignment horizontal="center"/>
    </xf>
    <xf numFmtId="0" fontId="37" fillId="9" borderId="6" xfId="1" applyFont="1" applyFill="1" applyBorder="1" applyAlignment="1">
      <alignment horizontal="left" vertical="center"/>
    </xf>
    <xf numFmtId="0" fontId="38" fillId="9" borderId="6" xfId="1" applyFont="1" applyFill="1" applyBorder="1" applyAlignment="1">
      <alignment vertical="center"/>
    </xf>
    <xf numFmtId="0" fontId="37" fillId="9" borderId="6" xfId="1" applyFont="1" applyFill="1" applyBorder="1" applyAlignment="1">
      <alignment vertical="center"/>
    </xf>
    <xf numFmtId="0" fontId="63" fillId="2" borderId="0" xfId="1" applyFont="1" applyFill="1" applyAlignment="1">
      <alignment horizontal="center" wrapText="1"/>
    </xf>
    <xf numFmtId="0" fontId="26" fillId="2" borderId="0" xfId="1" applyFont="1" applyFill="1" applyAlignment="1">
      <alignment wrapText="1"/>
    </xf>
    <xf numFmtId="0" fontId="37" fillId="9" borderId="6" xfId="1" applyFont="1" applyFill="1" applyBorder="1" applyAlignment="1">
      <alignment horizontal="center" wrapText="1"/>
    </xf>
    <xf numFmtId="0" fontId="21" fillId="2" borderId="6" xfId="1" applyFont="1" applyFill="1" applyBorder="1" applyAlignment="1">
      <alignment horizontal="left"/>
    </xf>
    <xf numFmtId="0" fontId="21" fillId="2" borderId="0" xfId="1" applyFont="1" applyFill="1" applyAlignment="1">
      <alignment horizontal="left"/>
    </xf>
    <xf numFmtId="0" fontId="21" fillId="2" borderId="4" xfId="1" applyFont="1" applyFill="1" applyBorder="1" applyAlignment="1">
      <alignment vertical="center"/>
    </xf>
    <xf numFmtId="0" fontId="26" fillId="2" borderId="4" xfId="1" applyFont="1" applyFill="1" applyBorder="1" applyAlignment="1">
      <alignment vertical="center"/>
    </xf>
    <xf numFmtId="0" fontId="37" fillId="9" borderId="0" xfId="1" applyFont="1" applyFill="1" applyAlignment="1">
      <alignment horizontal="left" vertical="center"/>
    </xf>
    <xf numFmtId="0" fontId="37" fillId="9" borderId="7" xfId="1" applyFont="1" applyFill="1" applyBorder="1" applyAlignment="1">
      <alignment horizontal="left" wrapText="1"/>
    </xf>
    <xf numFmtId="0" fontId="37" fillId="9" borderId="19" xfId="1" applyFont="1" applyFill="1" applyBorder="1" applyAlignment="1">
      <alignment horizontal="left" wrapText="1"/>
    </xf>
    <xf numFmtId="0" fontId="37" fillId="9" borderId="4" xfId="1" applyFont="1" applyFill="1" applyBorder="1" applyAlignment="1">
      <alignment horizontal="center"/>
    </xf>
    <xf numFmtId="0" fontId="37" fillId="9" borderId="21" xfId="1" applyFont="1" applyFill="1" applyBorder="1" applyAlignment="1">
      <alignment horizontal="center"/>
    </xf>
    <xf numFmtId="0" fontId="37" fillId="2" borderId="0" xfId="1" applyFont="1" applyFill="1" applyAlignment="1">
      <alignment horizontal="center"/>
    </xf>
    <xf numFmtId="0" fontId="37" fillId="9" borderId="4" xfId="1" applyFont="1" applyFill="1" applyBorder="1" applyAlignment="1">
      <alignment horizontal="center" vertical="center" wrapText="1"/>
    </xf>
    <xf numFmtId="0" fontId="37" fillId="9" borderId="0" xfId="1" applyFont="1" applyFill="1" applyAlignment="1">
      <alignment horizontal="center" vertical="center" wrapText="1"/>
    </xf>
    <xf numFmtId="0" fontId="20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13" fillId="2" borderId="23" xfId="0" applyFont="1" applyFill="1" applyBorder="1" applyAlignment="1">
      <alignment horizontal="center"/>
    </xf>
    <xf numFmtId="0" fontId="13" fillId="2" borderId="24" xfId="0" applyFont="1" applyFill="1" applyBorder="1" applyAlignment="1">
      <alignment horizontal="center"/>
    </xf>
    <xf numFmtId="0" fontId="13" fillId="2" borderId="25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37" fillId="2" borderId="0" xfId="0" applyFont="1" applyFill="1" applyAlignment="1">
      <alignment horizontal="center"/>
    </xf>
    <xf numFmtId="0" fontId="21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/>
    </xf>
    <xf numFmtId="0" fontId="37" fillId="2" borderId="0" xfId="0" applyFont="1" applyFill="1" applyAlignment="1">
      <alignment horizontal="center" vertical="center"/>
    </xf>
    <xf numFmtId="0" fontId="37" fillId="2" borderId="0" xfId="0" applyFont="1" applyFill="1" applyAlignment="1">
      <alignment horizontal="center" wrapText="1"/>
    </xf>
    <xf numFmtId="0" fontId="37" fillId="9" borderId="0" xfId="0" applyFont="1" applyFill="1" applyAlignment="1">
      <alignment horizontal="center" wrapText="1"/>
    </xf>
    <xf numFmtId="0" fontId="8" fillId="2" borderId="0" xfId="0" applyFont="1" applyFill="1" applyAlignment="1">
      <alignment horizontal="center"/>
    </xf>
    <xf numFmtId="0" fontId="37" fillId="9" borderId="9" xfId="0" applyFont="1" applyFill="1" applyBorder="1" applyAlignment="1">
      <alignment horizontal="left" wrapText="1"/>
    </xf>
    <xf numFmtId="0" fontId="37" fillId="9" borderId="15" xfId="0" applyFont="1" applyFill="1" applyBorder="1" applyAlignment="1">
      <alignment horizontal="left" wrapText="1"/>
    </xf>
    <xf numFmtId="0" fontId="37" fillId="9" borderId="10" xfId="0" applyFont="1" applyFill="1" applyBorder="1" applyAlignment="1">
      <alignment horizontal="left" wrapText="1"/>
    </xf>
    <xf numFmtId="0" fontId="0" fillId="2" borderId="0" xfId="0" applyFill="1" applyAlignment="1">
      <alignment horizontal="center"/>
    </xf>
    <xf numFmtId="3" fontId="0" fillId="2" borderId="0" xfId="0" applyNumberFormat="1" applyFill="1" applyAlignment="1">
      <alignment horizontal="center"/>
    </xf>
    <xf numFmtId="0" fontId="37" fillId="9" borderId="0" xfId="0" applyFont="1" applyFill="1" applyAlignment="1">
      <alignment horizontal="center" vertical="center"/>
    </xf>
    <xf numFmtId="0" fontId="26" fillId="2" borderId="4" xfId="1" applyFont="1" applyFill="1" applyBorder="1" applyAlignment="1"/>
    <xf numFmtId="169" fontId="26" fillId="2" borderId="0" xfId="1" applyNumberFormat="1" applyFont="1" applyFill="1" applyAlignment="1"/>
    <xf numFmtId="169" fontId="26" fillId="2" borderId="6" xfId="1" applyNumberFormat="1" applyFont="1" applyFill="1" applyBorder="1" applyAlignment="1"/>
    <xf numFmtId="169" fontId="21" fillId="2" borderId="6" xfId="1" applyNumberFormat="1" applyFont="1" applyFill="1" applyBorder="1" applyAlignment="1"/>
    <xf numFmtId="3" fontId="26" fillId="13" borderId="26" xfId="7" applyFont="1" applyFill="1" applyBorder="1" applyAlignment="1">
      <alignment horizontal="center" vertical="center"/>
    </xf>
    <xf numFmtId="3" fontId="26" fillId="13" borderId="27" xfId="7" applyFont="1" applyFill="1" applyBorder="1" applyAlignment="1">
      <alignment horizontal="center" vertical="center"/>
    </xf>
    <xf numFmtId="3" fontId="26" fillId="13" borderId="20" xfId="7" applyFont="1" applyFill="1" applyBorder="1" applyAlignment="1">
      <alignment horizontal="center" vertical="center"/>
    </xf>
    <xf numFmtId="3" fontId="26" fillId="7" borderId="26" xfId="7" applyFont="1" applyFill="1" applyBorder="1" applyAlignment="1">
      <alignment horizontal="center" vertical="center"/>
    </xf>
    <xf numFmtId="3" fontId="26" fillId="7" borderId="27" xfId="7" applyFont="1" applyFill="1" applyBorder="1" applyAlignment="1">
      <alignment horizontal="center" vertical="center"/>
    </xf>
    <xf numFmtId="3" fontId="26" fillId="7" borderId="11" xfId="7" applyFont="1" applyFill="1" applyBorder="1" applyAlignment="1">
      <alignment horizontal="center" vertical="center"/>
    </xf>
    <xf numFmtId="3" fontId="26" fillId="7" borderId="0" xfId="7" applyFont="1" applyFill="1" applyBorder="1" applyAlignment="1">
      <alignment horizontal="center" vertical="center"/>
    </xf>
    <xf numFmtId="3" fontId="26" fillId="7" borderId="20" xfId="7" applyFont="1" applyFill="1" applyBorder="1" applyAlignment="1">
      <alignment horizontal="center" vertical="center"/>
    </xf>
    <xf numFmtId="3" fontId="26" fillId="4" borderId="26" xfId="7" applyFont="1" applyFill="1" applyBorder="1" applyAlignment="1">
      <alignment horizontal="center" vertical="center"/>
    </xf>
    <xf numFmtId="3" fontId="26" fillId="4" borderId="27" xfId="7" applyFont="1" applyFill="1" applyBorder="1" applyAlignment="1">
      <alignment horizontal="center" vertical="center"/>
    </xf>
    <xf numFmtId="3" fontId="26" fillId="4" borderId="20" xfId="7" applyFont="1" applyFill="1" applyBorder="1" applyAlignment="1">
      <alignment horizontal="center" vertical="center"/>
    </xf>
    <xf numFmtId="3" fontId="26" fillId="13" borderId="9" xfId="7" applyFont="1" applyFill="1" applyBorder="1" applyAlignment="1">
      <alignment horizontal="center" vertical="center"/>
    </xf>
    <xf numFmtId="3" fontId="26" fillId="13" borderId="15" xfId="7" applyFont="1" applyFill="1" applyBorder="1" applyAlignment="1">
      <alignment horizontal="center" vertical="center"/>
    </xf>
    <xf numFmtId="3" fontId="26" fillId="13" borderId="11" xfId="7" applyFont="1" applyFill="1" applyBorder="1" applyAlignment="1">
      <alignment horizontal="center" vertical="center"/>
    </xf>
    <xf numFmtId="3" fontId="26" fillId="13" borderId="0" xfId="7" applyFont="1" applyFill="1" applyBorder="1" applyAlignment="1">
      <alignment horizontal="center" vertical="center"/>
    </xf>
    <xf numFmtId="3" fontId="26" fillId="13" borderId="13" xfId="7" applyFont="1" applyFill="1" applyBorder="1" applyAlignment="1">
      <alignment horizontal="center" vertical="center"/>
    </xf>
    <xf numFmtId="3" fontId="26" fillId="13" borderId="1" xfId="7" applyFont="1" applyFill="1" applyBorder="1" applyAlignment="1">
      <alignment horizontal="center" vertical="center"/>
    </xf>
    <xf numFmtId="3" fontId="26" fillId="13" borderId="10" xfId="7" applyFont="1" applyFill="1" applyBorder="1" applyAlignment="1">
      <alignment horizontal="center" vertical="center"/>
    </xf>
    <xf numFmtId="3" fontId="26" fillId="13" borderId="12" xfId="7" applyFont="1" applyFill="1" applyBorder="1" applyAlignment="1">
      <alignment horizontal="center" vertical="center"/>
    </xf>
    <xf numFmtId="3" fontId="26" fillId="13" borderId="14" xfId="7" applyFont="1" applyFill="1" applyBorder="1" applyAlignment="1">
      <alignment horizontal="center" vertical="center"/>
    </xf>
  </cellXfs>
  <cellStyles count="8">
    <cellStyle name="Comma" xfId="3" builtinId="3"/>
    <cellStyle name="Comma 3" xfId="6" xr:uid="{37C6B6E3-8461-4F0A-B677-B3DA00741F35}"/>
    <cellStyle name="Currency" xfId="4" builtinId="4"/>
    <cellStyle name="Normal" xfId="0" builtinId="0"/>
    <cellStyle name="Normal 2" xfId="1" xr:uid="{596AAC51-EEA9-4D21-B376-9AB388E4CEC1}"/>
    <cellStyle name="Normal 4" xfId="5" xr:uid="{7F8A4ADD-B3D6-4493-9B10-0DA77BAFD685}"/>
    <cellStyle name="Percent" xfId="2" builtinId="5"/>
    <cellStyle name="Phase I" xfId="7" xr:uid="{0524EF2C-2F19-4936-A353-10F8B1EC81C1}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0B6623"/>
      <color rgb="FF0000FF"/>
      <color rgb="FFFFFFCC"/>
      <color rgb="FF2A9234"/>
      <color rgb="FF33CC33"/>
      <color rgb="FFF8CBAD"/>
      <color rgb="FF00A200"/>
      <color rgb="FF0E7C2B"/>
      <color rgb="FF00CC66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209550</xdr:rowOff>
    </xdr:from>
    <xdr:to>
      <xdr:col>5</xdr:col>
      <xdr:colOff>173752</xdr:colOff>
      <xdr:row>4</xdr:row>
      <xdr:rowOff>32769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892B18-15D9-4EBD-B9AA-6FCB66874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09550"/>
          <a:ext cx="7717552" cy="1652019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Sovchen, Alexander D" id="{CEE06990-3AD3-4473-A990-03098584C3F2}" userId="Sovchen, Alexander D" providerId="None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B295" dT="2021-01-22T16:01:22.64" personId="{CEE06990-3AD3-4473-A990-03098584C3F2}" id="{9D2A6419-93C8-4010-9DD1-5270F4464C81}">
    <text>If you incorporate more debt, you need to factor that amount into this equation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1.bin"/><Relationship Id="rId4" Type="http://schemas.microsoft.com/office/2017/10/relationships/threadedComment" Target="../threadedComments/threadedComment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EB602-563C-4083-B2EB-6178D35E3FA9}">
  <sheetPr>
    <pageSetUpPr fitToPage="1"/>
  </sheetPr>
  <dimension ref="A1:V105"/>
  <sheetViews>
    <sheetView workbookViewId="0"/>
  </sheetViews>
  <sheetFormatPr defaultColWidth="8.85546875" defaultRowHeight="15"/>
  <cols>
    <col min="1" max="1" width="2.85546875" customWidth="1"/>
    <col min="2" max="2" width="120" customWidth="1"/>
    <col min="4" max="5" width="8.85546875" style="5"/>
    <col min="13" max="13" width="13.7109375" bestFit="1" customWidth="1"/>
    <col min="14" max="14" width="11.85546875" bestFit="1" customWidth="1"/>
  </cols>
  <sheetData>
    <row r="1" spans="2:14" ht="15.75" thickBot="1">
      <c r="B1" s="11" t="s">
        <v>0</v>
      </c>
      <c r="M1" s="11" t="s">
        <v>1</v>
      </c>
      <c r="N1" s="11" t="s">
        <v>2</v>
      </c>
    </row>
    <row r="2" spans="2:14">
      <c r="B2" t="s">
        <v>3</v>
      </c>
      <c r="C2" s="48" t="s">
        <v>4</v>
      </c>
      <c r="M2" t="s">
        <v>5</v>
      </c>
    </row>
    <row r="3" spans="2:14">
      <c r="M3" t="s">
        <v>6</v>
      </c>
    </row>
    <row r="7" spans="2:14" ht="15.75" thickBot="1">
      <c r="B7" s="11" t="s">
        <v>7</v>
      </c>
      <c r="C7" t="s">
        <v>8</v>
      </c>
    </row>
    <row r="8" spans="2:14">
      <c r="B8" s="225" t="s">
        <v>9</v>
      </c>
      <c r="C8" t="s">
        <v>10</v>
      </c>
    </row>
    <row r="9" spans="2:14">
      <c r="B9" s="226" t="s">
        <v>11</v>
      </c>
      <c r="C9" t="s">
        <v>10</v>
      </c>
    </row>
    <row r="10" spans="2:14">
      <c r="B10" s="225" t="s">
        <v>12</v>
      </c>
    </row>
    <row r="11" spans="2:14">
      <c r="B11" s="14" t="s">
        <v>13</v>
      </c>
    </row>
    <row r="12" spans="2:14">
      <c r="B12" s="14" t="s">
        <v>14</v>
      </c>
    </row>
    <row r="13" spans="2:14">
      <c r="B13" s="14" t="s">
        <v>15</v>
      </c>
      <c r="C13" t="s">
        <v>10</v>
      </c>
    </row>
    <row r="14" spans="2:14">
      <c r="B14" s="225" t="s">
        <v>16</v>
      </c>
      <c r="C14" t="s">
        <v>10</v>
      </c>
    </row>
    <row r="15" spans="2:14">
      <c r="B15" s="14" t="s">
        <v>17</v>
      </c>
    </row>
    <row r="16" spans="2:14">
      <c r="B16" s="227" t="s">
        <v>18</v>
      </c>
      <c r="C16" t="s">
        <v>10</v>
      </c>
    </row>
    <row r="17" spans="2:22">
      <c r="B17" s="225" t="s">
        <v>19</v>
      </c>
      <c r="C17" t="s">
        <v>10</v>
      </c>
    </row>
    <row r="18" spans="2:22">
      <c r="B18" s="227" t="s">
        <v>20</v>
      </c>
      <c r="C18" t="s">
        <v>10</v>
      </c>
    </row>
    <row r="19" spans="2:22">
      <c r="B19" s="225" t="s">
        <v>21</v>
      </c>
      <c r="C19" t="s">
        <v>10</v>
      </c>
    </row>
    <row r="20" spans="2:22">
      <c r="B20" s="227" t="s">
        <v>22</v>
      </c>
    </row>
    <row r="21" spans="2:22">
      <c r="B21" s="14" t="s">
        <v>23</v>
      </c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</row>
    <row r="22" spans="2:22">
      <c r="B22" s="227" t="s">
        <v>24</v>
      </c>
      <c r="C22" t="s">
        <v>10</v>
      </c>
      <c r="F22" s="5" t="s">
        <v>25</v>
      </c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</row>
    <row r="23" spans="2:22">
      <c r="B23" s="225" t="s">
        <v>26</v>
      </c>
      <c r="E23" s="310" t="s">
        <v>27</v>
      </c>
      <c r="F23" s="5" t="s">
        <v>28</v>
      </c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2:22">
      <c r="B24" s="227" t="s">
        <v>29</v>
      </c>
      <c r="E24" s="310" t="s">
        <v>27</v>
      </c>
      <c r="F24" s="5" t="s">
        <v>30</v>
      </c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</row>
    <row r="25" spans="2:22">
      <c r="B25" s="228" t="s">
        <v>31</v>
      </c>
      <c r="C25" t="s">
        <v>10</v>
      </c>
      <c r="E25" s="310" t="s">
        <v>27</v>
      </c>
      <c r="F25" s="5" t="s">
        <v>32</v>
      </c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</row>
    <row r="26" spans="2:22">
      <c r="B26" t="s">
        <v>33</v>
      </c>
      <c r="E26" s="310" t="s">
        <v>27</v>
      </c>
      <c r="F26" s="5" t="s">
        <v>34</v>
      </c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</row>
    <row r="27" spans="2:22">
      <c r="B27" t="s">
        <v>35</v>
      </c>
      <c r="E27" s="311" t="s">
        <v>27</v>
      </c>
      <c r="F27" s="309" t="s">
        <v>36</v>
      </c>
      <c r="G27" s="309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</row>
    <row r="28" spans="2:22">
      <c r="B28" s="228" t="s">
        <v>37</v>
      </c>
      <c r="E28" s="310" t="s">
        <v>38</v>
      </c>
      <c r="F28" s="5" t="s">
        <v>39</v>
      </c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</row>
    <row r="29" spans="2:22">
      <c r="B29" t="s">
        <v>40</v>
      </c>
      <c r="E29" s="310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</row>
    <row r="30" spans="2:22">
      <c r="B30" t="s">
        <v>41</v>
      </c>
      <c r="F30" s="5" t="s">
        <v>42</v>
      </c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</row>
    <row r="31" spans="2:22">
      <c r="B31" t="s">
        <v>43</v>
      </c>
      <c r="F31" s="5" t="s">
        <v>44</v>
      </c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</row>
    <row r="32" spans="2:22">
      <c r="B32" s="228" t="s">
        <v>45</v>
      </c>
      <c r="C32" t="s">
        <v>10</v>
      </c>
      <c r="F32" s="5" t="s">
        <v>46</v>
      </c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</row>
    <row r="33" spans="2:18">
      <c r="B33" t="s">
        <v>47</v>
      </c>
      <c r="F33" s="5" t="s">
        <v>48</v>
      </c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</row>
    <row r="34" spans="2:18">
      <c r="B34" s="228" t="s">
        <v>49</v>
      </c>
      <c r="C34" t="s">
        <v>10</v>
      </c>
      <c r="F34" s="5" t="s">
        <v>50</v>
      </c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</row>
    <row r="35" spans="2:18">
      <c r="B35" s="228" t="s">
        <v>51</v>
      </c>
      <c r="C35" t="s">
        <v>10</v>
      </c>
      <c r="E35" s="309"/>
      <c r="F35" s="309" t="s">
        <v>52</v>
      </c>
      <c r="G35" s="309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</row>
    <row r="36" spans="2:18">
      <c r="B36" s="228" t="s">
        <v>53</v>
      </c>
      <c r="C36" t="s">
        <v>10</v>
      </c>
      <c r="F36" s="5" t="s">
        <v>54</v>
      </c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</row>
    <row r="37" spans="2:18">
      <c r="B37" s="228" t="s">
        <v>55</v>
      </c>
      <c r="C37" t="s">
        <v>10</v>
      </c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</row>
    <row r="38" spans="2:18">
      <c r="B38" s="228" t="s">
        <v>56</v>
      </c>
      <c r="C38" t="s">
        <v>10</v>
      </c>
      <c r="F38" s="5" t="s">
        <v>57</v>
      </c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</row>
    <row r="39" spans="2:18">
      <c r="B39" s="14" t="s">
        <v>58</v>
      </c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</row>
    <row r="40" spans="2:18">
      <c r="B40" s="14" t="s">
        <v>59</v>
      </c>
      <c r="F40" s="5" t="s">
        <v>60</v>
      </c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</row>
    <row r="41" spans="2:18">
      <c r="B41" s="14" t="s">
        <v>61</v>
      </c>
      <c r="F41" s="5" t="s">
        <v>62</v>
      </c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</row>
    <row r="42" spans="2:18">
      <c r="B42" s="14"/>
      <c r="F42" s="309" t="s">
        <v>63</v>
      </c>
      <c r="G42" s="309"/>
      <c r="H42" s="309"/>
      <c r="I42" s="309"/>
      <c r="J42" s="309"/>
      <c r="K42" s="5"/>
      <c r="L42" s="5"/>
      <c r="M42" s="5"/>
      <c r="N42" s="5"/>
      <c r="O42" s="5"/>
      <c r="P42" s="5"/>
      <c r="Q42" s="5"/>
      <c r="R42" s="5"/>
    </row>
    <row r="43" spans="2:18">
      <c r="B43" s="14" t="s">
        <v>64</v>
      </c>
      <c r="F43" s="5" t="s">
        <v>65</v>
      </c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</row>
    <row r="44" spans="2:18">
      <c r="B44" s="229" t="s">
        <v>66</v>
      </c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</row>
    <row r="45" spans="2:18">
      <c r="B45" s="229" t="s">
        <v>67</v>
      </c>
      <c r="F45" s="5" t="s">
        <v>68</v>
      </c>
      <c r="G45" s="5"/>
      <c r="H45" s="5"/>
      <c r="I45" s="5"/>
      <c r="J45" s="5"/>
      <c r="K45" s="5"/>
      <c r="L45" s="5"/>
      <c r="M45" s="5" t="s">
        <v>68</v>
      </c>
      <c r="N45" s="5"/>
      <c r="O45" s="5"/>
      <c r="P45" s="5"/>
      <c r="Q45" s="5"/>
      <c r="R45" s="5"/>
    </row>
    <row r="46" spans="2:18">
      <c r="B46" s="229" t="s">
        <v>69</v>
      </c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</row>
    <row r="47" spans="2:18">
      <c r="B47" s="229" t="s">
        <v>70</v>
      </c>
      <c r="F47" s="5"/>
      <c r="G47" s="5"/>
      <c r="H47" s="5"/>
      <c r="I47" s="5"/>
      <c r="J47" s="5"/>
      <c r="K47" s="5"/>
      <c r="L47" s="5"/>
      <c r="M47" s="5" t="s">
        <v>71</v>
      </c>
      <c r="N47" s="5"/>
      <c r="O47" s="5"/>
      <c r="P47" s="5"/>
      <c r="Q47" s="5"/>
      <c r="R47" s="5"/>
    </row>
    <row r="48" spans="2:18">
      <c r="B48" s="229" t="s">
        <v>72</v>
      </c>
      <c r="F48" s="5"/>
      <c r="G48" s="5"/>
      <c r="H48" s="5"/>
      <c r="I48" s="5"/>
      <c r="J48" s="5"/>
      <c r="K48" s="5"/>
      <c r="L48" s="5"/>
      <c r="M48" s="5" t="s">
        <v>73</v>
      </c>
      <c r="N48" s="5"/>
      <c r="O48" s="5"/>
      <c r="P48" s="5"/>
      <c r="Q48" s="5"/>
      <c r="R48" s="5"/>
    </row>
    <row r="49" spans="2:18">
      <c r="B49" s="229" t="s">
        <v>74</v>
      </c>
      <c r="F49" s="5"/>
      <c r="G49" s="5"/>
      <c r="H49" s="5"/>
      <c r="I49" s="5"/>
      <c r="J49" s="5"/>
      <c r="K49" s="5"/>
      <c r="L49" s="5"/>
      <c r="M49" s="5" t="s">
        <v>75</v>
      </c>
      <c r="N49" s="5"/>
      <c r="O49" s="5"/>
      <c r="P49" s="5"/>
      <c r="Q49" s="5"/>
      <c r="R49" s="5"/>
    </row>
    <row r="50" spans="2:18">
      <c r="B50" s="229" t="s">
        <v>76</v>
      </c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</row>
    <row r="51" spans="2:18">
      <c r="B51" s="229" t="s">
        <v>77</v>
      </c>
      <c r="F51" s="5" t="s">
        <v>78</v>
      </c>
      <c r="G51" s="5"/>
      <c r="H51" s="5"/>
      <c r="I51" s="5"/>
      <c r="J51" s="5"/>
      <c r="K51" s="5"/>
      <c r="L51" s="5"/>
      <c r="M51" s="5" t="s">
        <v>79</v>
      </c>
      <c r="N51" s="5"/>
      <c r="O51" s="5"/>
      <c r="P51" s="5"/>
      <c r="Q51" s="5"/>
      <c r="R51" s="5"/>
    </row>
    <row r="52" spans="2:18">
      <c r="B52" s="284" t="s">
        <v>80</v>
      </c>
      <c r="F52" s="5" t="s">
        <v>81</v>
      </c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</row>
    <row r="53" spans="2:18">
      <c r="B53" s="229" t="s">
        <v>82</v>
      </c>
      <c r="F53" s="5" t="s">
        <v>83</v>
      </c>
      <c r="G53" s="5"/>
      <c r="H53" s="5"/>
      <c r="I53" s="5"/>
      <c r="J53" s="5"/>
      <c r="K53" s="5"/>
      <c r="L53" s="5"/>
      <c r="M53" s="5" t="s">
        <v>84</v>
      </c>
      <c r="N53" s="5"/>
      <c r="O53" s="5"/>
      <c r="P53" s="5"/>
      <c r="Q53" s="5"/>
      <c r="R53" s="5"/>
    </row>
    <row r="54" spans="2:18">
      <c r="B54" s="229" t="s">
        <v>85</v>
      </c>
      <c r="F54" s="5" t="s">
        <v>86</v>
      </c>
      <c r="G54" s="5"/>
      <c r="H54" s="5"/>
      <c r="I54" s="5"/>
      <c r="J54" s="5"/>
      <c r="K54" s="5"/>
      <c r="L54" s="5"/>
      <c r="M54" s="5" t="s">
        <v>87</v>
      </c>
      <c r="N54" s="5"/>
      <c r="O54" s="5"/>
      <c r="P54" s="5"/>
      <c r="Q54" s="5"/>
      <c r="R54" s="5"/>
    </row>
    <row r="55" spans="2:18">
      <c r="B55" s="229" t="s">
        <v>88</v>
      </c>
      <c r="F55" s="5" t="s">
        <v>89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</row>
    <row r="56" spans="2:18">
      <c r="B56" s="229" t="s">
        <v>90</v>
      </c>
      <c r="F56" s="5" t="s">
        <v>91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</row>
    <row r="57" spans="2:18">
      <c r="B57" s="229" t="s">
        <v>92</v>
      </c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</row>
    <row r="58" spans="2:18">
      <c r="B58" s="229" t="s">
        <v>93</v>
      </c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</row>
    <row r="59" spans="2:18">
      <c r="B59" s="305" t="s">
        <v>94</v>
      </c>
    </row>
    <row r="60" spans="2:18">
      <c r="B60" s="229"/>
    </row>
    <row r="61" spans="2:18">
      <c r="B61" s="229"/>
    </row>
    <row r="62" spans="2:18" ht="20.45" customHeight="1" thickBot="1">
      <c r="B62" s="516" t="s">
        <v>95</v>
      </c>
    </row>
    <row r="63" spans="2:18" ht="20.45" customHeight="1">
      <c r="B63" s="284" t="s">
        <v>96</v>
      </c>
    </row>
    <row r="64" spans="2:18" ht="20.45" customHeight="1">
      <c r="B64" s="284" t="s">
        <v>97</v>
      </c>
    </row>
    <row r="65" spans="1:2" ht="20.45" customHeight="1">
      <c r="B65" s="284" t="s">
        <v>98</v>
      </c>
    </row>
    <row r="66" spans="1:2" ht="20.45" customHeight="1">
      <c r="B66" s="284" t="s">
        <v>99</v>
      </c>
    </row>
    <row r="67" spans="1:2" ht="20.45" customHeight="1">
      <c r="B67" s="284" t="s">
        <v>100</v>
      </c>
    </row>
    <row r="68" spans="1:2" ht="20.45" customHeight="1">
      <c r="B68" s="284" t="s">
        <v>101</v>
      </c>
    </row>
    <row r="69" spans="1:2" ht="20.45" customHeight="1">
      <c r="B69" s="284" t="s">
        <v>102</v>
      </c>
    </row>
    <row r="70" spans="1:2" ht="20.45" customHeight="1">
      <c r="B70" s="284" t="s">
        <v>103</v>
      </c>
    </row>
    <row r="71" spans="1:2" ht="20.45" customHeight="1">
      <c r="B71" s="284" t="s">
        <v>104</v>
      </c>
    </row>
    <row r="72" spans="1:2" ht="20.45" customHeight="1">
      <c r="B72" s="229"/>
    </row>
    <row r="73" spans="1:2" ht="20.45" customHeight="1" thickBot="1">
      <c r="A73" s="1089" t="s">
        <v>105</v>
      </c>
      <c r="B73" s="1089"/>
    </row>
    <row r="74" spans="1:2" ht="20.45" customHeight="1">
      <c r="A74" s="14">
        <v>1</v>
      </c>
      <c r="B74" s="517" t="s">
        <v>106</v>
      </c>
    </row>
    <row r="75" spans="1:2" ht="20.45" customHeight="1">
      <c r="A75" s="14">
        <f>A74+1</f>
        <v>2</v>
      </c>
      <c r="B75" s="517" t="s">
        <v>107</v>
      </c>
    </row>
    <row r="76" spans="1:2" ht="20.45" customHeight="1">
      <c r="A76" s="14">
        <f t="shared" ref="A76:A105" si="0">A75+1</f>
        <v>3</v>
      </c>
      <c r="B76" s="518" t="s">
        <v>108</v>
      </c>
    </row>
    <row r="77" spans="1:2" ht="20.45" customHeight="1">
      <c r="A77" s="14">
        <f t="shared" si="0"/>
        <v>4</v>
      </c>
      <c r="B77" s="518" t="s">
        <v>109</v>
      </c>
    </row>
    <row r="78" spans="1:2" ht="20.45" customHeight="1">
      <c r="A78" s="14">
        <f t="shared" si="0"/>
        <v>5</v>
      </c>
      <c r="B78" s="518" t="s">
        <v>110</v>
      </c>
    </row>
    <row r="79" spans="1:2" ht="20.45" customHeight="1">
      <c r="A79" s="14">
        <f t="shared" si="0"/>
        <v>6</v>
      </c>
      <c r="B79" s="518" t="s">
        <v>111</v>
      </c>
    </row>
    <row r="80" spans="1:2" ht="20.45" customHeight="1">
      <c r="A80" s="14">
        <f t="shared" si="0"/>
        <v>7</v>
      </c>
      <c r="B80" s="518" t="s">
        <v>112</v>
      </c>
    </row>
    <row r="81" spans="1:2" ht="20.45" customHeight="1">
      <c r="A81" s="14">
        <f t="shared" si="0"/>
        <v>8</v>
      </c>
      <c r="B81" s="518" t="s">
        <v>113</v>
      </c>
    </row>
    <row r="82" spans="1:2" ht="20.45" customHeight="1">
      <c r="A82" s="14">
        <f t="shared" si="0"/>
        <v>9</v>
      </c>
      <c r="B82" s="518" t="s">
        <v>114</v>
      </c>
    </row>
    <row r="83" spans="1:2" ht="20.45" customHeight="1">
      <c r="A83" s="14">
        <f t="shared" si="0"/>
        <v>10</v>
      </c>
      <c r="B83" s="518" t="s">
        <v>115</v>
      </c>
    </row>
    <row r="84" spans="1:2" ht="20.45" customHeight="1">
      <c r="A84" s="14">
        <f t="shared" si="0"/>
        <v>11</v>
      </c>
      <c r="B84" s="518" t="s">
        <v>116</v>
      </c>
    </row>
    <row r="85" spans="1:2" ht="20.45" customHeight="1">
      <c r="A85" s="14">
        <f t="shared" si="0"/>
        <v>12</v>
      </c>
      <c r="B85" s="518" t="s">
        <v>117</v>
      </c>
    </row>
    <row r="86" spans="1:2" ht="45">
      <c r="A86" s="14">
        <f t="shared" si="0"/>
        <v>13</v>
      </c>
      <c r="B86" s="515" t="s">
        <v>118</v>
      </c>
    </row>
    <row r="87" spans="1:2" ht="20.45" customHeight="1">
      <c r="A87" s="14">
        <f t="shared" si="0"/>
        <v>14</v>
      </c>
      <c r="B87" s="518" t="s">
        <v>66</v>
      </c>
    </row>
    <row r="88" spans="1:2" ht="20.45" customHeight="1">
      <c r="A88" s="14">
        <f t="shared" si="0"/>
        <v>15</v>
      </c>
      <c r="B88" s="518" t="s">
        <v>67</v>
      </c>
    </row>
    <row r="89" spans="1:2" ht="20.45" customHeight="1">
      <c r="A89" s="14">
        <f t="shared" si="0"/>
        <v>16</v>
      </c>
      <c r="B89" s="518" t="s">
        <v>69</v>
      </c>
    </row>
    <row r="90" spans="1:2" ht="20.45" customHeight="1">
      <c r="A90" s="14">
        <f t="shared" si="0"/>
        <v>17</v>
      </c>
      <c r="B90" s="518" t="s">
        <v>70</v>
      </c>
    </row>
    <row r="91" spans="1:2" ht="20.45" customHeight="1">
      <c r="A91" s="14">
        <f t="shared" si="0"/>
        <v>18</v>
      </c>
      <c r="B91" s="518" t="s">
        <v>72</v>
      </c>
    </row>
    <row r="92" spans="1:2" ht="20.45" customHeight="1">
      <c r="A92" s="14">
        <f t="shared" si="0"/>
        <v>19</v>
      </c>
      <c r="B92" s="518" t="s">
        <v>74</v>
      </c>
    </row>
    <row r="93" spans="1:2" ht="20.45" customHeight="1">
      <c r="A93" s="14">
        <f t="shared" si="0"/>
        <v>20</v>
      </c>
      <c r="B93" s="518" t="s">
        <v>76</v>
      </c>
    </row>
    <row r="94" spans="1:2" ht="20.45" customHeight="1">
      <c r="A94" s="14">
        <f t="shared" si="0"/>
        <v>21</v>
      </c>
      <c r="B94" s="518" t="s">
        <v>77</v>
      </c>
    </row>
    <row r="95" spans="1:2" ht="20.45" customHeight="1">
      <c r="A95" s="14">
        <f t="shared" si="0"/>
        <v>22</v>
      </c>
      <c r="B95" s="517" t="s">
        <v>80</v>
      </c>
    </row>
    <row r="96" spans="1:2" ht="20.45" customHeight="1">
      <c r="A96" s="14">
        <f t="shared" si="0"/>
        <v>23</v>
      </c>
      <c r="B96" s="518" t="s">
        <v>82</v>
      </c>
    </row>
    <row r="97" spans="1:2" ht="20.45" customHeight="1">
      <c r="A97" s="14">
        <f t="shared" si="0"/>
        <v>24</v>
      </c>
      <c r="B97" s="518" t="s">
        <v>85</v>
      </c>
    </row>
    <row r="98" spans="1:2" ht="20.45" customHeight="1">
      <c r="A98" s="14">
        <f t="shared" si="0"/>
        <v>25</v>
      </c>
      <c r="B98" s="518" t="s">
        <v>88</v>
      </c>
    </row>
    <row r="99" spans="1:2" ht="20.45" customHeight="1">
      <c r="A99" s="14">
        <f t="shared" si="0"/>
        <v>26</v>
      </c>
      <c r="B99" s="518" t="s">
        <v>90</v>
      </c>
    </row>
    <row r="100" spans="1:2" ht="20.45" customHeight="1">
      <c r="A100" s="14">
        <f t="shared" si="0"/>
        <v>27</v>
      </c>
      <c r="B100" s="518" t="s">
        <v>92</v>
      </c>
    </row>
    <row r="101" spans="1:2" ht="20.45" customHeight="1">
      <c r="A101" s="14">
        <f t="shared" si="0"/>
        <v>28</v>
      </c>
      <c r="B101" s="518" t="s">
        <v>93</v>
      </c>
    </row>
    <row r="102" spans="1:2" ht="20.45" customHeight="1">
      <c r="A102" s="14">
        <f t="shared" si="0"/>
        <v>29</v>
      </c>
      <c r="B102" s="519" t="s">
        <v>94</v>
      </c>
    </row>
    <row r="103" spans="1:2" ht="20.45" customHeight="1">
      <c r="A103" s="14">
        <f t="shared" si="0"/>
        <v>30</v>
      </c>
      <c r="B103" s="518" t="s">
        <v>119</v>
      </c>
    </row>
    <row r="104" spans="1:2" ht="20.45" customHeight="1">
      <c r="A104" s="14">
        <f t="shared" si="0"/>
        <v>31</v>
      </c>
      <c r="B104" s="518" t="s">
        <v>120</v>
      </c>
    </row>
    <row r="105" spans="1:2">
      <c r="A105" s="14">
        <f t="shared" si="0"/>
        <v>32</v>
      </c>
      <c r="B105" s="14" t="s">
        <v>121</v>
      </c>
    </row>
  </sheetData>
  <mergeCells count="1">
    <mergeCell ref="A73:B73"/>
  </mergeCells>
  <pageMargins left="0.7" right="0.7" top="0.75" bottom="0.75" header="0.3" footer="0.3"/>
  <pageSetup scale="29" orientation="portrait" r:id="rId1"/>
  <colBreaks count="2" manualBreakCount="2">
    <brk id="3" max="1048575" man="1"/>
    <brk id="17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0D427-5C39-4BC8-9385-35A57C7446A0}">
  <sheetPr>
    <tabColor rgb="FF00B0F0"/>
  </sheetPr>
  <dimension ref="A1:CJ269"/>
  <sheetViews>
    <sheetView zoomScale="50" zoomScaleNormal="50" workbookViewId="0">
      <selection activeCell="O50" sqref="O50"/>
    </sheetView>
  </sheetViews>
  <sheetFormatPr defaultColWidth="8.85546875" defaultRowHeight="15" outlineLevelRow="1"/>
  <cols>
    <col min="1" max="1" width="5.85546875" style="245" customWidth="1"/>
    <col min="2" max="2" width="10.5703125" style="245" bestFit="1" customWidth="1"/>
    <col min="3" max="3" width="21" style="245" customWidth="1"/>
    <col min="4" max="4" width="8.140625" style="245" bestFit="1" customWidth="1"/>
    <col min="5" max="5" width="15.7109375" style="245" customWidth="1"/>
    <col min="6" max="6" width="13.28515625" style="245" customWidth="1"/>
    <col min="7" max="7" width="8.5703125" style="245" customWidth="1"/>
    <col min="8" max="8" width="14.140625" style="245" hidden="1" customWidth="1"/>
    <col min="9" max="9" width="15.42578125" style="245" bestFit="1" customWidth="1"/>
    <col min="10" max="10" width="8.85546875" style="245" hidden="1" customWidth="1"/>
    <col min="11" max="11" width="20.140625" style="245" bestFit="1" customWidth="1"/>
    <col min="12" max="12" width="16.7109375" style="245" customWidth="1"/>
    <col min="13" max="13" width="6.28515625" style="245" customWidth="1"/>
    <col min="14" max="14" width="3" style="245" bestFit="1" customWidth="1"/>
    <col min="15" max="15" width="14.85546875" style="245" bestFit="1" customWidth="1"/>
    <col min="16" max="16" width="15.28515625" style="245" customWidth="1"/>
    <col min="17" max="17" width="0.140625" style="245" hidden="1" customWidth="1"/>
    <col min="18" max="18" width="0.5703125" style="245" hidden="1" customWidth="1"/>
    <col min="19" max="19" width="15.42578125" style="245" hidden="1" customWidth="1"/>
    <col min="20" max="20" width="1.5703125" style="245" customWidth="1"/>
    <col min="21" max="21" width="13.85546875" style="245" bestFit="1" customWidth="1"/>
    <col min="22" max="22" width="17.5703125" style="245" customWidth="1"/>
    <col min="23" max="23" width="14" style="245" bestFit="1" customWidth="1"/>
    <col min="24" max="24" width="16" style="245" bestFit="1" customWidth="1"/>
    <col min="25" max="26" width="14.42578125" style="245" bestFit="1" customWidth="1"/>
    <col min="27" max="27" width="14.42578125" style="245" customWidth="1"/>
    <col min="28" max="28" width="14.42578125" style="245" hidden="1" customWidth="1"/>
    <col min="29" max="29" width="0.140625" style="245" hidden="1" customWidth="1"/>
    <col min="30" max="30" width="12.5703125" style="245" customWidth="1"/>
    <col min="31" max="31" width="10.140625" style="245" hidden="1" customWidth="1"/>
    <col min="32" max="32" width="12.140625" style="245" bestFit="1" customWidth="1"/>
    <col min="33" max="33" width="18.5703125" style="245" customWidth="1"/>
    <col min="34" max="34" width="10.5703125" style="245" bestFit="1" customWidth="1"/>
    <col min="35" max="35" width="15.28515625" style="245" bestFit="1" customWidth="1"/>
    <col min="36" max="36" width="13.85546875" style="245" bestFit="1" customWidth="1"/>
    <col min="37" max="37" width="15" style="245" customWidth="1"/>
    <col min="38" max="38" width="16.42578125" style="245" customWidth="1"/>
    <col min="39" max="40" width="15.42578125" style="245" bestFit="1" customWidth="1"/>
    <col min="41" max="41" width="14.42578125" style="245" customWidth="1"/>
    <col min="42" max="42" width="13.42578125" style="245" customWidth="1"/>
    <col min="43" max="43" width="12.140625" style="245" bestFit="1" customWidth="1"/>
    <col min="44" max="44" width="14" style="245" bestFit="1" customWidth="1"/>
    <col min="45" max="45" width="13.42578125" style="245" bestFit="1" customWidth="1"/>
    <col min="46" max="47" width="11.7109375" style="245" bestFit="1" customWidth="1"/>
    <col min="48" max="48" width="13.85546875" style="245" bestFit="1" customWidth="1"/>
    <col min="49" max="49" width="13.42578125" style="245" bestFit="1" customWidth="1"/>
    <col min="50" max="50" width="11.7109375" style="245" bestFit="1" customWidth="1"/>
    <col min="51" max="51" width="12.28515625" style="245" bestFit="1" customWidth="1"/>
    <col min="52" max="52" width="8" style="245" customWidth="1"/>
    <col min="53" max="53" width="13.7109375" style="245" customWidth="1"/>
    <col min="54" max="54" width="15" style="245" bestFit="1" customWidth="1"/>
    <col min="55" max="55" width="13.85546875" style="245" bestFit="1" customWidth="1"/>
    <col min="56" max="56" width="15.42578125" style="245" customWidth="1"/>
    <col min="57" max="57" width="14" style="245" bestFit="1" customWidth="1"/>
    <col min="58" max="58" width="14" style="245" customWidth="1"/>
    <col min="59" max="59" width="14.85546875" style="245" customWidth="1"/>
    <col min="60" max="60" width="14" style="245" customWidth="1"/>
    <col min="61" max="61" width="14.85546875" style="245" bestFit="1" customWidth="1"/>
    <col min="62" max="62" width="13.7109375" style="245" customWidth="1"/>
    <col min="63" max="63" width="14.7109375" style="245" customWidth="1"/>
    <col min="64" max="64" width="14.42578125" style="245" bestFit="1" customWidth="1"/>
    <col min="65" max="65" width="14" style="245" bestFit="1" customWidth="1"/>
    <col min="66" max="66" width="13.42578125" style="245" bestFit="1" customWidth="1"/>
    <col min="67" max="68" width="11.7109375" style="245" bestFit="1" customWidth="1"/>
    <col min="69" max="69" width="15.140625" style="245" customWidth="1"/>
    <col min="70" max="70" width="14.140625" style="245" customWidth="1"/>
    <col min="71" max="71" width="13" style="245" customWidth="1"/>
    <col min="72" max="72" width="10.7109375" style="245" customWidth="1"/>
    <col min="73" max="73" width="5.140625" style="245" customWidth="1"/>
    <col min="74" max="74" width="18" style="245" bestFit="1" customWidth="1"/>
    <col min="75" max="75" width="9.140625" style="245" bestFit="1" customWidth="1"/>
    <col min="76" max="76" width="12.140625" style="245" customWidth="1"/>
    <col min="77" max="78" width="15.140625" style="245" customWidth="1"/>
    <col min="79" max="16384" width="8.85546875" style="245"/>
  </cols>
  <sheetData>
    <row r="1" spans="1:83" ht="15.75">
      <c r="A1" s="756" t="s">
        <v>250</v>
      </c>
      <c r="B1" s="1054"/>
      <c r="C1" s="1054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  <c r="AA1" s="699"/>
      <c r="AB1" s="699"/>
      <c r="AC1" s="699"/>
      <c r="AD1" s="699"/>
      <c r="AE1" s="699"/>
      <c r="AF1" s="699"/>
      <c r="AG1" s="699"/>
      <c r="AH1" s="699"/>
      <c r="AI1" s="699"/>
      <c r="AJ1" s="699"/>
      <c r="AK1" s="699"/>
      <c r="AL1" s="699"/>
      <c r="AM1" s="699"/>
      <c r="AN1" s="699"/>
      <c r="AO1" s="699"/>
      <c r="AP1" s="699"/>
      <c r="AQ1" s="699"/>
      <c r="AR1" s="699"/>
      <c r="AS1" s="699"/>
      <c r="AT1" s="699"/>
      <c r="AU1" s="699"/>
      <c r="AV1" s="699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</row>
    <row r="2" spans="1:83" ht="16.5" thickBot="1">
      <c r="A2" s="699"/>
      <c r="B2" s="699"/>
      <c r="C2" s="1121" t="s">
        <v>855</v>
      </c>
      <c r="D2" s="1121"/>
      <c r="E2" s="1121"/>
      <c r="F2" s="1121"/>
      <c r="G2" s="1121"/>
      <c r="H2" s="1121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  <c r="Z2" s="699"/>
      <c r="AA2" s="699"/>
      <c r="AB2" s="699"/>
      <c r="AC2" s="699"/>
      <c r="AD2" s="699"/>
      <c r="AE2" s="699"/>
      <c r="AF2" s="699"/>
      <c r="AG2" s="699"/>
      <c r="AH2" s="699"/>
      <c r="AI2" s="699"/>
      <c r="AJ2" s="699"/>
      <c r="AK2" s="699"/>
      <c r="AL2" s="699"/>
      <c r="AM2" s="699"/>
      <c r="AN2" s="699"/>
      <c r="AO2" s="699"/>
      <c r="AP2" s="699"/>
      <c r="AQ2" s="699"/>
      <c r="AR2" s="699"/>
      <c r="AS2" s="699"/>
      <c r="AT2" s="699"/>
      <c r="AU2" s="699"/>
      <c r="AV2" s="699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</row>
    <row r="3" spans="1:83" hidden="1" outlineLevel="1">
      <c r="A3" s="699"/>
      <c r="B3" s="699"/>
      <c r="C3" s="699" t="s">
        <v>856</v>
      </c>
      <c r="D3" s="105">
        <f>Assumptions!$F$39</f>
        <v>0.03</v>
      </c>
      <c r="E3" s="699"/>
      <c r="F3" s="246" t="s">
        <v>150</v>
      </c>
      <c r="G3" s="246" t="s">
        <v>151</v>
      </c>
      <c r="H3" s="246" t="s">
        <v>152</v>
      </c>
      <c r="I3" s="699"/>
      <c r="J3" s="699"/>
      <c r="K3" s="699"/>
      <c r="L3" s="699"/>
      <c r="M3" s="699"/>
      <c r="N3" s="699"/>
      <c r="O3" s="699"/>
      <c r="P3" s="699"/>
      <c r="Q3" s="699"/>
      <c r="R3" s="699"/>
      <c r="S3" s="699"/>
      <c r="T3" s="699"/>
      <c r="U3" s="699"/>
      <c r="V3" s="699"/>
      <c r="W3" s="699"/>
      <c r="X3" s="699"/>
      <c r="Y3" s="699"/>
      <c r="Z3" s="699"/>
      <c r="AA3" s="699"/>
      <c r="AB3" s="699"/>
      <c r="AC3" s="699"/>
      <c r="AD3" s="699"/>
      <c r="AE3" s="699"/>
      <c r="AF3" s="699"/>
      <c r="AG3" s="699"/>
      <c r="AH3" s="699"/>
      <c r="AI3" s="699"/>
      <c r="AJ3" s="699"/>
      <c r="AK3" s="699"/>
      <c r="AL3" s="699"/>
      <c r="AM3" s="699"/>
      <c r="AN3" s="699"/>
      <c r="AO3" s="699"/>
      <c r="AP3" s="699"/>
      <c r="AQ3" s="699"/>
      <c r="AR3" s="699"/>
      <c r="AS3" s="699"/>
      <c r="AT3" s="699"/>
      <c r="AU3" s="699"/>
      <c r="AV3" s="699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</row>
    <row r="4" spans="1:83" hidden="1" outlineLevel="1">
      <c r="A4" s="699"/>
      <c r="B4" s="699"/>
      <c r="C4" s="699" t="s">
        <v>530</v>
      </c>
      <c r="D4" s="699"/>
      <c r="E4" s="699"/>
      <c r="F4" s="247">
        <f>Assumptions!F$36</f>
        <v>1</v>
      </c>
      <c r="G4" s="247">
        <f>Assumptions!G$36</f>
        <v>3</v>
      </c>
      <c r="H4" s="247">
        <f>Assumptions!H$36</f>
        <v>5</v>
      </c>
      <c r="I4" s="699"/>
      <c r="J4" s="699"/>
      <c r="K4" s="699"/>
      <c r="L4" s="699"/>
      <c r="M4" s="699"/>
      <c r="N4" s="699"/>
      <c r="O4" s="699"/>
      <c r="P4" s="699"/>
      <c r="Q4" s="699"/>
      <c r="R4" s="699"/>
      <c r="S4" s="699"/>
      <c r="T4" s="699"/>
      <c r="U4" s="699"/>
      <c r="V4" s="699"/>
      <c r="W4" s="699"/>
      <c r="X4" s="699"/>
      <c r="Y4" s="699"/>
      <c r="Z4" s="699"/>
      <c r="AA4" s="699"/>
      <c r="AB4" s="699"/>
      <c r="AC4" s="699"/>
      <c r="AD4" s="699"/>
      <c r="AE4" s="699"/>
      <c r="AF4" s="699"/>
      <c r="AG4" s="699"/>
      <c r="AH4" s="699"/>
      <c r="AI4" s="699"/>
      <c r="AJ4" s="699"/>
      <c r="AK4" s="699"/>
      <c r="AL4" s="699"/>
      <c r="AM4" s="699"/>
      <c r="AN4" s="699"/>
      <c r="AO4" s="699"/>
      <c r="AP4" s="699"/>
      <c r="AQ4" s="699"/>
      <c r="AR4" s="699"/>
      <c r="AS4" s="699"/>
      <c r="AT4" s="699"/>
      <c r="AU4" s="699"/>
      <c r="AV4" s="699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</row>
    <row r="5" spans="1:83" hidden="1" outlineLevel="1">
      <c r="A5" s="699"/>
      <c r="B5" s="699"/>
      <c r="C5" s="699"/>
      <c r="D5" s="699"/>
      <c r="E5" s="699"/>
      <c r="F5" s="782"/>
      <c r="G5" s="782"/>
      <c r="H5" s="782"/>
      <c r="I5" s="782"/>
      <c r="J5" s="782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</row>
    <row r="6" spans="1:83" hidden="1" outlineLevel="1">
      <c r="A6" s="699"/>
      <c r="B6" s="699"/>
      <c r="C6" s="699"/>
      <c r="D6" s="699"/>
      <c r="E6" s="699"/>
      <c r="F6" s="782"/>
      <c r="G6" s="782"/>
      <c r="H6" s="782"/>
      <c r="I6" s="782"/>
      <c r="J6" s="782"/>
      <c r="K6" s="699"/>
      <c r="L6" s="699"/>
      <c r="M6" s="699"/>
      <c r="N6" s="699"/>
      <c r="O6" s="699"/>
      <c r="P6" s="699"/>
      <c r="Q6" s="699"/>
      <c r="R6" s="699"/>
      <c r="S6" s="699"/>
      <c r="T6" s="699"/>
      <c r="U6" s="699"/>
      <c r="V6" s="699"/>
      <c r="W6" s="699"/>
      <c r="X6" s="699"/>
      <c r="Y6" s="699"/>
      <c r="Z6" s="699"/>
      <c r="AA6" s="699"/>
      <c r="AB6" s="699"/>
      <c r="AC6" s="699"/>
      <c r="AD6" s="699"/>
      <c r="AE6" s="699"/>
      <c r="AF6" s="699"/>
      <c r="AG6" s="699"/>
      <c r="AH6" s="699"/>
      <c r="AI6" s="699"/>
      <c r="AJ6" s="699"/>
      <c r="AK6" s="699"/>
      <c r="AL6" s="699"/>
      <c r="AM6" s="699"/>
      <c r="AN6" s="699"/>
      <c r="AO6" s="699"/>
      <c r="AP6" s="699"/>
      <c r="AQ6" s="699"/>
      <c r="AR6" s="699"/>
      <c r="AS6" s="699"/>
      <c r="AT6" s="699"/>
      <c r="AU6" s="699"/>
      <c r="AV6" s="699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</row>
    <row r="7" spans="1:83" hidden="1" outlineLevel="1">
      <c r="A7" s="699"/>
      <c r="B7" s="699"/>
      <c r="C7" s="699"/>
      <c r="D7" s="699"/>
      <c r="E7" s="699"/>
      <c r="F7" s="782"/>
      <c r="G7" s="782"/>
      <c r="H7" s="782"/>
      <c r="I7" s="782"/>
      <c r="J7" s="782"/>
      <c r="K7" s="699"/>
      <c r="L7" s="699"/>
      <c r="M7" s="699"/>
      <c r="N7" s="699"/>
      <c r="O7" s="699"/>
      <c r="P7" s="699"/>
      <c r="Q7" s="699"/>
      <c r="R7" s="699"/>
      <c r="S7" s="699"/>
      <c r="T7" s="699"/>
      <c r="U7" s="699"/>
      <c r="V7" s="699"/>
      <c r="W7" s="699"/>
      <c r="X7" s="699"/>
      <c r="Y7" s="699"/>
      <c r="Z7" s="699"/>
      <c r="AA7" s="699"/>
      <c r="AB7" s="699"/>
      <c r="AC7" s="699"/>
      <c r="AD7" s="699"/>
      <c r="AE7" s="699"/>
      <c r="AF7" s="699"/>
      <c r="AG7" s="699"/>
      <c r="AH7" s="699"/>
      <c r="AI7" s="699"/>
      <c r="AJ7" s="699"/>
      <c r="AK7" s="699"/>
      <c r="AL7" s="699"/>
      <c r="AM7" s="699"/>
      <c r="AN7" s="699"/>
      <c r="AO7" s="699"/>
      <c r="AP7" s="699"/>
      <c r="AQ7" s="699"/>
      <c r="AR7" s="699"/>
      <c r="AS7" s="699"/>
      <c r="AT7" s="699"/>
      <c r="AU7" s="699"/>
      <c r="AV7" s="699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</row>
    <row r="8" spans="1:83" hidden="1" outlineLevel="1">
      <c r="A8" s="699"/>
      <c r="B8" s="699"/>
      <c r="C8" s="699"/>
      <c r="D8" s="699"/>
      <c r="E8" s="699"/>
      <c r="F8" s="782"/>
      <c r="G8" s="782"/>
      <c r="H8" s="782"/>
      <c r="I8" s="782"/>
      <c r="J8" s="782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699"/>
      <c r="W8" s="699"/>
      <c r="X8" s="699"/>
      <c r="Y8" s="699"/>
      <c r="Z8" s="699"/>
      <c r="AA8" s="699"/>
      <c r="AB8" s="699"/>
      <c r="AC8" s="699"/>
      <c r="AD8" s="699"/>
      <c r="AE8" s="699"/>
      <c r="AF8" s="699"/>
      <c r="AG8" s="699"/>
      <c r="AH8" s="699"/>
      <c r="AI8" s="699"/>
      <c r="AJ8" s="699"/>
      <c r="AK8" s="699"/>
      <c r="AL8" s="699"/>
      <c r="AM8" s="699"/>
      <c r="AN8" s="699"/>
      <c r="AO8" s="699"/>
      <c r="AP8" s="699"/>
      <c r="AQ8" s="699"/>
      <c r="AR8" s="699"/>
      <c r="AS8" s="699"/>
      <c r="AT8" s="699"/>
      <c r="AU8" s="699"/>
      <c r="AV8" s="699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</row>
    <row r="9" spans="1:83" hidden="1" outlineLevel="1">
      <c r="A9" s="699"/>
      <c r="B9" s="699"/>
      <c r="C9" s="699"/>
      <c r="D9" s="699"/>
      <c r="E9" s="699"/>
      <c r="F9" s="782"/>
      <c r="G9" s="782"/>
      <c r="H9" s="782"/>
      <c r="I9" s="782"/>
      <c r="J9" s="782"/>
      <c r="K9" s="699"/>
      <c r="L9" s="699"/>
      <c r="M9" s="699"/>
      <c r="N9" s="699"/>
      <c r="O9" s="699"/>
      <c r="P9" s="699"/>
      <c r="Q9" s="699"/>
      <c r="R9" s="699"/>
      <c r="S9" s="699"/>
      <c r="T9" s="699"/>
      <c r="U9" s="699"/>
      <c r="V9" s="699"/>
      <c r="W9" s="699"/>
      <c r="X9" s="699"/>
      <c r="Y9" s="699"/>
      <c r="Z9" s="699"/>
      <c r="AA9" s="699"/>
      <c r="AB9" s="699"/>
      <c r="AC9" s="699"/>
      <c r="AD9" s="699"/>
      <c r="AE9" s="699"/>
      <c r="AF9" s="699"/>
      <c r="AG9" s="699"/>
      <c r="AH9" s="699"/>
      <c r="AI9" s="699"/>
      <c r="AJ9" s="699"/>
      <c r="AK9" s="699"/>
      <c r="AL9" s="699"/>
      <c r="AM9" s="699"/>
      <c r="AN9" s="699"/>
      <c r="AO9" s="699"/>
      <c r="AP9" s="699"/>
      <c r="AQ9" s="699"/>
      <c r="AR9" s="699"/>
      <c r="AS9" s="699"/>
      <c r="AT9" s="699"/>
      <c r="AU9" s="699"/>
      <c r="AV9" s="699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  <c r="CB9" s="151"/>
      <c r="CC9" s="151"/>
      <c r="CD9" s="151"/>
      <c r="CE9" s="151"/>
    </row>
    <row r="10" spans="1:83" hidden="1" outlineLevel="1">
      <c r="A10" s="699"/>
      <c r="B10" s="699"/>
      <c r="C10" s="699"/>
      <c r="D10" s="699"/>
      <c r="E10" s="699"/>
      <c r="F10" s="782"/>
      <c r="G10" s="782"/>
      <c r="H10" s="782"/>
      <c r="I10" s="782"/>
      <c r="J10" s="782"/>
      <c r="K10" s="699"/>
      <c r="L10" s="699"/>
      <c r="M10" s="699"/>
      <c r="N10" s="699"/>
      <c r="O10" s="699"/>
      <c r="P10" s="699"/>
      <c r="Q10" s="699"/>
      <c r="R10" s="699"/>
      <c r="S10" s="699"/>
      <c r="T10" s="699"/>
      <c r="U10" s="699"/>
      <c r="V10" s="699"/>
      <c r="W10" s="699"/>
      <c r="X10" s="699"/>
      <c r="Y10" s="699"/>
      <c r="Z10" s="699"/>
      <c r="AA10" s="699"/>
      <c r="AB10" s="699"/>
      <c r="AC10" s="699"/>
      <c r="AD10" s="699"/>
      <c r="AE10" s="699"/>
      <c r="AF10" s="699"/>
      <c r="AG10" s="699"/>
      <c r="AH10" s="699"/>
      <c r="AI10" s="699"/>
      <c r="AJ10" s="699"/>
      <c r="AK10" s="699"/>
      <c r="AL10" s="699"/>
      <c r="AM10" s="699"/>
      <c r="AN10" s="699"/>
      <c r="AO10" s="699"/>
      <c r="AP10" s="699"/>
      <c r="AQ10" s="699"/>
      <c r="AR10" s="699"/>
      <c r="AS10" s="699"/>
      <c r="AT10" s="699"/>
      <c r="AU10" s="699"/>
      <c r="AV10" s="699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</row>
    <row r="11" spans="1:83" hidden="1" outlineLevel="1">
      <c r="A11" s="699"/>
      <c r="B11" s="699"/>
      <c r="C11" s="699"/>
      <c r="D11" s="699"/>
      <c r="E11" s="699"/>
      <c r="F11" s="782"/>
      <c r="G11" s="782"/>
      <c r="H11" s="782"/>
      <c r="I11" s="782"/>
      <c r="J11" s="782"/>
      <c r="K11" s="699"/>
      <c r="L11" s="699"/>
      <c r="M11" s="699"/>
      <c r="N11" s="699"/>
      <c r="O11" s="699"/>
      <c r="P11" s="699"/>
      <c r="Q11" s="699"/>
      <c r="R11" s="699"/>
      <c r="S11" s="699"/>
      <c r="T11" s="699"/>
      <c r="U11" s="699"/>
      <c r="V11" s="699"/>
      <c r="W11" s="699"/>
      <c r="X11" s="699"/>
      <c r="Y11" s="699"/>
      <c r="Z11" s="699"/>
      <c r="AA11" s="699"/>
      <c r="AB11" s="699"/>
      <c r="AC11" s="699"/>
      <c r="AD11" s="699"/>
      <c r="AE11" s="699"/>
      <c r="AF11" s="699"/>
      <c r="AG11" s="699"/>
      <c r="AH11" s="699"/>
      <c r="AI11" s="699"/>
      <c r="AJ11" s="699"/>
      <c r="AK11" s="699"/>
      <c r="AL11" s="699"/>
      <c r="AM11" s="699"/>
      <c r="AN11" s="699"/>
      <c r="AO11" s="699"/>
      <c r="AP11" s="699"/>
      <c r="AQ11" s="699"/>
      <c r="AR11" s="699"/>
      <c r="AS11" s="699"/>
      <c r="AT11" s="699"/>
      <c r="AU11" s="699"/>
      <c r="AV11" s="699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</row>
    <row r="12" spans="1:83" hidden="1" outlineLevel="1">
      <c r="A12" s="699"/>
      <c r="B12" s="699"/>
      <c r="C12" s="699"/>
      <c r="D12" s="699"/>
      <c r="E12" s="699"/>
      <c r="F12" s="782"/>
      <c r="G12" s="782"/>
      <c r="H12" s="782"/>
      <c r="I12" s="782"/>
      <c r="J12" s="782"/>
      <c r="K12" s="699"/>
      <c r="L12" s="699"/>
      <c r="M12" s="699"/>
      <c r="N12" s="699"/>
      <c r="O12" s="699"/>
      <c r="P12" s="699"/>
      <c r="Q12" s="699"/>
      <c r="R12" s="699"/>
      <c r="S12" s="699"/>
      <c r="T12" s="699"/>
      <c r="U12" s="699"/>
      <c r="V12" s="699"/>
      <c r="W12" s="699"/>
      <c r="X12" s="699"/>
      <c r="Y12" s="699"/>
      <c r="Z12" s="699"/>
      <c r="AA12" s="699"/>
      <c r="AB12" s="699"/>
      <c r="AC12" s="699"/>
      <c r="AD12" s="699"/>
      <c r="AE12" s="699"/>
      <c r="AF12" s="699"/>
      <c r="AG12" s="699"/>
      <c r="AH12" s="699"/>
      <c r="AI12" s="699"/>
      <c r="AJ12" s="699"/>
      <c r="AK12" s="699"/>
      <c r="AL12" s="699"/>
      <c r="AM12" s="699"/>
      <c r="AN12" s="699"/>
      <c r="AO12" s="699"/>
      <c r="AP12" s="699"/>
      <c r="AQ12" s="699"/>
      <c r="AR12" s="699"/>
      <c r="AS12" s="699"/>
      <c r="AT12" s="699"/>
      <c r="AU12" s="699"/>
      <c r="AV12" s="699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</row>
    <row r="13" spans="1:83" hidden="1" outlineLevel="1">
      <c r="A13" s="699"/>
      <c r="B13" s="699"/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699"/>
      <c r="Q13" s="699"/>
      <c r="R13" s="699"/>
      <c r="S13" s="699"/>
      <c r="T13" s="699"/>
      <c r="U13" s="699"/>
      <c r="V13" s="699"/>
      <c r="W13" s="699"/>
      <c r="X13" s="699"/>
      <c r="Y13" s="699"/>
      <c r="Z13" s="699"/>
      <c r="AA13" s="699"/>
      <c r="AB13" s="699"/>
      <c r="AC13" s="699"/>
      <c r="AD13" s="699"/>
      <c r="AE13" s="699"/>
      <c r="AF13" s="699"/>
      <c r="AG13" s="699"/>
      <c r="AH13" s="699"/>
      <c r="AI13" s="699"/>
      <c r="AJ13" s="699"/>
      <c r="AK13" s="699"/>
      <c r="AL13" s="699"/>
      <c r="AM13" s="699"/>
      <c r="AN13" s="699"/>
      <c r="AO13" s="699"/>
      <c r="AP13" s="699"/>
      <c r="AQ13" s="699"/>
      <c r="AR13" s="699"/>
      <c r="AS13" s="699"/>
      <c r="AT13" s="699"/>
      <c r="AU13" s="699"/>
      <c r="AV13" s="699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</row>
    <row r="14" spans="1:83" hidden="1" outlineLevel="1">
      <c r="A14" s="699"/>
      <c r="B14" s="699"/>
      <c r="C14" s="699"/>
      <c r="D14" s="699"/>
      <c r="E14" s="699"/>
      <c r="F14" s="699"/>
      <c r="G14" s="699"/>
      <c r="H14" s="699"/>
      <c r="I14" s="699"/>
      <c r="J14" s="699"/>
      <c r="K14" s="699"/>
      <c r="L14" s="699"/>
      <c r="M14" s="699"/>
      <c r="N14" s="699"/>
      <c r="O14" s="699"/>
      <c r="P14" s="699"/>
      <c r="Q14" s="699"/>
      <c r="R14" s="699"/>
      <c r="S14" s="699"/>
      <c r="T14" s="699"/>
      <c r="U14" s="699"/>
      <c r="V14" s="699"/>
      <c r="W14" s="699"/>
      <c r="X14" s="699"/>
      <c r="Y14" s="699"/>
      <c r="Z14" s="699"/>
      <c r="AA14" s="699"/>
      <c r="AB14" s="699"/>
      <c r="AC14" s="699"/>
      <c r="AD14" s="699"/>
      <c r="AE14" s="699"/>
      <c r="AF14" s="699"/>
      <c r="AG14" s="699"/>
      <c r="AH14" s="699"/>
      <c r="AI14" s="699"/>
      <c r="AJ14" s="699"/>
      <c r="AK14" s="699"/>
      <c r="AL14" s="699"/>
      <c r="AM14" s="699"/>
      <c r="AN14" s="699"/>
      <c r="AO14" s="699"/>
      <c r="AP14" s="699"/>
      <c r="AQ14" s="699"/>
      <c r="AR14" s="699"/>
      <c r="AS14" s="699"/>
      <c r="AT14" s="699"/>
      <c r="AU14" s="699"/>
      <c r="AV14" s="699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</row>
    <row r="15" spans="1:83" ht="15.95" customHeight="1" collapsed="1">
      <c r="A15" s="699"/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752">
        <f>0</f>
        <v>0</v>
      </c>
      <c r="P15" s="752">
        <f>+O15+1</f>
        <v>1</v>
      </c>
      <c r="Q15" s="752">
        <f t="shared" ref="Q15:AE15" si="0">+P15+1</f>
        <v>2</v>
      </c>
      <c r="R15" s="752">
        <f t="shared" si="0"/>
        <v>3</v>
      </c>
      <c r="S15" s="752">
        <f t="shared" si="0"/>
        <v>4</v>
      </c>
      <c r="T15" s="752">
        <f t="shared" si="0"/>
        <v>5</v>
      </c>
      <c r="U15" s="752">
        <f t="shared" si="0"/>
        <v>6</v>
      </c>
      <c r="V15" s="752">
        <f t="shared" si="0"/>
        <v>7</v>
      </c>
      <c r="W15" s="752">
        <f t="shared" si="0"/>
        <v>8</v>
      </c>
      <c r="X15" s="752">
        <f t="shared" si="0"/>
        <v>9</v>
      </c>
      <c r="Y15" s="752">
        <f t="shared" si="0"/>
        <v>10</v>
      </c>
      <c r="Z15" s="752">
        <f t="shared" si="0"/>
        <v>11</v>
      </c>
      <c r="AA15" s="752">
        <f t="shared" si="0"/>
        <v>12</v>
      </c>
      <c r="AB15" s="752">
        <f t="shared" si="0"/>
        <v>13</v>
      </c>
      <c r="AC15" s="752">
        <f t="shared" si="0"/>
        <v>14</v>
      </c>
      <c r="AD15" s="752">
        <f t="shared" si="0"/>
        <v>15</v>
      </c>
      <c r="AE15" s="131">
        <f t="shared" si="0"/>
        <v>16</v>
      </c>
      <c r="AF15" s="131"/>
      <c r="AG15" s="131"/>
      <c r="AH15" s="699"/>
      <c r="AI15" s="132" t="s">
        <v>849</v>
      </c>
      <c r="AJ15" s="832">
        <v>0.75</v>
      </c>
      <c r="AK15" s="832">
        <v>0.75</v>
      </c>
      <c r="AL15" s="832">
        <v>0.75</v>
      </c>
      <c r="AM15" s="832">
        <v>0.75</v>
      </c>
      <c r="AN15" s="832">
        <v>0.75</v>
      </c>
      <c r="AO15" s="832">
        <v>0.75</v>
      </c>
      <c r="AP15" s="832">
        <v>0.75</v>
      </c>
      <c r="AQ15" s="832">
        <v>0.95</v>
      </c>
      <c r="AR15" s="699"/>
      <c r="AS15" s="699"/>
      <c r="AT15" s="699"/>
      <c r="AU15" s="699"/>
      <c r="AV15" s="699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834">
        <v>0.75</v>
      </c>
      <c r="BX15" s="834">
        <v>0.9</v>
      </c>
      <c r="BY15" s="151"/>
      <c r="BZ15" s="151"/>
      <c r="CA15" s="151"/>
      <c r="CB15" s="151"/>
      <c r="CC15" s="151"/>
      <c r="CD15" s="834">
        <v>1</v>
      </c>
      <c r="CE15" s="151"/>
    </row>
    <row r="16" spans="1:83" ht="15.95" customHeight="1">
      <c r="A16" s="699"/>
      <c r="B16" s="699"/>
      <c r="C16" s="699"/>
      <c r="D16" s="699"/>
      <c r="E16" s="699"/>
      <c r="F16" s="699"/>
      <c r="G16" s="699"/>
      <c r="H16" s="699"/>
      <c r="I16" s="699"/>
      <c r="J16" s="699"/>
      <c r="K16" s="699"/>
      <c r="L16" s="699"/>
      <c r="M16" s="699"/>
      <c r="N16" s="699"/>
      <c r="O16" s="842">
        <v>0.4</v>
      </c>
      <c r="P16" s="842">
        <v>0.6</v>
      </c>
      <c r="Q16" s="710"/>
      <c r="R16" s="710"/>
      <c r="S16" s="710"/>
      <c r="T16" s="710"/>
      <c r="U16" s="710"/>
      <c r="V16" s="710"/>
      <c r="W16" s="710"/>
      <c r="X16" s="710"/>
      <c r="Y16" s="699"/>
      <c r="Z16" s="699"/>
      <c r="AA16" s="699"/>
      <c r="AB16" s="699"/>
      <c r="AC16" s="699"/>
      <c r="AD16" s="699"/>
      <c r="AE16" s="699"/>
      <c r="AF16" s="699"/>
      <c r="AG16" s="699"/>
      <c r="AH16" s="699"/>
      <c r="AI16" s="699"/>
      <c r="AJ16" s="699"/>
      <c r="AK16" s="699"/>
      <c r="AL16" s="699"/>
      <c r="AM16" s="699"/>
      <c r="AN16" s="699"/>
      <c r="AO16" s="699"/>
      <c r="AP16" s="699"/>
      <c r="AQ16" s="699"/>
      <c r="AR16" s="699"/>
      <c r="AS16" s="699"/>
      <c r="AT16" s="699"/>
      <c r="AU16" s="699"/>
      <c r="AV16" s="699"/>
      <c r="AW16" s="151"/>
      <c r="AX16" s="151"/>
      <c r="AY16" s="151"/>
      <c r="AZ16" s="151"/>
      <c r="BA16" s="151"/>
      <c r="BB16" s="151"/>
      <c r="BC16" s="151"/>
      <c r="BD16" s="834">
        <v>0.75</v>
      </c>
      <c r="BE16" s="834">
        <v>0.75</v>
      </c>
      <c r="BF16" s="151"/>
      <c r="BG16" s="151"/>
      <c r="BH16" s="151"/>
      <c r="BI16" s="151"/>
      <c r="BJ16" s="834">
        <v>0.75</v>
      </c>
      <c r="BK16" s="834">
        <v>0.75</v>
      </c>
      <c r="BL16" s="834">
        <v>0.75</v>
      </c>
      <c r="BM16" s="834">
        <v>0.75</v>
      </c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  <c r="CB16" s="151"/>
      <c r="CC16" s="151"/>
      <c r="CD16" s="151"/>
      <c r="CE16" s="151"/>
    </row>
    <row r="17" spans="2:83" ht="21.6" customHeight="1">
      <c r="B17" s="699"/>
      <c r="C17" s="1076"/>
      <c r="D17" s="1076"/>
      <c r="E17" s="1076"/>
      <c r="F17" s="1076"/>
      <c r="G17" s="1076"/>
      <c r="H17" s="1076"/>
      <c r="I17" s="1076"/>
      <c r="J17" s="1076"/>
      <c r="K17" s="1076"/>
      <c r="L17" s="1076"/>
      <c r="M17" s="699"/>
      <c r="N17" s="827"/>
      <c r="O17" s="1128" t="s">
        <v>857</v>
      </c>
      <c r="P17" s="1128"/>
      <c r="Q17" s="1128"/>
      <c r="R17" s="1128"/>
      <c r="S17" s="1128"/>
      <c r="T17" s="1128"/>
      <c r="U17" s="1128"/>
      <c r="V17" s="1128"/>
      <c r="W17" s="1128"/>
      <c r="X17" s="1128"/>
      <c r="Y17" s="1128"/>
      <c r="Z17" s="1128"/>
      <c r="AA17" s="1128"/>
      <c r="AB17" s="1128"/>
      <c r="AC17" s="1128"/>
      <c r="AD17" s="1128"/>
      <c r="AE17" s="1128"/>
      <c r="AF17" s="1128"/>
      <c r="AG17" s="1128"/>
      <c r="AH17" s="699"/>
      <c r="AI17" s="1128" t="s">
        <v>858</v>
      </c>
      <c r="AJ17" s="1128"/>
      <c r="AK17" s="1128"/>
      <c r="AL17" s="1128"/>
      <c r="AM17" s="1128"/>
      <c r="AN17" s="1128"/>
      <c r="AO17" s="1128"/>
      <c r="AP17" s="1128"/>
      <c r="AQ17" s="1128"/>
      <c r="AR17" s="1128"/>
      <c r="AS17" s="699"/>
      <c r="AT17" s="699"/>
      <c r="AU17" s="699"/>
      <c r="AV17" s="699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719"/>
      <c r="BV17" s="719"/>
      <c r="BW17" s="151"/>
      <c r="BX17" s="151"/>
      <c r="BY17" s="151"/>
      <c r="BZ17" s="151"/>
      <c r="CA17" s="151"/>
      <c r="CB17" s="719"/>
      <c r="CC17" s="151"/>
      <c r="CD17" s="151"/>
      <c r="CE17" s="151"/>
    </row>
    <row r="18" spans="2:83" ht="53.25" customHeight="1">
      <c r="B18" s="699"/>
      <c r="C18" s="538" t="s">
        <v>399</v>
      </c>
      <c r="D18" s="538" t="s">
        <v>254</v>
      </c>
      <c r="E18" s="538" t="s">
        <v>859</v>
      </c>
      <c r="F18" s="538" t="s">
        <v>860</v>
      </c>
      <c r="G18" s="538" t="s">
        <v>861</v>
      </c>
      <c r="H18" s="538" t="s">
        <v>862</v>
      </c>
      <c r="I18" s="538" t="s">
        <v>863</v>
      </c>
      <c r="J18" s="567" t="s">
        <v>864</v>
      </c>
      <c r="K18" s="538" t="s">
        <v>865</v>
      </c>
      <c r="L18" s="538" t="s">
        <v>351</v>
      </c>
      <c r="M18" s="699"/>
      <c r="N18" s="827"/>
      <c r="O18" s="538" t="str">
        <f ca="1">+OFFSET(Budget!$B$50,'Parcel Breakdown'!O15,0)</f>
        <v xml:space="preserve">Standard Affordable Residential </v>
      </c>
      <c r="P18" s="538" t="str">
        <f ca="1">+OFFSET(Budget!$B$50,'Parcel Breakdown'!P15,0)</f>
        <v xml:space="preserve">Standard Market-Rate Residential </v>
      </c>
      <c r="Q18" s="828" t="str">
        <f ca="1">+OFFSET(Budget!$B$50,'Parcel Breakdown'!Q15,0)</f>
        <v>Affordable Multi-Bedroom Residential</v>
      </c>
      <c r="R18" s="828" t="str">
        <f ca="1">+OFFSET(Budget!$B$50,'Parcel Breakdown'!R15,0)</f>
        <v>Market-Rate Multi-Bedroom Residential</v>
      </c>
      <c r="S18" s="828" t="str">
        <f ca="1">+OFFSET(Budget!$B$50,'Parcel Breakdown'!S15,0)</f>
        <v xml:space="preserve">Affordable Senior Living Residential </v>
      </c>
      <c r="T18" s="828" t="str">
        <f ca="1">+OFFSET(Budget!$B$50,'Parcel Breakdown'!T15,0)</f>
        <v xml:space="preserve">Market-Rate Senior Living Residential </v>
      </c>
      <c r="U18" s="538" t="str">
        <f ca="1">+OFFSET(Budget!$B$50,'Parcel Breakdown'!U15,0)</f>
        <v>Affordable For-Sale Residential</v>
      </c>
      <c r="V18" s="538" t="str">
        <f ca="1">+OFFSET(Budget!$B$50,'Parcel Breakdown'!V15,0)</f>
        <v xml:space="preserve">Market-Rate For-Sale Residential </v>
      </c>
      <c r="W18" s="538" t="str">
        <f ca="1">+OFFSET(Budget!$B$50,'Parcel Breakdown'!W15,0)</f>
        <v xml:space="preserve">Affordable Student Housing </v>
      </c>
      <c r="X18" s="538" t="str">
        <f ca="1">+OFFSET(Budget!$B$50,'Parcel Breakdown'!X15,0)</f>
        <v xml:space="preserve">Market-Rate Student Housing </v>
      </c>
      <c r="Y18" s="538" t="str">
        <f ca="1">+OFFSET(Budget!$B$50,'Parcel Breakdown'!Y15,0)</f>
        <v xml:space="preserve">Office </v>
      </c>
      <c r="Z18" s="538" t="str">
        <f ca="1">+OFFSET(Budget!$B$50,'Parcel Breakdown'!Z15,0)</f>
        <v xml:space="preserve">Retail </v>
      </c>
      <c r="AA18" s="538" t="str">
        <f ca="1">+OFFSET(Budget!$B$50,'Parcel Breakdown'!AA15,0)</f>
        <v xml:space="preserve">Hotel </v>
      </c>
      <c r="AB18" s="538"/>
      <c r="AC18" s="538"/>
      <c r="AD18" s="538" t="str">
        <f ca="1">+OFFSET(Budget!$B$50,'Parcel Breakdown'!AD15,0)</f>
        <v xml:space="preserve">Structural Parking </v>
      </c>
      <c r="AE18" s="538" t="str">
        <f ca="1">+OFFSET(Budget!$B$50,'Parcel Breakdown'!AE15,0)</f>
        <v xml:space="preserve">Surface Parking </v>
      </c>
      <c r="AF18" s="538" t="s">
        <v>866</v>
      </c>
      <c r="AG18" s="538" t="s">
        <v>867</v>
      </c>
      <c r="AH18" s="699"/>
      <c r="AI18" s="538" t="s">
        <v>848</v>
      </c>
      <c r="AJ18" s="538" t="str">
        <f ca="1">+O$18</f>
        <v xml:space="preserve">Standard Affordable Residential </v>
      </c>
      <c r="AK18" s="538" t="str">
        <f t="shared" ref="AK18" ca="1" si="1">+P$18</f>
        <v xml:space="preserve">Standard Market-Rate Residential </v>
      </c>
      <c r="AL18" s="538" t="str">
        <f ca="1">+U$18</f>
        <v>Affordable For-Sale Residential</v>
      </c>
      <c r="AM18" s="538" t="str">
        <f ca="1">+V$18</f>
        <v xml:space="preserve">Market-Rate For-Sale Residential </v>
      </c>
      <c r="AN18" s="538" t="str">
        <f ca="1">+Y$18</f>
        <v xml:space="preserve">Office </v>
      </c>
      <c r="AO18" s="538" t="str">
        <f ca="1">+Z$18</f>
        <v xml:space="preserve">Retail </v>
      </c>
      <c r="AP18" s="538" t="str">
        <f ca="1">+AA$18</f>
        <v xml:space="preserve">Hotel </v>
      </c>
      <c r="AQ18" s="538" t="str">
        <f ca="1">+AD$18</f>
        <v xml:space="preserve">Structural Parking </v>
      </c>
      <c r="AR18" s="538" t="s">
        <v>358</v>
      </c>
      <c r="AS18" s="699"/>
      <c r="AT18" s="699"/>
      <c r="AU18" s="699"/>
      <c r="AV18" s="699"/>
      <c r="AW18" s="151"/>
      <c r="AX18" s="151"/>
      <c r="AY18" s="151"/>
      <c r="AZ18" s="151"/>
      <c r="BA18" s="151"/>
      <c r="BB18" s="719"/>
      <c r="BC18" s="719"/>
      <c r="BD18" s="151"/>
      <c r="BE18" s="151"/>
      <c r="BF18" s="151"/>
      <c r="BG18" s="151"/>
      <c r="BH18" s="719"/>
      <c r="BI18" s="719"/>
      <c r="BJ18" s="719"/>
      <c r="BK18" s="719"/>
      <c r="BL18" s="151"/>
      <c r="BM18" s="151"/>
      <c r="BN18" s="151"/>
      <c r="BO18" s="151"/>
      <c r="BP18" s="151"/>
      <c r="BQ18" s="151"/>
      <c r="BR18" s="151"/>
      <c r="BS18" s="151"/>
      <c r="BT18" s="151"/>
      <c r="BU18" s="744">
        <f>+AB$18</f>
        <v>0</v>
      </c>
      <c r="BV18" s="744">
        <f>+AC$18</f>
        <v>0</v>
      </c>
      <c r="BW18" s="151"/>
      <c r="BX18" s="151"/>
      <c r="BY18" s="151"/>
      <c r="BZ18" s="151"/>
      <c r="CA18" s="151"/>
      <c r="CB18" s="744" t="str">
        <f ca="1">+AE$18</f>
        <v xml:space="preserve">Surface Parking </v>
      </c>
      <c r="CC18" s="151"/>
      <c r="CD18" s="151"/>
      <c r="CE18" s="151"/>
    </row>
    <row r="19" spans="2:83" ht="15.6" customHeight="1">
      <c r="B19" s="248" t="str">
        <f t="shared" ref="B19:B42" si="2">+RIGHT(C19,2)</f>
        <v>A</v>
      </c>
      <c r="C19" s="249" t="s">
        <v>410</v>
      </c>
      <c r="D19" s="250" t="s">
        <v>255</v>
      </c>
      <c r="E19" s="250" t="s">
        <v>868</v>
      </c>
      <c r="F19" s="839">
        <f>Acquisition!L17</f>
        <v>22505</v>
      </c>
      <c r="G19" s="840">
        <f t="shared" ref="G19:G28" si="3">$L19/$F19</f>
        <v>5.6451010886469675</v>
      </c>
      <c r="H19" s="767">
        <f>+$F19*$G19</f>
        <v>127043</v>
      </c>
      <c r="I19" s="841">
        <v>0</v>
      </c>
      <c r="J19" s="839">
        <v>0</v>
      </c>
      <c r="K19" s="839">
        <v>127043</v>
      </c>
      <c r="L19" s="389">
        <f t="shared" ref="L19:L27" si="4">+SUM(I19:K19)</f>
        <v>127043</v>
      </c>
      <c r="M19" s="699"/>
      <c r="N19" s="132" t="str">
        <f t="shared" ref="N19:N28" si="5">+$C19</f>
        <v>A</v>
      </c>
      <c r="O19" s="1077">
        <f t="shared" ref="O19:P28" si="6">+($L19-SUM($Q19:$AE19))*O$16</f>
        <v>0</v>
      </c>
      <c r="P19" s="1077">
        <f t="shared" si="6"/>
        <v>0</v>
      </c>
      <c r="Q19" s="829">
        <v>0</v>
      </c>
      <c r="R19" s="829">
        <v>0</v>
      </c>
      <c r="S19" s="829">
        <v>0</v>
      </c>
      <c r="T19" s="829">
        <v>0</v>
      </c>
      <c r="U19" s="830">
        <v>0</v>
      </c>
      <c r="V19" s="830">
        <v>0</v>
      </c>
      <c r="W19" s="830">
        <v>0</v>
      </c>
      <c r="X19" s="830">
        <v>0</v>
      </c>
      <c r="Y19" s="830">
        <v>0</v>
      </c>
      <c r="Z19" s="830">
        <v>0</v>
      </c>
      <c r="AA19" s="830">
        <v>0</v>
      </c>
      <c r="AB19" s="830">
        <v>0</v>
      </c>
      <c r="AC19" s="829">
        <v>0</v>
      </c>
      <c r="AD19" s="830">
        <v>127043</v>
      </c>
      <c r="AE19" s="830">
        <v>0</v>
      </c>
      <c r="AF19" s="254">
        <f t="shared" ref="AF19:AF28" si="7">+$L19-SUM($O19:$AE19)</f>
        <v>0</v>
      </c>
      <c r="AG19" s="254">
        <f t="shared" ref="AG19:AG28" si="8">+$K19-SUM($AD19:$AE19)</f>
        <v>0</v>
      </c>
      <c r="AH19" s="782" t="str">
        <f t="shared" ref="AH19:AH28" si="9">+$C19</f>
        <v>A</v>
      </c>
      <c r="AI19" s="255">
        <f t="shared" ref="AI19:AI28" ca="1" si="10">+SUM(AJ19:CB19)</f>
        <v>2703914.0282635759</v>
      </c>
      <c r="AJ19" s="1032">
        <f t="shared" ref="AJ19:AJ33" si="11">+AJ$15*O19</f>
        <v>0</v>
      </c>
      <c r="AK19" s="1032">
        <f t="shared" ref="AK19:AK33" si="12">+AK$15*P19</f>
        <v>0</v>
      </c>
      <c r="AL19" s="1032">
        <f t="shared" ref="AL19:AL42" si="13">+AL$15*U19</f>
        <v>0</v>
      </c>
      <c r="AM19" s="1032">
        <f t="shared" ref="AM19:AM42" si="14">+AM$15*V19</f>
        <v>0</v>
      </c>
      <c r="AN19" s="1032">
        <f t="shared" ref="AN19:AN42" si="15">+AN$15*Y19</f>
        <v>0</v>
      </c>
      <c r="AO19" s="1032">
        <f t="shared" ref="AO19:AO42" si="16">+AO$15*Z19</f>
        <v>0</v>
      </c>
      <c r="AP19" s="1032">
        <f t="shared" ref="AP19:AP42" si="17">+AP$15*AA19</f>
        <v>0</v>
      </c>
      <c r="AQ19" s="1032">
        <f t="shared" ref="AQ19:AQ42" si="18">+AQ$15*AD19</f>
        <v>120690.84999999999</v>
      </c>
      <c r="AR19" s="184">
        <f>Acquisition!E4</f>
        <v>2583223.1782635758</v>
      </c>
      <c r="AS19" s="699"/>
      <c r="AT19" s="699"/>
      <c r="AU19" s="699"/>
      <c r="AV19" s="699"/>
      <c r="AW19" s="151"/>
      <c r="AX19" s="151"/>
      <c r="AY19" s="151"/>
      <c r="AZ19" s="151"/>
      <c r="BA19" s="151"/>
      <c r="BB19" s="744" t="str">
        <f ca="1">+W$18</f>
        <v xml:space="preserve">Affordable Student Housing </v>
      </c>
      <c r="BC19" s="744" t="str">
        <f ca="1">+X$18</f>
        <v xml:space="preserve">Market-Rate Student Housing </v>
      </c>
      <c r="BD19" s="151"/>
      <c r="BE19" s="151"/>
      <c r="BF19" s="151"/>
      <c r="BG19" s="151"/>
      <c r="BH19" s="744" t="str">
        <f ca="1">+Q$18</f>
        <v>Affordable Multi-Bedroom Residential</v>
      </c>
      <c r="BI19" s="744" t="str">
        <f ca="1">+R$18</f>
        <v>Market-Rate Multi-Bedroom Residential</v>
      </c>
      <c r="BJ19" s="744" t="str">
        <f ca="1">+S$18</f>
        <v xml:space="preserve">Affordable Senior Living Residential </v>
      </c>
      <c r="BK19" s="744" t="str">
        <f ca="1">+T$18</f>
        <v xml:space="preserve">Market-Rate Senior Living Residential </v>
      </c>
      <c r="BL19" s="151"/>
      <c r="BM19" s="151"/>
      <c r="BN19" s="151"/>
      <c r="BO19" s="151"/>
      <c r="BP19" s="151"/>
      <c r="BQ19" s="151"/>
      <c r="BR19" s="151"/>
      <c r="BS19" s="151"/>
      <c r="BT19" s="151"/>
      <c r="BU19" s="835">
        <f t="shared" ref="BU19:BU42" si="19">+BW$15*AB19</f>
        <v>0</v>
      </c>
      <c r="BV19" s="835">
        <f t="shared" ref="BV19:BV42" si="20">+BX$15*AC19</f>
        <v>0</v>
      </c>
      <c r="BW19" s="151"/>
      <c r="BX19" s="151"/>
      <c r="BY19" s="151"/>
      <c r="BZ19" s="151"/>
      <c r="CA19" s="151"/>
      <c r="CB19" s="835">
        <f t="shared" ref="CB19:CB42" si="21">+CD$15*AE19</f>
        <v>0</v>
      </c>
      <c r="CC19" s="151"/>
      <c r="CD19" s="151"/>
      <c r="CE19" s="151"/>
    </row>
    <row r="20" spans="2:83" ht="15.75">
      <c r="B20" s="248" t="str">
        <f t="shared" si="2"/>
        <v>B</v>
      </c>
      <c r="C20" s="249" t="s">
        <v>417</v>
      </c>
      <c r="D20" s="250" t="s">
        <v>255</v>
      </c>
      <c r="E20" s="250" t="s">
        <v>412</v>
      </c>
      <c r="F20" s="839">
        <f>Acquisition!L18</f>
        <v>59883</v>
      </c>
      <c r="G20" s="840">
        <f t="shared" si="3"/>
        <v>7.0455721991216205</v>
      </c>
      <c r="H20" s="767">
        <f t="shared" ref="H20:H42" si="22">+$F20*$G20</f>
        <v>421910</v>
      </c>
      <c r="I20" s="841">
        <v>421910</v>
      </c>
      <c r="J20" s="839">
        <v>0</v>
      </c>
      <c r="K20" s="839">
        <v>0</v>
      </c>
      <c r="L20" s="389">
        <f t="shared" si="4"/>
        <v>421910</v>
      </c>
      <c r="M20" s="699"/>
      <c r="N20" s="132" t="str">
        <f t="shared" si="5"/>
        <v>B</v>
      </c>
      <c r="O20" s="1077">
        <f t="shared" si="6"/>
        <v>105931.39199999999</v>
      </c>
      <c r="P20" s="1077">
        <f t="shared" si="6"/>
        <v>158897.08799999999</v>
      </c>
      <c r="Q20" s="829">
        <v>0</v>
      </c>
      <c r="R20" s="829">
        <v>0</v>
      </c>
      <c r="S20" s="829">
        <v>0</v>
      </c>
      <c r="T20" s="829">
        <v>0</v>
      </c>
      <c r="U20" s="830">
        <f t="shared" ref="U20:U27" si="23">BP250*0.05</f>
        <v>15763.6</v>
      </c>
      <c r="V20" s="830">
        <f t="shared" ref="V20:V27" si="24">BP250*0.11</f>
        <v>34679.919999999998</v>
      </c>
      <c r="W20" s="830">
        <v>0</v>
      </c>
      <c r="X20" s="830">
        <v>0</v>
      </c>
      <c r="Y20" s="830">
        <v>37598</v>
      </c>
      <c r="Z20" s="830">
        <v>69040</v>
      </c>
      <c r="AA20" s="830">
        <v>0</v>
      </c>
      <c r="AB20" s="830">
        <v>0</v>
      </c>
      <c r="AC20" s="829">
        <v>0</v>
      </c>
      <c r="AD20" s="830">
        <v>0</v>
      </c>
      <c r="AE20" s="830">
        <v>0</v>
      </c>
      <c r="AF20" s="254">
        <f t="shared" si="7"/>
        <v>0</v>
      </c>
      <c r="AG20" s="254">
        <f t="shared" si="8"/>
        <v>0</v>
      </c>
      <c r="AH20" s="782" t="str">
        <f t="shared" si="9"/>
        <v>B</v>
      </c>
      <c r="AI20" s="255">
        <f t="shared" si="10"/>
        <v>316432.5</v>
      </c>
      <c r="AJ20" s="1032">
        <f t="shared" si="11"/>
        <v>79448.543999999994</v>
      </c>
      <c r="AK20" s="1032">
        <f t="shared" si="12"/>
        <v>119172.81599999999</v>
      </c>
      <c r="AL20" s="1032">
        <f t="shared" si="13"/>
        <v>11822.7</v>
      </c>
      <c r="AM20" s="1032">
        <f t="shared" si="14"/>
        <v>26009.94</v>
      </c>
      <c r="AN20" s="1032">
        <f t="shared" si="15"/>
        <v>28198.5</v>
      </c>
      <c r="AO20" s="1032">
        <f t="shared" si="16"/>
        <v>51780</v>
      </c>
      <c r="AP20" s="1032">
        <f t="shared" si="17"/>
        <v>0</v>
      </c>
      <c r="AQ20" s="1032">
        <f t="shared" si="18"/>
        <v>0</v>
      </c>
      <c r="AR20" s="256">
        <f>0</f>
        <v>0</v>
      </c>
      <c r="AS20" s="699"/>
      <c r="AT20" s="699"/>
      <c r="AU20" s="699"/>
      <c r="AV20" s="699"/>
      <c r="AW20" s="151"/>
      <c r="AX20" s="151"/>
      <c r="AY20" s="151"/>
      <c r="AZ20" s="151"/>
      <c r="BA20" s="151"/>
      <c r="BB20" s="835">
        <f t="shared" ref="BB20:BB43" si="25">+BD$16*W19</f>
        <v>0</v>
      </c>
      <c r="BC20" s="835">
        <f t="shared" ref="BC20:BC43" si="26">+BE$16*X19</f>
        <v>0</v>
      </c>
      <c r="BD20" s="151"/>
      <c r="BE20" s="151"/>
      <c r="BF20" s="151"/>
      <c r="BG20" s="151"/>
      <c r="BH20" s="835">
        <f t="shared" ref="BH20:BH43" si="27">+BJ$16*Q19</f>
        <v>0</v>
      </c>
      <c r="BI20" s="835">
        <f t="shared" ref="BI20:BI43" si="28">+BK$16*R19</f>
        <v>0</v>
      </c>
      <c r="BJ20" s="835">
        <f t="shared" ref="BJ20:BJ43" si="29">+BL$16*S19</f>
        <v>0</v>
      </c>
      <c r="BK20" s="835">
        <f t="shared" ref="BK20:BK43" si="30">+BM$16*T19</f>
        <v>0</v>
      </c>
      <c r="BL20" s="151"/>
      <c r="BM20" s="151"/>
      <c r="BN20" s="151"/>
      <c r="BO20" s="151"/>
      <c r="BP20" s="151"/>
      <c r="BQ20" s="151"/>
      <c r="BR20" s="151"/>
      <c r="BS20" s="151"/>
      <c r="BT20" s="151"/>
      <c r="BU20" s="835">
        <f t="shared" si="19"/>
        <v>0</v>
      </c>
      <c r="BV20" s="835">
        <f t="shared" si="20"/>
        <v>0</v>
      </c>
      <c r="BW20" s="151"/>
      <c r="BX20" s="151"/>
      <c r="BY20" s="151"/>
      <c r="BZ20" s="151"/>
      <c r="CA20" s="151"/>
      <c r="CB20" s="835">
        <f t="shared" si="21"/>
        <v>0</v>
      </c>
      <c r="CC20" s="151"/>
      <c r="CD20" s="151"/>
      <c r="CE20" s="151"/>
    </row>
    <row r="21" spans="2:83" ht="15.75">
      <c r="B21" s="248" t="str">
        <f t="shared" si="2"/>
        <v>C</v>
      </c>
      <c r="C21" s="249" t="s">
        <v>421</v>
      </c>
      <c r="D21" s="250" t="s">
        <v>255</v>
      </c>
      <c r="E21" s="250" t="s">
        <v>412</v>
      </c>
      <c r="F21" s="839">
        <f>Acquisition!L19</f>
        <v>68050</v>
      </c>
      <c r="G21" s="840">
        <f t="shared" si="3"/>
        <v>3.1386480529022776</v>
      </c>
      <c r="H21" s="767">
        <f t="shared" si="22"/>
        <v>213585</v>
      </c>
      <c r="I21" s="841">
        <f>189049</f>
        <v>189049</v>
      </c>
      <c r="J21" s="839">
        <v>0</v>
      </c>
      <c r="K21" s="839">
        <v>24536</v>
      </c>
      <c r="L21" s="389">
        <f t="shared" si="4"/>
        <v>213585</v>
      </c>
      <c r="M21" s="699"/>
      <c r="N21" s="132" t="str">
        <f t="shared" si="5"/>
        <v>C</v>
      </c>
      <c r="O21" s="1077">
        <f t="shared" si="6"/>
        <v>53083.296000000002</v>
      </c>
      <c r="P21" s="1077">
        <f t="shared" si="6"/>
        <v>79624.943999999989</v>
      </c>
      <c r="Q21" s="829">
        <v>0</v>
      </c>
      <c r="R21" s="829">
        <v>0</v>
      </c>
      <c r="S21" s="829">
        <v>0</v>
      </c>
      <c r="T21" s="829">
        <v>0</v>
      </c>
      <c r="U21" s="830">
        <f t="shared" si="23"/>
        <v>7899.3</v>
      </c>
      <c r="V21" s="830">
        <f t="shared" si="24"/>
        <v>17378.46</v>
      </c>
      <c r="W21" s="830">
        <v>0</v>
      </c>
      <c r="X21" s="830">
        <v>0</v>
      </c>
      <c r="Y21" s="830">
        <v>0</v>
      </c>
      <c r="Z21" s="830">
        <v>31063</v>
      </c>
      <c r="AA21" s="830">
        <v>0</v>
      </c>
      <c r="AB21" s="830">
        <v>0</v>
      </c>
      <c r="AC21" s="829">
        <v>0</v>
      </c>
      <c r="AD21" s="830">
        <v>24536</v>
      </c>
      <c r="AE21" s="830">
        <v>0</v>
      </c>
      <c r="AF21" s="254">
        <f t="shared" si="7"/>
        <v>0</v>
      </c>
      <c r="AG21" s="254">
        <f t="shared" si="8"/>
        <v>0</v>
      </c>
      <c r="AH21" s="782" t="str">
        <f t="shared" si="9"/>
        <v>C</v>
      </c>
      <c r="AI21" s="255">
        <f t="shared" si="10"/>
        <v>50165095.950000003</v>
      </c>
      <c r="AJ21" s="1032">
        <f t="shared" si="11"/>
        <v>39812.472000000002</v>
      </c>
      <c r="AK21" s="1032">
        <f t="shared" si="12"/>
        <v>59718.707999999991</v>
      </c>
      <c r="AL21" s="1032">
        <f t="shared" si="13"/>
        <v>5924.4750000000004</v>
      </c>
      <c r="AM21" s="1032">
        <f t="shared" si="14"/>
        <v>13033.844999999999</v>
      </c>
      <c r="AN21" s="1032">
        <f t="shared" si="15"/>
        <v>0</v>
      </c>
      <c r="AO21" s="1032">
        <f t="shared" si="16"/>
        <v>23297.25</v>
      </c>
      <c r="AP21" s="1032">
        <f t="shared" si="17"/>
        <v>0</v>
      </c>
      <c r="AQ21" s="1032">
        <f t="shared" si="18"/>
        <v>23309.200000000001</v>
      </c>
      <c r="AR21" s="256">
        <v>50000000</v>
      </c>
      <c r="AS21" s="699"/>
      <c r="AT21" s="699"/>
      <c r="AU21" s="699"/>
      <c r="AV21" s="699"/>
      <c r="AW21" s="151"/>
      <c r="AX21" s="151"/>
      <c r="AY21" s="151"/>
      <c r="AZ21" s="151"/>
      <c r="BA21" s="151"/>
      <c r="BB21" s="835">
        <f t="shared" si="25"/>
        <v>0</v>
      </c>
      <c r="BC21" s="835">
        <f t="shared" si="26"/>
        <v>0</v>
      </c>
      <c r="BD21" s="151"/>
      <c r="BE21" s="151"/>
      <c r="BF21" s="151"/>
      <c r="BG21" s="151"/>
      <c r="BH21" s="835">
        <f t="shared" si="27"/>
        <v>0</v>
      </c>
      <c r="BI21" s="835">
        <f t="shared" si="28"/>
        <v>0</v>
      </c>
      <c r="BJ21" s="835">
        <f t="shared" si="29"/>
        <v>0</v>
      </c>
      <c r="BK21" s="835">
        <f t="shared" si="30"/>
        <v>0</v>
      </c>
      <c r="BL21" s="151"/>
      <c r="BM21" s="151"/>
      <c r="BN21" s="151"/>
      <c r="BO21" s="151"/>
      <c r="BP21" s="151"/>
      <c r="BQ21" s="151"/>
      <c r="BR21" s="151"/>
      <c r="BS21" s="151"/>
      <c r="BT21" s="151"/>
      <c r="BU21" s="835">
        <f t="shared" si="19"/>
        <v>0</v>
      </c>
      <c r="BV21" s="835">
        <f t="shared" si="20"/>
        <v>0</v>
      </c>
      <c r="BW21" s="151"/>
      <c r="BX21" s="151"/>
      <c r="BY21" s="151"/>
      <c r="BZ21" s="151"/>
      <c r="CA21" s="151"/>
      <c r="CB21" s="835">
        <f t="shared" si="21"/>
        <v>0</v>
      </c>
      <c r="CC21" s="151"/>
      <c r="CD21" s="151"/>
      <c r="CE21" s="151"/>
    </row>
    <row r="22" spans="2:83" ht="15.75">
      <c r="B22" s="248" t="str">
        <f t="shared" si="2"/>
        <v>D</v>
      </c>
      <c r="C22" s="249" t="s">
        <v>425</v>
      </c>
      <c r="D22" s="250" t="s">
        <v>256</v>
      </c>
      <c r="E22" s="250" t="s">
        <v>412</v>
      </c>
      <c r="F22" s="839">
        <f>Acquisition!L20</f>
        <v>68050</v>
      </c>
      <c r="G22" s="840">
        <f t="shared" si="3"/>
        <v>7.052828802351212</v>
      </c>
      <c r="H22" s="767">
        <f t="shared" si="22"/>
        <v>479945</v>
      </c>
      <c r="I22" s="841">
        <f>337145-30000</f>
        <v>307145</v>
      </c>
      <c r="J22" s="839">
        <v>0</v>
      </c>
      <c r="K22" s="839">
        <v>172800</v>
      </c>
      <c r="L22" s="389">
        <f t="shared" si="4"/>
        <v>479945</v>
      </c>
      <c r="M22" s="699"/>
      <c r="N22" s="132" t="str">
        <f t="shared" si="5"/>
        <v>D</v>
      </c>
      <c r="O22" s="1077">
        <f t="shared" si="6"/>
        <v>66464.160000000018</v>
      </c>
      <c r="P22" s="1077">
        <f t="shared" si="6"/>
        <v>99696.24</v>
      </c>
      <c r="Q22" s="829">
        <v>0</v>
      </c>
      <c r="R22" s="829">
        <v>0</v>
      </c>
      <c r="S22" s="829">
        <v>0</v>
      </c>
      <c r="T22" s="829">
        <v>0</v>
      </c>
      <c r="U22" s="830">
        <f t="shared" si="23"/>
        <v>9890.5</v>
      </c>
      <c r="V22" s="830">
        <f t="shared" si="24"/>
        <v>21759.1</v>
      </c>
      <c r="W22" s="830">
        <v>0</v>
      </c>
      <c r="X22" s="830">
        <v>0</v>
      </c>
      <c r="Y22" s="830">
        <v>60000</v>
      </c>
      <c r="Z22" s="830">
        <v>49335</v>
      </c>
      <c r="AA22" s="830">
        <v>0</v>
      </c>
      <c r="AB22" s="830">
        <v>0</v>
      </c>
      <c r="AC22" s="829">
        <v>0</v>
      </c>
      <c r="AD22" s="830">
        <v>172800</v>
      </c>
      <c r="AE22" s="830">
        <v>0</v>
      </c>
      <c r="AF22" s="254">
        <f t="shared" si="7"/>
        <v>0</v>
      </c>
      <c r="AG22" s="254">
        <f t="shared" si="8"/>
        <v>0</v>
      </c>
      <c r="AH22" s="782" t="str">
        <f t="shared" si="9"/>
        <v>D</v>
      </c>
      <c r="AI22" s="255">
        <f t="shared" si="10"/>
        <v>394518.75</v>
      </c>
      <c r="AJ22" s="1032">
        <f t="shared" si="11"/>
        <v>49848.12000000001</v>
      </c>
      <c r="AK22" s="1032">
        <f t="shared" si="12"/>
        <v>74772.180000000008</v>
      </c>
      <c r="AL22" s="1032">
        <f t="shared" si="13"/>
        <v>7417.875</v>
      </c>
      <c r="AM22" s="1032">
        <f t="shared" si="14"/>
        <v>16319.324999999999</v>
      </c>
      <c r="AN22" s="1032">
        <f t="shared" si="15"/>
        <v>45000</v>
      </c>
      <c r="AO22" s="1032">
        <f t="shared" si="16"/>
        <v>37001.25</v>
      </c>
      <c r="AP22" s="1032">
        <f t="shared" si="17"/>
        <v>0</v>
      </c>
      <c r="AQ22" s="1032">
        <f t="shared" si="18"/>
        <v>164160</v>
      </c>
      <c r="AR22" s="256">
        <v>0</v>
      </c>
      <c r="AS22" s="699"/>
      <c r="AT22" s="699"/>
      <c r="AU22" s="699"/>
      <c r="AV22" s="699"/>
      <c r="AW22" s="151"/>
      <c r="AX22" s="151"/>
      <c r="AY22" s="151"/>
      <c r="AZ22" s="151"/>
      <c r="BA22" s="151"/>
      <c r="BB22" s="835">
        <f t="shared" si="25"/>
        <v>0</v>
      </c>
      <c r="BC22" s="835">
        <f t="shared" si="26"/>
        <v>0</v>
      </c>
      <c r="BD22" s="151"/>
      <c r="BE22" s="151"/>
      <c r="BF22" s="151"/>
      <c r="BG22" s="151"/>
      <c r="BH22" s="835">
        <f t="shared" si="27"/>
        <v>0</v>
      </c>
      <c r="BI22" s="835">
        <f t="shared" si="28"/>
        <v>0</v>
      </c>
      <c r="BJ22" s="835">
        <f t="shared" si="29"/>
        <v>0</v>
      </c>
      <c r="BK22" s="835">
        <f t="shared" si="30"/>
        <v>0</v>
      </c>
      <c r="BL22" s="151"/>
      <c r="BM22" s="151"/>
      <c r="BN22" s="151"/>
      <c r="BO22" s="151"/>
      <c r="BP22" s="151"/>
      <c r="BQ22" s="151"/>
      <c r="BR22" s="151"/>
      <c r="BS22" s="151"/>
      <c r="BT22" s="151"/>
      <c r="BU22" s="835">
        <f t="shared" si="19"/>
        <v>0</v>
      </c>
      <c r="BV22" s="835">
        <f t="shared" si="20"/>
        <v>0</v>
      </c>
      <c r="BW22" s="151"/>
      <c r="BX22" s="151"/>
      <c r="BY22" s="151"/>
      <c r="BZ22" s="151"/>
      <c r="CA22" s="151"/>
      <c r="CB22" s="835">
        <f t="shared" si="21"/>
        <v>0</v>
      </c>
      <c r="CC22" s="151"/>
      <c r="CD22" s="151"/>
      <c r="CE22" s="151"/>
    </row>
    <row r="23" spans="2:83" ht="15.75">
      <c r="B23" s="248" t="str">
        <f t="shared" si="2"/>
        <v>E</v>
      </c>
      <c r="C23" s="249" t="s">
        <v>429</v>
      </c>
      <c r="D23" s="250" t="s">
        <v>257</v>
      </c>
      <c r="E23" s="250" t="s">
        <v>868</v>
      </c>
      <c r="F23" s="839">
        <f>Acquisition!L21</f>
        <v>42500</v>
      </c>
      <c r="G23" s="840">
        <f t="shared" si="3"/>
        <v>3.6164705882352943</v>
      </c>
      <c r="H23" s="767">
        <f t="shared" si="22"/>
        <v>153700</v>
      </c>
      <c r="I23" s="841">
        <f>159200-5500</f>
        <v>153700</v>
      </c>
      <c r="J23" s="839">
        <v>0</v>
      </c>
      <c r="K23" s="839">
        <v>0</v>
      </c>
      <c r="L23" s="389">
        <f t="shared" si="4"/>
        <v>153700</v>
      </c>
      <c r="M23" s="699"/>
      <c r="N23" s="132" t="str">
        <f t="shared" si="5"/>
        <v>E</v>
      </c>
      <c r="O23" s="1077">
        <f t="shared" si="6"/>
        <v>47745.600000000006</v>
      </c>
      <c r="P23" s="1077">
        <f t="shared" si="6"/>
        <v>71618.399999999994</v>
      </c>
      <c r="Q23" s="829">
        <v>0</v>
      </c>
      <c r="R23" s="829">
        <v>0</v>
      </c>
      <c r="S23" s="829">
        <v>0</v>
      </c>
      <c r="T23" s="829">
        <v>0</v>
      </c>
      <c r="U23" s="830">
        <f t="shared" si="23"/>
        <v>7105</v>
      </c>
      <c r="V23" s="830">
        <f t="shared" si="24"/>
        <v>15631</v>
      </c>
      <c r="W23" s="830">
        <v>0</v>
      </c>
      <c r="X23" s="830">
        <v>0</v>
      </c>
      <c r="Y23" s="830">
        <v>0</v>
      </c>
      <c r="Z23" s="830">
        <v>11600</v>
      </c>
      <c r="AA23" s="830">
        <v>0</v>
      </c>
      <c r="AB23" s="830">
        <v>0</v>
      </c>
      <c r="AC23" s="829">
        <v>0</v>
      </c>
      <c r="AD23" s="830">
        <v>0</v>
      </c>
      <c r="AE23" s="830">
        <v>0</v>
      </c>
      <c r="AF23" s="254">
        <f t="shared" si="7"/>
        <v>0</v>
      </c>
      <c r="AG23" s="254">
        <f t="shared" si="8"/>
        <v>0</v>
      </c>
      <c r="AH23" s="782" t="str">
        <f t="shared" si="9"/>
        <v>E</v>
      </c>
      <c r="AI23" s="255">
        <f t="shared" si="10"/>
        <v>115275</v>
      </c>
      <c r="AJ23" s="1032">
        <f t="shared" si="11"/>
        <v>35809.200000000004</v>
      </c>
      <c r="AK23" s="1032">
        <f t="shared" si="12"/>
        <v>53713.799999999996</v>
      </c>
      <c r="AL23" s="1032">
        <f t="shared" si="13"/>
        <v>5328.75</v>
      </c>
      <c r="AM23" s="1032">
        <f t="shared" si="14"/>
        <v>11723.25</v>
      </c>
      <c r="AN23" s="1032">
        <f t="shared" si="15"/>
        <v>0</v>
      </c>
      <c r="AO23" s="1032">
        <f t="shared" si="16"/>
        <v>8700</v>
      </c>
      <c r="AP23" s="1032">
        <f t="shared" si="17"/>
        <v>0</v>
      </c>
      <c r="AQ23" s="1032">
        <f t="shared" si="18"/>
        <v>0</v>
      </c>
      <c r="AR23" s="256">
        <v>0</v>
      </c>
      <c r="AS23" s="699"/>
      <c r="AT23" s="699"/>
      <c r="AU23" s="699"/>
      <c r="AV23" s="699"/>
      <c r="AW23" s="151"/>
      <c r="AX23" s="151"/>
      <c r="AY23" s="151"/>
      <c r="AZ23" s="151"/>
      <c r="BA23" s="151"/>
      <c r="BB23" s="835">
        <f t="shared" si="25"/>
        <v>0</v>
      </c>
      <c r="BC23" s="835">
        <f t="shared" si="26"/>
        <v>0</v>
      </c>
      <c r="BD23" s="151"/>
      <c r="BE23" s="151"/>
      <c r="BF23" s="151"/>
      <c r="BG23" s="151"/>
      <c r="BH23" s="835">
        <f t="shared" si="27"/>
        <v>0</v>
      </c>
      <c r="BI23" s="835">
        <f t="shared" si="28"/>
        <v>0</v>
      </c>
      <c r="BJ23" s="835">
        <f t="shared" si="29"/>
        <v>0</v>
      </c>
      <c r="BK23" s="835">
        <f t="shared" si="30"/>
        <v>0</v>
      </c>
      <c r="BL23" s="151"/>
      <c r="BM23" s="151"/>
      <c r="BN23" s="151"/>
      <c r="BO23" s="151"/>
      <c r="BP23" s="151"/>
      <c r="BQ23" s="151"/>
      <c r="BR23" s="151"/>
      <c r="BS23" s="151"/>
      <c r="BT23" s="151"/>
      <c r="BU23" s="835">
        <f t="shared" si="19"/>
        <v>0</v>
      </c>
      <c r="BV23" s="835">
        <f t="shared" si="20"/>
        <v>0</v>
      </c>
      <c r="BW23" s="151"/>
      <c r="BX23" s="151"/>
      <c r="BY23" s="151"/>
      <c r="BZ23" s="151"/>
      <c r="CA23" s="151"/>
      <c r="CB23" s="835">
        <f t="shared" si="21"/>
        <v>0</v>
      </c>
      <c r="CC23" s="151"/>
      <c r="CD23" s="151"/>
      <c r="CE23" s="151"/>
    </row>
    <row r="24" spans="2:83" ht="15.75">
      <c r="B24" s="248" t="str">
        <f t="shared" si="2"/>
        <v>F</v>
      </c>
      <c r="C24" s="249" t="s">
        <v>432</v>
      </c>
      <c r="D24" s="250" t="s">
        <v>256</v>
      </c>
      <c r="E24" s="250" t="s">
        <v>868</v>
      </c>
      <c r="F24" s="839">
        <f>Acquisition!L22</f>
        <v>31375</v>
      </c>
      <c r="G24" s="840">
        <f t="shared" si="3"/>
        <v>6.8669641434262951</v>
      </c>
      <c r="H24" s="767">
        <f t="shared" si="22"/>
        <v>215451</v>
      </c>
      <c r="I24" s="841">
        <f>190993+24458</f>
        <v>215451</v>
      </c>
      <c r="J24" s="839">
        <v>0</v>
      </c>
      <c r="K24" s="839">
        <v>0</v>
      </c>
      <c r="L24" s="389">
        <f t="shared" si="4"/>
        <v>215451</v>
      </c>
      <c r="M24" s="699"/>
      <c r="N24" s="132" t="str">
        <f t="shared" si="5"/>
        <v>F</v>
      </c>
      <c r="O24" s="1077">
        <f t="shared" si="6"/>
        <v>64602.720000000001</v>
      </c>
      <c r="P24" s="1077">
        <f t="shared" si="6"/>
        <v>96904.079999999987</v>
      </c>
      <c r="Q24" s="829">
        <v>0</v>
      </c>
      <c r="R24" s="829">
        <v>0</v>
      </c>
      <c r="S24" s="829">
        <v>0</v>
      </c>
      <c r="T24" s="829">
        <v>0</v>
      </c>
      <c r="U24" s="830">
        <f t="shared" si="23"/>
        <v>9613.5</v>
      </c>
      <c r="V24" s="830">
        <f t="shared" si="24"/>
        <v>21149.7</v>
      </c>
      <c r="W24" s="830">
        <v>0</v>
      </c>
      <c r="X24" s="830">
        <v>0</v>
      </c>
      <c r="Y24" s="830">
        <v>19687</v>
      </c>
      <c r="Z24" s="830">
        <v>3494</v>
      </c>
      <c r="AA24" s="830">
        <v>0</v>
      </c>
      <c r="AB24" s="830">
        <v>0</v>
      </c>
      <c r="AC24" s="829">
        <v>0</v>
      </c>
      <c r="AD24" s="830">
        <v>0</v>
      </c>
      <c r="AE24" s="830">
        <v>0</v>
      </c>
      <c r="AF24" s="254">
        <f t="shared" si="7"/>
        <v>0</v>
      </c>
      <c r="AG24" s="254">
        <f t="shared" si="8"/>
        <v>0</v>
      </c>
      <c r="AH24" s="782" t="str">
        <f t="shared" si="9"/>
        <v>F</v>
      </c>
      <c r="AI24" s="255">
        <f t="shared" si="10"/>
        <v>3762949.1572659267</v>
      </c>
      <c r="AJ24" s="1032">
        <f t="shared" si="11"/>
        <v>48452.04</v>
      </c>
      <c r="AK24" s="1032">
        <f t="shared" si="12"/>
        <v>72678.06</v>
      </c>
      <c r="AL24" s="1032">
        <f t="shared" si="13"/>
        <v>7210.125</v>
      </c>
      <c r="AM24" s="1032">
        <f t="shared" si="14"/>
        <v>15862.275000000001</v>
      </c>
      <c r="AN24" s="1032">
        <f t="shared" si="15"/>
        <v>14765.25</v>
      </c>
      <c r="AO24" s="1032">
        <f t="shared" si="16"/>
        <v>2620.5</v>
      </c>
      <c r="AP24" s="1032">
        <f t="shared" si="17"/>
        <v>0</v>
      </c>
      <c r="AQ24" s="1032">
        <f t="shared" si="18"/>
        <v>0</v>
      </c>
      <c r="AR24" s="184">
        <f>Acquisition!E5</f>
        <v>3601360.9072659267</v>
      </c>
      <c r="AS24" s="699"/>
      <c r="AT24" s="699"/>
      <c r="AU24" s="699"/>
      <c r="AV24" s="699"/>
      <c r="AW24" s="151"/>
      <c r="AX24" s="151"/>
      <c r="AY24" s="151"/>
      <c r="AZ24" s="151"/>
      <c r="BA24" s="151"/>
      <c r="BB24" s="835">
        <f t="shared" si="25"/>
        <v>0</v>
      </c>
      <c r="BC24" s="835">
        <f t="shared" si="26"/>
        <v>0</v>
      </c>
      <c r="BD24" s="151"/>
      <c r="BE24" s="151"/>
      <c r="BF24" s="151"/>
      <c r="BG24" s="151"/>
      <c r="BH24" s="835">
        <f t="shared" si="27"/>
        <v>0</v>
      </c>
      <c r="BI24" s="835">
        <f t="shared" si="28"/>
        <v>0</v>
      </c>
      <c r="BJ24" s="835">
        <f t="shared" si="29"/>
        <v>0</v>
      </c>
      <c r="BK24" s="835">
        <f t="shared" si="30"/>
        <v>0</v>
      </c>
      <c r="BL24" s="151"/>
      <c r="BM24" s="151"/>
      <c r="BN24" s="151"/>
      <c r="BO24" s="151"/>
      <c r="BP24" s="151"/>
      <c r="BQ24" s="151"/>
      <c r="BR24" s="151"/>
      <c r="BS24" s="151"/>
      <c r="BT24" s="151"/>
      <c r="BU24" s="835">
        <f t="shared" si="19"/>
        <v>0</v>
      </c>
      <c r="BV24" s="835">
        <f t="shared" si="20"/>
        <v>0</v>
      </c>
      <c r="BW24" s="151"/>
      <c r="BX24" s="151"/>
      <c r="BY24" s="151"/>
      <c r="BZ24" s="151"/>
      <c r="CA24" s="151"/>
      <c r="CB24" s="835">
        <f t="shared" si="21"/>
        <v>0</v>
      </c>
      <c r="CC24" s="151"/>
      <c r="CD24" s="151"/>
      <c r="CE24" s="151"/>
    </row>
    <row r="25" spans="2:83" ht="15.75">
      <c r="B25" s="248" t="str">
        <f t="shared" si="2"/>
        <v>G</v>
      </c>
      <c r="C25" s="249" t="s">
        <v>436</v>
      </c>
      <c r="D25" s="250" t="s">
        <v>257</v>
      </c>
      <c r="E25" s="250" t="s">
        <v>868</v>
      </c>
      <c r="F25" s="839">
        <f>Acquisition!L23</f>
        <v>14078</v>
      </c>
      <c r="G25" s="840">
        <f t="shared" si="3"/>
        <v>10.094544679641995</v>
      </c>
      <c r="H25" s="767">
        <f t="shared" si="22"/>
        <v>142111</v>
      </c>
      <c r="I25" s="841">
        <f>103350+15098+20502+3161</f>
        <v>142111</v>
      </c>
      <c r="J25" s="839">
        <v>0</v>
      </c>
      <c r="K25" s="839">
        <v>0</v>
      </c>
      <c r="L25" s="389">
        <f t="shared" si="4"/>
        <v>142111</v>
      </c>
      <c r="M25" s="699"/>
      <c r="N25" s="132" t="str">
        <f t="shared" si="5"/>
        <v>G</v>
      </c>
      <c r="O25" s="1077">
        <f t="shared" si="6"/>
        <v>41614.271999999997</v>
      </c>
      <c r="P25" s="1077">
        <f t="shared" si="6"/>
        <v>62421.407999999996</v>
      </c>
      <c r="Q25" s="829">
        <v>0</v>
      </c>
      <c r="R25" s="829">
        <v>0</v>
      </c>
      <c r="S25" s="829">
        <v>0</v>
      </c>
      <c r="T25" s="829">
        <v>0</v>
      </c>
      <c r="U25" s="830">
        <f t="shared" si="23"/>
        <v>6192.6</v>
      </c>
      <c r="V25" s="830">
        <f t="shared" si="24"/>
        <v>13623.72</v>
      </c>
      <c r="W25" s="830">
        <v>0</v>
      </c>
      <c r="X25" s="830">
        <v>0</v>
      </c>
      <c r="Y25" s="830">
        <v>0</v>
      </c>
      <c r="Z25" s="830">
        <f>3161+15098</f>
        <v>18259</v>
      </c>
      <c r="AA25" s="830">
        <v>0</v>
      </c>
      <c r="AB25" s="830">
        <v>0</v>
      </c>
      <c r="AC25" s="829">
        <v>0</v>
      </c>
      <c r="AD25" s="830">
        <v>0</v>
      </c>
      <c r="AE25" s="830">
        <v>0</v>
      </c>
      <c r="AF25" s="254">
        <f t="shared" si="7"/>
        <v>0</v>
      </c>
      <c r="AG25" s="254">
        <f t="shared" si="8"/>
        <v>0</v>
      </c>
      <c r="AH25" s="782" t="str">
        <f t="shared" si="9"/>
        <v>G</v>
      </c>
      <c r="AI25" s="255">
        <f t="shared" si="10"/>
        <v>1722518.1935056483</v>
      </c>
      <c r="AJ25" s="1032">
        <f t="shared" si="11"/>
        <v>31210.703999999998</v>
      </c>
      <c r="AK25" s="1032">
        <f t="shared" si="12"/>
        <v>46816.055999999997</v>
      </c>
      <c r="AL25" s="1032">
        <f t="shared" si="13"/>
        <v>4644.4500000000007</v>
      </c>
      <c r="AM25" s="1032">
        <f t="shared" si="14"/>
        <v>10217.789999999999</v>
      </c>
      <c r="AN25" s="1032">
        <f t="shared" si="15"/>
        <v>0</v>
      </c>
      <c r="AO25" s="1032">
        <f t="shared" si="16"/>
        <v>13694.25</v>
      </c>
      <c r="AP25" s="1032">
        <f t="shared" si="17"/>
        <v>0</v>
      </c>
      <c r="AQ25" s="1032">
        <f t="shared" si="18"/>
        <v>0</v>
      </c>
      <c r="AR25" s="184">
        <f>Acquisition!E6</f>
        <v>1615934.9435056483</v>
      </c>
      <c r="AS25" s="699"/>
      <c r="AT25" s="699"/>
      <c r="AU25" s="699"/>
      <c r="AV25" s="699"/>
      <c r="AW25" s="151"/>
      <c r="AX25" s="151"/>
      <c r="AY25" s="151"/>
      <c r="AZ25" s="151"/>
      <c r="BA25" s="151"/>
      <c r="BB25" s="835">
        <f t="shared" si="25"/>
        <v>0</v>
      </c>
      <c r="BC25" s="835">
        <f t="shared" si="26"/>
        <v>0</v>
      </c>
      <c r="BD25" s="151"/>
      <c r="BE25" s="151"/>
      <c r="BF25" s="151"/>
      <c r="BG25" s="151"/>
      <c r="BH25" s="835">
        <f t="shared" si="27"/>
        <v>0</v>
      </c>
      <c r="BI25" s="835">
        <f t="shared" si="28"/>
        <v>0</v>
      </c>
      <c r="BJ25" s="835">
        <f t="shared" si="29"/>
        <v>0</v>
      </c>
      <c r="BK25" s="835">
        <f t="shared" si="30"/>
        <v>0</v>
      </c>
      <c r="BL25" s="151"/>
      <c r="BM25" s="151"/>
      <c r="BN25" s="151"/>
      <c r="BO25" s="151"/>
      <c r="BP25" s="151"/>
      <c r="BQ25" s="151"/>
      <c r="BR25" s="151"/>
      <c r="BS25" s="151"/>
      <c r="BT25" s="151"/>
      <c r="BU25" s="835">
        <f t="shared" si="19"/>
        <v>0</v>
      </c>
      <c r="BV25" s="835">
        <f t="shared" si="20"/>
        <v>0</v>
      </c>
      <c r="BW25" s="151"/>
      <c r="BX25" s="151"/>
      <c r="BY25" s="151"/>
      <c r="BZ25" s="151"/>
      <c r="CA25" s="151"/>
      <c r="CB25" s="835">
        <f t="shared" si="21"/>
        <v>0</v>
      </c>
      <c r="CC25" s="151"/>
      <c r="CD25" s="151"/>
      <c r="CE25" s="151"/>
    </row>
    <row r="26" spans="2:83" ht="15.75">
      <c r="B26" s="248" t="str">
        <f t="shared" si="2"/>
        <v>H</v>
      </c>
      <c r="C26" s="249" t="s">
        <v>439</v>
      </c>
      <c r="D26" s="250" t="s">
        <v>255</v>
      </c>
      <c r="E26" s="250" t="s">
        <v>868</v>
      </c>
      <c r="F26" s="839">
        <f>Acquisition!L24</f>
        <v>43130</v>
      </c>
      <c r="G26" s="840">
        <f t="shared" si="3"/>
        <v>4.9344771620681662</v>
      </c>
      <c r="H26" s="767">
        <f t="shared" si="22"/>
        <v>212824</v>
      </c>
      <c r="I26" s="841">
        <f>18000+59900+28700+49200+57024</f>
        <v>212824</v>
      </c>
      <c r="J26" s="839">
        <v>0</v>
      </c>
      <c r="K26" s="839">
        <v>0</v>
      </c>
      <c r="L26" s="389">
        <f t="shared" si="4"/>
        <v>212824</v>
      </c>
      <c r="M26" s="699"/>
      <c r="N26" s="132" t="str">
        <f t="shared" si="5"/>
        <v>H</v>
      </c>
      <c r="O26" s="1077">
        <f t="shared" si="6"/>
        <v>65460.864000000001</v>
      </c>
      <c r="P26" s="1077">
        <f t="shared" si="6"/>
        <v>98191.296000000002</v>
      </c>
      <c r="Q26" s="829">
        <v>0</v>
      </c>
      <c r="R26" s="829">
        <v>0</v>
      </c>
      <c r="S26" s="829">
        <v>0</v>
      </c>
      <c r="T26" s="829">
        <v>0</v>
      </c>
      <c r="U26" s="830">
        <f t="shared" si="23"/>
        <v>9741.2000000000007</v>
      </c>
      <c r="V26" s="830">
        <f t="shared" si="24"/>
        <v>21430.639999999999</v>
      </c>
      <c r="W26" s="830">
        <v>0</v>
      </c>
      <c r="X26" s="830">
        <v>0</v>
      </c>
      <c r="Y26" s="830">
        <v>5500</v>
      </c>
      <c r="Z26" s="830">
        <v>12500</v>
      </c>
      <c r="AA26" s="830">
        <v>0</v>
      </c>
      <c r="AB26" s="830">
        <v>0</v>
      </c>
      <c r="AC26" s="829">
        <v>0</v>
      </c>
      <c r="AD26" s="830">
        <v>0</v>
      </c>
      <c r="AE26" s="830">
        <v>0</v>
      </c>
      <c r="AF26" s="254">
        <f t="shared" si="7"/>
        <v>0</v>
      </c>
      <c r="AG26" s="254">
        <f t="shared" si="8"/>
        <v>0</v>
      </c>
      <c r="AH26" s="782" t="str">
        <f t="shared" si="9"/>
        <v>H</v>
      </c>
      <c r="AI26" s="255">
        <f t="shared" si="10"/>
        <v>5110269.6631196616</v>
      </c>
      <c r="AJ26" s="1032">
        <f t="shared" si="11"/>
        <v>49095.648000000001</v>
      </c>
      <c r="AK26" s="1032">
        <f t="shared" si="12"/>
        <v>73643.472000000009</v>
      </c>
      <c r="AL26" s="1032">
        <f t="shared" si="13"/>
        <v>7305.9000000000005</v>
      </c>
      <c r="AM26" s="1032">
        <f t="shared" si="14"/>
        <v>16072.98</v>
      </c>
      <c r="AN26" s="1032">
        <f t="shared" si="15"/>
        <v>4125</v>
      </c>
      <c r="AO26" s="1032">
        <f t="shared" si="16"/>
        <v>9375</v>
      </c>
      <c r="AP26" s="1032">
        <f t="shared" si="17"/>
        <v>0</v>
      </c>
      <c r="AQ26" s="1032">
        <f t="shared" si="18"/>
        <v>0</v>
      </c>
      <c r="AR26" s="184">
        <f>Acquisition!E7</f>
        <v>4950651.6631196616</v>
      </c>
      <c r="AS26" s="699"/>
      <c r="AT26" s="699"/>
      <c r="AU26" s="699"/>
      <c r="AV26" s="699"/>
      <c r="AW26" s="151"/>
      <c r="AX26" s="151"/>
      <c r="AY26" s="151"/>
      <c r="AZ26" s="151"/>
      <c r="BA26" s="151"/>
      <c r="BB26" s="835">
        <f t="shared" si="25"/>
        <v>0</v>
      </c>
      <c r="BC26" s="835">
        <f t="shared" si="26"/>
        <v>0</v>
      </c>
      <c r="BD26" s="151"/>
      <c r="BE26" s="151"/>
      <c r="BF26" s="151"/>
      <c r="BG26" s="151"/>
      <c r="BH26" s="835">
        <f t="shared" si="27"/>
        <v>0</v>
      </c>
      <c r="BI26" s="835">
        <f t="shared" si="28"/>
        <v>0</v>
      </c>
      <c r="BJ26" s="835">
        <f t="shared" si="29"/>
        <v>0</v>
      </c>
      <c r="BK26" s="835">
        <f t="shared" si="30"/>
        <v>0</v>
      </c>
      <c r="BL26" s="151"/>
      <c r="BM26" s="151"/>
      <c r="BN26" s="151"/>
      <c r="BO26" s="151"/>
      <c r="BP26" s="151"/>
      <c r="BQ26" s="151"/>
      <c r="BR26" s="151"/>
      <c r="BS26" s="151"/>
      <c r="BT26" s="151"/>
      <c r="BU26" s="835">
        <f t="shared" si="19"/>
        <v>0</v>
      </c>
      <c r="BV26" s="835">
        <f t="shared" si="20"/>
        <v>0</v>
      </c>
      <c r="BW26" s="151"/>
      <c r="BX26" s="151"/>
      <c r="BY26" s="151"/>
      <c r="BZ26" s="151"/>
      <c r="CA26" s="151"/>
      <c r="CB26" s="835">
        <f t="shared" si="21"/>
        <v>0</v>
      </c>
      <c r="CC26" s="151"/>
      <c r="CD26" s="151"/>
      <c r="CE26" s="151"/>
    </row>
    <row r="27" spans="2:83" ht="15.75" outlineLevel="1">
      <c r="B27" s="248" t="str">
        <f t="shared" si="2"/>
        <v>I</v>
      </c>
      <c r="C27" s="249" t="s">
        <v>255</v>
      </c>
      <c r="D27" s="250" t="s">
        <v>256</v>
      </c>
      <c r="E27" s="250" t="s">
        <v>868</v>
      </c>
      <c r="F27" s="839">
        <f>Acquisition!L25</f>
        <v>9493</v>
      </c>
      <c r="G27" s="840">
        <f t="shared" si="3"/>
        <v>11.24533867059939</v>
      </c>
      <c r="H27" s="767">
        <f t="shared" si="22"/>
        <v>106752</v>
      </c>
      <c r="I27" s="841">
        <f>15387*5+10317+18000+1500</f>
        <v>106752</v>
      </c>
      <c r="J27" s="839">
        <v>0</v>
      </c>
      <c r="K27" s="839">
        <v>0</v>
      </c>
      <c r="L27" s="389">
        <f t="shared" si="4"/>
        <v>106752</v>
      </c>
      <c r="M27" s="699"/>
      <c r="N27" s="132" t="str">
        <f t="shared" si="5"/>
        <v>I</v>
      </c>
      <c r="O27" s="1077">
        <f t="shared" si="6"/>
        <v>31898.16</v>
      </c>
      <c r="P27" s="1077">
        <f t="shared" si="6"/>
        <v>47847.24</v>
      </c>
      <c r="Q27" s="829">
        <v>0</v>
      </c>
      <c r="R27" s="829">
        <v>0</v>
      </c>
      <c r="S27" s="829">
        <v>0</v>
      </c>
      <c r="T27" s="829">
        <v>0</v>
      </c>
      <c r="U27" s="830">
        <f t="shared" si="23"/>
        <v>4746.75</v>
      </c>
      <c r="V27" s="830">
        <f t="shared" si="24"/>
        <v>10442.85</v>
      </c>
      <c r="W27" s="830">
        <v>0</v>
      </c>
      <c r="X27" s="830">
        <v>0</v>
      </c>
      <c r="Y27" s="830">
        <v>0</v>
      </c>
      <c r="Z27" s="830">
        <f>1500+10317</f>
        <v>11817</v>
      </c>
      <c r="AA27" s="830">
        <v>0</v>
      </c>
      <c r="AB27" s="830">
        <v>0</v>
      </c>
      <c r="AC27" s="829">
        <v>0</v>
      </c>
      <c r="AD27" s="830">
        <v>0</v>
      </c>
      <c r="AE27" s="830">
        <v>0</v>
      </c>
      <c r="AF27" s="254">
        <f t="shared" si="7"/>
        <v>0</v>
      </c>
      <c r="AG27" s="254">
        <f t="shared" si="8"/>
        <v>0</v>
      </c>
      <c r="AH27" s="782" t="str">
        <f t="shared" si="9"/>
        <v>I</v>
      </c>
      <c r="AI27" s="255">
        <f t="shared" si="10"/>
        <v>1169712.4172964282</v>
      </c>
      <c r="AJ27" s="1032">
        <f t="shared" si="11"/>
        <v>23923.62</v>
      </c>
      <c r="AK27" s="1032">
        <f t="shared" si="12"/>
        <v>35885.43</v>
      </c>
      <c r="AL27" s="1032">
        <f t="shared" si="13"/>
        <v>3560.0625</v>
      </c>
      <c r="AM27" s="1032">
        <f t="shared" si="14"/>
        <v>7832.1375000000007</v>
      </c>
      <c r="AN27" s="1032">
        <f t="shared" si="15"/>
        <v>0</v>
      </c>
      <c r="AO27" s="1032">
        <f t="shared" si="16"/>
        <v>8862.75</v>
      </c>
      <c r="AP27" s="1032">
        <f t="shared" si="17"/>
        <v>0</v>
      </c>
      <c r="AQ27" s="1032">
        <f t="shared" si="18"/>
        <v>0</v>
      </c>
      <c r="AR27" s="184">
        <f>Acquisition!E8</f>
        <v>1089648.4172964282</v>
      </c>
      <c r="AS27" s="699"/>
      <c r="AT27" s="699"/>
      <c r="AU27" s="699"/>
      <c r="AV27" s="699"/>
      <c r="AW27" s="151"/>
      <c r="AX27" s="151"/>
      <c r="AY27" s="151"/>
      <c r="AZ27" s="151"/>
      <c r="BA27" s="151"/>
      <c r="BB27" s="835">
        <f t="shared" si="25"/>
        <v>0</v>
      </c>
      <c r="BC27" s="835">
        <f t="shared" si="26"/>
        <v>0</v>
      </c>
      <c r="BD27" s="151"/>
      <c r="BE27" s="151"/>
      <c r="BF27" s="151"/>
      <c r="BG27" s="151"/>
      <c r="BH27" s="835">
        <f t="shared" si="27"/>
        <v>0</v>
      </c>
      <c r="BI27" s="835">
        <f t="shared" si="28"/>
        <v>0</v>
      </c>
      <c r="BJ27" s="835">
        <f t="shared" si="29"/>
        <v>0</v>
      </c>
      <c r="BK27" s="835">
        <f t="shared" si="30"/>
        <v>0</v>
      </c>
      <c r="BL27" s="151"/>
      <c r="BM27" s="151"/>
      <c r="BN27" s="151"/>
      <c r="BO27" s="151"/>
      <c r="BP27" s="151"/>
      <c r="BQ27" s="151"/>
      <c r="BR27" s="151"/>
      <c r="BS27" s="151"/>
      <c r="BT27" s="151"/>
      <c r="BU27" s="835">
        <f t="shared" si="19"/>
        <v>0</v>
      </c>
      <c r="BV27" s="835">
        <f t="shared" si="20"/>
        <v>0</v>
      </c>
      <c r="BW27" s="151"/>
      <c r="BX27" s="151"/>
      <c r="BY27" s="151"/>
      <c r="BZ27" s="151"/>
      <c r="CA27" s="151"/>
      <c r="CB27" s="835">
        <f t="shared" si="21"/>
        <v>0</v>
      </c>
      <c r="CC27" s="151"/>
      <c r="CD27" s="151"/>
      <c r="CE27" s="151"/>
    </row>
    <row r="28" spans="2:83" ht="15.75" outlineLevel="1">
      <c r="B28" s="248" t="str">
        <f t="shared" si="2"/>
        <v>J</v>
      </c>
      <c r="C28" s="249" t="s">
        <v>869</v>
      </c>
      <c r="D28" s="250" t="s">
        <v>257</v>
      </c>
      <c r="E28" s="250" t="s">
        <v>868</v>
      </c>
      <c r="F28" s="839">
        <f>Acquisition!L26</f>
        <v>57385</v>
      </c>
      <c r="G28" s="840">
        <f t="shared" si="3"/>
        <v>7.4061165809880629</v>
      </c>
      <c r="H28" s="767">
        <f t="shared" si="22"/>
        <v>425000</v>
      </c>
      <c r="I28" s="841">
        <v>344000</v>
      </c>
      <c r="J28" s="839">
        <v>0</v>
      </c>
      <c r="K28" s="839">
        <v>81000</v>
      </c>
      <c r="L28" s="389">
        <f t="shared" ref="L28:L42" si="31">+SUM(I28:K28)</f>
        <v>425000</v>
      </c>
      <c r="M28" s="699"/>
      <c r="N28" s="132" t="str">
        <f t="shared" si="5"/>
        <v>J</v>
      </c>
      <c r="O28" s="1077">
        <f t="shared" si="6"/>
        <v>0</v>
      </c>
      <c r="P28" s="1077">
        <f t="shared" si="6"/>
        <v>0</v>
      </c>
      <c r="Q28" s="829">
        <v>0</v>
      </c>
      <c r="R28" s="829">
        <v>0</v>
      </c>
      <c r="S28" s="829">
        <v>0</v>
      </c>
      <c r="T28" s="829">
        <v>0</v>
      </c>
      <c r="U28" s="830">
        <v>24000</v>
      </c>
      <c r="V28" s="830">
        <v>48000</v>
      </c>
      <c r="W28" s="830">
        <v>0</v>
      </c>
      <c r="X28" s="830">
        <v>0</v>
      </c>
      <c r="Y28" s="830">
        <v>11790</v>
      </c>
      <c r="Z28" s="830">
        <v>9388</v>
      </c>
      <c r="AA28" s="830">
        <v>250822</v>
      </c>
      <c r="AB28" s="830">
        <v>0</v>
      </c>
      <c r="AC28" s="829">
        <v>0</v>
      </c>
      <c r="AD28" s="830">
        <v>81000</v>
      </c>
      <c r="AE28" s="830">
        <v>0</v>
      </c>
      <c r="AF28" s="254">
        <f t="shared" si="7"/>
        <v>0</v>
      </c>
      <c r="AG28" s="254">
        <f t="shared" si="8"/>
        <v>0</v>
      </c>
      <c r="AH28" s="782" t="str">
        <f t="shared" si="9"/>
        <v>J</v>
      </c>
      <c r="AI28" s="255">
        <f t="shared" si="10"/>
        <v>6921853.4474408031</v>
      </c>
      <c r="AJ28" s="1032">
        <f t="shared" si="11"/>
        <v>0</v>
      </c>
      <c r="AK28" s="1032">
        <f t="shared" si="12"/>
        <v>0</v>
      </c>
      <c r="AL28" s="1032">
        <f t="shared" si="13"/>
        <v>18000</v>
      </c>
      <c r="AM28" s="1032">
        <f t="shared" si="14"/>
        <v>36000</v>
      </c>
      <c r="AN28" s="1032">
        <f t="shared" si="15"/>
        <v>8842.5</v>
      </c>
      <c r="AO28" s="1032">
        <f t="shared" si="16"/>
        <v>7041</v>
      </c>
      <c r="AP28" s="1032">
        <f t="shared" si="17"/>
        <v>188116.5</v>
      </c>
      <c r="AQ28" s="1032">
        <f t="shared" si="18"/>
        <v>76950</v>
      </c>
      <c r="AR28" s="184">
        <f>Acquisition!E9</f>
        <v>6586903.4474408031</v>
      </c>
      <c r="AS28" s="699"/>
      <c r="AT28" s="699"/>
      <c r="AU28" s="699"/>
      <c r="AV28" s="699"/>
      <c r="AW28" s="151"/>
      <c r="AX28" s="151"/>
      <c r="AY28" s="151"/>
      <c r="AZ28" s="151"/>
      <c r="BA28" s="151"/>
      <c r="BB28" s="835">
        <f t="shared" si="25"/>
        <v>0</v>
      </c>
      <c r="BC28" s="835">
        <f t="shared" si="26"/>
        <v>0</v>
      </c>
      <c r="BD28" s="151"/>
      <c r="BE28" s="151"/>
      <c r="BF28" s="151"/>
      <c r="BG28" s="151"/>
      <c r="BH28" s="835">
        <f t="shared" si="27"/>
        <v>0</v>
      </c>
      <c r="BI28" s="835">
        <f t="shared" si="28"/>
        <v>0</v>
      </c>
      <c r="BJ28" s="835">
        <f t="shared" si="29"/>
        <v>0</v>
      </c>
      <c r="BK28" s="835">
        <f t="shared" si="30"/>
        <v>0</v>
      </c>
      <c r="BL28" s="151"/>
      <c r="BM28" s="151"/>
      <c r="BN28" s="151"/>
      <c r="BO28" s="151"/>
      <c r="BP28" s="151"/>
      <c r="BQ28" s="151"/>
      <c r="BR28" s="151"/>
      <c r="BS28" s="151"/>
      <c r="BT28" s="151"/>
      <c r="BU28" s="835">
        <f t="shared" si="19"/>
        <v>0</v>
      </c>
      <c r="BV28" s="835">
        <f t="shared" si="20"/>
        <v>0</v>
      </c>
      <c r="BW28" s="151"/>
      <c r="BX28" s="151"/>
      <c r="BY28" s="151"/>
      <c r="BZ28" s="151"/>
      <c r="CA28" s="151"/>
      <c r="CB28" s="835">
        <f t="shared" si="21"/>
        <v>0</v>
      </c>
      <c r="CC28" s="151"/>
      <c r="CD28" s="151"/>
      <c r="CE28" s="151"/>
    </row>
    <row r="29" spans="2:83" ht="15.75" hidden="1" outlineLevel="1">
      <c r="B29" s="248" t="str">
        <f t="shared" si="2"/>
        <v/>
      </c>
      <c r="C29" s="1047"/>
      <c r="D29" s="250"/>
      <c r="E29" s="250"/>
      <c r="F29" s="251">
        <f>+SUMIF('Parcel List'!$D$5:$D$39,$C29,'Parcel List'!$O$5:$O$39)</f>
        <v>0</v>
      </c>
      <c r="G29" s="252">
        <v>15</v>
      </c>
      <c r="H29" s="253">
        <f t="shared" si="22"/>
        <v>0</v>
      </c>
      <c r="I29" s="251">
        <v>0</v>
      </c>
      <c r="J29" s="251">
        <v>0</v>
      </c>
      <c r="K29" s="251">
        <v>0</v>
      </c>
      <c r="L29" s="18">
        <f t="shared" si="31"/>
        <v>0</v>
      </c>
      <c r="M29" s="699"/>
      <c r="N29" s="699"/>
      <c r="O29" s="1050">
        <f t="shared" ref="O29:P42" si="32">+($L29-SUM($Q29:$AC29))*O$16</f>
        <v>0</v>
      </c>
      <c r="P29" s="1050">
        <f t="shared" si="32"/>
        <v>0</v>
      </c>
      <c r="Q29" s="251">
        <v>0</v>
      </c>
      <c r="R29" s="251">
        <v>0</v>
      </c>
      <c r="S29" s="251">
        <v>0</v>
      </c>
      <c r="T29" s="251">
        <v>0</v>
      </c>
      <c r="U29" s="251">
        <v>0</v>
      </c>
      <c r="V29" s="251">
        <v>0</v>
      </c>
      <c r="W29" s="251"/>
      <c r="X29" s="251"/>
      <c r="Y29" s="251">
        <v>0</v>
      </c>
      <c r="Z29" s="251">
        <v>0</v>
      </c>
      <c r="AA29" s="251">
        <v>0</v>
      </c>
      <c r="AB29" s="251">
        <v>0</v>
      </c>
      <c r="AC29" s="251">
        <v>0</v>
      </c>
      <c r="AD29" s="251">
        <v>0</v>
      </c>
      <c r="AE29" s="251">
        <v>0</v>
      </c>
      <c r="AF29" s="254">
        <f t="shared" ref="AF29:AF42" si="33">+$L29-SUM($O29:$AC29)</f>
        <v>0</v>
      </c>
      <c r="AG29" s="254">
        <f t="shared" ref="AG29:AG42" si="34">+$K29-SUM(AB29:AC29)</f>
        <v>0</v>
      </c>
      <c r="AH29" s="699"/>
      <c r="AI29" s="255">
        <f t="shared" ref="AI29:AI42" si="35">+SUM(AJ29:BV29)</f>
        <v>0</v>
      </c>
      <c r="AJ29" s="1032">
        <f t="shared" si="11"/>
        <v>0</v>
      </c>
      <c r="AK29" s="1032">
        <f t="shared" si="12"/>
        <v>0</v>
      </c>
      <c r="AL29" s="1032">
        <f t="shared" si="13"/>
        <v>0</v>
      </c>
      <c r="AM29" s="1032">
        <f t="shared" si="14"/>
        <v>0</v>
      </c>
      <c r="AN29" s="1032">
        <f t="shared" si="15"/>
        <v>0</v>
      </c>
      <c r="AO29" s="1032">
        <f t="shared" si="16"/>
        <v>0</v>
      </c>
      <c r="AP29" s="1032">
        <f t="shared" si="17"/>
        <v>0</v>
      </c>
      <c r="AQ29" s="1032">
        <f t="shared" si="18"/>
        <v>0</v>
      </c>
      <c r="AR29" s="256"/>
      <c r="AS29" s="699"/>
      <c r="AT29" s="699"/>
      <c r="AU29" s="699"/>
      <c r="AV29" s="699"/>
      <c r="AW29" s="151"/>
      <c r="AX29" s="151"/>
      <c r="AY29" s="151"/>
      <c r="AZ29" s="151"/>
      <c r="BA29" s="151"/>
      <c r="BB29" s="835">
        <f t="shared" si="25"/>
        <v>0</v>
      </c>
      <c r="BC29" s="835">
        <f t="shared" si="26"/>
        <v>0</v>
      </c>
      <c r="BD29" s="151"/>
      <c r="BE29" s="151"/>
      <c r="BF29" s="151"/>
      <c r="BG29" s="151"/>
      <c r="BH29" s="835">
        <f t="shared" si="27"/>
        <v>0</v>
      </c>
      <c r="BI29" s="835">
        <f t="shared" si="28"/>
        <v>0</v>
      </c>
      <c r="BJ29" s="835">
        <f t="shared" si="29"/>
        <v>0</v>
      </c>
      <c r="BK29" s="835">
        <f t="shared" si="30"/>
        <v>0</v>
      </c>
      <c r="BL29" s="151"/>
      <c r="BM29" s="151"/>
      <c r="BN29" s="151"/>
      <c r="BO29" s="151"/>
      <c r="BP29" s="151"/>
      <c r="BQ29" s="151"/>
      <c r="BR29" s="151"/>
      <c r="BS29" s="151"/>
      <c r="BT29" s="151"/>
      <c r="BU29" s="835">
        <f t="shared" si="19"/>
        <v>0</v>
      </c>
      <c r="BV29" s="835">
        <f t="shared" si="20"/>
        <v>0</v>
      </c>
      <c r="BW29" s="151"/>
      <c r="BX29" s="151"/>
      <c r="BY29" s="151"/>
      <c r="BZ29" s="151"/>
      <c r="CA29" s="151"/>
      <c r="CB29" s="835">
        <f t="shared" si="21"/>
        <v>0</v>
      </c>
      <c r="CC29" s="151"/>
      <c r="CD29" s="151"/>
      <c r="CE29" s="151"/>
    </row>
    <row r="30" spans="2:83" ht="15.75" hidden="1" outlineLevel="1">
      <c r="B30" s="248" t="str">
        <f t="shared" si="2"/>
        <v/>
      </c>
      <c r="C30" s="1047"/>
      <c r="D30" s="250"/>
      <c r="E30" s="250"/>
      <c r="F30" s="251">
        <f>+SUMIF('Parcel List'!$D$5:$D$39,$C30,'Parcel List'!$O$5:$O$39)</f>
        <v>0</v>
      </c>
      <c r="G30" s="252">
        <v>15</v>
      </c>
      <c r="H30" s="253">
        <f t="shared" si="22"/>
        <v>0</v>
      </c>
      <c r="I30" s="251">
        <v>0</v>
      </c>
      <c r="J30" s="251">
        <v>0</v>
      </c>
      <c r="K30" s="251">
        <v>0</v>
      </c>
      <c r="L30" s="18">
        <f t="shared" si="31"/>
        <v>0</v>
      </c>
      <c r="M30" s="699"/>
      <c r="N30" s="699"/>
      <c r="O30" s="1050">
        <f t="shared" si="32"/>
        <v>0</v>
      </c>
      <c r="P30" s="1050">
        <f t="shared" si="32"/>
        <v>0</v>
      </c>
      <c r="Q30" s="251">
        <v>0</v>
      </c>
      <c r="R30" s="251">
        <v>0</v>
      </c>
      <c r="S30" s="251">
        <v>0</v>
      </c>
      <c r="T30" s="251">
        <v>0</v>
      </c>
      <c r="U30" s="251">
        <v>0</v>
      </c>
      <c r="V30" s="251">
        <v>0</v>
      </c>
      <c r="W30" s="251"/>
      <c r="X30" s="251"/>
      <c r="Y30" s="251">
        <v>0</v>
      </c>
      <c r="Z30" s="251">
        <v>0</v>
      </c>
      <c r="AA30" s="251">
        <v>0</v>
      </c>
      <c r="AB30" s="251">
        <v>0</v>
      </c>
      <c r="AC30" s="251">
        <v>0</v>
      </c>
      <c r="AD30" s="251">
        <v>0</v>
      </c>
      <c r="AE30" s="251">
        <v>0</v>
      </c>
      <c r="AF30" s="254">
        <f t="shared" si="33"/>
        <v>0</v>
      </c>
      <c r="AG30" s="254">
        <f t="shared" si="34"/>
        <v>0</v>
      </c>
      <c r="AH30" s="699"/>
      <c r="AI30" s="255">
        <f t="shared" si="35"/>
        <v>0</v>
      </c>
      <c r="AJ30" s="1032">
        <f t="shared" si="11"/>
        <v>0</v>
      </c>
      <c r="AK30" s="1032">
        <f t="shared" si="12"/>
        <v>0</v>
      </c>
      <c r="AL30" s="1032">
        <f t="shared" si="13"/>
        <v>0</v>
      </c>
      <c r="AM30" s="1032">
        <f t="shared" si="14"/>
        <v>0</v>
      </c>
      <c r="AN30" s="1032">
        <f t="shared" si="15"/>
        <v>0</v>
      </c>
      <c r="AO30" s="1032">
        <f t="shared" si="16"/>
        <v>0</v>
      </c>
      <c r="AP30" s="1032">
        <f t="shared" si="17"/>
        <v>0</v>
      </c>
      <c r="AQ30" s="1032">
        <f t="shared" si="18"/>
        <v>0</v>
      </c>
      <c r="AR30" s="256"/>
      <c r="AS30" s="699"/>
      <c r="AT30" s="699"/>
      <c r="AU30" s="699"/>
      <c r="AV30" s="699"/>
      <c r="AW30" s="151"/>
      <c r="AX30" s="151"/>
      <c r="AY30" s="151"/>
      <c r="AZ30" s="151"/>
      <c r="BA30" s="151"/>
      <c r="BB30" s="835">
        <f t="shared" si="25"/>
        <v>0</v>
      </c>
      <c r="BC30" s="835">
        <f t="shared" si="26"/>
        <v>0</v>
      </c>
      <c r="BD30" s="151"/>
      <c r="BE30" s="151"/>
      <c r="BF30" s="151"/>
      <c r="BG30" s="151"/>
      <c r="BH30" s="835">
        <f t="shared" si="27"/>
        <v>0</v>
      </c>
      <c r="BI30" s="835">
        <f t="shared" si="28"/>
        <v>0</v>
      </c>
      <c r="BJ30" s="835">
        <f t="shared" si="29"/>
        <v>0</v>
      </c>
      <c r="BK30" s="835">
        <f t="shared" si="30"/>
        <v>0</v>
      </c>
      <c r="BL30" s="151"/>
      <c r="BM30" s="151"/>
      <c r="BN30" s="151"/>
      <c r="BO30" s="151"/>
      <c r="BP30" s="151"/>
      <c r="BQ30" s="151"/>
      <c r="BR30" s="151"/>
      <c r="BS30" s="151"/>
      <c r="BT30" s="151"/>
      <c r="BU30" s="835">
        <f t="shared" si="19"/>
        <v>0</v>
      </c>
      <c r="BV30" s="835">
        <f t="shared" si="20"/>
        <v>0</v>
      </c>
      <c r="BW30" s="151"/>
      <c r="BX30" s="151"/>
      <c r="BY30" s="151"/>
      <c r="BZ30" s="151"/>
      <c r="CA30" s="151"/>
      <c r="CB30" s="835">
        <f t="shared" si="21"/>
        <v>0</v>
      </c>
      <c r="CC30" s="151"/>
      <c r="CD30" s="151"/>
      <c r="CE30" s="151"/>
    </row>
    <row r="31" spans="2:83" ht="15.75" hidden="1" outlineLevel="1">
      <c r="B31" s="248" t="str">
        <f t="shared" si="2"/>
        <v/>
      </c>
      <c r="C31" s="1047"/>
      <c r="D31" s="250"/>
      <c r="E31" s="250"/>
      <c r="F31" s="251">
        <f>+SUMIF('Parcel List'!$D$5:$D$39,$C31,'Parcel List'!$O$5:$O$39)</f>
        <v>0</v>
      </c>
      <c r="G31" s="252">
        <v>15</v>
      </c>
      <c r="H31" s="253">
        <f t="shared" si="22"/>
        <v>0</v>
      </c>
      <c r="I31" s="251">
        <v>0</v>
      </c>
      <c r="J31" s="251">
        <v>0</v>
      </c>
      <c r="K31" s="251">
        <v>0</v>
      </c>
      <c r="L31" s="18">
        <f t="shared" si="31"/>
        <v>0</v>
      </c>
      <c r="M31" s="699"/>
      <c r="N31" s="699"/>
      <c r="O31" s="1050">
        <f t="shared" si="32"/>
        <v>0</v>
      </c>
      <c r="P31" s="1050">
        <f t="shared" si="32"/>
        <v>0</v>
      </c>
      <c r="Q31" s="251">
        <v>0</v>
      </c>
      <c r="R31" s="251">
        <v>0</v>
      </c>
      <c r="S31" s="251">
        <v>0</v>
      </c>
      <c r="T31" s="251">
        <v>0</v>
      </c>
      <c r="U31" s="251">
        <v>0</v>
      </c>
      <c r="V31" s="251">
        <v>0</v>
      </c>
      <c r="W31" s="251"/>
      <c r="X31" s="251"/>
      <c r="Y31" s="251">
        <v>0</v>
      </c>
      <c r="Z31" s="251">
        <v>0</v>
      </c>
      <c r="AA31" s="251">
        <v>0</v>
      </c>
      <c r="AB31" s="251">
        <v>0</v>
      </c>
      <c r="AC31" s="251">
        <v>0</v>
      </c>
      <c r="AD31" s="251">
        <v>0</v>
      </c>
      <c r="AE31" s="251">
        <v>0</v>
      </c>
      <c r="AF31" s="254">
        <f t="shared" si="33"/>
        <v>0</v>
      </c>
      <c r="AG31" s="254">
        <f t="shared" si="34"/>
        <v>0</v>
      </c>
      <c r="AH31" s="699"/>
      <c r="AI31" s="255">
        <f t="shared" si="35"/>
        <v>0</v>
      </c>
      <c r="AJ31" s="1032">
        <f t="shared" si="11"/>
        <v>0</v>
      </c>
      <c r="AK31" s="1032">
        <f t="shared" si="12"/>
        <v>0</v>
      </c>
      <c r="AL31" s="1032">
        <f t="shared" si="13"/>
        <v>0</v>
      </c>
      <c r="AM31" s="1032">
        <f t="shared" si="14"/>
        <v>0</v>
      </c>
      <c r="AN31" s="1032">
        <f t="shared" si="15"/>
        <v>0</v>
      </c>
      <c r="AO31" s="1032">
        <f t="shared" si="16"/>
        <v>0</v>
      </c>
      <c r="AP31" s="1032">
        <f t="shared" si="17"/>
        <v>0</v>
      </c>
      <c r="AQ31" s="1032">
        <f t="shared" si="18"/>
        <v>0</v>
      </c>
      <c r="AR31" s="256"/>
      <c r="AS31" s="699"/>
      <c r="AT31" s="699"/>
      <c r="AU31" s="699"/>
      <c r="AV31" s="699"/>
      <c r="AW31" s="151"/>
      <c r="AX31" s="151"/>
      <c r="AY31" s="151"/>
      <c r="AZ31" s="151"/>
      <c r="BA31" s="151"/>
      <c r="BB31" s="835">
        <f t="shared" si="25"/>
        <v>0</v>
      </c>
      <c r="BC31" s="835">
        <f t="shared" si="26"/>
        <v>0</v>
      </c>
      <c r="BD31" s="151"/>
      <c r="BE31" s="151"/>
      <c r="BF31" s="151"/>
      <c r="BG31" s="151"/>
      <c r="BH31" s="835">
        <f t="shared" si="27"/>
        <v>0</v>
      </c>
      <c r="BI31" s="835">
        <f t="shared" si="28"/>
        <v>0</v>
      </c>
      <c r="BJ31" s="835">
        <f t="shared" si="29"/>
        <v>0</v>
      </c>
      <c r="BK31" s="835">
        <f t="shared" si="30"/>
        <v>0</v>
      </c>
      <c r="BL31" s="151"/>
      <c r="BM31" s="151"/>
      <c r="BN31" s="151"/>
      <c r="BO31" s="151"/>
      <c r="BP31" s="151"/>
      <c r="BQ31" s="151"/>
      <c r="BR31" s="151"/>
      <c r="BS31" s="151"/>
      <c r="BT31" s="151"/>
      <c r="BU31" s="835">
        <f t="shared" si="19"/>
        <v>0</v>
      </c>
      <c r="BV31" s="835">
        <f t="shared" si="20"/>
        <v>0</v>
      </c>
      <c r="BW31" s="151"/>
      <c r="BX31" s="151"/>
      <c r="BY31" s="151"/>
      <c r="BZ31" s="151"/>
      <c r="CA31" s="151"/>
      <c r="CB31" s="835">
        <f t="shared" si="21"/>
        <v>0</v>
      </c>
      <c r="CC31" s="151"/>
      <c r="CD31" s="151"/>
      <c r="CE31" s="151"/>
    </row>
    <row r="32" spans="2:83" ht="15.75" hidden="1" outlineLevel="1">
      <c r="B32" s="248" t="str">
        <f t="shared" si="2"/>
        <v/>
      </c>
      <c r="C32" s="1047"/>
      <c r="D32" s="250"/>
      <c r="E32" s="250"/>
      <c r="F32" s="251">
        <f>+SUMIF('Parcel List'!$D$5:$D$39,$C32,'Parcel List'!$O$5:$O$39)</f>
        <v>0</v>
      </c>
      <c r="G32" s="252">
        <v>15</v>
      </c>
      <c r="H32" s="253">
        <f t="shared" si="22"/>
        <v>0</v>
      </c>
      <c r="I32" s="251">
        <v>0</v>
      </c>
      <c r="J32" s="251">
        <v>0</v>
      </c>
      <c r="K32" s="251">
        <v>0</v>
      </c>
      <c r="L32" s="18">
        <f t="shared" si="31"/>
        <v>0</v>
      </c>
      <c r="M32" s="699"/>
      <c r="N32" s="699"/>
      <c r="O32" s="1050">
        <f t="shared" si="32"/>
        <v>0</v>
      </c>
      <c r="P32" s="1050">
        <f t="shared" si="32"/>
        <v>0</v>
      </c>
      <c r="Q32" s="251">
        <v>0</v>
      </c>
      <c r="R32" s="251">
        <v>0</v>
      </c>
      <c r="S32" s="251">
        <v>0</v>
      </c>
      <c r="T32" s="251">
        <v>0</v>
      </c>
      <c r="U32" s="251">
        <v>0</v>
      </c>
      <c r="V32" s="251">
        <v>0</v>
      </c>
      <c r="W32" s="251"/>
      <c r="X32" s="251"/>
      <c r="Y32" s="251">
        <v>0</v>
      </c>
      <c r="Z32" s="251">
        <v>0</v>
      </c>
      <c r="AA32" s="251">
        <v>0</v>
      </c>
      <c r="AB32" s="251">
        <v>0</v>
      </c>
      <c r="AC32" s="251">
        <v>0</v>
      </c>
      <c r="AD32" s="251">
        <v>0</v>
      </c>
      <c r="AE32" s="251">
        <v>0</v>
      </c>
      <c r="AF32" s="254">
        <f t="shared" si="33"/>
        <v>0</v>
      </c>
      <c r="AG32" s="254">
        <f t="shared" si="34"/>
        <v>0</v>
      </c>
      <c r="AH32" s="699"/>
      <c r="AI32" s="255">
        <f t="shared" si="35"/>
        <v>0</v>
      </c>
      <c r="AJ32" s="1032">
        <f t="shared" si="11"/>
        <v>0</v>
      </c>
      <c r="AK32" s="1032">
        <f t="shared" si="12"/>
        <v>0</v>
      </c>
      <c r="AL32" s="1032">
        <f t="shared" si="13"/>
        <v>0</v>
      </c>
      <c r="AM32" s="1032">
        <f t="shared" si="14"/>
        <v>0</v>
      </c>
      <c r="AN32" s="1032">
        <f t="shared" si="15"/>
        <v>0</v>
      </c>
      <c r="AO32" s="1032">
        <f t="shared" si="16"/>
        <v>0</v>
      </c>
      <c r="AP32" s="1032">
        <f t="shared" si="17"/>
        <v>0</v>
      </c>
      <c r="AQ32" s="1032">
        <f t="shared" si="18"/>
        <v>0</v>
      </c>
      <c r="AR32" s="256"/>
      <c r="AS32" s="699"/>
      <c r="AT32" s="699"/>
      <c r="AU32" s="699"/>
      <c r="AV32" s="699"/>
      <c r="AW32" s="151"/>
      <c r="AX32" s="151"/>
      <c r="AY32" s="151"/>
      <c r="AZ32" s="151"/>
      <c r="BA32" s="151"/>
      <c r="BB32" s="835">
        <f t="shared" si="25"/>
        <v>0</v>
      </c>
      <c r="BC32" s="835">
        <f t="shared" si="26"/>
        <v>0</v>
      </c>
      <c r="BD32" s="151"/>
      <c r="BE32" s="151"/>
      <c r="BF32" s="151"/>
      <c r="BG32" s="151"/>
      <c r="BH32" s="835">
        <f t="shared" si="27"/>
        <v>0</v>
      </c>
      <c r="BI32" s="835">
        <f t="shared" si="28"/>
        <v>0</v>
      </c>
      <c r="BJ32" s="835">
        <f t="shared" si="29"/>
        <v>0</v>
      </c>
      <c r="BK32" s="835">
        <f t="shared" si="30"/>
        <v>0</v>
      </c>
      <c r="BL32" s="151"/>
      <c r="BM32" s="151"/>
      <c r="BN32" s="151"/>
      <c r="BO32" s="151"/>
      <c r="BP32" s="151"/>
      <c r="BQ32" s="151"/>
      <c r="BR32" s="151"/>
      <c r="BS32" s="151"/>
      <c r="BT32" s="151"/>
      <c r="BU32" s="835">
        <f t="shared" si="19"/>
        <v>0</v>
      </c>
      <c r="BV32" s="835">
        <f t="shared" si="20"/>
        <v>0</v>
      </c>
      <c r="BW32" s="151"/>
      <c r="BX32" s="151"/>
      <c r="BY32" s="151"/>
      <c r="BZ32" s="151"/>
      <c r="CA32" s="151"/>
      <c r="CB32" s="835">
        <f t="shared" si="21"/>
        <v>0</v>
      </c>
      <c r="CC32" s="151"/>
      <c r="CD32" s="151"/>
      <c r="CE32" s="151"/>
    </row>
    <row r="33" spans="2:83" ht="15.75" hidden="1" outlineLevel="1">
      <c r="B33" s="248" t="str">
        <f t="shared" si="2"/>
        <v/>
      </c>
      <c r="C33" s="1047"/>
      <c r="D33" s="250"/>
      <c r="E33" s="250"/>
      <c r="F33" s="251">
        <f>+SUMIF('Parcel List'!$D$5:$D$39,$C33,'Parcel List'!$O$5:$O$39)</f>
        <v>0</v>
      </c>
      <c r="G33" s="252">
        <v>15</v>
      </c>
      <c r="H33" s="253">
        <f t="shared" si="22"/>
        <v>0</v>
      </c>
      <c r="I33" s="251"/>
      <c r="J33" s="251"/>
      <c r="K33" s="251"/>
      <c r="L33" s="18">
        <f t="shared" si="31"/>
        <v>0</v>
      </c>
      <c r="M33" s="699"/>
      <c r="N33" s="699"/>
      <c r="O33" s="1050">
        <f t="shared" si="32"/>
        <v>0</v>
      </c>
      <c r="P33" s="1050">
        <f t="shared" si="32"/>
        <v>0</v>
      </c>
      <c r="Q33" s="251">
        <v>0</v>
      </c>
      <c r="R33" s="251">
        <v>0</v>
      </c>
      <c r="S33" s="251">
        <v>0</v>
      </c>
      <c r="T33" s="251">
        <v>0</v>
      </c>
      <c r="U33" s="251">
        <v>0</v>
      </c>
      <c r="V33" s="251">
        <v>0</v>
      </c>
      <c r="W33" s="251"/>
      <c r="X33" s="251"/>
      <c r="Y33" s="251">
        <v>0</v>
      </c>
      <c r="Z33" s="251">
        <v>0</v>
      </c>
      <c r="AA33" s="251">
        <v>0</v>
      </c>
      <c r="AB33" s="251">
        <v>0</v>
      </c>
      <c r="AC33" s="251">
        <v>0</v>
      </c>
      <c r="AD33" s="251">
        <v>0</v>
      </c>
      <c r="AE33" s="251">
        <v>0</v>
      </c>
      <c r="AF33" s="254">
        <f t="shared" si="33"/>
        <v>0</v>
      </c>
      <c r="AG33" s="254">
        <f t="shared" si="34"/>
        <v>0</v>
      </c>
      <c r="AH33" s="699"/>
      <c r="AI33" s="255">
        <f t="shared" si="35"/>
        <v>0</v>
      </c>
      <c r="AJ33" s="1032">
        <f t="shared" si="11"/>
        <v>0</v>
      </c>
      <c r="AK33" s="1032">
        <f t="shared" si="12"/>
        <v>0</v>
      </c>
      <c r="AL33" s="1032">
        <f t="shared" si="13"/>
        <v>0</v>
      </c>
      <c r="AM33" s="1032">
        <f t="shared" si="14"/>
        <v>0</v>
      </c>
      <c r="AN33" s="1032">
        <f t="shared" si="15"/>
        <v>0</v>
      </c>
      <c r="AO33" s="1032">
        <f t="shared" si="16"/>
        <v>0</v>
      </c>
      <c r="AP33" s="1032">
        <f t="shared" si="17"/>
        <v>0</v>
      </c>
      <c r="AQ33" s="1032">
        <f t="shared" si="18"/>
        <v>0</v>
      </c>
      <c r="AR33" s="256"/>
      <c r="AS33" s="699"/>
      <c r="AT33" s="699"/>
      <c r="AU33" s="699"/>
      <c r="AV33" s="699"/>
      <c r="AW33" s="151"/>
      <c r="AX33" s="151"/>
      <c r="AY33" s="151"/>
      <c r="AZ33" s="151"/>
      <c r="BA33" s="151"/>
      <c r="BB33" s="835">
        <f t="shared" si="25"/>
        <v>0</v>
      </c>
      <c r="BC33" s="835">
        <f t="shared" si="26"/>
        <v>0</v>
      </c>
      <c r="BD33" s="151"/>
      <c r="BE33" s="151"/>
      <c r="BF33" s="151"/>
      <c r="BG33" s="151"/>
      <c r="BH33" s="835">
        <f t="shared" si="27"/>
        <v>0</v>
      </c>
      <c r="BI33" s="835">
        <f t="shared" si="28"/>
        <v>0</v>
      </c>
      <c r="BJ33" s="835">
        <f t="shared" si="29"/>
        <v>0</v>
      </c>
      <c r="BK33" s="835">
        <f t="shared" si="30"/>
        <v>0</v>
      </c>
      <c r="BL33" s="151"/>
      <c r="BM33" s="151"/>
      <c r="BN33" s="151"/>
      <c r="BO33" s="151"/>
      <c r="BP33" s="151"/>
      <c r="BQ33" s="151"/>
      <c r="BR33" s="151"/>
      <c r="BS33" s="151"/>
      <c r="BT33" s="151"/>
      <c r="BU33" s="835">
        <f t="shared" si="19"/>
        <v>0</v>
      </c>
      <c r="BV33" s="835">
        <f t="shared" si="20"/>
        <v>0</v>
      </c>
      <c r="BW33" s="151"/>
      <c r="BX33" s="151"/>
      <c r="BY33" s="151"/>
      <c r="BZ33" s="151"/>
      <c r="CA33" s="151"/>
      <c r="CB33" s="835">
        <f t="shared" si="21"/>
        <v>0</v>
      </c>
      <c r="CC33" s="151"/>
      <c r="CD33" s="151"/>
      <c r="CE33" s="151"/>
    </row>
    <row r="34" spans="2:83" ht="15.75" hidden="1" outlineLevel="1">
      <c r="B34" s="248" t="str">
        <f t="shared" si="2"/>
        <v/>
      </c>
      <c r="C34" s="1047"/>
      <c r="D34" s="250"/>
      <c r="E34" s="250"/>
      <c r="F34" s="251">
        <f>+SUMIF('Parcel List'!$D$5:$D$39,$C34,'Parcel List'!$O$5:$O$39)</f>
        <v>0</v>
      </c>
      <c r="G34" s="252">
        <v>15</v>
      </c>
      <c r="H34" s="253">
        <f t="shared" si="22"/>
        <v>0</v>
      </c>
      <c r="I34" s="251"/>
      <c r="J34" s="251"/>
      <c r="K34" s="251"/>
      <c r="L34" s="18">
        <f t="shared" si="31"/>
        <v>0</v>
      </c>
      <c r="M34" s="699"/>
      <c r="N34" s="699"/>
      <c r="O34" s="1050">
        <f t="shared" si="32"/>
        <v>0</v>
      </c>
      <c r="P34" s="1050">
        <f t="shared" si="32"/>
        <v>0</v>
      </c>
      <c r="Q34" s="251">
        <v>0</v>
      </c>
      <c r="R34" s="251">
        <v>0</v>
      </c>
      <c r="S34" s="251">
        <v>0</v>
      </c>
      <c r="T34" s="251">
        <v>0</v>
      </c>
      <c r="U34" s="251">
        <v>0</v>
      </c>
      <c r="V34" s="251">
        <v>0</v>
      </c>
      <c r="W34" s="251"/>
      <c r="X34" s="251"/>
      <c r="Y34" s="251">
        <v>0</v>
      </c>
      <c r="Z34" s="251">
        <v>0</v>
      </c>
      <c r="AA34" s="251">
        <v>0</v>
      </c>
      <c r="AB34" s="251">
        <v>0</v>
      </c>
      <c r="AC34" s="251">
        <v>0</v>
      </c>
      <c r="AD34" s="251">
        <v>0</v>
      </c>
      <c r="AE34" s="251">
        <v>0</v>
      </c>
      <c r="AF34" s="254">
        <f t="shared" si="33"/>
        <v>0</v>
      </c>
      <c r="AG34" s="254">
        <f t="shared" si="34"/>
        <v>0</v>
      </c>
      <c r="AH34" s="699"/>
      <c r="AI34" s="255">
        <f t="shared" si="35"/>
        <v>0</v>
      </c>
      <c r="AJ34" s="1032">
        <f t="shared" ref="AJ34:AJ42" si="36">+AJ$15*O34</f>
        <v>0</v>
      </c>
      <c r="AK34" s="1032">
        <f t="shared" ref="AK34:AK42" si="37">+AK$15*P34</f>
        <v>0</v>
      </c>
      <c r="AL34" s="1032">
        <f t="shared" si="13"/>
        <v>0</v>
      </c>
      <c r="AM34" s="1032">
        <f t="shared" si="14"/>
        <v>0</v>
      </c>
      <c r="AN34" s="1032">
        <f t="shared" si="15"/>
        <v>0</v>
      </c>
      <c r="AO34" s="1032">
        <f t="shared" si="16"/>
        <v>0</v>
      </c>
      <c r="AP34" s="1032">
        <f t="shared" si="17"/>
        <v>0</v>
      </c>
      <c r="AQ34" s="1032">
        <f t="shared" si="18"/>
        <v>0</v>
      </c>
      <c r="AR34" s="256"/>
      <c r="AS34" s="699"/>
      <c r="AT34" s="699"/>
      <c r="AU34" s="699"/>
      <c r="AV34" s="699"/>
      <c r="AW34" s="151"/>
      <c r="AX34" s="151"/>
      <c r="AY34" s="151"/>
      <c r="AZ34" s="151"/>
      <c r="BA34" s="151"/>
      <c r="BB34" s="835">
        <f t="shared" si="25"/>
        <v>0</v>
      </c>
      <c r="BC34" s="835">
        <f t="shared" si="26"/>
        <v>0</v>
      </c>
      <c r="BD34" s="151"/>
      <c r="BE34" s="151"/>
      <c r="BF34" s="151"/>
      <c r="BG34" s="151"/>
      <c r="BH34" s="835">
        <f t="shared" si="27"/>
        <v>0</v>
      </c>
      <c r="BI34" s="835">
        <f t="shared" si="28"/>
        <v>0</v>
      </c>
      <c r="BJ34" s="835">
        <f t="shared" si="29"/>
        <v>0</v>
      </c>
      <c r="BK34" s="835">
        <f t="shared" si="30"/>
        <v>0</v>
      </c>
      <c r="BL34" s="151"/>
      <c r="BM34" s="151"/>
      <c r="BN34" s="151"/>
      <c r="BO34" s="151"/>
      <c r="BP34" s="151"/>
      <c r="BQ34" s="151"/>
      <c r="BR34" s="151"/>
      <c r="BS34" s="151"/>
      <c r="BT34" s="151"/>
      <c r="BU34" s="835">
        <f t="shared" si="19"/>
        <v>0</v>
      </c>
      <c r="BV34" s="835">
        <f t="shared" si="20"/>
        <v>0</v>
      </c>
      <c r="BW34" s="151"/>
      <c r="BX34" s="151"/>
      <c r="BY34" s="151"/>
      <c r="BZ34" s="151"/>
      <c r="CA34" s="151"/>
      <c r="CB34" s="835">
        <f t="shared" si="21"/>
        <v>0</v>
      </c>
      <c r="CC34" s="151"/>
      <c r="CD34" s="151"/>
      <c r="CE34" s="151"/>
    </row>
    <row r="35" spans="2:83" ht="15.75" hidden="1" outlineLevel="1">
      <c r="B35" s="248" t="str">
        <f t="shared" si="2"/>
        <v/>
      </c>
      <c r="C35" s="1047"/>
      <c r="D35" s="250"/>
      <c r="E35" s="250"/>
      <c r="F35" s="251">
        <f>+SUMIF('Parcel List'!$D$5:$D$39,$C35,'Parcel List'!$O$5:$O$39)</f>
        <v>0</v>
      </c>
      <c r="G35" s="252">
        <v>15</v>
      </c>
      <c r="H35" s="253">
        <f t="shared" si="22"/>
        <v>0</v>
      </c>
      <c r="I35" s="251"/>
      <c r="J35" s="251"/>
      <c r="K35" s="251"/>
      <c r="L35" s="18">
        <f t="shared" si="31"/>
        <v>0</v>
      </c>
      <c r="M35" s="699"/>
      <c r="N35" s="699"/>
      <c r="O35" s="1050">
        <f t="shared" si="32"/>
        <v>0</v>
      </c>
      <c r="P35" s="1050">
        <f t="shared" si="32"/>
        <v>0</v>
      </c>
      <c r="Q35" s="251">
        <v>0</v>
      </c>
      <c r="R35" s="251">
        <v>0</v>
      </c>
      <c r="S35" s="251">
        <v>0</v>
      </c>
      <c r="T35" s="251">
        <v>0</v>
      </c>
      <c r="U35" s="251">
        <v>0</v>
      </c>
      <c r="V35" s="251">
        <v>0</v>
      </c>
      <c r="W35" s="251"/>
      <c r="X35" s="251"/>
      <c r="Y35" s="251">
        <v>0</v>
      </c>
      <c r="Z35" s="251">
        <v>0</v>
      </c>
      <c r="AA35" s="251">
        <v>0</v>
      </c>
      <c r="AB35" s="251">
        <v>0</v>
      </c>
      <c r="AC35" s="251">
        <v>0</v>
      </c>
      <c r="AD35" s="251">
        <v>0</v>
      </c>
      <c r="AE35" s="251">
        <v>0</v>
      </c>
      <c r="AF35" s="254">
        <f t="shared" si="33"/>
        <v>0</v>
      </c>
      <c r="AG35" s="254">
        <f t="shared" si="34"/>
        <v>0</v>
      </c>
      <c r="AH35" s="699"/>
      <c r="AI35" s="255">
        <f t="shared" si="35"/>
        <v>0</v>
      </c>
      <c r="AJ35" s="1032">
        <f t="shared" si="36"/>
        <v>0</v>
      </c>
      <c r="AK35" s="1032">
        <f t="shared" si="37"/>
        <v>0</v>
      </c>
      <c r="AL35" s="1032">
        <f t="shared" si="13"/>
        <v>0</v>
      </c>
      <c r="AM35" s="1032">
        <f t="shared" si="14"/>
        <v>0</v>
      </c>
      <c r="AN35" s="1032">
        <f t="shared" si="15"/>
        <v>0</v>
      </c>
      <c r="AO35" s="1032">
        <f t="shared" si="16"/>
        <v>0</v>
      </c>
      <c r="AP35" s="1032">
        <f t="shared" si="17"/>
        <v>0</v>
      </c>
      <c r="AQ35" s="1032">
        <f t="shared" si="18"/>
        <v>0</v>
      </c>
      <c r="AR35" s="256"/>
      <c r="AS35" s="699"/>
      <c r="AT35" s="699"/>
      <c r="AU35" s="699"/>
      <c r="AV35" s="699"/>
      <c r="AW35" s="151"/>
      <c r="AX35" s="151"/>
      <c r="AY35" s="151"/>
      <c r="AZ35" s="151"/>
      <c r="BA35" s="151"/>
      <c r="BB35" s="835">
        <f t="shared" si="25"/>
        <v>0</v>
      </c>
      <c r="BC35" s="835">
        <f t="shared" si="26"/>
        <v>0</v>
      </c>
      <c r="BD35" s="151"/>
      <c r="BE35" s="151"/>
      <c r="BF35" s="151"/>
      <c r="BG35" s="151"/>
      <c r="BH35" s="835">
        <f t="shared" si="27"/>
        <v>0</v>
      </c>
      <c r="BI35" s="835">
        <f t="shared" si="28"/>
        <v>0</v>
      </c>
      <c r="BJ35" s="835">
        <f t="shared" si="29"/>
        <v>0</v>
      </c>
      <c r="BK35" s="835">
        <f t="shared" si="30"/>
        <v>0</v>
      </c>
      <c r="BL35" s="151"/>
      <c r="BM35" s="151"/>
      <c r="BN35" s="151"/>
      <c r="BO35" s="151"/>
      <c r="BP35" s="151"/>
      <c r="BQ35" s="151"/>
      <c r="BR35" s="151"/>
      <c r="BS35" s="151"/>
      <c r="BT35" s="151"/>
      <c r="BU35" s="835">
        <f t="shared" si="19"/>
        <v>0</v>
      </c>
      <c r="BV35" s="835">
        <f t="shared" si="20"/>
        <v>0</v>
      </c>
      <c r="BW35" s="151"/>
      <c r="BX35" s="151"/>
      <c r="BY35" s="151"/>
      <c r="BZ35" s="151"/>
      <c r="CA35" s="151"/>
      <c r="CB35" s="835">
        <f t="shared" si="21"/>
        <v>0</v>
      </c>
      <c r="CC35" s="151"/>
      <c r="CD35" s="151"/>
      <c r="CE35" s="151"/>
    </row>
    <row r="36" spans="2:83" ht="15.75" hidden="1" outlineLevel="1">
      <c r="B36" s="248" t="str">
        <f t="shared" si="2"/>
        <v/>
      </c>
      <c r="C36" s="1047"/>
      <c r="D36" s="250"/>
      <c r="E36" s="250"/>
      <c r="F36" s="251">
        <f>+SUMIF('Parcel List'!$D$5:$D$39,$C36,'Parcel List'!$O$5:$O$39)</f>
        <v>0</v>
      </c>
      <c r="G36" s="252">
        <v>15</v>
      </c>
      <c r="H36" s="253">
        <f t="shared" si="22"/>
        <v>0</v>
      </c>
      <c r="I36" s="251"/>
      <c r="J36" s="251"/>
      <c r="K36" s="251"/>
      <c r="L36" s="18">
        <f t="shared" si="31"/>
        <v>0</v>
      </c>
      <c r="M36" s="699"/>
      <c r="N36" s="699"/>
      <c r="O36" s="1050">
        <f t="shared" si="32"/>
        <v>0</v>
      </c>
      <c r="P36" s="1050">
        <f t="shared" si="32"/>
        <v>0</v>
      </c>
      <c r="Q36" s="251">
        <v>0</v>
      </c>
      <c r="R36" s="251">
        <v>0</v>
      </c>
      <c r="S36" s="251">
        <v>0</v>
      </c>
      <c r="T36" s="251">
        <v>0</v>
      </c>
      <c r="U36" s="251">
        <v>0</v>
      </c>
      <c r="V36" s="251">
        <v>0</v>
      </c>
      <c r="W36" s="251"/>
      <c r="X36" s="251"/>
      <c r="Y36" s="251">
        <v>0</v>
      </c>
      <c r="Z36" s="251">
        <v>0</v>
      </c>
      <c r="AA36" s="251">
        <v>0</v>
      </c>
      <c r="AB36" s="251">
        <v>0</v>
      </c>
      <c r="AC36" s="251">
        <v>0</v>
      </c>
      <c r="AD36" s="251">
        <v>0</v>
      </c>
      <c r="AE36" s="251">
        <v>0</v>
      </c>
      <c r="AF36" s="254">
        <f t="shared" si="33"/>
        <v>0</v>
      </c>
      <c r="AG36" s="254">
        <f t="shared" si="34"/>
        <v>0</v>
      </c>
      <c r="AH36" s="699"/>
      <c r="AI36" s="255">
        <f t="shared" si="35"/>
        <v>0</v>
      </c>
      <c r="AJ36" s="1032">
        <f t="shared" si="36"/>
        <v>0</v>
      </c>
      <c r="AK36" s="1032">
        <f t="shared" si="37"/>
        <v>0</v>
      </c>
      <c r="AL36" s="1032">
        <f t="shared" si="13"/>
        <v>0</v>
      </c>
      <c r="AM36" s="1032">
        <f t="shared" si="14"/>
        <v>0</v>
      </c>
      <c r="AN36" s="1032">
        <f t="shared" si="15"/>
        <v>0</v>
      </c>
      <c r="AO36" s="1032">
        <f t="shared" si="16"/>
        <v>0</v>
      </c>
      <c r="AP36" s="1032">
        <f t="shared" si="17"/>
        <v>0</v>
      </c>
      <c r="AQ36" s="1032">
        <f t="shared" si="18"/>
        <v>0</v>
      </c>
      <c r="AR36" s="256"/>
      <c r="AS36" s="699"/>
      <c r="AT36" s="699"/>
      <c r="AU36" s="699"/>
      <c r="AV36" s="699"/>
      <c r="AW36" s="151"/>
      <c r="AX36" s="151"/>
      <c r="AY36" s="151"/>
      <c r="AZ36" s="151"/>
      <c r="BA36" s="151"/>
      <c r="BB36" s="835">
        <f t="shared" si="25"/>
        <v>0</v>
      </c>
      <c r="BC36" s="835">
        <f t="shared" si="26"/>
        <v>0</v>
      </c>
      <c r="BD36" s="151"/>
      <c r="BE36" s="151"/>
      <c r="BF36" s="151"/>
      <c r="BG36" s="151"/>
      <c r="BH36" s="835">
        <f t="shared" si="27"/>
        <v>0</v>
      </c>
      <c r="BI36" s="835">
        <f t="shared" si="28"/>
        <v>0</v>
      </c>
      <c r="BJ36" s="835">
        <f t="shared" si="29"/>
        <v>0</v>
      </c>
      <c r="BK36" s="835">
        <f t="shared" si="30"/>
        <v>0</v>
      </c>
      <c r="BL36" s="151"/>
      <c r="BM36" s="151"/>
      <c r="BN36" s="151"/>
      <c r="BO36" s="151"/>
      <c r="BP36" s="151"/>
      <c r="BQ36" s="151"/>
      <c r="BR36" s="151"/>
      <c r="BS36" s="151"/>
      <c r="BT36" s="151"/>
      <c r="BU36" s="835">
        <f t="shared" si="19"/>
        <v>0</v>
      </c>
      <c r="BV36" s="835">
        <f t="shared" si="20"/>
        <v>0</v>
      </c>
      <c r="BW36" s="151"/>
      <c r="BX36" s="151"/>
      <c r="BY36" s="151"/>
      <c r="BZ36" s="151"/>
      <c r="CA36" s="151"/>
      <c r="CB36" s="835">
        <f t="shared" si="21"/>
        <v>0</v>
      </c>
      <c r="CC36" s="151"/>
      <c r="CD36" s="151"/>
      <c r="CE36" s="151"/>
    </row>
    <row r="37" spans="2:83" ht="15.75" hidden="1" outlineLevel="1">
      <c r="B37" s="248" t="str">
        <f t="shared" si="2"/>
        <v/>
      </c>
      <c r="C37" s="1047"/>
      <c r="D37" s="250"/>
      <c r="E37" s="250"/>
      <c r="F37" s="251">
        <f>+SUMIF('Parcel List'!$D$5:$D$39,$C37,'Parcel List'!$O$5:$O$39)</f>
        <v>0</v>
      </c>
      <c r="G37" s="252">
        <v>15</v>
      </c>
      <c r="H37" s="253">
        <f t="shared" si="22"/>
        <v>0</v>
      </c>
      <c r="I37" s="251"/>
      <c r="J37" s="251"/>
      <c r="K37" s="251"/>
      <c r="L37" s="18">
        <f t="shared" si="31"/>
        <v>0</v>
      </c>
      <c r="M37" s="699"/>
      <c r="N37" s="699"/>
      <c r="O37" s="1050">
        <f t="shared" si="32"/>
        <v>0</v>
      </c>
      <c r="P37" s="1050">
        <f t="shared" si="32"/>
        <v>0</v>
      </c>
      <c r="Q37" s="251">
        <v>0</v>
      </c>
      <c r="R37" s="251">
        <v>0</v>
      </c>
      <c r="S37" s="251">
        <v>0</v>
      </c>
      <c r="T37" s="251">
        <v>0</v>
      </c>
      <c r="U37" s="251">
        <v>0</v>
      </c>
      <c r="V37" s="251">
        <v>0</v>
      </c>
      <c r="W37" s="251"/>
      <c r="X37" s="251"/>
      <c r="Y37" s="251">
        <v>0</v>
      </c>
      <c r="Z37" s="251">
        <v>0</v>
      </c>
      <c r="AA37" s="251">
        <v>0</v>
      </c>
      <c r="AB37" s="251">
        <v>0</v>
      </c>
      <c r="AC37" s="251">
        <v>0</v>
      </c>
      <c r="AD37" s="251">
        <v>0</v>
      </c>
      <c r="AE37" s="251">
        <v>0</v>
      </c>
      <c r="AF37" s="254">
        <f t="shared" si="33"/>
        <v>0</v>
      </c>
      <c r="AG37" s="254">
        <f t="shared" si="34"/>
        <v>0</v>
      </c>
      <c r="AH37" s="699"/>
      <c r="AI37" s="255">
        <f t="shared" si="35"/>
        <v>0</v>
      </c>
      <c r="AJ37" s="1032">
        <f t="shared" si="36"/>
        <v>0</v>
      </c>
      <c r="AK37" s="1032">
        <f t="shared" si="37"/>
        <v>0</v>
      </c>
      <c r="AL37" s="1032">
        <f t="shared" si="13"/>
        <v>0</v>
      </c>
      <c r="AM37" s="1032">
        <f t="shared" si="14"/>
        <v>0</v>
      </c>
      <c r="AN37" s="1032">
        <f t="shared" si="15"/>
        <v>0</v>
      </c>
      <c r="AO37" s="1032">
        <f t="shared" si="16"/>
        <v>0</v>
      </c>
      <c r="AP37" s="1032">
        <f t="shared" si="17"/>
        <v>0</v>
      </c>
      <c r="AQ37" s="1032">
        <f t="shared" si="18"/>
        <v>0</v>
      </c>
      <c r="AR37" s="256"/>
      <c r="AS37" s="699"/>
      <c r="AT37" s="699"/>
      <c r="AU37" s="699"/>
      <c r="AV37" s="699"/>
      <c r="AW37" s="151"/>
      <c r="AX37" s="151"/>
      <c r="AY37" s="151"/>
      <c r="AZ37" s="151"/>
      <c r="BA37" s="151"/>
      <c r="BB37" s="835">
        <f t="shared" si="25"/>
        <v>0</v>
      </c>
      <c r="BC37" s="835">
        <f t="shared" si="26"/>
        <v>0</v>
      </c>
      <c r="BD37" s="151"/>
      <c r="BE37" s="151"/>
      <c r="BF37" s="151"/>
      <c r="BG37" s="151"/>
      <c r="BH37" s="835">
        <f t="shared" si="27"/>
        <v>0</v>
      </c>
      <c r="BI37" s="835">
        <f t="shared" si="28"/>
        <v>0</v>
      </c>
      <c r="BJ37" s="835">
        <f t="shared" si="29"/>
        <v>0</v>
      </c>
      <c r="BK37" s="835">
        <f t="shared" si="30"/>
        <v>0</v>
      </c>
      <c r="BL37" s="151"/>
      <c r="BM37" s="151"/>
      <c r="BN37" s="151"/>
      <c r="BO37" s="151"/>
      <c r="BP37" s="151"/>
      <c r="BQ37" s="151"/>
      <c r="BR37" s="151"/>
      <c r="BS37" s="151"/>
      <c r="BT37" s="151"/>
      <c r="BU37" s="835">
        <f t="shared" si="19"/>
        <v>0</v>
      </c>
      <c r="BV37" s="835">
        <f t="shared" si="20"/>
        <v>0</v>
      </c>
      <c r="BW37" s="151"/>
      <c r="BX37" s="151"/>
      <c r="BY37" s="151"/>
      <c r="BZ37" s="151"/>
      <c r="CA37" s="151"/>
      <c r="CB37" s="835">
        <f t="shared" si="21"/>
        <v>0</v>
      </c>
      <c r="CC37" s="151"/>
      <c r="CD37" s="151"/>
      <c r="CE37" s="151"/>
    </row>
    <row r="38" spans="2:83" ht="15.75" hidden="1" outlineLevel="1">
      <c r="B38" s="248" t="str">
        <f t="shared" si="2"/>
        <v/>
      </c>
      <c r="C38" s="1047"/>
      <c r="D38" s="250"/>
      <c r="E38" s="250"/>
      <c r="F38" s="251">
        <f>+SUMIF('Parcel List'!$D$5:$D$39,$C38,'Parcel List'!$O$5:$O$39)</f>
        <v>0</v>
      </c>
      <c r="G38" s="252">
        <v>15</v>
      </c>
      <c r="H38" s="253">
        <f t="shared" si="22"/>
        <v>0</v>
      </c>
      <c r="I38" s="251"/>
      <c r="J38" s="251"/>
      <c r="K38" s="251"/>
      <c r="L38" s="18">
        <f t="shared" si="31"/>
        <v>0</v>
      </c>
      <c r="M38" s="699"/>
      <c r="N38" s="699"/>
      <c r="O38" s="1050">
        <f t="shared" si="32"/>
        <v>0</v>
      </c>
      <c r="P38" s="1050">
        <f t="shared" si="32"/>
        <v>0</v>
      </c>
      <c r="Q38" s="251">
        <v>0</v>
      </c>
      <c r="R38" s="251">
        <v>0</v>
      </c>
      <c r="S38" s="251">
        <v>0</v>
      </c>
      <c r="T38" s="251">
        <v>0</v>
      </c>
      <c r="U38" s="251">
        <v>0</v>
      </c>
      <c r="V38" s="251">
        <v>0</v>
      </c>
      <c r="W38" s="251"/>
      <c r="X38" s="251"/>
      <c r="Y38" s="251">
        <v>0</v>
      </c>
      <c r="Z38" s="251">
        <v>0</v>
      </c>
      <c r="AA38" s="251">
        <v>0</v>
      </c>
      <c r="AB38" s="251">
        <v>0</v>
      </c>
      <c r="AC38" s="251">
        <v>0</v>
      </c>
      <c r="AD38" s="251">
        <v>0</v>
      </c>
      <c r="AE38" s="251">
        <v>0</v>
      </c>
      <c r="AF38" s="254">
        <f t="shared" si="33"/>
        <v>0</v>
      </c>
      <c r="AG38" s="254">
        <f t="shared" si="34"/>
        <v>0</v>
      </c>
      <c r="AH38" s="699"/>
      <c r="AI38" s="255">
        <f t="shared" si="35"/>
        <v>0</v>
      </c>
      <c r="AJ38" s="1032">
        <f t="shared" si="36"/>
        <v>0</v>
      </c>
      <c r="AK38" s="1032">
        <f t="shared" si="37"/>
        <v>0</v>
      </c>
      <c r="AL38" s="1032">
        <f t="shared" si="13"/>
        <v>0</v>
      </c>
      <c r="AM38" s="1032">
        <f t="shared" si="14"/>
        <v>0</v>
      </c>
      <c r="AN38" s="1032">
        <f t="shared" si="15"/>
        <v>0</v>
      </c>
      <c r="AO38" s="1032">
        <f t="shared" si="16"/>
        <v>0</v>
      </c>
      <c r="AP38" s="1032">
        <f t="shared" si="17"/>
        <v>0</v>
      </c>
      <c r="AQ38" s="1032">
        <f t="shared" si="18"/>
        <v>0</v>
      </c>
      <c r="AR38" s="256"/>
      <c r="AS38" s="699"/>
      <c r="AT38" s="699"/>
      <c r="AU38" s="699"/>
      <c r="AV38" s="699"/>
      <c r="AW38" s="151"/>
      <c r="AX38" s="151"/>
      <c r="AY38" s="151"/>
      <c r="AZ38" s="151"/>
      <c r="BA38" s="151"/>
      <c r="BB38" s="835">
        <f t="shared" si="25"/>
        <v>0</v>
      </c>
      <c r="BC38" s="835">
        <f t="shared" si="26"/>
        <v>0</v>
      </c>
      <c r="BD38" s="151"/>
      <c r="BE38" s="151"/>
      <c r="BF38" s="151"/>
      <c r="BG38" s="151"/>
      <c r="BH38" s="835">
        <f t="shared" si="27"/>
        <v>0</v>
      </c>
      <c r="BI38" s="835">
        <f t="shared" si="28"/>
        <v>0</v>
      </c>
      <c r="BJ38" s="835">
        <f t="shared" si="29"/>
        <v>0</v>
      </c>
      <c r="BK38" s="835">
        <f t="shared" si="30"/>
        <v>0</v>
      </c>
      <c r="BL38" s="151"/>
      <c r="BM38" s="151"/>
      <c r="BN38" s="151"/>
      <c r="BO38" s="151"/>
      <c r="BP38" s="151"/>
      <c r="BQ38" s="151"/>
      <c r="BR38" s="151"/>
      <c r="BS38" s="151"/>
      <c r="BT38" s="151"/>
      <c r="BU38" s="835">
        <f t="shared" si="19"/>
        <v>0</v>
      </c>
      <c r="BV38" s="835">
        <f t="shared" si="20"/>
        <v>0</v>
      </c>
      <c r="BW38" s="151"/>
      <c r="BX38" s="151"/>
      <c r="BY38" s="151"/>
      <c r="BZ38" s="151"/>
      <c r="CA38" s="151"/>
      <c r="CB38" s="835">
        <f t="shared" si="21"/>
        <v>0</v>
      </c>
      <c r="CC38" s="151"/>
      <c r="CD38" s="151"/>
      <c r="CE38" s="151"/>
    </row>
    <row r="39" spans="2:83" ht="15.75" hidden="1" outlineLevel="1">
      <c r="B39" s="248" t="str">
        <f t="shared" si="2"/>
        <v/>
      </c>
      <c r="C39" s="1047"/>
      <c r="D39" s="250"/>
      <c r="E39" s="250"/>
      <c r="F39" s="251">
        <f>+SUMIF('Parcel List'!$D$5:$D$39,$C39,'Parcel List'!$O$5:$O$39)</f>
        <v>0</v>
      </c>
      <c r="G39" s="252">
        <v>15</v>
      </c>
      <c r="H39" s="253">
        <f t="shared" si="22"/>
        <v>0</v>
      </c>
      <c r="I39" s="251"/>
      <c r="J39" s="251"/>
      <c r="K39" s="251"/>
      <c r="L39" s="18">
        <f t="shared" si="31"/>
        <v>0</v>
      </c>
      <c r="M39" s="699"/>
      <c r="N39" s="699"/>
      <c r="O39" s="1050">
        <f t="shared" si="32"/>
        <v>0</v>
      </c>
      <c r="P39" s="1050">
        <f t="shared" si="32"/>
        <v>0</v>
      </c>
      <c r="Q39" s="251">
        <v>0</v>
      </c>
      <c r="R39" s="251">
        <v>0</v>
      </c>
      <c r="S39" s="251">
        <v>0</v>
      </c>
      <c r="T39" s="251">
        <v>0</v>
      </c>
      <c r="U39" s="251">
        <v>0</v>
      </c>
      <c r="V39" s="251">
        <v>0</v>
      </c>
      <c r="W39" s="251"/>
      <c r="X39" s="251"/>
      <c r="Y39" s="251">
        <v>0</v>
      </c>
      <c r="Z39" s="251">
        <v>0</v>
      </c>
      <c r="AA39" s="251">
        <v>0</v>
      </c>
      <c r="AB39" s="251">
        <v>0</v>
      </c>
      <c r="AC39" s="251">
        <v>0</v>
      </c>
      <c r="AD39" s="251">
        <v>0</v>
      </c>
      <c r="AE39" s="251">
        <v>0</v>
      </c>
      <c r="AF39" s="254">
        <f t="shared" si="33"/>
        <v>0</v>
      </c>
      <c r="AG39" s="254">
        <f t="shared" si="34"/>
        <v>0</v>
      </c>
      <c r="AH39" s="699"/>
      <c r="AI39" s="255">
        <f t="shared" si="35"/>
        <v>0</v>
      </c>
      <c r="AJ39" s="1032">
        <f t="shared" si="36"/>
        <v>0</v>
      </c>
      <c r="AK39" s="1032">
        <f t="shared" si="37"/>
        <v>0</v>
      </c>
      <c r="AL39" s="1032">
        <f t="shared" si="13"/>
        <v>0</v>
      </c>
      <c r="AM39" s="1032">
        <f t="shared" si="14"/>
        <v>0</v>
      </c>
      <c r="AN39" s="1032">
        <f t="shared" si="15"/>
        <v>0</v>
      </c>
      <c r="AO39" s="1032">
        <f t="shared" si="16"/>
        <v>0</v>
      </c>
      <c r="AP39" s="1032">
        <f t="shared" si="17"/>
        <v>0</v>
      </c>
      <c r="AQ39" s="1032">
        <f t="shared" si="18"/>
        <v>0</v>
      </c>
      <c r="AR39" s="256"/>
      <c r="AS39" s="699"/>
      <c r="AT39" s="699"/>
      <c r="AU39" s="699"/>
      <c r="AV39" s="699"/>
      <c r="AW39" s="151"/>
      <c r="AX39" s="151"/>
      <c r="AY39" s="151"/>
      <c r="AZ39" s="151"/>
      <c r="BA39" s="151"/>
      <c r="BB39" s="835">
        <f t="shared" si="25"/>
        <v>0</v>
      </c>
      <c r="BC39" s="835">
        <f t="shared" si="26"/>
        <v>0</v>
      </c>
      <c r="BD39" s="151"/>
      <c r="BE39" s="151"/>
      <c r="BF39" s="151"/>
      <c r="BG39" s="151"/>
      <c r="BH39" s="835">
        <f t="shared" si="27"/>
        <v>0</v>
      </c>
      <c r="BI39" s="835">
        <f t="shared" si="28"/>
        <v>0</v>
      </c>
      <c r="BJ39" s="835">
        <f t="shared" si="29"/>
        <v>0</v>
      </c>
      <c r="BK39" s="835">
        <f t="shared" si="30"/>
        <v>0</v>
      </c>
      <c r="BL39" s="151"/>
      <c r="BM39" s="151"/>
      <c r="BN39" s="151"/>
      <c r="BO39" s="151"/>
      <c r="BP39" s="151"/>
      <c r="BQ39" s="151"/>
      <c r="BR39" s="151"/>
      <c r="BS39" s="151"/>
      <c r="BT39" s="151"/>
      <c r="BU39" s="835">
        <f t="shared" si="19"/>
        <v>0</v>
      </c>
      <c r="BV39" s="835">
        <f t="shared" si="20"/>
        <v>0</v>
      </c>
      <c r="BW39" s="151"/>
      <c r="BX39" s="151"/>
      <c r="BY39" s="151"/>
      <c r="BZ39" s="151"/>
      <c r="CA39" s="151"/>
      <c r="CB39" s="835">
        <f t="shared" si="21"/>
        <v>0</v>
      </c>
      <c r="CC39" s="151"/>
      <c r="CD39" s="151"/>
      <c r="CE39" s="151"/>
    </row>
    <row r="40" spans="2:83" ht="15.75" hidden="1" outlineLevel="1">
      <c r="B40" s="248" t="str">
        <f t="shared" si="2"/>
        <v/>
      </c>
      <c r="C40" s="1047"/>
      <c r="D40" s="250"/>
      <c r="E40" s="250"/>
      <c r="F40" s="251">
        <f>+SUMIF('Parcel List'!$D$5:$D$39,$C40,'Parcel List'!$O$5:$O$39)</f>
        <v>0</v>
      </c>
      <c r="G40" s="252">
        <v>15</v>
      </c>
      <c r="H40" s="253">
        <f t="shared" si="22"/>
        <v>0</v>
      </c>
      <c r="I40" s="251"/>
      <c r="J40" s="251"/>
      <c r="K40" s="251"/>
      <c r="L40" s="18">
        <f t="shared" si="31"/>
        <v>0</v>
      </c>
      <c r="M40" s="699"/>
      <c r="N40" s="699"/>
      <c r="O40" s="1050">
        <f t="shared" si="32"/>
        <v>0</v>
      </c>
      <c r="P40" s="1050">
        <f t="shared" si="32"/>
        <v>0</v>
      </c>
      <c r="Q40" s="251">
        <v>0</v>
      </c>
      <c r="R40" s="251">
        <v>0</v>
      </c>
      <c r="S40" s="251">
        <v>0</v>
      </c>
      <c r="T40" s="251">
        <v>0</v>
      </c>
      <c r="U40" s="251">
        <v>0</v>
      </c>
      <c r="V40" s="251">
        <v>0</v>
      </c>
      <c r="W40" s="251"/>
      <c r="X40" s="251"/>
      <c r="Y40" s="251">
        <v>0</v>
      </c>
      <c r="Z40" s="251">
        <v>0</v>
      </c>
      <c r="AA40" s="251">
        <v>0</v>
      </c>
      <c r="AB40" s="251">
        <v>0</v>
      </c>
      <c r="AC40" s="251">
        <v>0</v>
      </c>
      <c r="AD40" s="251">
        <v>0</v>
      </c>
      <c r="AE40" s="251">
        <v>0</v>
      </c>
      <c r="AF40" s="254">
        <f t="shared" si="33"/>
        <v>0</v>
      </c>
      <c r="AG40" s="254">
        <f t="shared" si="34"/>
        <v>0</v>
      </c>
      <c r="AH40" s="699"/>
      <c r="AI40" s="255">
        <f t="shared" si="35"/>
        <v>0</v>
      </c>
      <c r="AJ40" s="1032">
        <f t="shared" si="36"/>
        <v>0</v>
      </c>
      <c r="AK40" s="1032">
        <f t="shared" si="37"/>
        <v>0</v>
      </c>
      <c r="AL40" s="1032">
        <f t="shared" si="13"/>
        <v>0</v>
      </c>
      <c r="AM40" s="1032">
        <f t="shared" si="14"/>
        <v>0</v>
      </c>
      <c r="AN40" s="1032">
        <f t="shared" si="15"/>
        <v>0</v>
      </c>
      <c r="AO40" s="1032">
        <f t="shared" si="16"/>
        <v>0</v>
      </c>
      <c r="AP40" s="1032">
        <f t="shared" si="17"/>
        <v>0</v>
      </c>
      <c r="AQ40" s="1032">
        <f t="shared" si="18"/>
        <v>0</v>
      </c>
      <c r="AR40" s="256"/>
      <c r="AS40" s="699"/>
      <c r="AT40" s="699"/>
      <c r="AU40" s="699"/>
      <c r="AV40" s="699"/>
      <c r="AW40" s="151"/>
      <c r="AX40" s="151"/>
      <c r="AY40" s="151"/>
      <c r="AZ40" s="151"/>
      <c r="BA40" s="151"/>
      <c r="BB40" s="835">
        <f t="shared" si="25"/>
        <v>0</v>
      </c>
      <c r="BC40" s="835">
        <f t="shared" si="26"/>
        <v>0</v>
      </c>
      <c r="BD40" s="151"/>
      <c r="BE40" s="151"/>
      <c r="BF40" s="151"/>
      <c r="BG40" s="151"/>
      <c r="BH40" s="835">
        <f t="shared" si="27"/>
        <v>0</v>
      </c>
      <c r="BI40" s="835">
        <f t="shared" si="28"/>
        <v>0</v>
      </c>
      <c r="BJ40" s="835">
        <f t="shared" si="29"/>
        <v>0</v>
      </c>
      <c r="BK40" s="835">
        <f t="shared" si="30"/>
        <v>0</v>
      </c>
      <c r="BL40" s="151"/>
      <c r="BM40" s="151"/>
      <c r="BN40" s="151"/>
      <c r="BO40" s="151"/>
      <c r="BP40" s="151"/>
      <c r="BQ40" s="151"/>
      <c r="BR40" s="151"/>
      <c r="BS40" s="151"/>
      <c r="BT40" s="151"/>
      <c r="BU40" s="835">
        <f t="shared" si="19"/>
        <v>0</v>
      </c>
      <c r="BV40" s="835">
        <f t="shared" si="20"/>
        <v>0</v>
      </c>
      <c r="BW40" s="151"/>
      <c r="BX40" s="151"/>
      <c r="BY40" s="151"/>
      <c r="BZ40" s="151"/>
      <c r="CA40" s="151"/>
      <c r="CB40" s="835">
        <f t="shared" si="21"/>
        <v>0</v>
      </c>
      <c r="CC40" s="151"/>
      <c r="CD40" s="151"/>
      <c r="CE40" s="151"/>
    </row>
    <row r="41" spans="2:83" ht="15.75" hidden="1" outlineLevel="1">
      <c r="B41" s="248" t="str">
        <f t="shared" si="2"/>
        <v/>
      </c>
      <c r="C41" s="1047"/>
      <c r="D41" s="250"/>
      <c r="E41" s="250"/>
      <c r="F41" s="251">
        <f>+SUMIF('Parcel List'!$D$5:$D$39,$C41,'Parcel List'!$O$5:$O$39)</f>
        <v>0</v>
      </c>
      <c r="G41" s="252">
        <v>15</v>
      </c>
      <c r="H41" s="253">
        <f t="shared" si="22"/>
        <v>0</v>
      </c>
      <c r="I41" s="251"/>
      <c r="J41" s="251"/>
      <c r="K41" s="251"/>
      <c r="L41" s="18">
        <f t="shared" si="31"/>
        <v>0</v>
      </c>
      <c r="M41" s="699"/>
      <c r="N41" s="699"/>
      <c r="O41" s="1050">
        <f t="shared" si="32"/>
        <v>0</v>
      </c>
      <c r="P41" s="1050">
        <f t="shared" si="32"/>
        <v>0</v>
      </c>
      <c r="Q41" s="251">
        <v>0</v>
      </c>
      <c r="R41" s="251">
        <v>0</v>
      </c>
      <c r="S41" s="251">
        <v>0</v>
      </c>
      <c r="T41" s="251">
        <v>0</v>
      </c>
      <c r="U41" s="251">
        <v>0</v>
      </c>
      <c r="V41" s="251">
        <v>0</v>
      </c>
      <c r="W41" s="251"/>
      <c r="X41" s="251"/>
      <c r="Y41" s="251">
        <v>0</v>
      </c>
      <c r="Z41" s="251">
        <v>0</v>
      </c>
      <c r="AA41" s="251">
        <v>0</v>
      </c>
      <c r="AB41" s="251">
        <v>0</v>
      </c>
      <c r="AC41" s="251">
        <v>0</v>
      </c>
      <c r="AD41" s="251">
        <v>0</v>
      </c>
      <c r="AE41" s="251">
        <v>0</v>
      </c>
      <c r="AF41" s="254">
        <f t="shared" si="33"/>
        <v>0</v>
      </c>
      <c r="AG41" s="254">
        <f t="shared" si="34"/>
        <v>0</v>
      </c>
      <c r="AH41" s="699"/>
      <c r="AI41" s="255">
        <f t="shared" si="35"/>
        <v>0</v>
      </c>
      <c r="AJ41" s="1032">
        <f t="shared" si="36"/>
        <v>0</v>
      </c>
      <c r="AK41" s="1032">
        <f t="shared" si="37"/>
        <v>0</v>
      </c>
      <c r="AL41" s="1032">
        <f t="shared" si="13"/>
        <v>0</v>
      </c>
      <c r="AM41" s="1032">
        <f t="shared" si="14"/>
        <v>0</v>
      </c>
      <c r="AN41" s="1032">
        <f t="shared" si="15"/>
        <v>0</v>
      </c>
      <c r="AO41" s="1032">
        <f t="shared" si="16"/>
        <v>0</v>
      </c>
      <c r="AP41" s="1032">
        <f t="shared" si="17"/>
        <v>0</v>
      </c>
      <c r="AQ41" s="1032">
        <f t="shared" si="18"/>
        <v>0</v>
      </c>
      <c r="AR41" s="256"/>
      <c r="AS41" s="699"/>
      <c r="AT41" s="699"/>
      <c r="AU41" s="699"/>
      <c r="AV41" s="699"/>
      <c r="AW41" s="151"/>
      <c r="AX41" s="151"/>
      <c r="AY41" s="151"/>
      <c r="AZ41" s="151"/>
      <c r="BA41" s="151"/>
      <c r="BB41" s="835">
        <f t="shared" si="25"/>
        <v>0</v>
      </c>
      <c r="BC41" s="835">
        <f t="shared" si="26"/>
        <v>0</v>
      </c>
      <c r="BD41" s="151"/>
      <c r="BE41" s="151"/>
      <c r="BF41" s="151"/>
      <c r="BG41" s="151"/>
      <c r="BH41" s="835">
        <f t="shared" si="27"/>
        <v>0</v>
      </c>
      <c r="BI41" s="835">
        <f t="shared" si="28"/>
        <v>0</v>
      </c>
      <c r="BJ41" s="835">
        <f t="shared" si="29"/>
        <v>0</v>
      </c>
      <c r="BK41" s="835">
        <f t="shared" si="30"/>
        <v>0</v>
      </c>
      <c r="BL41" s="151"/>
      <c r="BM41" s="151"/>
      <c r="BN41" s="151"/>
      <c r="BO41" s="151"/>
      <c r="BP41" s="151"/>
      <c r="BQ41" s="151"/>
      <c r="BR41" s="151"/>
      <c r="BS41" s="151"/>
      <c r="BT41" s="151"/>
      <c r="BU41" s="835">
        <f t="shared" si="19"/>
        <v>0</v>
      </c>
      <c r="BV41" s="835">
        <f t="shared" si="20"/>
        <v>0</v>
      </c>
      <c r="BW41" s="151"/>
      <c r="BX41" s="151"/>
      <c r="BY41" s="151"/>
      <c r="BZ41" s="151"/>
      <c r="CA41" s="151"/>
      <c r="CB41" s="835">
        <f t="shared" si="21"/>
        <v>0</v>
      </c>
      <c r="CC41" s="151"/>
      <c r="CD41" s="151"/>
      <c r="CE41" s="151"/>
    </row>
    <row r="42" spans="2:83" ht="15.75" hidden="1" outlineLevel="1">
      <c r="B42" s="248" t="str">
        <f t="shared" si="2"/>
        <v/>
      </c>
      <c r="C42" s="1047"/>
      <c r="D42" s="250"/>
      <c r="E42" s="250"/>
      <c r="F42" s="251">
        <f>+SUMIF('Parcel List'!$D$5:$D$39,$C42,'Parcel List'!$O$5:$O$39)</f>
        <v>0</v>
      </c>
      <c r="G42" s="252">
        <v>15</v>
      </c>
      <c r="H42" s="253">
        <f t="shared" si="22"/>
        <v>0</v>
      </c>
      <c r="I42" s="251"/>
      <c r="J42" s="251"/>
      <c r="K42" s="251"/>
      <c r="L42" s="18">
        <f t="shared" si="31"/>
        <v>0</v>
      </c>
      <c r="M42" s="699"/>
      <c r="N42" s="699"/>
      <c r="O42" s="1050">
        <f t="shared" si="32"/>
        <v>0</v>
      </c>
      <c r="P42" s="1050">
        <f t="shared" si="32"/>
        <v>0</v>
      </c>
      <c r="Q42" s="251">
        <v>0</v>
      </c>
      <c r="R42" s="251">
        <v>0</v>
      </c>
      <c r="S42" s="251">
        <v>0</v>
      </c>
      <c r="T42" s="251">
        <v>0</v>
      </c>
      <c r="U42" s="251">
        <v>0</v>
      </c>
      <c r="V42" s="251">
        <v>0</v>
      </c>
      <c r="W42" s="251"/>
      <c r="X42" s="251"/>
      <c r="Y42" s="251">
        <v>0</v>
      </c>
      <c r="Z42" s="251">
        <v>0</v>
      </c>
      <c r="AA42" s="251">
        <v>0</v>
      </c>
      <c r="AB42" s="251">
        <v>0</v>
      </c>
      <c r="AC42" s="251">
        <v>0</v>
      </c>
      <c r="AD42" s="251">
        <v>0</v>
      </c>
      <c r="AE42" s="251">
        <v>0</v>
      </c>
      <c r="AF42" s="254">
        <f t="shared" si="33"/>
        <v>0</v>
      </c>
      <c r="AG42" s="254">
        <f t="shared" si="34"/>
        <v>0</v>
      </c>
      <c r="AH42" s="699"/>
      <c r="AI42" s="255">
        <f t="shared" si="35"/>
        <v>0</v>
      </c>
      <c r="AJ42" s="1032">
        <f t="shared" si="36"/>
        <v>0</v>
      </c>
      <c r="AK42" s="1032">
        <f t="shared" si="37"/>
        <v>0</v>
      </c>
      <c r="AL42" s="1032">
        <f t="shared" si="13"/>
        <v>0</v>
      </c>
      <c r="AM42" s="1032">
        <f t="shared" si="14"/>
        <v>0</v>
      </c>
      <c r="AN42" s="1032">
        <f t="shared" si="15"/>
        <v>0</v>
      </c>
      <c r="AO42" s="1032">
        <f t="shared" si="16"/>
        <v>0</v>
      </c>
      <c r="AP42" s="1032">
        <f t="shared" si="17"/>
        <v>0</v>
      </c>
      <c r="AQ42" s="1032">
        <f t="shared" si="18"/>
        <v>0</v>
      </c>
      <c r="AR42" s="256"/>
      <c r="AS42" s="699"/>
      <c r="AT42" s="699"/>
      <c r="AU42" s="699"/>
      <c r="AV42" s="699"/>
      <c r="AW42" s="151"/>
      <c r="AX42" s="151"/>
      <c r="AY42" s="151"/>
      <c r="AZ42" s="151"/>
      <c r="BA42" s="151"/>
      <c r="BB42" s="835">
        <f t="shared" si="25"/>
        <v>0</v>
      </c>
      <c r="BC42" s="835">
        <f t="shared" si="26"/>
        <v>0</v>
      </c>
      <c r="BD42" s="151"/>
      <c r="BE42" s="151"/>
      <c r="BF42" s="151"/>
      <c r="BG42" s="151"/>
      <c r="BH42" s="835">
        <f t="shared" si="27"/>
        <v>0</v>
      </c>
      <c r="BI42" s="835">
        <f t="shared" si="28"/>
        <v>0</v>
      </c>
      <c r="BJ42" s="835">
        <f t="shared" si="29"/>
        <v>0</v>
      </c>
      <c r="BK42" s="835">
        <f t="shared" si="30"/>
        <v>0</v>
      </c>
      <c r="BL42" s="151"/>
      <c r="BM42" s="151"/>
      <c r="BN42" s="151"/>
      <c r="BO42" s="151"/>
      <c r="BP42" s="151"/>
      <c r="BQ42" s="151"/>
      <c r="BR42" s="151"/>
      <c r="BS42" s="151"/>
      <c r="BT42" s="151"/>
      <c r="BU42" s="835">
        <f t="shared" si="19"/>
        <v>0</v>
      </c>
      <c r="BV42" s="835">
        <f t="shared" si="20"/>
        <v>0</v>
      </c>
      <c r="BW42" s="151"/>
      <c r="BX42" s="151"/>
      <c r="BY42" s="151"/>
      <c r="BZ42" s="151"/>
      <c r="CA42" s="151"/>
      <c r="CB42" s="835">
        <f t="shared" si="21"/>
        <v>0</v>
      </c>
      <c r="CC42" s="151"/>
      <c r="CD42" s="151"/>
      <c r="CE42" s="151"/>
    </row>
    <row r="43" spans="2:83" ht="15.75">
      <c r="B43" s="699"/>
      <c r="C43" s="243" t="s">
        <v>258</v>
      </c>
      <c r="D43" s="243"/>
      <c r="E43" s="243"/>
      <c r="F43" s="572">
        <f>+SUM(F$19:F$42)</f>
        <v>416449</v>
      </c>
      <c r="G43" s="690">
        <f>+$L43/$F43</f>
        <v>5.9991043321030908</v>
      </c>
      <c r="H43" s="572">
        <f>+SUM(H$19:H$42)</f>
        <v>2498321</v>
      </c>
      <c r="I43" s="572">
        <f>+SUM(I$19:I$42)</f>
        <v>2092942</v>
      </c>
      <c r="J43" s="572">
        <f>+SUM(J$19:J$42)</f>
        <v>0</v>
      </c>
      <c r="K43" s="572">
        <f>+SUM(K$19:K$42)</f>
        <v>405379</v>
      </c>
      <c r="L43" s="572">
        <f>+SUM(L19:L42)</f>
        <v>2498321</v>
      </c>
      <c r="M43" s="132"/>
      <c r="N43" s="132"/>
      <c r="O43" s="280">
        <f t="shared" ref="O43:AC43" si="38">+SUM(O19:O42)</f>
        <v>476800.46399999992</v>
      </c>
      <c r="P43" s="280">
        <f t="shared" si="38"/>
        <v>715200.69599999988</v>
      </c>
      <c r="Q43" s="280">
        <f t="shared" si="38"/>
        <v>0</v>
      </c>
      <c r="R43" s="280">
        <f t="shared" si="38"/>
        <v>0</v>
      </c>
      <c r="S43" s="280">
        <f t="shared" si="38"/>
        <v>0</v>
      </c>
      <c r="T43" s="280">
        <f t="shared" si="38"/>
        <v>0</v>
      </c>
      <c r="U43" s="280">
        <f t="shared" si="38"/>
        <v>94952.45</v>
      </c>
      <c r="V43" s="280">
        <f t="shared" si="38"/>
        <v>204095.38999999998</v>
      </c>
      <c r="W43" s="280">
        <f t="shared" ref="W43:X43" si="39">+SUM(W19:W42)</f>
        <v>0</v>
      </c>
      <c r="X43" s="280">
        <f t="shared" si="39"/>
        <v>0</v>
      </c>
      <c r="Y43" s="280">
        <f>+SUM(Y19:Y42)</f>
        <v>134575</v>
      </c>
      <c r="Z43" s="280">
        <f t="shared" si="38"/>
        <v>216496</v>
      </c>
      <c r="AA43" s="280">
        <f t="shared" si="38"/>
        <v>250822</v>
      </c>
      <c r="AB43" s="280">
        <f t="shared" si="38"/>
        <v>0</v>
      </c>
      <c r="AC43" s="280">
        <f t="shared" si="38"/>
        <v>0</v>
      </c>
      <c r="AD43" s="280">
        <f>+SUM(AD19:AD42)</f>
        <v>405379</v>
      </c>
      <c r="AE43" s="280">
        <f>+SUM(AE19:AE42)</f>
        <v>0</v>
      </c>
      <c r="AF43" s="280">
        <f>+$L43-SUM($O43:$AE43)</f>
        <v>0</v>
      </c>
      <c r="AG43" s="280">
        <f>+$K43-SUM(AD43:AE43)</f>
        <v>0</v>
      </c>
      <c r="AH43" s="699"/>
      <c r="AI43" s="280">
        <f t="shared" ref="AI43:AQ43" ca="1" si="40">+SUM(AI19:AI42)</f>
        <v>72382539.106892034</v>
      </c>
      <c r="AJ43" s="280">
        <f t="shared" si="40"/>
        <v>357600.348</v>
      </c>
      <c r="AK43" s="280">
        <f t="shared" si="40"/>
        <v>536400.522</v>
      </c>
      <c r="AL43" s="280">
        <f t="shared" si="40"/>
        <v>71214.337499999994</v>
      </c>
      <c r="AM43" s="280">
        <f t="shared" si="40"/>
        <v>153071.54249999998</v>
      </c>
      <c r="AN43" s="280">
        <f>+SUM(AN19:AN42)</f>
        <v>100931.25</v>
      </c>
      <c r="AO43" s="280">
        <f t="shared" si="40"/>
        <v>162372</v>
      </c>
      <c r="AP43" s="280">
        <f t="shared" si="40"/>
        <v>188116.5</v>
      </c>
      <c r="AQ43" s="280">
        <f t="shared" si="40"/>
        <v>385110.05</v>
      </c>
      <c r="AR43" s="281">
        <f>+SUM(AR19:AR42)</f>
        <v>70427722.556892037</v>
      </c>
      <c r="AS43" s="699"/>
      <c r="AT43" s="699"/>
      <c r="AU43" s="699"/>
      <c r="AV43" s="699"/>
      <c r="AW43" s="151"/>
      <c r="AX43" s="151"/>
      <c r="AY43" s="151"/>
      <c r="AZ43" s="151"/>
      <c r="BA43" s="151"/>
      <c r="BB43" s="835">
        <f t="shared" si="25"/>
        <v>0</v>
      </c>
      <c r="BC43" s="835">
        <f t="shared" si="26"/>
        <v>0</v>
      </c>
      <c r="BD43" s="151"/>
      <c r="BE43" s="151"/>
      <c r="BF43" s="151"/>
      <c r="BG43" s="151"/>
      <c r="BH43" s="835">
        <f t="shared" si="27"/>
        <v>0</v>
      </c>
      <c r="BI43" s="835">
        <f t="shared" si="28"/>
        <v>0</v>
      </c>
      <c r="BJ43" s="835">
        <f t="shared" si="29"/>
        <v>0</v>
      </c>
      <c r="BK43" s="835">
        <f t="shared" si="30"/>
        <v>0</v>
      </c>
      <c r="BL43" s="151"/>
      <c r="BM43" s="151"/>
      <c r="BN43" s="151"/>
      <c r="BO43" s="151"/>
      <c r="BP43" s="151"/>
      <c r="BQ43" s="151"/>
      <c r="BR43" s="151"/>
      <c r="BS43" s="151"/>
      <c r="BT43" s="151"/>
      <c r="BU43" s="751">
        <f>+SUM(BU19:BU42)</f>
        <v>0</v>
      </c>
      <c r="BV43" s="751">
        <f>+SUM(BV19:BV42)</f>
        <v>0</v>
      </c>
      <c r="BW43" s="151"/>
      <c r="BX43" s="151"/>
      <c r="BY43" s="151"/>
      <c r="BZ43" s="151"/>
      <c r="CA43" s="151"/>
      <c r="CB43" s="751">
        <f>+SUM(CB19:CB42)</f>
        <v>0</v>
      </c>
      <c r="CC43" s="151"/>
      <c r="CD43" s="151"/>
      <c r="CE43" s="151"/>
    </row>
    <row r="44" spans="2:83" ht="15.75">
      <c r="B44" s="699"/>
      <c r="C44" s="243" t="s">
        <v>254</v>
      </c>
      <c r="D44" s="243" t="s">
        <v>255</v>
      </c>
      <c r="E44" s="243"/>
      <c r="F44" s="572">
        <f>+SUMIF($D$19:$D$42,$D44,F$19:F$42)</f>
        <v>193568</v>
      </c>
      <c r="G44" s="573">
        <f>+$L44/$F44</f>
        <v>5.0388597288808068</v>
      </c>
      <c r="H44" s="572">
        <f t="shared" ref="H44:L46" si="41">+SUMIF($D$19:$D$42,$D44,H$19:H$42)</f>
        <v>975362</v>
      </c>
      <c r="I44" s="572">
        <f t="shared" si="41"/>
        <v>823783</v>
      </c>
      <c r="J44" s="572">
        <f t="shared" si="41"/>
        <v>0</v>
      </c>
      <c r="K44" s="572">
        <f t="shared" si="41"/>
        <v>151579</v>
      </c>
      <c r="L44" s="572">
        <f t="shared" si="41"/>
        <v>975362</v>
      </c>
      <c r="M44" s="132"/>
      <c r="N44" s="132"/>
      <c r="O44" s="280">
        <f t="shared" ref="O44:X46" si="42">+SUMIF($D$19:$D$42,$D44,O$19:O$42)</f>
        <v>224475.552</v>
      </c>
      <c r="P44" s="280">
        <f t="shared" si="42"/>
        <v>336713.32799999998</v>
      </c>
      <c r="Q44" s="280">
        <f t="shared" si="42"/>
        <v>0</v>
      </c>
      <c r="R44" s="280">
        <f t="shared" si="42"/>
        <v>0</v>
      </c>
      <c r="S44" s="280">
        <f t="shared" si="42"/>
        <v>0</v>
      </c>
      <c r="T44" s="280">
        <f t="shared" si="42"/>
        <v>0</v>
      </c>
      <c r="U44" s="280">
        <f t="shared" si="42"/>
        <v>33404.100000000006</v>
      </c>
      <c r="V44" s="280">
        <f t="shared" si="42"/>
        <v>73489.01999999999</v>
      </c>
      <c r="W44" s="280">
        <f t="shared" si="42"/>
        <v>0</v>
      </c>
      <c r="X44" s="280">
        <f t="shared" si="42"/>
        <v>0</v>
      </c>
      <c r="Y44" s="280">
        <f t="shared" ref="Y44:AE46" si="43">+SUMIF($D$19:$D$42,$D44,Y$19:Y$42)</f>
        <v>43098</v>
      </c>
      <c r="Z44" s="280">
        <f t="shared" si="43"/>
        <v>112603</v>
      </c>
      <c r="AA44" s="280">
        <f t="shared" si="43"/>
        <v>0</v>
      </c>
      <c r="AB44" s="280">
        <f t="shared" si="43"/>
        <v>0</v>
      </c>
      <c r="AC44" s="280">
        <f t="shared" si="43"/>
        <v>0</v>
      </c>
      <c r="AD44" s="280">
        <f t="shared" si="43"/>
        <v>151579</v>
      </c>
      <c r="AE44" s="280">
        <f t="shared" si="43"/>
        <v>0</v>
      </c>
      <c r="AF44" s="280">
        <f>+$L44-SUM($O44:$AE44)</f>
        <v>0</v>
      </c>
      <c r="AG44" s="280">
        <f>+$K44-SUM(AD44:AE44)</f>
        <v>0</v>
      </c>
      <c r="AH44" s="699"/>
      <c r="AI44" s="280">
        <f t="shared" ref="AI44:AM46" ca="1" si="44">+SUMIF($D$19:$D$42,$D44,AI$19:AI$42)</f>
        <v>58295712.141383238</v>
      </c>
      <c r="AJ44" s="280">
        <f t="shared" si="44"/>
        <v>168356.66399999999</v>
      </c>
      <c r="AK44" s="280">
        <f t="shared" si="44"/>
        <v>252534.99599999998</v>
      </c>
      <c r="AL44" s="280">
        <f t="shared" si="44"/>
        <v>25053.075000000004</v>
      </c>
      <c r="AM44" s="280">
        <f t="shared" si="44"/>
        <v>55116.764999999999</v>
      </c>
      <c r="AN44" s="280">
        <f t="shared" ref="AN44:AQ46" si="45">+SUMIF($D$19:$D$42,$D44,AN$19:AN$42)</f>
        <v>32323.5</v>
      </c>
      <c r="AO44" s="280">
        <f t="shared" si="45"/>
        <v>84452.25</v>
      </c>
      <c r="AP44" s="280">
        <f t="shared" si="45"/>
        <v>0</v>
      </c>
      <c r="AQ44" s="280">
        <f t="shared" si="45"/>
        <v>144000.04999999999</v>
      </c>
      <c r="AR44" s="281">
        <f>+SUMIF($D$19:$D$42,$D44,AR$19:AR$42)</f>
        <v>57533874.841383234</v>
      </c>
      <c r="AS44" s="699"/>
      <c r="AT44" s="699"/>
      <c r="AU44" s="699"/>
      <c r="AV44" s="699"/>
      <c r="AW44" s="151"/>
      <c r="AX44" s="151"/>
      <c r="AY44" s="151"/>
      <c r="AZ44" s="151"/>
      <c r="BA44" s="151"/>
      <c r="BB44" s="751">
        <f t="shared" ref="BB44:BC44" si="46">+SUM(BB20:BB43)</f>
        <v>0</v>
      </c>
      <c r="BC44" s="751">
        <f t="shared" si="46"/>
        <v>0</v>
      </c>
      <c r="BD44" s="151"/>
      <c r="BE44" s="151"/>
      <c r="BF44" s="151"/>
      <c r="BG44" s="151"/>
      <c r="BH44" s="751">
        <f>+SUM(BH20:BH43)</f>
        <v>0</v>
      </c>
      <c r="BI44" s="751">
        <f>+SUM(BI20:BI43)</f>
        <v>0</v>
      </c>
      <c r="BJ44" s="751">
        <f>+SUM(BJ20:BJ43)</f>
        <v>0</v>
      </c>
      <c r="BK44" s="751">
        <f>+SUM(BK20:BK43)</f>
        <v>0</v>
      </c>
      <c r="BL44" s="151"/>
      <c r="BM44" s="151"/>
      <c r="BN44" s="151"/>
      <c r="BO44" s="151"/>
      <c r="BP44" s="151"/>
      <c r="BQ44" s="151"/>
      <c r="BR44" s="151"/>
      <c r="BS44" s="151"/>
      <c r="BT44" s="151"/>
      <c r="BU44" s="751">
        <f t="shared" ref="BU44:BV46" si="47">+SUMIF($D$19:$D$42,$D44,BU$19:BU$42)</f>
        <v>0</v>
      </c>
      <c r="BV44" s="751">
        <f t="shared" si="47"/>
        <v>0</v>
      </c>
      <c r="BW44" s="151"/>
      <c r="BX44" s="151"/>
      <c r="BY44" s="151"/>
      <c r="BZ44" s="151"/>
      <c r="CA44" s="151"/>
      <c r="CB44" s="751">
        <f>+SUMIF($D$19:$D$42,$D44,CB$19:CB$42)</f>
        <v>0</v>
      </c>
      <c r="CC44" s="151"/>
      <c r="CD44" s="151"/>
      <c r="CE44" s="151"/>
    </row>
    <row r="45" spans="2:83" ht="15.75">
      <c r="B45" s="699"/>
      <c r="C45" s="243" t="s">
        <v>254</v>
      </c>
      <c r="D45" s="243" t="s">
        <v>256</v>
      </c>
      <c r="E45" s="243"/>
      <c r="F45" s="572">
        <f>+SUMIF($D$19:$D$42,$D45,F$19:F$42)</f>
        <v>108918</v>
      </c>
      <c r="G45" s="573">
        <f>+$L45/$F45</f>
        <v>7.3646963770910228</v>
      </c>
      <c r="H45" s="572">
        <f t="shared" si="41"/>
        <v>802148</v>
      </c>
      <c r="I45" s="572">
        <f t="shared" si="41"/>
        <v>629348</v>
      </c>
      <c r="J45" s="572">
        <f t="shared" si="41"/>
        <v>0</v>
      </c>
      <c r="K45" s="572">
        <f t="shared" si="41"/>
        <v>172800</v>
      </c>
      <c r="L45" s="572">
        <f t="shared" si="41"/>
        <v>802148</v>
      </c>
      <c r="M45" s="132"/>
      <c r="N45" s="132"/>
      <c r="O45" s="280">
        <f t="shared" si="42"/>
        <v>162965.04</v>
      </c>
      <c r="P45" s="280">
        <f t="shared" si="42"/>
        <v>244447.56</v>
      </c>
      <c r="Q45" s="280">
        <f t="shared" si="42"/>
        <v>0</v>
      </c>
      <c r="R45" s="280">
        <f t="shared" si="42"/>
        <v>0</v>
      </c>
      <c r="S45" s="280">
        <f t="shared" si="42"/>
        <v>0</v>
      </c>
      <c r="T45" s="280">
        <f t="shared" si="42"/>
        <v>0</v>
      </c>
      <c r="U45" s="280">
        <f t="shared" si="42"/>
        <v>24250.75</v>
      </c>
      <c r="V45" s="280">
        <f t="shared" si="42"/>
        <v>53351.65</v>
      </c>
      <c r="W45" s="280">
        <f t="shared" si="42"/>
        <v>0</v>
      </c>
      <c r="X45" s="280">
        <f t="shared" si="42"/>
        <v>0</v>
      </c>
      <c r="Y45" s="280">
        <f t="shared" si="43"/>
        <v>79687</v>
      </c>
      <c r="Z45" s="280">
        <f t="shared" si="43"/>
        <v>64646</v>
      </c>
      <c r="AA45" s="280">
        <f t="shared" si="43"/>
        <v>0</v>
      </c>
      <c r="AB45" s="280">
        <f t="shared" si="43"/>
        <v>0</v>
      </c>
      <c r="AC45" s="280">
        <f t="shared" si="43"/>
        <v>0</v>
      </c>
      <c r="AD45" s="280">
        <f t="shared" si="43"/>
        <v>172800</v>
      </c>
      <c r="AE45" s="280">
        <f t="shared" si="43"/>
        <v>0</v>
      </c>
      <c r="AF45" s="280">
        <f>+$L45-SUM($O45:$AE45)</f>
        <v>0</v>
      </c>
      <c r="AG45" s="280">
        <f>+$K45-SUM(AD45:AE45)</f>
        <v>0</v>
      </c>
      <c r="AH45" s="699"/>
      <c r="AI45" s="280">
        <f t="shared" si="44"/>
        <v>5327180.3245623549</v>
      </c>
      <c r="AJ45" s="280">
        <f t="shared" si="44"/>
        <v>122223.78</v>
      </c>
      <c r="AK45" s="280">
        <f t="shared" si="44"/>
        <v>183335.66999999998</v>
      </c>
      <c r="AL45" s="280">
        <f t="shared" si="44"/>
        <v>18188.0625</v>
      </c>
      <c r="AM45" s="280">
        <f t="shared" si="44"/>
        <v>40013.737500000003</v>
      </c>
      <c r="AN45" s="280">
        <f t="shared" si="45"/>
        <v>59765.25</v>
      </c>
      <c r="AO45" s="280">
        <f t="shared" si="45"/>
        <v>48484.5</v>
      </c>
      <c r="AP45" s="280">
        <f t="shared" si="45"/>
        <v>0</v>
      </c>
      <c r="AQ45" s="280">
        <f t="shared" si="45"/>
        <v>164160</v>
      </c>
      <c r="AR45" s="281">
        <f>+SUMIF($D$19:$D$42,$D45,AR$19:AR$42)</f>
        <v>4691009.3245623549</v>
      </c>
      <c r="AS45" s="699"/>
      <c r="AT45" s="699"/>
      <c r="AU45" s="699"/>
      <c r="AV45" s="699"/>
      <c r="AW45" s="151"/>
      <c r="AX45" s="151"/>
      <c r="AY45" s="151"/>
      <c r="AZ45" s="151"/>
      <c r="BA45" s="151"/>
      <c r="BB45" s="751">
        <f t="shared" ref="BB45:BC47" si="48">+SUMIF($D$19:$D$42,$D44,BB$20:BB$43)</f>
        <v>0</v>
      </c>
      <c r="BC45" s="751">
        <f t="shared" si="48"/>
        <v>0</v>
      </c>
      <c r="BD45" s="151"/>
      <c r="BE45" s="151"/>
      <c r="BF45" s="151"/>
      <c r="BG45" s="151"/>
      <c r="BH45" s="751">
        <f t="shared" ref="BH45:BK47" si="49">+SUMIF($D$19:$D$42,$D44,BH$20:BH$43)</f>
        <v>0</v>
      </c>
      <c r="BI45" s="751">
        <f t="shared" si="49"/>
        <v>0</v>
      </c>
      <c r="BJ45" s="751">
        <f t="shared" si="49"/>
        <v>0</v>
      </c>
      <c r="BK45" s="751">
        <f t="shared" si="49"/>
        <v>0</v>
      </c>
      <c r="BL45" s="151"/>
      <c r="BM45" s="151"/>
      <c r="BN45" s="151"/>
      <c r="BO45" s="151"/>
      <c r="BP45" s="151"/>
      <c r="BQ45" s="151"/>
      <c r="BR45" s="151"/>
      <c r="BS45" s="151"/>
      <c r="BT45" s="151"/>
      <c r="BU45" s="751">
        <f t="shared" si="47"/>
        <v>0</v>
      </c>
      <c r="BV45" s="751">
        <f t="shared" si="47"/>
        <v>0</v>
      </c>
      <c r="BW45" s="151"/>
      <c r="BX45" s="151"/>
      <c r="BY45" s="151"/>
      <c r="BZ45" s="151"/>
      <c r="CA45" s="151"/>
      <c r="CB45" s="751">
        <f>+SUMIF($D$19:$D$42,$D45,CB$19:CB$42)</f>
        <v>0</v>
      </c>
      <c r="CC45" s="151"/>
      <c r="CD45" s="151"/>
      <c r="CE45" s="151"/>
    </row>
    <row r="46" spans="2:83" ht="15.75">
      <c r="B46" s="699"/>
      <c r="C46" s="243" t="s">
        <v>254</v>
      </c>
      <c r="D46" s="243" t="s">
        <v>257</v>
      </c>
      <c r="E46" s="243"/>
      <c r="F46" s="572">
        <f>+SUMIF($D$19:$D$42,$D46,F$19:F$42)</f>
        <v>113963</v>
      </c>
      <c r="G46" s="573">
        <f>+$L46/$F46</f>
        <v>6.3249563454805511</v>
      </c>
      <c r="H46" s="572">
        <f t="shared" si="41"/>
        <v>720811</v>
      </c>
      <c r="I46" s="572">
        <f t="shared" si="41"/>
        <v>639811</v>
      </c>
      <c r="J46" s="572">
        <f t="shared" si="41"/>
        <v>0</v>
      </c>
      <c r="K46" s="572">
        <f t="shared" si="41"/>
        <v>81000</v>
      </c>
      <c r="L46" s="572">
        <f t="shared" si="41"/>
        <v>720811</v>
      </c>
      <c r="M46" s="132"/>
      <c r="N46" s="132"/>
      <c r="O46" s="280">
        <f t="shared" si="42"/>
        <v>89359.872000000003</v>
      </c>
      <c r="P46" s="280">
        <f t="shared" si="42"/>
        <v>134039.80799999999</v>
      </c>
      <c r="Q46" s="280">
        <f t="shared" si="42"/>
        <v>0</v>
      </c>
      <c r="R46" s="280">
        <f t="shared" si="42"/>
        <v>0</v>
      </c>
      <c r="S46" s="280">
        <f t="shared" si="42"/>
        <v>0</v>
      </c>
      <c r="T46" s="280">
        <f t="shared" si="42"/>
        <v>0</v>
      </c>
      <c r="U46" s="280">
        <f t="shared" si="42"/>
        <v>37297.599999999999</v>
      </c>
      <c r="V46" s="280">
        <f t="shared" si="42"/>
        <v>77254.720000000001</v>
      </c>
      <c r="W46" s="280">
        <f t="shared" si="42"/>
        <v>0</v>
      </c>
      <c r="X46" s="280">
        <f t="shared" si="42"/>
        <v>0</v>
      </c>
      <c r="Y46" s="280">
        <f t="shared" si="43"/>
        <v>11790</v>
      </c>
      <c r="Z46" s="280">
        <f t="shared" si="43"/>
        <v>39247</v>
      </c>
      <c r="AA46" s="280">
        <f t="shared" si="43"/>
        <v>250822</v>
      </c>
      <c r="AB46" s="280">
        <f t="shared" si="43"/>
        <v>0</v>
      </c>
      <c r="AC46" s="280">
        <f t="shared" si="43"/>
        <v>0</v>
      </c>
      <c r="AD46" s="280">
        <f t="shared" si="43"/>
        <v>81000</v>
      </c>
      <c r="AE46" s="280">
        <f t="shared" si="43"/>
        <v>0</v>
      </c>
      <c r="AF46" s="280">
        <f>+$L46-SUM($O46:$AE46)</f>
        <v>0</v>
      </c>
      <c r="AG46" s="280">
        <f>+$K46-SUM(AD46:AE46)</f>
        <v>0</v>
      </c>
      <c r="AH46" s="699"/>
      <c r="AI46" s="280">
        <f t="shared" si="44"/>
        <v>8759646.6409464516</v>
      </c>
      <c r="AJ46" s="280">
        <f t="shared" si="44"/>
        <v>67019.90400000001</v>
      </c>
      <c r="AK46" s="280">
        <f t="shared" si="44"/>
        <v>100529.856</v>
      </c>
      <c r="AL46" s="280">
        <f t="shared" si="44"/>
        <v>27973.200000000001</v>
      </c>
      <c r="AM46" s="280">
        <f t="shared" si="44"/>
        <v>57941.04</v>
      </c>
      <c r="AN46" s="280">
        <f t="shared" si="45"/>
        <v>8842.5</v>
      </c>
      <c r="AO46" s="280">
        <f t="shared" si="45"/>
        <v>29435.25</v>
      </c>
      <c r="AP46" s="280">
        <f t="shared" si="45"/>
        <v>188116.5</v>
      </c>
      <c r="AQ46" s="280">
        <f t="shared" si="45"/>
        <v>76950</v>
      </c>
      <c r="AR46" s="281">
        <f>+SUMIF($D$19:$D$42,$D46,AR$19:AR$42)</f>
        <v>8202838.3909464516</v>
      </c>
      <c r="AS46" s="699"/>
      <c r="AT46" s="699"/>
      <c r="AU46" s="699"/>
      <c r="AV46" s="699"/>
      <c r="AW46" s="151"/>
      <c r="AX46" s="151"/>
      <c r="AY46" s="151"/>
      <c r="AZ46" s="151"/>
      <c r="BA46" s="151"/>
      <c r="BB46" s="751">
        <f t="shared" si="48"/>
        <v>0</v>
      </c>
      <c r="BC46" s="751">
        <f t="shared" si="48"/>
        <v>0</v>
      </c>
      <c r="BD46" s="151"/>
      <c r="BE46" s="151"/>
      <c r="BF46" s="151"/>
      <c r="BG46" s="151"/>
      <c r="BH46" s="751">
        <f t="shared" si="49"/>
        <v>0</v>
      </c>
      <c r="BI46" s="751">
        <f t="shared" si="49"/>
        <v>0</v>
      </c>
      <c r="BJ46" s="751">
        <f t="shared" si="49"/>
        <v>0</v>
      </c>
      <c r="BK46" s="751">
        <f t="shared" si="49"/>
        <v>0</v>
      </c>
      <c r="BL46" s="151"/>
      <c r="BM46" s="151"/>
      <c r="BN46" s="151"/>
      <c r="BO46" s="151"/>
      <c r="BP46" s="151"/>
      <c r="BQ46" s="151"/>
      <c r="BR46" s="151"/>
      <c r="BS46" s="151"/>
      <c r="BT46" s="151"/>
      <c r="BU46" s="751">
        <f t="shared" si="47"/>
        <v>0</v>
      </c>
      <c r="BV46" s="751">
        <f t="shared" si="47"/>
        <v>0</v>
      </c>
      <c r="BW46" s="151"/>
      <c r="BX46" s="151"/>
      <c r="BY46" s="151"/>
      <c r="BZ46" s="151"/>
      <c r="CA46" s="151"/>
      <c r="CB46" s="751">
        <f>+SUMIF($D$19:$D$42,$D46,CB$19:CB$42)</f>
        <v>0</v>
      </c>
      <c r="CC46" s="151"/>
      <c r="CD46" s="151"/>
      <c r="CE46" s="151"/>
    </row>
    <row r="47" spans="2:83" ht="15.75">
      <c r="B47" s="699"/>
      <c r="C47" s="257" t="s">
        <v>870</v>
      </c>
      <c r="D47" s="81"/>
      <c r="E47" s="258"/>
      <c r="F47" s="19">
        <f>+SUM(F44:F46)</f>
        <v>416449</v>
      </c>
      <c r="G47" s="19"/>
      <c r="H47" s="19">
        <f t="shared" ref="H47:K47" si="50">+SUM(H44:H46)</f>
        <v>2498321</v>
      </c>
      <c r="I47" s="19">
        <f t="shared" si="50"/>
        <v>2092942</v>
      </c>
      <c r="J47" s="19">
        <f t="shared" si="50"/>
        <v>0</v>
      </c>
      <c r="K47" s="19">
        <f t="shared" si="50"/>
        <v>405379</v>
      </c>
      <c r="L47" s="19">
        <f t="shared" ref="L47" si="51">+SUM(L44:L46)</f>
        <v>2498321</v>
      </c>
      <c r="M47" s="259"/>
      <c r="N47" s="132"/>
      <c r="O47" s="261">
        <f t="shared" ref="O47:AC47" si="52">+SUM(O44:O46)</f>
        <v>476800.46400000004</v>
      </c>
      <c r="P47" s="261">
        <f t="shared" si="52"/>
        <v>715200.696</v>
      </c>
      <c r="Q47" s="261">
        <f t="shared" si="52"/>
        <v>0</v>
      </c>
      <c r="R47" s="261">
        <f t="shared" si="52"/>
        <v>0</v>
      </c>
      <c r="S47" s="261">
        <f t="shared" si="52"/>
        <v>0</v>
      </c>
      <c r="T47" s="261">
        <f t="shared" si="52"/>
        <v>0</v>
      </c>
      <c r="U47" s="261">
        <f t="shared" si="52"/>
        <v>94952.450000000012</v>
      </c>
      <c r="V47" s="261">
        <f t="shared" si="52"/>
        <v>204095.38999999998</v>
      </c>
      <c r="W47" s="261">
        <f t="shared" ref="W47:X47" si="53">+SUM(W44:W46)</f>
        <v>0</v>
      </c>
      <c r="X47" s="261">
        <f t="shared" si="53"/>
        <v>0</v>
      </c>
      <c r="Y47" s="261">
        <f t="shared" si="52"/>
        <v>134575</v>
      </c>
      <c r="Z47" s="261">
        <f t="shared" si="52"/>
        <v>216496</v>
      </c>
      <c r="AA47" s="261">
        <f t="shared" si="52"/>
        <v>250822</v>
      </c>
      <c r="AB47" s="261">
        <f t="shared" si="52"/>
        <v>0</v>
      </c>
      <c r="AC47" s="261">
        <f t="shared" si="52"/>
        <v>0</v>
      </c>
      <c r="AD47" s="261">
        <f t="shared" ref="AD47:AE47" si="54">+SUM(AD44:AD46)</f>
        <v>405379</v>
      </c>
      <c r="AE47" s="261">
        <f t="shared" si="54"/>
        <v>0</v>
      </c>
      <c r="AF47" s="262">
        <f>+SUM(AF44:AF46)</f>
        <v>0</v>
      </c>
      <c r="AG47" s="262">
        <f>+SUM(AG44:AG46)</f>
        <v>0</v>
      </c>
      <c r="AH47" s="699"/>
      <c r="AI47" s="261">
        <f t="shared" ref="AI47:AP47" ca="1" si="55">+SUM(AI44:AI46)</f>
        <v>72382539.106892049</v>
      </c>
      <c r="AJ47" s="261">
        <f t="shared" si="55"/>
        <v>357600.348</v>
      </c>
      <c r="AK47" s="261">
        <f t="shared" si="55"/>
        <v>536400.522</v>
      </c>
      <c r="AL47" s="261">
        <f t="shared" si="55"/>
        <v>71214.337500000009</v>
      </c>
      <c r="AM47" s="261">
        <f t="shared" si="55"/>
        <v>153071.54250000001</v>
      </c>
      <c r="AN47" s="261">
        <f t="shared" si="55"/>
        <v>100931.25</v>
      </c>
      <c r="AO47" s="261">
        <f t="shared" si="55"/>
        <v>162372</v>
      </c>
      <c r="AP47" s="261">
        <f t="shared" si="55"/>
        <v>188116.5</v>
      </c>
      <c r="AQ47" s="261">
        <f t="shared" ref="AQ47" si="56">+SUM(AQ44:AQ46)</f>
        <v>385110.05</v>
      </c>
      <c r="AR47" s="260">
        <f t="shared" ref="AR47" si="57">+SUM(AR44:AR46)</f>
        <v>70427722.556892037</v>
      </c>
      <c r="AS47" s="699"/>
      <c r="AT47" s="699"/>
      <c r="AU47" s="699"/>
      <c r="AV47" s="699"/>
      <c r="AW47" s="151"/>
      <c r="AX47" s="151"/>
      <c r="AY47" s="151"/>
      <c r="AZ47" s="151"/>
      <c r="BA47" s="151"/>
      <c r="BB47" s="751">
        <f t="shared" si="48"/>
        <v>0</v>
      </c>
      <c r="BC47" s="751">
        <f t="shared" si="48"/>
        <v>0</v>
      </c>
      <c r="BD47" s="151"/>
      <c r="BE47" s="151"/>
      <c r="BF47" s="151"/>
      <c r="BG47" s="151"/>
      <c r="BH47" s="751">
        <f t="shared" si="49"/>
        <v>0</v>
      </c>
      <c r="BI47" s="751">
        <f t="shared" si="49"/>
        <v>0</v>
      </c>
      <c r="BJ47" s="751">
        <f t="shared" si="49"/>
        <v>0</v>
      </c>
      <c r="BK47" s="751">
        <f t="shared" si="49"/>
        <v>0</v>
      </c>
      <c r="BL47" s="151"/>
      <c r="BM47" s="151"/>
      <c r="BN47" s="151"/>
      <c r="BO47" s="151"/>
      <c r="BP47" s="151"/>
      <c r="BQ47" s="151"/>
      <c r="BR47" s="151"/>
      <c r="BS47" s="151"/>
      <c r="BT47" s="151"/>
      <c r="BU47" s="836">
        <f>+SUM(BU44:BU46)</f>
        <v>0</v>
      </c>
      <c r="BV47" s="836">
        <f>+SUM(BV44:BV46)</f>
        <v>0</v>
      </c>
      <c r="BW47" s="151"/>
      <c r="BX47" s="151"/>
      <c r="BY47" s="151"/>
      <c r="BZ47" s="151"/>
      <c r="CA47" s="151"/>
      <c r="CB47" s="836">
        <f>+SUM(CB44:CB46)</f>
        <v>0</v>
      </c>
      <c r="CC47" s="151"/>
      <c r="CD47" s="151"/>
      <c r="CE47" s="151"/>
    </row>
    <row r="48" spans="2:83" s="263" customFormat="1">
      <c r="C48" s="264" t="s">
        <v>871</v>
      </c>
      <c r="D48" s="265"/>
      <c r="E48" s="265"/>
      <c r="F48" s="20">
        <f>+F43-F47</f>
        <v>0</v>
      </c>
      <c r="G48" s="20"/>
      <c r="H48" s="20">
        <f t="shared" ref="H48:K48" si="58">+H43-H47</f>
        <v>0</v>
      </c>
      <c r="I48" s="20">
        <f t="shared" si="58"/>
        <v>0</v>
      </c>
      <c r="J48" s="20">
        <f t="shared" si="58"/>
        <v>0</v>
      </c>
      <c r="K48" s="20">
        <f t="shared" si="58"/>
        <v>0</v>
      </c>
      <c r="L48" s="20">
        <f t="shared" ref="L48" si="59">+L43-L47</f>
        <v>0</v>
      </c>
      <c r="M48" s="259"/>
      <c r="N48" s="259"/>
      <c r="O48" s="20">
        <f t="shared" ref="O48:AC48" si="60">+O43-O47</f>
        <v>0</v>
      </c>
      <c r="P48" s="20">
        <f t="shared" si="60"/>
        <v>0</v>
      </c>
      <c r="Q48" s="20">
        <f t="shared" si="60"/>
        <v>0</v>
      </c>
      <c r="R48" s="20">
        <f t="shared" si="60"/>
        <v>0</v>
      </c>
      <c r="S48" s="20">
        <f t="shared" si="60"/>
        <v>0</v>
      </c>
      <c r="T48" s="20">
        <f t="shared" si="60"/>
        <v>0</v>
      </c>
      <c r="U48" s="20">
        <f t="shared" si="60"/>
        <v>0</v>
      </c>
      <c r="V48" s="20">
        <f t="shared" si="60"/>
        <v>0</v>
      </c>
      <c r="W48" s="20">
        <f t="shared" ref="W48:X48" si="61">+W43-W47</f>
        <v>0</v>
      </c>
      <c r="X48" s="20">
        <f t="shared" si="61"/>
        <v>0</v>
      </c>
      <c r="Y48" s="20">
        <f t="shared" si="60"/>
        <v>0</v>
      </c>
      <c r="Z48" s="20">
        <f t="shared" si="60"/>
        <v>0</v>
      </c>
      <c r="AA48" s="20">
        <f t="shared" si="60"/>
        <v>0</v>
      </c>
      <c r="AB48" s="20">
        <f t="shared" si="60"/>
        <v>0</v>
      </c>
      <c r="AC48" s="20">
        <f t="shared" si="60"/>
        <v>0</v>
      </c>
      <c r="AD48" s="20">
        <f t="shared" ref="AD48:AE48" si="62">+AD43-AD47</f>
        <v>0</v>
      </c>
      <c r="AE48" s="20">
        <f t="shared" si="62"/>
        <v>0</v>
      </c>
      <c r="AF48" s="266">
        <f>+AF43-AF47</f>
        <v>0</v>
      </c>
      <c r="AG48" s="266">
        <f>+AG43-AG47</f>
        <v>0</v>
      </c>
      <c r="AI48" s="20">
        <f t="shared" ref="AI48:AP48" ca="1" si="63">+AI43-AI47</f>
        <v>0</v>
      </c>
      <c r="AJ48" s="20">
        <f t="shared" si="63"/>
        <v>0</v>
      </c>
      <c r="AK48" s="20">
        <f t="shared" si="63"/>
        <v>0</v>
      </c>
      <c r="AL48" s="20">
        <f t="shared" si="63"/>
        <v>0</v>
      </c>
      <c r="AM48" s="20">
        <f t="shared" si="63"/>
        <v>0</v>
      </c>
      <c r="AN48" s="20">
        <f t="shared" si="63"/>
        <v>0</v>
      </c>
      <c r="AO48" s="20">
        <f t="shared" si="63"/>
        <v>0</v>
      </c>
      <c r="AP48" s="20">
        <f t="shared" si="63"/>
        <v>0</v>
      </c>
      <c r="AQ48" s="20">
        <f t="shared" ref="AQ48" si="64">+AQ43-AQ47</f>
        <v>0</v>
      </c>
      <c r="AR48" s="20">
        <f t="shared" ref="AR48" si="65">+AR43-AR47</f>
        <v>0</v>
      </c>
      <c r="AW48" s="745"/>
      <c r="AX48" s="745"/>
      <c r="AY48" s="745"/>
      <c r="AZ48" s="745"/>
      <c r="BA48" s="745"/>
      <c r="BB48" s="836">
        <f t="shared" ref="BB48:BC48" si="66">+SUM(BB45:BB47)</f>
        <v>0</v>
      </c>
      <c r="BC48" s="836">
        <f t="shared" si="66"/>
        <v>0</v>
      </c>
      <c r="BD48" s="745"/>
      <c r="BE48" s="745"/>
      <c r="BF48" s="745"/>
      <c r="BG48" s="745"/>
      <c r="BH48" s="836">
        <f>+SUM(BH45:BH47)</f>
        <v>0</v>
      </c>
      <c r="BI48" s="836">
        <f>+SUM(BI45:BI47)</f>
        <v>0</v>
      </c>
      <c r="BJ48" s="836">
        <f>+SUM(BJ45:BJ47)</f>
        <v>0</v>
      </c>
      <c r="BK48" s="836">
        <f>+SUM(BK45:BK47)</f>
        <v>0</v>
      </c>
      <c r="BL48" s="745"/>
      <c r="BM48" s="745"/>
      <c r="BN48" s="745"/>
      <c r="BO48" s="745"/>
      <c r="BP48" s="745"/>
      <c r="BQ48" s="745"/>
      <c r="BR48" s="745"/>
      <c r="BS48" s="745"/>
      <c r="BT48" s="745"/>
      <c r="BU48" s="825">
        <f>+BU43-BU47</f>
        <v>0</v>
      </c>
      <c r="BV48" s="825">
        <f>+BV43-BV47</f>
        <v>0</v>
      </c>
      <c r="BW48" s="745"/>
      <c r="BX48" s="745"/>
      <c r="BY48" s="745"/>
      <c r="BZ48" s="745"/>
      <c r="CA48" s="745"/>
      <c r="CB48" s="825">
        <f>+CB43-CB47</f>
        <v>0</v>
      </c>
      <c r="CC48" s="745"/>
      <c r="CD48" s="745"/>
      <c r="CE48" s="745"/>
    </row>
    <row r="49" spans="2:83">
      <c r="B49" s="699"/>
      <c r="C49" s="1047"/>
      <c r="D49" s="250"/>
      <c r="E49" s="250"/>
      <c r="F49" s="251"/>
      <c r="G49" s="251"/>
      <c r="H49" s="251"/>
      <c r="I49" s="251"/>
      <c r="J49" s="251"/>
      <c r="K49" s="251"/>
      <c r="L49" s="1050"/>
      <c r="M49" s="699"/>
      <c r="N49" s="699"/>
      <c r="O49" s="699"/>
      <c r="P49" s="699"/>
      <c r="Q49" s="699"/>
      <c r="R49" s="699"/>
      <c r="S49" s="699"/>
      <c r="T49" s="699"/>
      <c r="U49" s="699"/>
      <c r="V49" s="699"/>
      <c r="W49" s="699"/>
      <c r="X49" s="699"/>
      <c r="Y49" s="699"/>
      <c r="Z49" s="699"/>
      <c r="AA49" s="699"/>
      <c r="AB49" s="699"/>
      <c r="AC49" s="699"/>
      <c r="AD49" s="699"/>
      <c r="AE49" s="699"/>
      <c r="AF49" s="699"/>
      <c r="AG49" s="699"/>
      <c r="AH49" s="699"/>
      <c r="AI49" s="699"/>
      <c r="AJ49" s="699"/>
      <c r="AK49" s="699"/>
      <c r="AL49" s="699"/>
      <c r="AM49" s="699"/>
      <c r="AN49" s="699"/>
      <c r="AO49" s="699"/>
      <c r="AP49" s="699"/>
      <c r="AQ49" s="699"/>
      <c r="AR49" s="699"/>
      <c r="AS49" s="699"/>
      <c r="AT49" s="699"/>
      <c r="AU49" s="699"/>
      <c r="AV49" s="699"/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825">
        <f>+BB44-BB48</f>
        <v>0</v>
      </c>
      <c r="BI49" s="825">
        <f>+BC44-BC48</f>
        <v>0</v>
      </c>
      <c r="BJ49" s="151"/>
      <c r="BK49" s="151"/>
      <c r="BL49" s="151"/>
      <c r="BM49" s="151"/>
      <c r="BN49" s="151"/>
      <c r="BO49" s="151"/>
      <c r="BP49" s="151"/>
      <c r="BQ49" s="151"/>
      <c r="BR49" s="825">
        <f>+BH44-BH48</f>
        <v>0</v>
      </c>
      <c r="BS49" s="825">
        <f>+BI44-BI48</f>
        <v>0</v>
      </c>
      <c r="BT49" s="825">
        <f>+BJ44-BJ48</f>
        <v>0</v>
      </c>
      <c r="BU49" s="825">
        <f>+BK44-BK48</f>
        <v>0</v>
      </c>
      <c r="BV49" s="151"/>
      <c r="BW49" s="151"/>
      <c r="BX49" s="151"/>
      <c r="BY49" s="151"/>
      <c r="BZ49" s="151"/>
      <c r="CA49" s="151"/>
      <c r="CB49" s="151"/>
      <c r="CC49" s="151"/>
      <c r="CD49" s="151"/>
      <c r="CE49" s="151"/>
    </row>
    <row r="50" spans="2:83" ht="34.5" customHeight="1">
      <c r="B50" s="699"/>
      <c r="C50" s="1047"/>
      <c r="D50" s="250"/>
      <c r="E50" s="250"/>
      <c r="F50" s="251"/>
      <c r="G50" s="251"/>
      <c r="H50" s="251"/>
      <c r="I50" s="251"/>
      <c r="J50" s="251"/>
      <c r="K50" s="251"/>
      <c r="L50" s="1050"/>
      <c r="M50" s="699"/>
      <c r="N50" s="699"/>
      <c r="O50" s="1078"/>
      <c r="P50" s="718" t="s">
        <v>872</v>
      </c>
      <c r="Q50" s="719" t="str">
        <f ca="1">Q18</f>
        <v>Affordable Multi-Bedroom Residential</v>
      </c>
      <c r="R50" s="719" t="str">
        <f t="shared" ref="R50:V50" ca="1" si="67">R18</f>
        <v>Market-Rate Multi-Bedroom Residential</v>
      </c>
      <c r="S50" s="719" t="str">
        <f t="shared" ca="1" si="67"/>
        <v xml:space="preserve">Affordable Senior Living Residential </v>
      </c>
      <c r="T50" s="719" t="str">
        <f t="shared" ca="1" si="67"/>
        <v xml:space="preserve">Market-Rate Senior Living Residential </v>
      </c>
      <c r="U50" s="719" t="str">
        <f t="shared" ca="1" si="67"/>
        <v>Affordable For-Sale Residential</v>
      </c>
      <c r="V50" s="719" t="str">
        <f t="shared" ca="1" si="67"/>
        <v xml:space="preserve">Market-Rate For-Sale Residential </v>
      </c>
      <c r="W50" s="719" t="s">
        <v>873</v>
      </c>
      <c r="X50" s="719" t="s">
        <v>874</v>
      </c>
      <c r="Y50" s="699"/>
      <c r="Z50" s="699"/>
      <c r="AA50" s="699"/>
      <c r="AB50" s="699"/>
      <c r="AC50" s="699"/>
      <c r="AD50" s="699"/>
      <c r="AE50" s="699"/>
      <c r="AF50" s="699"/>
      <c r="AG50" s="699"/>
      <c r="AH50" s="699"/>
      <c r="AI50" s="699"/>
      <c r="AJ50" s="246" t="s">
        <v>633</v>
      </c>
      <c r="AK50" s="699"/>
      <c r="AL50" s="246" t="s">
        <v>875</v>
      </c>
      <c r="AM50" s="699"/>
      <c r="AN50" s="246" t="s">
        <v>876</v>
      </c>
      <c r="AO50" s="699"/>
      <c r="AP50" s="246" t="s">
        <v>877</v>
      </c>
      <c r="AQ50" s="131" t="s">
        <v>878</v>
      </c>
      <c r="AR50" s="131" t="s">
        <v>879</v>
      </c>
      <c r="AS50" s="699"/>
      <c r="AT50" s="699"/>
      <c r="AU50" s="151"/>
      <c r="AV50" s="151"/>
      <c r="AW50" s="743" t="s">
        <v>880</v>
      </c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  <c r="CB50" s="151"/>
      <c r="CC50" s="151"/>
      <c r="CD50" s="151"/>
      <c r="CE50" s="151"/>
    </row>
    <row r="51" spans="2:83" ht="52.5" customHeight="1">
      <c r="B51" s="151"/>
      <c r="C51" s="151"/>
      <c r="D51" s="151"/>
      <c r="E51" s="151"/>
      <c r="F51" s="151"/>
      <c r="G51" s="151"/>
      <c r="H51" s="151"/>
      <c r="I51" s="151"/>
      <c r="J51" s="699"/>
      <c r="K51" s="1050"/>
      <c r="L51" s="757"/>
      <c r="M51" s="699"/>
      <c r="N51" s="699"/>
      <c r="O51" s="699"/>
      <c r="P51" s="718" t="s">
        <v>410</v>
      </c>
      <c r="Q51" s="720">
        <v>0</v>
      </c>
      <c r="R51" s="720">
        <v>0</v>
      </c>
      <c r="S51" s="721">
        <f>4360+7*15260</f>
        <v>111180</v>
      </c>
      <c r="T51" s="721">
        <f>4360+7*15260</f>
        <v>111180</v>
      </c>
      <c r="U51" s="721">
        <f>6*1600+4*700+22*1400</f>
        <v>43200</v>
      </c>
      <c r="V51" s="721">
        <f>6*1600+4*700+22*1400</f>
        <v>43200</v>
      </c>
      <c r="W51" s="722"/>
      <c r="X51" s="722"/>
      <c r="Y51" s="699"/>
      <c r="Z51" s="699"/>
      <c r="AA51" s="699"/>
      <c r="AB51" s="699"/>
      <c r="AC51" s="699"/>
      <c r="AD51" s="699"/>
      <c r="AE51" s="699"/>
      <c r="AF51" s="1079" t="s">
        <v>881</v>
      </c>
      <c r="AG51" s="538" t="str">
        <f>Assumptions!B75</f>
        <v xml:space="preserve">Market Rate Residential Unit Mix </v>
      </c>
      <c r="AH51" s="139" t="s">
        <v>502</v>
      </c>
      <c r="AI51" s="699" t="s">
        <v>882</v>
      </c>
      <c r="AJ51" s="267">
        <f>+Assumptions!E77</f>
        <v>499</v>
      </c>
      <c r="AK51" s="699" t="s">
        <v>882</v>
      </c>
      <c r="AL51" s="268">
        <f>+Assumptions!E81</f>
        <v>694</v>
      </c>
      <c r="AM51" s="699" t="s">
        <v>882</v>
      </c>
      <c r="AN51" s="267">
        <f>+Assumptions!E85</f>
        <v>1092</v>
      </c>
      <c r="AO51" s="699" t="s">
        <v>882</v>
      </c>
      <c r="AP51" s="267">
        <f>+Assumptions!E89</f>
        <v>1199</v>
      </c>
      <c r="AQ51" s="699"/>
      <c r="AR51" s="1041"/>
      <c r="AS51" s="699"/>
      <c r="AT51" s="699"/>
      <c r="AU51" s="151"/>
      <c r="AV51" s="151" t="s">
        <v>882</v>
      </c>
      <c r="AW51" s="746">
        <f>+Assumptions!AD151</f>
        <v>1300</v>
      </c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  <c r="CB51" s="151"/>
      <c r="CC51" s="151"/>
      <c r="CD51" s="151"/>
      <c r="CE51" s="151"/>
    </row>
    <row r="52" spans="2:83" ht="25.5" customHeight="1">
      <c r="B52" s="699"/>
      <c r="C52" s="699"/>
      <c r="D52" s="699"/>
      <c r="E52" s="699"/>
      <c r="F52" s="699"/>
      <c r="G52" s="699"/>
      <c r="H52" s="699"/>
      <c r="I52" s="699"/>
      <c r="J52" s="699"/>
      <c r="K52" s="699"/>
      <c r="L52" s="699"/>
      <c r="M52" s="699"/>
      <c r="N52" s="699"/>
      <c r="O52" s="699"/>
      <c r="P52" s="718" t="s">
        <v>417</v>
      </c>
      <c r="Q52" s="687">
        <v>90000</v>
      </c>
      <c r="R52" s="687">
        <v>90000</v>
      </c>
      <c r="S52" s="687"/>
      <c r="T52" s="687"/>
      <c r="U52" s="721">
        <v>32000</v>
      </c>
      <c r="V52" s="721">
        <v>32000</v>
      </c>
      <c r="W52" s="722"/>
      <c r="X52" s="722"/>
      <c r="Y52" s="699"/>
      <c r="Z52" s="699"/>
      <c r="AA52" s="699"/>
      <c r="AB52" s="699"/>
      <c r="AC52" s="699"/>
      <c r="AD52" s="699"/>
      <c r="AE52" s="699"/>
      <c r="AF52" s="1079"/>
      <c r="AG52" s="699" t="s">
        <v>174</v>
      </c>
      <c r="AH52" s="1066">
        <f>+SUM(AI52,AK52,AM52,AO52,AV52)-1</f>
        <v>0</v>
      </c>
      <c r="AI52" s="138">
        <v>0.2</v>
      </c>
      <c r="AJ52" s="1078">
        <f>(AI52*$AK44)/AJ$51</f>
        <v>101.21643126252505</v>
      </c>
      <c r="AK52" s="138">
        <v>0.5</v>
      </c>
      <c r="AL52" s="1078">
        <f>(AK52*$AK44)/AL$51</f>
        <v>181.94163976945245</v>
      </c>
      <c r="AM52" s="138">
        <v>0.25</v>
      </c>
      <c r="AN52" s="1078">
        <f>(AM52*$AK44)/AN$51</f>
        <v>57.814788461538456</v>
      </c>
      <c r="AO52" s="138">
        <v>0.05</v>
      </c>
      <c r="AP52" s="1078">
        <f>(AO52*$AK44)/AP$51</f>
        <v>10.531067389491243</v>
      </c>
      <c r="AQ52" s="269">
        <f>SUM(AJ52,AL52,AN52,AP52,AW52)</f>
        <v>351.50392688300718</v>
      </c>
      <c r="AR52" s="269">
        <f>(AJ$51*AJ52+AL$51*AL52+AN$51*AN52+AP$51*AP52+AW$51*AW52)</f>
        <v>252534.99599999998</v>
      </c>
      <c r="AS52" s="699"/>
      <c r="AT52" s="699"/>
      <c r="AU52" s="151"/>
      <c r="AV52" s="749">
        <v>0</v>
      </c>
      <c r="AW52" s="750">
        <f>(AV52*$AK44)/AW$51</f>
        <v>0</v>
      </c>
      <c r="AX52" s="750"/>
      <c r="AY52" s="750"/>
      <c r="AZ52" s="750"/>
      <c r="BA52" s="763"/>
      <c r="BB52" s="763"/>
      <c r="BC52" s="763"/>
      <c r="BD52" s="763"/>
      <c r="BE52" s="763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  <c r="CB52" s="151"/>
      <c r="CC52" s="151"/>
      <c r="CD52" s="151"/>
      <c r="CE52" s="151"/>
    </row>
    <row r="53" spans="2:83" ht="15.75">
      <c r="B53" s="699"/>
      <c r="C53" s="699"/>
      <c r="D53" s="699"/>
      <c r="E53" s="699"/>
      <c r="F53" s="699"/>
      <c r="G53" s="699"/>
      <c r="H53" s="699"/>
      <c r="I53" s="699"/>
      <c r="J53" s="699"/>
      <c r="K53" s="699"/>
      <c r="L53" s="1080"/>
      <c r="M53" s="699"/>
      <c r="N53" s="699"/>
      <c r="O53" s="699"/>
      <c r="P53" s="718" t="s">
        <v>421</v>
      </c>
      <c r="Q53" s="687"/>
      <c r="R53" s="687"/>
      <c r="S53" s="687"/>
      <c r="T53" s="687"/>
      <c r="U53" s="687"/>
      <c r="V53" s="687"/>
      <c r="W53" s="151"/>
      <c r="X53" s="151"/>
      <c r="Y53" s="699"/>
      <c r="Z53" s="699"/>
      <c r="AA53" s="699"/>
      <c r="AB53" s="699"/>
      <c r="AC53" s="699"/>
      <c r="AD53" s="699"/>
      <c r="AE53" s="699"/>
      <c r="AF53" s="1079"/>
      <c r="AG53" s="699" t="s">
        <v>175</v>
      </c>
      <c r="AH53" s="1066">
        <f>+SUM(AI53,AK53,AM53,AO53,AV53)-1</f>
        <v>0</v>
      </c>
      <c r="AI53" s="138">
        <v>0.2</v>
      </c>
      <c r="AJ53" s="1078">
        <f>($AI53*$AK45)/$AJ$51</f>
        <v>73.481230460921836</v>
      </c>
      <c r="AK53" s="138">
        <v>0.5</v>
      </c>
      <c r="AL53" s="1078">
        <f>(AK53*$AK45)/AL$51</f>
        <v>132.0862175792507</v>
      </c>
      <c r="AM53" s="138">
        <v>0.25</v>
      </c>
      <c r="AN53" s="1078">
        <f>(AM53*$AK45)/AN$51</f>
        <v>41.972451923076918</v>
      </c>
      <c r="AO53" s="138">
        <v>0.05</v>
      </c>
      <c r="AP53" s="1078">
        <f>(AO53*$AK45)/AP$51</f>
        <v>7.6453573811509585</v>
      </c>
      <c r="AQ53" s="269">
        <f>SUM(AJ53,AL53,AN53,AP53,AW53)</f>
        <v>255.18525734440044</v>
      </c>
      <c r="AR53" s="269">
        <f>(AJ$51*AJ53+AL$51*AL53+AN$51*AN53+AP$51*AP53+AW$51*AW53)</f>
        <v>183335.66999999995</v>
      </c>
      <c r="AS53" s="699"/>
      <c r="AT53" s="699"/>
      <c r="AU53" s="151"/>
      <c r="AV53" s="749">
        <v>0</v>
      </c>
      <c r="AW53" s="750">
        <f>(AV53*$AK45)/AW$51</f>
        <v>0</v>
      </c>
      <c r="AX53" s="750"/>
      <c r="AY53" s="750"/>
      <c r="AZ53" s="750"/>
      <c r="BA53" s="763"/>
      <c r="BB53" s="763"/>
      <c r="BC53" s="763"/>
      <c r="BD53" s="763"/>
      <c r="BE53" s="763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  <c r="CB53" s="151"/>
      <c r="CC53" s="151"/>
      <c r="CD53" s="151"/>
      <c r="CE53" s="151"/>
    </row>
    <row r="54" spans="2:83" ht="15.75">
      <c r="B54" s="699"/>
      <c r="C54" s="699"/>
      <c r="D54" s="699"/>
      <c r="E54" s="699"/>
      <c r="F54" s="699"/>
      <c r="G54" s="699"/>
      <c r="H54" s="699"/>
      <c r="I54" s="699"/>
      <c r="J54" s="699"/>
      <c r="K54" s="699"/>
      <c r="L54" s="699"/>
      <c r="M54" s="699"/>
      <c r="N54" s="699"/>
      <c r="O54" s="699"/>
      <c r="P54" s="718" t="s">
        <v>425</v>
      </c>
      <c r="Q54" s="687">
        <v>50000</v>
      </c>
      <c r="R54" s="687">
        <v>50000</v>
      </c>
      <c r="S54" s="687"/>
      <c r="T54" s="687"/>
      <c r="U54" s="687"/>
      <c r="V54" s="687"/>
      <c r="W54" s="151"/>
      <c r="X54" s="151"/>
      <c r="Y54" s="699"/>
      <c r="Z54" s="699"/>
      <c r="AA54" s="699"/>
      <c r="AB54" s="699"/>
      <c r="AC54" s="699"/>
      <c r="AD54" s="699"/>
      <c r="AE54" s="699"/>
      <c r="AF54" s="1079"/>
      <c r="AG54" s="699" t="s">
        <v>176</v>
      </c>
      <c r="AH54" s="1066">
        <f>+SUM(AI54,AK54,AM54,AO54,AV54)-1</f>
        <v>0</v>
      </c>
      <c r="AI54" s="138">
        <v>0.2</v>
      </c>
      <c r="AJ54" s="1078">
        <f>($AI54*$AK46)/$AJ$51</f>
        <v>40.292527454909816</v>
      </c>
      <c r="AK54" s="138">
        <v>0.5</v>
      </c>
      <c r="AL54" s="1078">
        <f>(AK54*$AK46)/AL$51</f>
        <v>72.427850144092218</v>
      </c>
      <c r="AM54" s="138">
        <v>0.25</v>
      </c>
      <c r="AN54" s="1078">
        <f>(AM54*$AK46)/AN$51</f>
        <v>23.015076923076922</v>
      </c>
      <c r="AO54" s="138">
        <v>0.05</v>
      </c>
      <c r="AP54" s="1078">
        <f>(AO54*$AK46)/AP$51</f>
        <v>4.1922375312760636</v>
      </c>
      <c r="AQ54" s="269">
        <f>SUM(AJ54,AL54,AN54,AP54,AW54)</f>
        <v>139.92769205335503</v>
      </c>
      <c r="AR54" s="269">
        <f>(AJ$51*AJ54+AL$51*AL54+AN$51*AN54+AP$51*AP54+AW$51*AW54)</f>
        <v>100529.856</v>
      </c>
      <c r="AS54" s="699"/>
      <c r="AT54" s="699"/>
      <c r="AU54" s="151"/>
      <c r="AV54" s="749">
        <v>0</v>
      </c>
      <c r="AW54" s="750">
        <f>(AV54*$AK46)/AW$51</f>
        <v>0</v>
      </c>
      <c r="AX54" s="750"/>
      <c r="AY54" s="750"/>
      <c r="AZ54" s="750"/>
      <c r="BA54" s="763"/>
      <c r="BB54" s="763"/>
      <c r="BC54" s="763"/>
      <c r="BD54" s="763"/>
      <c r="BE54" s="763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  <c r="CB54" s="151"/>
      <c r="CC54" s="151"/>
      <c r="CD54" s="151"/>
      <c r="CE54" s="151"/>
    </row>
    <row r="55" spans="2:83" ht="15.75">
      <c r="B55" s="699"/>
      <c r="C55" s="699"/>
      <c r="D55" s="699"/>
      <c r="E55" s="699"/>
      <c r="F55" s="699"/>
      <c r="G55" s="699"/>
      <c r="H55" s="699"/>
      <c r="I55" s="699"/>
      <c r="J55" s="699"/>
      <c r="K55" s="699"/>
      <c r="L55" s="699"/>
      <c r="M55" s="699"/>
      <c r="N55" s="699"/>
      <c r="O55" s="699"/>
      <c r="P55" s="718" t="s">
        <v>429</v>
      </c>
      <c r="Q55" s="687">
        <v>0</v>
      </c>
      <c r="R55" s="687">
        <v>0</v>
      </c>
      <c r="S55" s="687"/>
      <c r="T55" s="687"/>
      <c r="U55" s="687"/>
      <c r="V55" s="687"/>
      <c r="W55" s="151">
        <v>54480</v>
      </c>
      <c r="X55" s="151">
        <v>54480</v>
      </c>
      <c r="Y55" s="699"/>
      <c r="Z55" s="699"/>
      <c r="AA55" s="699"/>
      <c r="AB55" s="699"/>
      <c r="AC55" s="699"/>
      <c r="AD55" s="699"/>
      <c r="AE55" s="699"/>
      <c r="AF55" s="1079"/>
      <c r="AG55" s="133" t="s">
        <v>258</v>
      </c>
      <c r="AH55" s="270"/>
      <c r="AI55" s="133"/>
      <c r="AJ55" s="271">
        <f>+SUM(AJ52:AJ54)</f>
        <v>214.9901891783567</v>
      </c>
      <c r="AK55" s="271"/>
      <c r="AL55" s="271">
        <f>+SUM(AL52:AL54)</f>
        <v>386.45570749279534</v>
      </c>
      <c r="AM55" s="271"/>
      <c r="AN55" s="271">
        <f>+SUM(AN52:AN54)</f>
        <v>122.80231730769229</v>
      </c>
      <c r="AO55" s="271"/>
      <c r="AP55" s="271">
        <f>+SUM(AP52:AP54)</f>
        <v>22.368662301918263</v>
      </c>
      <c r="AQ55" s="269">
        <f>SUM(AQ52:AQ54)</f>
        <v>746.61687628076265</v>
      </c>
      <c r="AR55" s="269">
        <f>SUM(AR52:AR54)</f>
        <v>536400.522</v>
      </c>
      <c r="AS55" s="699"/>
      <c r="AT55" s="699"/>
      <c r="AU55" s="151"/>
      <c r="AV55" s="742"/>
      <c r="AW55" s="742">
        <f>+SUM(AW52:AW54)</f>
        <v>0</v>
      </c>
      <c r="AX55" s="750"/>
      <c r="AY55" s="750"/>
      <c r="AZ55" s="750"/>
      <c r="BA55" s="763"/>
      <c r="BB55" s="763"/>
      <c r="BC55" s="763"/>
      <c r="BD55" s="763"/>
      <c r="BE55" s="763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  <c r="CB55" s="151"/>
      <c r="CC55" s="151"/>
      <c r="CD55" s="151"/>
      <c r="CE55" s="151"/>
    </row>
    <row r="56" spans="2:83" ht="15.75">
      <c r="B56" s="699"/>
      <c r="C56" s="699"/>
      <c r="D56" s="699"/>
      <c r="E56" s="699"/>
      <c r="F56" s="699"/>
      <c r="G56" s="699"/>
      <c r="H56" s="699"/>
      <c r="I56" s="699"/>
      <c r="J56" s="699"/>
      <c r="K56" s="699"/>
      <c r="L56" s="699"/>
      <c r="M56" s="699"/>
      <c r="N56" s="699"/>
      <c r="O56" s="699"/>
      <c r="P56" s="718" t="s">
        <v>432</v>
      </c>
      <c r="Q56" s="687">
        <v>84150</v>
      </c>
      <c r="R56" s="687">
        <v>84150</v>
      </c>
      <c r="S56" s="687"/>
      <c r="T56" s="687"/>
      <c r="U56" s="687"/>
      <c r="V56" s="687"/>
      <c r="W56" s="151"/>
      <c r="X56" s="151"/>
      <c r="Y56" s="699"/>
      <c r="Z56" s="699"/>
      <c r="AA56" s="699"/>
      <c r="AB56" s="699"/>
      <c r="AC56" s="699"/>
      <c r="AD56" s="699"/>
      <c r="AE56" s="699"/>
      <c r="AF56" s="1079"/>
      <c r="AG56" s="132"/>
      <c r="AH56" s="272"/>
      <c r="AI56" s="132"/>
      <c r="AJ56" s="273"/>
      <c r="AK56" s="273"/>
      <c r="AL56" s="273"/>
      <c r="AM56" s="273"/>
      <c r="AN56" s="273"/>
      <c r="AO56" s="273"/>
      <c r="AP56" s="273"/>
      <c r="AQ56" s="269"/>
      <c r="AR56" s="269"/>
      <c r="AS56" s="151"/>
      <c r="AT56" s="699"/>
      <c r="AU56" s="151"/>
      <c r="AV56" s="742"/>
      <c r="AW56" s="742"/>
      <c r="AX56" s="151"/>
      <c r="AY56" s="49"/>
      <c r="AZ56" s="49"/>
      <c r="BA56" s="49"/>
      <c r="BB56" s="49"/>
      <c r="BC56" s="49"/>
      <c r="BD56" s="49"/>
      <c r="BE56" s="49"/>
      <c r="BF56" s="49"/>
      <c r="BG56" s="49"/>
      <c r="BH56" s="49"/>
      <c r="BI56" s="49"/>
      <c r="BJ56" s="49"/>
      <c r="BK56" s="49"/>
      <c r="BL56" s="49"/>
      <c r="BM56" s="49"/>
      <c r="BN56" s="49"/>
      <c r="BO56" s="49"/>
      <c r="BP56" s="49"/>
      <c r="BQ56" s="699"/>
      <c r="BR56" s="699"/>
      <c r="BS56" s="699"/>
      <c r="BT56" s="699"/>
      <c r="BU56" s="699"/>
      <c r="BV56" s="699"/>
      <c r="BW56" s="699"/>
      <c r="BX56" s="699"/>
      <c r="BY56" s="699"/>
      <c r="BZ56" s="699"/>
      <c r="CA56" s="699"/>
      <c r="CB56" s="699"/>
      <c r="CC56" s="699"/>
      <c r="CD56" s="699"/>
      <c r="CE56" s="699"/>
    </row>
    <row r="57" spans="2:83" ht="15.75">
      <c r="B57" s="699"/>
      <c r="C57" s="699"/>
      <c r="D57" s="699"/>
      <c r="E57" s="699"/>
      <c r="F57" s="699"/>
      <c r="G57" s="699"/>
      <c r="H57" s="699"/>
      <c r="I57" s="699"/>
      <c r="J57" s="699"/>
      <c r="K57" s="699"/>
      <c r="L57" s="699"/>
      <c r="M57" s="699"/>
      <c r="N57" s="699"/>
      <c r="O57" s="699"/>
      <c r="P57" s="718"/>
      <c r="Q57" s="687"/>
      <c r="R57" s="687"/>
      <c r="S57" s="687"/>
      <c r="T57" s="687"/>
      <c r="U57" s="687"/>
      <c r="V57" s="687"/>
      <c r="W57" s="151"/>
      <c r="X57" s="151"/>
      <c r="Y57" s="699"/>
      <c r="Z57" s="699"/>
      <c r="AA57" s="699"/>
      <c r="AB57" s="699"/>
      <c r="AC57" s="699"/>
      <c r="AD57" s="699"/>
      <c r="AE57" s="699"/>
      <c r="AF57" s="1079"/>
      <c r="AG57" s="699"/>
      <c r="AH57" s="699"/>
      <c r="AI57" s="699"/>
      <c r="AJ57" s="246" t="s">
        <v>633</v>
      </c>
      <c r="AK57" s="699"/>
      <c r="AL57" s="246" t="s">
        <v>875</v>
      </c>
      <c r="AM57" s="699"/>
      <c r="AN57" s="246" t="s">
        <v>876</v>
      </c>
      <c r="AO57" s="699"/>
      <c r="AP57" s="246" t="s">
        <v>877</v>
      </c>
      <c r="AQ57" s="699"/>
      <c r="AR57" s="699"/>
      <c r="AS57" s="151"/>
      <c r="AT57" s="699"/>
      <c r="AU57" s="151"/>
      <c r="AV57" s="151"/>
      <c r="AW57" s="743" t="s">
        <v>880</v>
      </c>
      <c r="AX57" s="151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  <c r="BO57" s="49"/>
      <c r="BP57" s="49"/>
      <c r="BQ57" s="699"/>
      <c r="BR57" s="699"/>
      <c r="BS57" s="699"/>
      <c r="BT57" s="699"/>
      <c r="BU57" s="699"/>
      <c r="BV57" s="699"/>
      <c r="BW57" s="699"/>
      <c r="BX57" s="699"/>
      <c r="BY57" s="699"/>
      <c r="BZ57" s="699"/>
      <c r="CA57" s="699"/>
      <c r="CB57" s="699"/>
      <c r="CC57" s="699"/>
      <c r="CD57" s="699"/>
      <c r="CE57" s="699"/>
    </row>
    <row r="58" spans="2:83" ht="15" customHeight="1">
      <c r="B58" s="699"/>
      <c r="C58" s="699"/>
      <c r="D58" s="699"/>
      <c r="E58" s="699"/>
      <c r="F58" s="699"/>
      <c r="G58" s="699"/>
      <c r="H58" s="699"/>
      <c r="I58" s="699"/>
      <c r="J58" s="699"/>
      <c r="K58" s="699"/>
      <c r="L58" s="699"/>
      <c r="M58" s="699"/>
      <c r="N58" s="699"/>
      <c r="O58" s="699"/>
      <c r="P58" s="718" t="s">
        <v>439</v>
      </c>
      <c r="Q58" s="687">
        <v>145570</v>
      </c>
      <c r="R58" s="687">
        <v>145570</v>
      </c>
      <c r="S58" s="687"/>
      <c r="T58" s="687"/>
      <c r="U58" s="687"/>
      <c r="V58" s="687"/>
      <c r="W58" s="151">
        <v>73200</v>
      </c>
      <c r="X58" s="151">
        <v>73200</v>
      </c>
      <c r="Y58" s="699"/>
      <c r="Z58" s="699"/>
      <c r="AA58" s="699"/>
      <c r="AB58" s="699"/>
      <c r="AC58" s="699"/>
      <c r="AD58" s="699"/>
      <c r="AE58" s="699"/>
      <c r="AF58" s="1079" t="s">
        <v>881</v>
      </c>
      <c r="AG58" s="538" t="str">
        <f>Assumptions!B60</f>
        <v>Affordable Residential Unit Mix (50% AMI)</v>
      </c>
      <c r="AH58" s="139" t="s">
        <v>502</v>
      </c>
      <c r="AI58" s="699" t="s">
        <v>882</v>
      </c>
      <c r="AJ58" s="267">
        <f>+Assumptions!E77</f>
        <v>499</v>
      </c>
      <c r="AK58" s="699" t="s">
        <v>882</v>
      </c>
      <c r="AL58" s="268">
        <f>+Assumptions!E81</f>
        <v>694</v>
      </c>
      <c r="AM58" s="699" t="s">
        <v>882</v>
      </c>
      <c r="AN58" s="267">
        <f>+Assumptions!E85</f>
        <v>1092</v>
      </c>
      <c r="AO58" s="699" t="s">
        <v>882</v>
      </c>
      <c r="AP58" s="267">
        <f>+Assumptions!E89</f>
        <v>1199</v>
      </c>
      <c r="AQ58" s="699"/>
      <c r="AR58" s="699"/>
      <c r="AS58" s="151"/>
      <c r="AT58" s="699"/>
      <c r="AU58" s="151"/>
      <c r="AV58" s="151" t="s">
        <v>882</v>
      </c>
      <c r="AW58" s="746">
        <f>+Assumptions!AD151</f>
        <v>1300</v>
      </c>
      <c r="AX58" s="151"/>
      <c r="AY58" s="49"/>
      <c r="AZ58" s="49"/>
      <c r="BA58" s="49"/>
      <c r="BB58" s="49"/>
      <c r="BC58" s="49"/>
      <c r="BD58" s="49"/>
      <c r="BE58" s="49"/>
      <c r="BF58" s="49"/>
      <c r="BG58" s="49"/>
      <c r="BH58" s="49"/>
      <c r="BI58" s="49"/>
      <c r="BJ58" s="49"/>
      <c r="BK58" s="49"/>
      <c r="BL58" s="49"/>
      <c r="BM58" s="49"/>
      <c r="BN58" s="49"/>
      <c r="BO58" s="49"/>
      <c r="BP58" s="49"/>
      <c r="BQ58" s="699"/>
      <c r="BR58" s="699"/>
      <c r="BS58" s="699"/>
      <c r="BT58" s="699"/>
      <c r="BU58" s="699"/>
      <c r="BV58" s="699"/>
      <c r="BW58" s="699"/>
      <c r="BX58" s="699"/>
      <c r="BY58" s="699"/>
      <c r="BZ58" s="699"/>
      <c r="CA58" s="699"/>
      <c r="CB58" s="699"/>
      <c r="CC58" s="699"/>
      <c r="CD58" s="699"/>
      <c r="CE58" s="699"/>
    </row>
    <row r="59" spans="2:83" ht="15.75">
      <c r="B59" s="699"/>
      <c r="C59" s="699"/>
      <c r="D59" s="699"/>
      <c r="E59" s="699"/>
      <c r="F59" s="699"/>
      <c r="G59" s="699"/>
      <c r="H59" s="699"/>
      <c r="I59" s="699"/>
      <c r="J59" s="699"/>
      <c r="K59" s="699"/>
      <c r="L59" s="699"/>
      <c r="M59" s="699"/>
      <c r="N59" s="699"/>
      <c r="O59" s="699"/>
      <c r="P59" s="718" t="s">
        <v>255</v>
      </c>
      <c r="Q59" s="687">
        <v>25609</v>
      </c>
      <c r="R59" s="687">
        <v>25609</v>
      </c>
      <c r="S59" s="687"/>
      <c r="T59" s="687"/>
      <c r="U59" s="687"/>
      <c r="V59" s="687"/>
      <c r="W59" s="151"/>
      <c r="X59" s="151"/>
      <c r="Y59" s="699"/>
      <c r="Z59" s="699"/>
      <c r="AA59" s="699"/>
      <c r="AB59" s="699"/>
      <c r="AC59" s="699"/>
      <c r="AD59" s="699"/>
      <c r="AE59" s="699"/>
      <c r="AF59" s="1079"/>
      <c r="AG59" s="699" t="s">
        <v>174</v>
      </c>
      <c r="AH59" s="1066">
        <f>+SUM(AI59,AK59,AM59,AO59,AV59)-1</f>
        <v>0</v>
      </c>
      <c r="AI59" s="138">
        <v>0</v>
      </c>
      <c r="AJ59" s="1078">
        <f>AI59*$AJ44/AJ$58</f>
        <v>0</v>
      </c>
      <c r="AK59" s="138">
        <v>0</v>
      </c>
      <c r="AL59" s="1078">
        <f>AK59*$AJ44/AL$58</f>
        <v>0</v>
      </c>
      <c r="AM59" s="138">
        <v>0.8</v>
      </c>
      <c r="AN59" s="1078">
        <f>AM59*$AJ44/AN$58</f>
        <v>123.33821538461537</v>
      </c>
      <c r="AO59" s="138">
        <v>0.2</v>
      </c>
      <c r="AP59" s="1078">
        <f>AO59*$AJ44/AP$58</f>
        <v>28.082846371976643</v>
      </c>
      <c r="AQ59" s="269">
        <f>SUM(AJ59,AL59,AN59,AP59,AW59)</f>
        <v>151.421061756592</v>
      </c>
      <c r="AR59" s="269">
        <f>(AJ$58*AJ59+AL$58*AL59+AN$58*AN59+AP$58*AP59+AW$58*AW59)</f>
        <v>168356.66399999999</v>
      </c>
      <c r="AS59" s="833">
        <f>($AN$58*$AN59)/$AR59</f>
        <v>0.79999999999999993</v>
      </c>
      <c r="AT59" s="699"/>
      <c r="AU59" s="151"/>
      <c r="AV59" s="749">
        <v>0</v>
      </c>
      <c r="AW59" s="750">
        <f>AV59*$AJ44/AW$58</f>
        <v>0</v>
      </c>
      <c r="AX59" s="763"/>
      <c r="AY59" s="762"/>
      <c r="AZ59" s="762"/>
      <c r="BA59" s="762"/>
      <c r="BB59" s="49"/>
      <c r="BC59" s="49"/>
      <c r="BD59" s="49"/>
      <c r="BE59" s="49"/>
      <c r="BF59" s="49"/>
      <c r="BG59" s="49"/>
      <c r="BH59" s="49"/>
      <c r="BI59" s="49"/>
      <c r="BJ59" s="49"/>
      <c r="BK59" s="49"/>
      <c r="BL59" s="49"/>
      <c r="BM59" s="49"/>
      <c r="BN59" s="49"/>
      <c r="BO59" s="49"/>
      <c r="BP59" s="49"/>
      <c r="BQ59" s="699"/>
      <c r="BR59" s="699"/>
      <c r="BS59" s="699"/>
      <c r="BT59" s="699"/>
      <c r="BU59" s="699"/>
      <c r="BV59" s="699"/>
      <c r="BW59" s="699"/>
      <c r="BX59" s="699"/>
      <c r="BY59" s="699"/>
      <c r="BZ59" s="699"/>
      <c r="CA59" s="699"/>
      <c r="CB59" s="699"/>
      <c r="CC59" s="699"/>
      <c r="CD59" s="699"/>
      <c r="CE59" s="699"/>
    </row>
    <row r="60" spans="2:83" ht="15.75">
      <c r="B60" s="699"/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1045"/>
      <c r="N60" s="699"/>
      <c r="O60" s="699"/>
      <c r="P60" s="151"/>
      <c r="Q60" s="151"/>
      <c r="R60" s="151"/>
      <c r="S60" s="151"/>
      <c r="T60" s="151"/>
      <c r="U60" s="151"/>
      <c r="V60" s="151"/>
      <c r="W60" s="151"/>
      <c r="X60" s="151"/>
      <c r="Y60" s="699"/>
      <c r="Z60" s="699"/>
      <c r="AA60" s="699"/>
      <c r="AB60" s="699"/>
      <c r="AC60" s="699"/>
      <c r="AD60" s="699"/>
      <c r="AE60" s="699"/>
      <c r="AF60" s="1079"/>
      <c r="AG60" s="699" t="s">
        <v>175</v>
      </c>
      <c r="AH60" s="1066">
        <f>+SUM(AI60,AK60,AM60,AO60,AV60)-1</f>
        <v>0</v>
      </c>
      <c r="AI60" s="138">
        <v>0</v>
      </c>
      <c r="AJ60" s="1078">
        <f>AI60*$AJ45/AJ$58</f>
        <v>0</v>
      </c>
      <c r="AK60" s="138">
        <v>0</v>
      </c>
      <c r="AL60" s="1078">
        <f>AK60*$AJ45/AL$58</f>
        <v>0</v>
      </c>
      <c r="AM60" s="138">
        <v>0.8</v>
      </c>
      <c r="AN60" s="1078">
        <f>AM60*$AJ45/AN$58</f>
        <v>89.541230769230779</v>
      </c>
      <c r="AO60" s="138">
        <v>0.2</v>
      </c>
      <c r="AP60" s="1078">
        <f>AO60*$AJ45/AP$58</f>
        <v>20.387619683069225</v>
      </c>
      <c r="AQ60" s="269">
        <f>SUM(AJ60,AL60,AN60,AP60,AW60)</f>
        <v>109.9288504523</v>
      </c>
      <c r="AR60" s="269">
        <f>(AJ$58*AJ60+AL$58*AL60+AN$58*AN60+AP$58*AP60+AW$58*AW60)</f>
        <v>122223.78</v>
      </c>
      <c r="AS60" s="833">
        <f>($AN$58*$AN60)/$AR60</f>
        <v>0.8</v>
      </c>
      <c r="AT60" s="699"/>
      <c r="AU60" s="151"/>
      <c r="AV60" s="749">
        <v>0</v>
      </c>
      <c r="AW60" s="750">
        <f>AV60*$AJ45/AW$58</f>
        <v>0</v>
      </c>
      <c r="AX60" s="763"/>
      <c r="AY60" s="762"/>
      <c r="AZ60" s="762"/>
      <c r="BA60" s="762"/>
      <c r="BB60" s="49"/>
      <c r="BC60" s="49"/>
      <c r="BD60" s="49"/>
      <c r="BE60" s="49"/>
      <c r="BF60" s="49"/>
      <c r="BG60" s="49"/>
      <c r="BH60" s="49"/>
      <c r="BI60" s="49"/>
      <c r="BJ60" s="49"/>
      <c r="BK60" s="49"/>
      <c r="BL60" s="49"/>
      <c r="BM60" s="49"/>
      <c r="BN60" s="49"/>
      <c r="BO60" s="49"/>
      <c r="BP60" s="49"/>
      <c r="BQ60" s="699"/>
      <c r="BR60" s="699"/>
      <c r="BS60" s="699"/>
      <c r="BT60" s="699"/>
      <c r="BU60" s="699"/>
      <c r="BV60" s="699"/>
      <c r="BW60" s="699"/>
      <c r="BX60" s="699"/>
      <c r="BY60" s="699"/>
      <c r="BZ60" s="699"/>
      <c r="CA60" s="699"/>
      <c r="CB60" s="699"/>
      <c r="CC60" s="699"/>
      <c r="CD60" s="699"/>
      <c r="CE60" s="699"/>
    </row>
    <row r="61" spans="2:83" ht="15.75">
      <c r="B61" s="699"/>
      <c r="C61" s="699"/>
      <c r="D61" s="699"/>
      <c r="E61" s="699"/>
      <c r="F61" s="699"/>
      <c r="G61" s="699"/>
      <c r="H61" s="699"/>
      <c r="I61" s="699"/>
      <c r="J61" s="699"/>
      <c r="K61" s="699"/>
      <c r="L61" s="699"/>
      <c r="M61" s="699"/>
      <c r="N61" s="699"/>
      <c r="O61" s="699"/>
      <c r="P61" s="151"/>
      <c r="Q61" s="151"/>
      <c r="R61" s="151"/>
      <c r="S61" s="151"/>
      <c r="T61" s="151"/>
      <c r="U61" s="151"/>
      <c r="V61" s="151"/>
      <c r="W61" s="151"/>
      <c r="X61" s="151"/>
      <c r="Y61" s="699"/>
      <c r="Z61" s="699"/>
      <c r="AA61" s="699"/>
      <c r="AB61" s="699"/>
      <c r="AC61" s="699"/>
      <c r="AD61" s="699"/>
      <c r="AE61" s="699"/>
      <c r="AF61" s="1079"/>
      <c r="AG61" s="699" t="s">
        <v>176</v>
      </c>
      <c r="AH61" s="1066">
        <f>+SUM(AI61,AK61,AM61,AO61,AV61)-1</f>
        <v>0</v>
      </c>
      <c r="AI61" s="138">
        <v>0</v>
      </c>
      <c r="AJ61" s="1078">
        <f>AI61*$AJ46/AJ$58</f>
        <v>0</v>
      </c>
      <c r="AK61" s="138">
        <v>0</v>
      </c>
      <c r="AL61" s="1078">
        <f>AK61*$AJ46/AL$58</f>
        <v>0</v>
      </c>
      <c r="AM61" s="138">
        <v>0.8</v>
      </c>
      <c r="AN61" s="1078">
        <f>AM61*$AJ46/AN$58</f>
        <v>49.09883076923078</v>
      </c>
      <c r="AO61" s="138">
        <v>0.2</v>
      </c>
      <c r="AP61" s="1078">
        <f>AO61*$AJ46/AP$58</f>
        <v>11.179300083402838</v>
      </c>
      <c r="AQ61" s="269">
        <f>SUM(AJ61,AL61,AN61,AP61,AW61)</f>
        <v>60.278130852633616</v>
      </c>
      <c r="AR61" s="269">
        <f>(AJ$58*AJ61+AL$58*AL61+AN$58*AN61+AP$58*AP61+AW$58*AW61)</f>
        <v>67019.90400000001</v>
      </c>
      <c r="AS61" s="833">
        <f>($AN$58*$AN61)/$AR61</f>
        <v>0.8</v>
      </c>
      <c r="AT61" s="699"/>
      <c r="AU61" s="151"/>
      <c r="AV61" s="749">
        <v>0</v>
      </c>
      <c r="AW61" s="750">
        <f>AV61*$AJ46/AW$58</f>
        <v>0</v>
      </c>
      <c r="AX61" s="763"/>
      <c r="AY61" s="762"/>
      <c r="AZ61" s="762"/>
      <c r="BA61" s="762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699"/>
      <c r="BR61" s="699"/>
      <c r="BS61" s="699"/>
      <c r="BT61" s="699"/>
      <c r="BU61" s="699"/>
      <c r="BV61" s="699"/>
      <c r="BW61" s="699"/>
      <c r="BX61" s="699"/>
      <c r="BY61" s="699"/>
      <c r="BZ61" s="699"/>
      <c r="CA61" s="699"/>
      <c r="CB61" s="699"/>
      <c r="CC61" s="699"/>
      <c r="CD61" s="699"/>
      <c r="CE61" s="699"/>
    </row>
    <row r="62" spans="2:83" ht="15.75">
      <c r="B62" s="699"/>
      <c r="C62" s="699"/>
      <c r="D62" s="699"/>
      <c r="E62" s="699"/>
      <c r="F62" s="699"/>
      <c r="G62" s="699"/>
      <c r="H62" s="699"/>
      <c r="I62" s="699"/>
      <c r="J62" s="699"/>
      <c r="K62" s="699"/>
      <c r="L62" s="699"/>
      <c r="M62" s="699"/>
      <c r="N62" s="699"/>
      <c r="O62" s="699"/>
      <c r="P62" s="699"/>
      <c r="Q62" s="699"/>
      <c r="R62" s="699"/>
      <c r="S62" s="699"/>
      <c r="T62" s="699"/>
      <c r="U62" s="699"/>
      <c r="V62" s="699"/>
      <c r="W62" s="699"/>
      <c r="X62" s="699"/>
      <c r="Y62" s="699"/>
      <c r="Z62" s="699"/>
      <c r="AA62" s="699"/>
      <c r="AB62" s="699"/>
      <c r="AC62" s="699"/>
      <c r="AD62" s="699"/>
      <c r="AE62" s="699"/>
      <c r="AF62" s="1079"/>
      <c r="AG62" s="133" t="s">
        <v>258</v>
      </c>
      <c r="AH62" s="133"/>
      <c r="AI62" s="133"/>
      <c r="AJ62" s="275">
        <f>+SUM(AJ59:AJ61)</f>
        <v>0</v>
      </c>
      <c r="AK62" s="133"/>
      <c r="AL62" s="275">
        <f>+SUM(AL59:AL61)</f>
        <v>0</v>
      </c>
      <c r="AM62" s="133"/>
      <c r="AN62" s="275">
        <f>+SUM(AN59:AN61)</f>
        <v>261.97827692307692</v>
      </c>
      <c r="AO62" s="133"/>
      <c r="AP62" s="275">
        <f>+SUM(AP59:AP61)</f>
        <v>59.649766138448705</v>
      </c>
      <c r="AQ62" s="269">
        <f>SUM(AQ59:AQ61)</f>
        <v>321.6280430615256</v>
      </c>
      <c r="AR62" s="269">
        <f>SUM(AR59:AR61)</f>
        <v>357600.348</v>
      </c>
      <c r="AS62" s="151"/>
      <c r="AT62" s="699"/>
      <c r="AU62" s="151"/>
      <c r="AV62" s="718"/>
      <c r="AW62" s="741">
        <f>+SUM(AW59:AW61)</f>
        <v>0</v>
      </c>
      <c r="AX62" s="151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  <c r="BO62" s="49"/>
      <c r="BP62" s="49"/>
      <c r="BQ62" s="699"/>
      <c r="BR62" s="699"/>
      <c r="BS62" s="699"/>
      <c r="BT62" s="699"/>
      <c r="BU62" s="699"/>
      <c r="BV62" s="699"/>
      <c r="BW62" s="699"/>
      <c r="BX62" s="699"/>
      <c r="BY62" s="699"/>
      <c r="BZ62" s="699"/>
      <c r="CA62" s="699"/>
      <c r="CB62" s="699"/>
      <c r="CC62" s="699"/>
      <c r="CD62" s="699"/>
      <c r="CE62" s="699"/>
    </row>
    <row r="63" spans="2:83">
      <c r="B63" s="699"/>
      <c r="C63" s="699"/>
      <c r="D63" s="699"/>
      <c r="E63" s="699"/>
      <c r="F63" s="699"/>
      <c r="G63" s="699"/>
      <c r="H63" s="699"/>
      <c r="I63" s="699"/>
      <c r="J63" s="699"/>
      <c r="K63" s="699"/>
      <c r="L63" s="699"/>
      <c r="M63" s="699"/>
      <c r="N63" s="699"/>
      <c r="O63" s="699"/>
      <c r="P63" s="699"/>
      <c r="Q63" s="699"/>
      <c r="R63" s="699"/>
      <c r="S63" s="699"/>
      <c r="T63" s="699"/>
      <c r="U63" s="699"/>
      <c r="V63" s="699"/>
      <c r="W63" s="699"/>
      <c r="X63" s="699"/>
      <c r="Y63" s="699"/>
      <c r="Z63" s="699"/>
      <c r="AA63" s="699"/>
      <c r="AB63" s="699"/>
      <c r="AC63" s="699"/>
      <c r="AD63" s="699"/>
      <c r="AE63" s="699"/>
      <c r="AF63" s="1079"/>
      <c r="AG63" s="699"/>
      <c r="AH63" s="699"/>
      <c r="AI63" s="699"/>
      <c r="AJ63" s="699"/>
      <c r="AK63" s="699"/>
      <c r="AL63" s="699"/>
      <c r="AM63" s="699"/>
      <c r="AN63" s="699"/>
      <c r="AO63" s="699"/>
      <c r="AP63" s="699"/>
      <c r="AQ63" s="699"/>
      <c r="AR63" s="699"/>
      <c r="AS63" s="699"/>
      <c r="AT63" s="699"/>
      <c r="AU63" s="151"/>
      <c r="AV63" s="151"/>
      <c r="AW63" s="151"/>
      <c r="AX63" s="151"/>
      <c r="AY63" s="49"/>
      <c r="AZ63" s="49"/>
      <c r="BA63" s="49"/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699"/>
      <c r="BR63" s="699"/>
      <c r="BS63" s="699"/>
      <c r="BT63" s="699"/>
      <c r="BU63" s="699"/>
      <c r="BV63" s="699"/>
      <c r="BW63" s="699"/>
      <c r="BX63" s="699"/>
      <c r="BY63" s="699"/>
      <c r="BZ63" s="699"/>
      <c r="CA63" s="699"/>
      <c r="CB63" s="699"/>
      <c r="CC63" s="699"/>
      <c r="CD63" s="699"/>
      <c r="CE63" s="699"/>
    </row>
    <row r="64" spans="2:83">
      <c r="B64" s="699"/>
      <c r="C64" s="699"/>
      <c r="D64" s="699"/>
      <c r="E64" s="699"/>
      <c r="F64" s="699"/>
      <c r="G64" s="699"/>
      <c r="H64" s="699"/>
      <c r="I64" s="699"/>
      <c r="J64" s="699"/>
      <c r="K64" s="699"/>
      <c r="L64" s="699"/>
      <c r="M64" s="699"/>
      <c r="N64" s="699"/>
      <c r="O64" s="699"/>
      <c r="P64" s="699"/>
      <c r="Q64" s="699"/>
      <c r="R64" s="699"/>
      <c r="S64" s="699"/>
      <c r="T64" s="699"/>
      <c r="U64" s="699"/>
      <c r="V64" s="699"/>
      <c r="W64" s="699"/>
      <c r="X64" s="699"/>
      <c r="Y64" s="699"/>
      <c r="Z64" s="699"/>
      <c r="AA64" s="699"/>
      <c r="AB64" s="699"/>
      <c r="AC64" s="699"/>
      <c r="AD64" s="699"/>
      <c r="AE64" s="699"/>
      <c r="AF64" s="1079"/>
      <c r="AG64" s="699"/>
      <c r="AH64" s="699"/>
      <c r="AI64" s="282" t="s">
        <v>883</v>
      </c>
      <c r="AJ64" s="699"/>
      <c r="AK64" s="699"/>
      <c r="AL64" s="699"/>
      <c r="AM64" s="699"/>
      <c r="AN64" s="699"/>
      <c r="AO64" s="699"/>
      <c r="AP64" s="699"/>
      <c r="AQ64" s="699"/>
      <c r="AR64" s="699"/>
      <c r="AS64" s="699"/>
      <c r="AT64" s="699"/>
      <c r="AU64" s="151"/>
      <c r="AV64" s="151"/>
      <c r="AW64" s="151"/>
      <c r="AX64" s="151"/>
      <c r="AY64" s="49"/>
      <c r="AZ64" s="49"/>
      <c r="BA64" s="49"/>
      <c r="BB64" s="49"/>
      <c r="BC64" s="49"/>
      <c r="BD64" s="49"/>
      <c r="BE64" s="49"/>
      <c r="BF64" s="49"/>
      <c r="BG64" s="49"/>
      <c r="BH64" s="49"/>
      <c r="BI64" s="49"/>
      <c r="BJ64" s="49"/>
      <c r="BK64" s="49"/>
      <c r="BL64" s="49"/>
      <c r="BM64" s="49"/>
      <c r="BN64" s="49"/>
      <c r="BO64" s="49"/>
      <c r="BP64" s="49"/>
      <c r="BQ64" s="699"/>
      <c r="BR64" s="699"/>
      <c r="BS64" s="699"/>
      <c r="BT64" s="699"/>
      <c r="BU64" s="699"/>
      <c r="BV64" s="699"/>
      <c r="BW64" s="699"/>
      <c r="BX64" s="699"/>
      <c r="BY64" s="699"/>
      <c r="BZ64" s="699"/>
      <c r="CA64" s="699"/>
      <c r="CB64" s="699"/>
      <c r="CC64" s="699"/>
      <c r="CD64" s="699"/>
      <c r="CE64" s="699"/>
    </row>
    <row r="65" spans="32:68" ht="15.75">
      <c r="AF65" s="1079" t="s">
        <v>881</v>
      </c>
      <c r="AG65" s="538" t="s">
        <v>162</v>
      </c>
      <c r="AH65" s="699"/>
      <c r="AI65" s="276">
        <f>+Assumptions!E163</f>
        <v>450</v>
      </c>
      <c r="AJ65" s="699"/>
      <c r="AK65" s="699"/>
      <c r="AL65" s="699"/>
      <c r="AM65" s="699"/>
      <c r="AN65" s="699"/>
      <c r="AO65" s="699"/>
      <c r="AP65" s="699"/>
      <c r="AQ65" s="699"/>
      <c r="AR65" s="699"/>
      <c r="AS65" s="699"/>
      <c r="AT65" s="699"/>
      <c r="AU65" s="151"/>
      <c r="AV65" s="151"/>
      <c r="AW65" s="151"/>
      <c r="AX65" s="151"/>
      <c r="AY65" s="49"/>
      <c r="AZ65" s="49"/>
      <c r="BA65" s="49"/>
      <c r="BB65" s="49"/>
      <c r="BC65" s="49"/>
      <c r="BD65" s="49"/>
      <c r="BE65" s="49"/>
      <c r="BF65" s="49"/>
      <c r="BG65" s="49"/>
      <c r="BH65" s="49"/>
      <c r="BI65" s="49"/>
      <c r="BJ65" s="49"/>
      <c r="BK65" s="49"/>
      <c r="BL65" s="49"/>
      <c r="BM65" s="49"/>
      <c r="BN65" s="49"/>
      <c r="BO65" s="49"/>
      <c r="BP65" s="49"/>
    </row>
    <row r="66" spans="32:68">
      <c r="AF66" s="1079"/>
      <c r="AG66" s="699" t="s">
        <v>174</v>
      </c>
      <c r="AH66" s="699"/>
      <c r="AI66" s="983">
        <f>+(AP44-Assumptions!$F$179)/AI$65</f>
        <v>0</v>
      </c>
      <c r="AJ66" s="699"/>
      <c r="AK66" s="699"/>
      <c r="AL66" s="699"/>
      <c r="AM66" s="699"/>
      <c r="AN66" s="699"/>
      <c r="AO66" s="699"/>
      <c r="AP66" s="699"/>
      <c r="AQ66" s="699"/>
      <c r="AR66" s="699"/>
      <c r="AS66" s="699"/>
      <c r="AT66" s="699"/>
      <c r="AU66" s="151"/>
      <c r="AV66" s="151"/>
      <c r="AW66" s="151"/>
      <c r="AX66" s="151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  <c r="BO66" s="49"/>
      <c r="BP66" s="49"/>
    </row>
    <row r="67" spans="32:68">
      <c r="AF67" s="1079"/>
      <c r="AG67" s="699" t="s">
        <v>175</v>
      </c>
      <c r="AH67" s="699"/>
      <c r="AI67" s="983">
        <f ca="1">+(AP45-Assumptions!$G$179)/AI$65</f>
        <v>0</v>
      </c>
      <c r="AJ67" s="699"/>
      <c r="AK67" s="699"/>
      <c r="AL67" s="699"/>
      <c r="AM67" s="699"/>
      <c r="AN67" s="699"/>
      <c r="AO67" s="699"/>
      <c r="AP67" s="699"/>
      <c r="AQ67" s="699"/>
      <c r="AR67" s="699"/>
      <c r="AS67" s="699"/>
      <c r="AT67" s="699"/>
      <c r="AU67" s="151"/>
      <c r="AV67" s="151"/>
      <c r="AW67" s="151"/>
      <c r="AX67" s="151"/>
      <c r="AY67" s="49"/>
      <c r="AZ67" s="49"/>
      <c r="BA67" s="49"/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</row>
    <row r="68" spans="32:68">
      <c r="AF68" s="1079"/>
      <c r="AG68" s="699" t="s">
        <v>176</v>
      </c>
      <c r="AH68" s="699"/>
      <c r="AI68" s="983">
        <f>+(AP46-Assumptions!$H$179)/AI$65</f>
        <v>364.70333333333332</v>
      </c>
      <c r="AJ68" s="699"/>
      <c r="AK68" s="699"/>
      <c r="AL68" s="699"/>
      <c r="AM68" s="699"/>
      <c r="AN68" s="699"/>
      <c r="AO68" s="699"/>
      <c r="AP68" s="699"/>
      <c r="AQ68" s="699"/>
      <c r="AR68" s="699"/>
      <c r="AS68" s="699"/>
      <c r="AT68" s="699"/>
      <c r="AU68" s="151"/>
      <c r="AV68" s="151"/>
      <c r="AW68" s="151"/>
      <c r="AX68" s="151"/>
      <c r="AY68" s="49"/>
      <c r="AZ68" s="49"/>
      <c r="BA68" s="49"/>
      <c r="BB68" s="49"/>
      <c r="BC68" s="49"/>
      <c r="BD68" s="49"/>
      <c r="BE68" s="49"/>
      <c r="BF68" s="49"/>
      <c r="BG68" s="49"/>
      <c r="BH68" s="49"/>
      <c r="BI68" s="49"/>
      <c r="BJ68" s="49"/>
      <c r="BK68" s="49"/>
      <c r="BL68" s="49"/>
      <c r="BM68" s="49"/>
      <c r="BN68" s="49"/>
      <c r="BO68" s="49"/>
      <c r="BP68" s="49"/>
    </row>
    <row r="69" spans="32:68" ht="15.75">
      <c r="AF69" s="1079"/>
      <c r="AG69" s="133" t="s">
        <v>258</v>
      </c>
      <c r="AH69" s="133"/>
      <c r="AI69" s="277">
        <f ca="1">SUM(AI66:AI68)</f>
        <v>364.70333333333332</v>
      </c>
      <c r="AJ69" s="699"/>
      <c r="AK69" s="699"/>
      <c r="AL69" s="699"/>
      <c r="AM69" s="699"/>
      <c r="AN69" s="699"/>
      <c r="AO69" s="699"/>
      <c r="AP69" s="699"/>
      <c r="AQ69" s="699"/>
      <c r="AR69" s="699"/>
      <c r="AS69" s="699"/>
      <c r="AT69" s="699"/>
      <c r="AU69" s="151"/>
      <c r="AV69" s="151"/>
      <c r="AW69" s="151"/>
      <c r="AX69" s="151"/>
      <c r="AY69" s="49"/>
      <c r="AZ69" s="49"/>
      <c r="BA69" s="49"/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</row>
    <row r="70" spans="32:68">
      <c r="AF70" s="1079"/>
      <c r="AG70" s="699"/>
      <c r="AH70" s="699"/>
      <c r="AI70" s="699"/>
      <c r="AJ70" s="699"/>
      <c r="AK70" s="699"/>
      <c r="AL70" s="699"/>
      <c r="AM70" s="699"/>
      <c r="AN70" s="699"/>
      <c r="AO70" s="699"/>
      <c r="AP70" s="699"/>
      <c r="AQ70" s="699"/>
      <c r="AR70" s="699"/>
      <c r="AS70" s="699"/>
      <c r="AT70" s="699"/>
      <c r="AU70" s="151"/>
      <c r="AV70" s="151"/>
      <c r="AW70" s="151"/>
      <c r="AX70" s="151"/>
      <c r="AY70" s="49"/>
      <c r="AZ70" s="49"/>
      <c r="BA70" s="49"/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</row>
    <row r="71" spans="32:68">
      <c r="AF71" s="1079"/>
      <c r="AG71" s="699"/>
      <c r="AH71" s="699"/>
      <c r="AI71" s="246" t="s">
        <v>884</v>
      </c>
      <c r="AJ71" s="151"/>
      <c r="AK71" s="743" t="s">
        <v>885</v>
      </c>
      <c r="AL71" s="699"/>
      <c r="AM71" s="699"/>
      <c r="AN71" s="699"/>
      <c r="AO71" s="699"/>
      <c r="AP71" s="699"/>
      <c r="AQ71" s="699"/>
      <c r="AR71" s="699"/>
      <c r="AS71" s="699"/>
      <c r="AT71" s="699"/>
      <c r="AU71" s="151"/>
      <c r="AV71" s="151"/>
      <c r="AW71" s="151"/>
      <c r="AX71" s="151"/>
      <c r="AY71" s="49"/>
      <c r="AZ71" s="49"/>
      <c r="BA71" s="49"/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49"/>
      <c r="BM71" s="49"/>
      <c r="BN71" s="49"/>
      <c r="BO71" s="49"/>
      <c r="BP71" s="49"/>
    </row>
    <row r="72" spans="32:68" ht="15.75">
      <c r="AF72" s="1079" t="s">
        <v>881</v>
      </c>
      <c r="AG72" s="538" t="s">
        <v>543</v>
      </c>
      <c r="AH72" s="699"/>
      <c r="AI72" s="278">
        <f>+Assumptions!F194</f>
        <v>325</v>
      </c>
      <c r="AJ72" s="717"/>
      <c r="AK72" s="717">
        <f>+Assumptions!AD199</f>
        <v>330</v>
      </c>
      <c r="AL72" s="699"/>
      <c r="AM72" s="699"/>
      <c r="AN72" s="699"/>
      <c r="AO72" s="699"/>
      <c r="AP72" s="699"/>
      <c r="AQ72" s="699"/>
      <c r="AR72" s="699"/>
      <c r="AS72" s="699"/>
      <c r="AT72" s="699"/>
      <c r="AU72" s="151"/>
      <c r="AV72" s="151"/>
      <c r="AW72" s="151"/>
      <c r="AX72" s="151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</row>
    <row r="73" spans="32:68">
      <c r="AF73" s="1079"/>
      <c r="AG73" s="699" t="s">
        <v>174</v>
      </c>
      <c r="AH73" s="699"/>
      <c r="AI73" s="983">
        <f>+AQ44/AI$72</f>
        <v>443.0770769230769</v>
      </c>
      <c r="AJ73" s="717"/>
      <c r="AK73" s="729">
        <f>+CB44/AK$72</f>
        <v>0</v>
      </c>
      <c r="AL73" s="699"/>
      <c r="AM73" s="699"/>
      <c r="AN73" s="699"/>
      <c r="AO73" s="699"/>
      <c r="AP73" s="699"/>
      <c r="AQ73" s="699"/>
      <c r="AR73" s="699"/>
      <c r="AS73" s="699"/>
      <c r="AT73" s="699"/>
      <c r="AU73" s="151"/>
      <c r="AV73" s="151"/>
      <c r="AW73" s="151"/>
      <c r="AX73" s="151"/>
      <c r="AY73" s="49"/>
      <c r="AZ73" s="49"/>
      <c r="BA73" s="49"/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49"/>
      <c r="BM73" s="49"/>
      <c r="BN73" s="49"/>
      <c r="BO73" s="49"/>
      <c r="BP73" s="49"/>
    </row>
    <row r="74" spans="32:68">
      <c r="AF74" s="1079"/>
      <c r="AG74" s="699" t="s">
        <v>175</v>
      </c>
      <c r="AH74" s="699"/>
      <c r="AI74" s="983">
        <f>+AQ45/AI$72</f>
        <v>505.10769230769233</v>
      </c>
      <c r="AJ74" s="717"/>
      <c r="AK74" s="729">
        <f>+CB45/AK$72</f>
        <v>0</v>
      </c>
      <c r="AL74" s="699"/>
      <c r="AM74" s="699"/>
      <c r="AN74" s="699"/>
      <c r="AO74" s="699"/>
      <c r="AP74" s="699"/>
      <c r="AQ74" s="699"/>
      <c r="AR74" s="699"/>
      <c r="AS74" s="699"/>
      <c r="AT74" s="699"/>
      <c r="AU74" s="699"/>
      <c r="AV74" s="49"/>
      <c r="AW74" s="49"/>
      <c r="AX74" s="49"/>
      <c r="AY74" s="49"/>
      <c r="AZ74" s="49"/>
      <c r="BA74" s="49"/>
      <c r="BB74" s="49"/>
      <c r="BC74" s="49"/>
      <c r="BD74" s="49"/>
      <c r="BE74" s="49"/>
      <c r="BF74" s="49"/>
      <c r="BG74" s="49"/>
      <c r="BH74" s="49"/>
      <c r="BI74" s="49"/>
      <c r="BJ74" s="49"/>
      <c r="BK74" s="49"/>
      <c r="BL74" s="49"/>
      <c r="BM74" s="49"/>
      <c r="BN74" s="49"/>
      <c r="BO74" s="49"/>
      <c r="BP74" s="49"/>
    </row>
    <row r="75" spans="32:68">
      <c r="AF75" s="1079"/>
      <c r="AG75" s="699" t="s">
        <v>176</v>
      </c>
      <c r="AH75" s="699"/>
      <c r="AI75" s="983">
        <f>+AQ46/AI$72</f>
        <v>236.76923076923077</v>
      </c>
      <c r="AJ75" s="717"/>
      <c r="AK75" s="729">
        <f>+CB46/AK$72</f>
        <v>0</v>
      </c>
      <c r="AL75" s="699"/>
      <c r="AM75" s="699"/>
      <c r="AN75" s="699"/>
      <c r="AO75" s="699"/>
      <c r="AP75" s="699"/>
      <c r="AQ75" s="699"/>
      <c r="AR75" s="699"/>
      <c r="AS75" s="699"/>
      <c r="AT75" s="699"/>
      <c r="AU75" s="699"/>
      <c r="AV75" s="49"/>
      <c r="AW75" s="49"/>
      <c r="AX75" s="49"/>
      <c r="AY75" s="49"/>
      <c r="AZ75" s="49"/>
      <c r="BA75" s="49"/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49"/>
      <c r="BM75" s="49"/>
      <c r="BN75" s="49"/>
      <c r="BO75" s="49"/>
      <c r="BP75" s="49"/>
    </row>
    <row r="76" spans="32:68" ht="15.75">
      <c r="AF76" s="1079"/>
      <c r="AG76" s="133" t="s">
        <v>258</v>
      </c>
      <c r="AH76" s="133"/>
      <c r="AI76" s="279">
        <f>+SUM(AI73:AI75)</f>
        <v>1184.954</v>
      </c>
      <c r="AJ76" s="718"/>
      <c r="AK76" s="764">
        <f>+SUM(AK73:AK75)</f>
        <v>0</v>
      </c>
      <c r="AL76" s="699"/>
      <c r="AM76" s="699"/>
      <c r="AN76" s="699"/>
      <c r="AO76" s="699"/>
      <c r="AP76" s="699"/>
      <c r="AQ76" s="699"/>
      <c r="AR76" s="699"/>
      <c r="AS76" s="699"/>
      <c r="AT76" s="699"/>
      <c r="AU76" s="699"/>
      <c r="AV76" s="49"/>
      <c r="AW76" s="49"/>
      <c r="AX76" s="49"/>
      <c r="AY76" s="49"/>
      <c r="AZ76" s="49"/>
      <c r="BA76" s="49"/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</row>
    <row r="77" spans="32:68">
      <c r="AF77" s="1079"/>
      <c r="AG77" s="699"/>
      <c r="AH77" s="699"/>
      <c r="AI77" s="699"/>
      <c r="AJ77" s="699"/>
      <c r="AK77" s="699"/>
      <c r="AL77" s="699"/>
      <c r="AM77" s="699"/>
      <c r="AN77" s="699"/>
      <c r="AO77" s="699"/>
      <c r="AP77" s="699"/>
      <c r="AQ77" s="699"/>
      <c r="AR77" s="699"/>
      <c r="AS77" s="699"/>
      <c r="AT77" s="699"/>
      <c r="AU77" s="69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  <c r="BO77" s="49"/>
      <c r="BP77" s="49"/>
    </row>
    <row r="78" spans="32:68" ht="15.75">
      <c r="AF78" s="1079"/>
      <c r="AG78" s="699"/>
      <c r="AH78" s="699"/>
      <c r="AI78" s="699"/>
      <c r="AJ78" s="246" t="s">
        <v>633</v>
      </c>
      <c r="AK78" s="699"/>
      <c r="AL78" s="246" t="s">
        <v>875</v>
      </c>
      <c r="AM78" s="699"/>
      <c r="AN78" s="246" t="s">
        <v>876</v>
      </c>
      <c r="AO78" s="699"/>
      <c r="AP78" s="246" t="s">
        <v>877</v>
      </c>
      <c r="AQ78" s="131" t="s">
        <v>878</v>
      </c>
      <c r="AR78" s="131" t="s">
        <v>879</v>
      </c>
      <c r="AS78" s="752" t="s">
        <v>878</v>
      </c>
      <c r="AT78" s="752" t="s">
        <v>879</v>
      </c>
      <c r="AU78" s="151"/>
      <c r="AV78" s="49"/>
      <c r="AW78" s="49"/>
      <c r="AX78" s="49"/>
      <c r="AY78" s="49"/>
      <c r="AZ78" s="49"/>
      <c r="BA78" s="49"/>
      <c r="BB78" s="49"/>
      <c r="BC78" s="49"/>
      <c r="BD78" s="49"/>
      <c r="BE78" s="49"/>
      <c r="BF78" s="49"/>
      <c r="BG78" s="49"/>
      <c r="BH78" s="49"/>
      <c r="BI78" s="49"/>
      <c r="BJ78" s="49"/>
      <c r="BK78" s="49"/>
      <c r="BL78" s="49"/>
      <c r="BM78" s="49"/>
      <c r="BN78" s="49"/>
      <c r="BO78" s="49"/>
      <c r="BP78" s="49"/>
    </row>
    <row r="79" spans="32:68" ht="47.25">
      <c r="AF79" s="1079" t="s">
        <v>881</v>
      </c>
      <c r="AG79" s="538" t="s">
        <v>288</v>
      </c>
      <c r="AH79" s="139" t="s">
        <v>502</v>
      </c>
      <c r="AI79" s="699" t="s">
        <v>882</v>
      </c>
      <c r="AJ79" s="267">
        <v>600</v>
      </c>
      <c r="AK79" s="699" t="s">
        <v>882</v>
      </c>
      <c r="AL79" s="268">
        <v>800</v>
      </c>
      <c r="AM79" s="699" t="s">
        <v>882</v>
      </c>
      <c r="AN79" s="267">
        <v>1200</v>
      </c>
      <c r="AO79" s="699" t="s">
        <v>882</v>
      </c>
      <c r="AP79" s="267">
        <v>1500</v>
      </c>
      <c r="AQ79" s="151" t="s">
        <v>882</v>
      </c>
      <c r="AR79" s="746">
        <f>+Assumptions!$AD$245</f>
        <v>2200</v>
      </c>
      <c r="AS79" s="151"/>
      <c r="AT79" s="151"/>
      <c r="AU79" s="151"/>
      <c r="AV79" s="49"/>
      <c r="AW79" s="49"/>
      <c r="AX79" s="776"/>
      <c r="AY79" s="49"/>
      <c r="AZ79" s="49"/>
      <c r="BA79" s="49"/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49"/>
      <c r="BM79" s="49"/>
      <c r="BN79" s="49"/>
      <c r="BO79" s="49"/>
      <c r="BP79" s="49"/>
    </row>
    <row r="80" spans="32:68" ht="15.75">
      <c r="AF80" s="1079"/>
      <c r="AG80" s="699" t="s">
        <v>174</v>
      </c>
      <c r="AH80" s="1066">
        <f>+SUM(AI80,AK80,AM80,AO80)-1</f>
        <v>0</v>
      </c>
      <c r="AI80" s="138">
        <v>0</v>
      </c>
      <c r="AJ80" s="1078">
        <f>(AI80*$AL44)/AJ$79</f>
        <v>0</v>
      </c>
      <c r="AK80" s="138">
        <v>0</v>
      </c>
      <c r="AL80" s="1078">
        <f>(AK80*$AL44)/AL$79</f>
        <v>0</v>
      </c>
      <c r="AM80" s="138">
        <v>0.65</v>
      </c>
      <c r="AN80" s="1078">
        <f>(AM80*$AL44)/AN$79</f>
        <v>13.570415625000004</v>
      </c>
      <c r="AO80" s="138">
        <v>0.35</v>
      </c>
      <c r="AP80" s="1078">
        <f>(AO80*$AL44)/AP$79</f>
        <v>5.8457175000000001</v>
      </c>
      <c r="AQ80" s="898">
        <f>SUM(AN80+AP80)</f>
        <v>19.416133125000005</v>
      </c>
      <c r="AR80" s="837">
        <f>AN80*$AN$79+AP80*$AP$79</f>
        <v>25053.075000000004</v>
      </c>
      <c r="AS80" s="741">
        <f>SUM(AJ80,AL80,AN80,AP80,AR80)</f>
        <v>25072.491133125004</v>
      </c>
      <c r="AT80" s="741">
        <f>(AJ$51*AJ80+AL$51*AL80+AN$51*AN80+AP$51*AP80+AW$51*AR80)</f>
        <v>32590825.409145009</v>
      </c>
      <c r="AU80" s="151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  <c r="BO80" s="49"/>
      <c r="BP80" s="49"/>
    </row>
    <row r="81" spans="5:68" ht="15.75">
      <c r="E81" s="699"/>
      <c r="F81" s="699"/>
      <c r="G81" s="699"/>
      <c r="H81" s="699"/>
      <c r="I81" s="699"/>
      <c r="J81" s="699"/>
      <c r="K81" s="699"/>
      <c r="L81" s="699"/>
      <c r="M81" s="699"/>
      <c r="N81" s="699"/>
      <c r="O81" s="699"/>
      <c r="P81" s="699"/>
      <c r="Q81" s="699"/>
      <c r="R81" s="699"/>
      <c r="S81" s="699"/>
      <c r="T81" s="699"/>
      <c r="U81" s="699"/>
      <c r="V81" s="699"/>
      <c r="W81" s="699"/>
      <c r="X81" s="699"/>
      <c r="Y81" s="699"/>
      <c r="Z81" s="699"/>
      <c r="AA81" s="699"/>
      <c r="AB81" s="699"/>
      <c r="AC81" s="699"/>
      <c r="AD81" s="699"/>
      <c r="AE81" s="699"/>
      <c r="AF81" s="1079"/>
      <c r="AG81" s="699" t="s">
        <v>175</v>
      </c>
      <c r="AH81" s="1066">
        <f t="shared" ref="AH81:AH82" si="68">+SUM(AI81,AK81,AM81,AO81)-1</f>
        <v>0</v>
      </c>
      <c r="AI81" s="138">
        <v>0</v>
      </c>
      <c r="AJ81" s="1078">
        <f>(AI81*$AL45)/AJ$79</f>
        <v>0</v>
      </c>
      <c r="AK81" s="138">
        <v>0</v>
      </c>
      <c r="AL81" s="1078">
        <f>(AK81*$AL45)/AL$79</f>
        <v>0</v>
      </c>
      <c r="AM81" s="138">
        <v>0.65</v>
      </c>
      <c r="AN81" s="1078">
        <f>(AM81*$AL45)/AN$79</f>
        <v>9.8518671874999999</v>
      </c>
      <c r="AO81" s="138">
        <v>0.35</v>
      </c>
      <c r="AP81" s="1078">
        <f>(AO81*$AL45)/AP$79</f>
        <v>4.2438812499999994</v>
      </c>
      <c r="AQ81" s="898">
        <f t="shared" ref="AQ81:AQ82" si="69">SUM(AN81+AP81)</f>
        <v>14.095748437499999</v>
      </c>
      <c r="AR81" s="837">
        <f t="shared" ref="AR81:AR83" si="70">AN81*$AN$79+AP81*$AP$79</f>
        <v>18188.0625</v>
      </c>
      <c r="AS81" s="741">
        <f>SUM(AJ81,AL81,AN81,AP81,AR81)</f>
        <v>18202.158248437499</v>
      </c>
      <c r="AT81" s="741">
        <f>(AJ$51*AJ81+AL$51*AL81+AN$51*AN81+AP$51*AP81+AW$51*AR81)</f>
        <v>23660327.902587499</v>
      </c>
      <c r="AU81" s="151"/>
      <c r="AV81" s="49"/>
      <c r="AW81" s="49"/>
      <c r="AX81" s="49"/>
      <c r="AY81" s="49"/>
      <c r="AZ81" s="49"/>
      <c r="BA81" s="49"/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49"/>
      <c r="BM81" s="49"/>
      <c r="BN81" s="49"/>
      <c r="BO81" s="49"/>
      <c r="BP81" s="49"/>
    </row>
    <row r="82" spans="5:68" ht="15.75">
      <c r="E82" s="699"/>
      <c r="F82" s="699"/>
      <c r="G82" s="699"/>
      <c r="H82" s="699"/>
      <c r="I82" s="699"/>
      <c r="J82" s="699"/>
      <c r="K82" s="699"/>
      <c r="L82" s="699"/>
      <c r="M82" s="699"/>
      <c r="N82" s="699"/>
      <c r="O82" s="699"/>
      <c r="P82" s="699"/>
      <c r="Q82" s="699"/>
      <c r="R82" s="699"/>
      <c r="S82" s="699"/>
      <c r="T82" s="699"/>
      <c r="U82" s="699"/>
      <c r="V82" s="699"/>
      <c r="W82" s="699"/>
      <c r="X82" s="699"/>
      <c r="Y82" s="699"/>
      <c r="Z82" s="699"/>
      <c r="AA82" s="699"/>
      <c r="AB82" s="699"/>
      <c r="AC82" s="699"/>
      <c r="AD82" s="699"/>
      <c r="AE82" s="699"/>
      <c r="AF82" s="1079"/>
      <c r="AG82" s="699" t="s">
        <v>176</v>
      </c>
      <c r="AH82" s="1066">
        <f t="shared" si="68"/>
        <v>0</v>
      </c>
      <c r="AI82" s="138">
        <v>0</v>
      </c>
      <c r="AJ82" s="1078">
        <f>(AI82*$AL46)/AJ$79</f>
        <v>0</v>
      </c>
      <c r="AK82" s="138">
        <v>0</v>
      </c>
      <c r="AL82" s="1078">
        <f>(AK82*$AL46)/AL$79</f>
        <v>0</v>
      </c>
      <c r="AM82" s="138">
        <v>0</v>
      </c>
      <c r="AN82" s="1078">
        <f>(AM82*$AL46)/AN$79</f>
        <v>0</v>
      </c>
      <c r="AO82" s="138">
        <v>1</v>
      </c>
      <c r="AP82" s="1078">
        <f>(AO82*$AL46)/AP$79</f>
        <v>18.648800000000001</v>
      </c>
      <c r="AQ82" s="898">
        <f t="shared" si="69"/>
        <v>18.648800000000001</v>
      </c>
      <c r="AR82" s="837">
        <f t="shared" si="70"/>
        <v>27973.200000000001</v>
      </c>
      <c r="AS82" s="741">
        <f>SUM(AJ82,AL82,AN82,AP82,AR82)</f>
        <v>27991.8488</v>
      </c>
      <c r="AT82" s="741">
        <f>(AJ$51*AJ82+AL$51*AL82+AN$51*AN82+AP$51*AP82+AW$51*AR82)</f>
        <v>36387519.911200002</v>
      </c>
      <c r="AU82" s="151"/>
      <c r="AV82" s="49"/>
      <c r="AW82" s="49"/>
      <c r="AX82" s="49"/>
      <c r="AY82" s="49"/>
      <c r="AZ82" s="49"/>
      <c r="BA82" s="49"/>
      <c r="BB82" s="49"/>
      <c r="BC82" s="49"/>
      <c r="BD82" s="49"/>
      <c r="BE82" s="49"/>
      <c r="BF82" s="49"/>
      <c r="BG82" s="49"/>
      <c r="BH82" s="49"/>
      <c r="BI82" s="49"/>
      <c r="BJ82" s="49"/>
      <c r="BK82" s="49"/>
      <c r="BL82" s="49"/>
      <c r="BM82" s="49"/>
      <c r="BN82" s="49"/>
      <c r="BO82" s="49"/>
      <c r="BP82" s="49"/>
    </row>
    <row r="83" spans="5:68" ht="18.600000000000001" customHeight="1">
      <c r="E83" s="699"/>
      <c r="F83" s="699"/>
      <c r="G83" s="699"/>
      <c r="H83" s="699"/>
      <c r="I83" s="699"/>
      <c r="J83" s="699"/>
      <c r="K83" s="699"/>
      <c r="L83" s="699"/>
      <c r="M83" s="699"/>
      <c r="N83" s="699"/>
      <c r="O83" s="699"/>
      <c r="P83" s="699"/>
      <c r="Q83" s="699"/>
      <c r="R83" s="699"/>
      <c r="S83" s="699"/>
      <c r="T83" s="699"/>
      <c r="U83" s="699"/>
      <c r="V83" s="699"/>
      <c r="W83" s="699"/>
      <c r="X83" s="699"/>
      <c r="Y83" s="699"/>
      <c r="Z83" s="699"/>
      <c r="AA83" s="699"/>
      <c r="AB83" s="699"/>
      <c r="AC83" s="699"/>
      <c r="AD83" s="699"/>
      <c r="AE83" s="699"/>
      <c r="AF83" s="1079"/>
      <c r="AG83" s="133" t="s">
        <v>258</v>
      </c>
      <c r="AH83" s="270">
        <f>SUM(AJ83:AR83)</f>
        <v>71318.658863125005</v>
      </c>
      <c r="AI83" s="133"/>
      <c r="AJ83" s="271">
        <f>+SUM(AJ80:AJ82)</f>
        <v>0</v>
      </c>
      <c r="AK83" s="271"/>
      <c r="AL83" s="271">
        <f>+SUM(AL80:AL82)</f>
        <v>0</v>
      </c>
      <c r="AM83" s="271"/>
      <c r="AN83" s="271">
        <f>+SUM(AN80:AN82)</f>
        <v>23.422282812500004</v>
      </c>
      <c r="AO83" s="271"/>
      <c r="AP83" s="271">
        <f>+SUM(AP80:AP82)</f>
        <v>28.738398750000002</v>
      </c>
      <c r="AQ83" s="838">
        <f>SUM(AN83:AP83)</f>
        <v>52.160681562500002</v>
      </c>
      <c r="AR83" s="837">
        <f t="shared" si="70"/>
        <v>71214.337500000009</v>
      </c>
      <c r="AS83" s="923"/>
      <c r="AT83" s="741">
        <f>SUM(AT80:AT82)</f>
        <v>92638673.222932518</v>
      </c>
      <c r="AU83" s="151"/>
      <c r="AV83" s="49"/>
      <c r="AW83" s="49"/>
      <c r="AX83" s="49"/>
      <c r="AY83" s="49"/>
      <c r="AZ83" s="49"/>
      <c r="BA83" s="49"/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49"/>
      <c r="BM83" s="49"/>
      <c r="BN83" s="49"/>
      <c r="BO83" s="49"/>
      <c r="BP83" s="49"/>
    </row>
    <row r="84" spans="5:68" ht="15.75">
      <c r="E84" s="699"/>
      <c r="F84" s="699"/>
      <c r="G84" s="699"/>
      <c r="H84" s="699"/>
      <c r="I84" s="699"/>
      <c r="J84" s="699"/>
      <c r="K84" s="699"/>
      <c r="L84" s="699"/>
      <c r="M84" s="699"/>
      <c r="N84" s="699"/>
      <c r="O84" s="699"/>
      <c r="P84" s="699"/>
      <c r="Q84" s="699"/>
      <c r="R84" s="699"/>
      <c r="S84" s="699"/>
      <c r="T84" s="699"/>
      <c r="U84" s="699"/>
      <c r="V84" s="699"/>
      <c r="W84" s="699"/>
      <c r="X84" s="699"/>
      <c r="Y84" s="699"/>
      <c r="Z84" s="699"/>
      <c r="AA84" s="699"/>
      <c r="AB84" s="699"/>
      <c r="AC84" s="699"/>
      <c r="AD84" s="699"/>
      <c r="AE84" s="699"/>
      <c r="AF84" s="1079"/>
      <c r="AG84" s="699"/>
      <c r="AH84" s="699"/>
      <c r="AI84" s="699"/>
      <c r="AJ84" s="699"/>
      <c r="AK84" s="699"/>
      <c r="AL84" s="699"/>
      <c r="AM84" s="699"/>
      <c r="AN84" s="699"/>
      <c r="AO84" s="699"/>
      <c r="AP84" s="699"/>
      <c r="AQ84" s="838"/>
      <c r="AR84" s="837"/>
      <c r="AS84" s="151"/>
      <c r="AT84" s="151"/>
      <c r="AU84" s="151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  <c r="BK84" s="49"/>
      <c r="BL84" s="49"/>
      <c r="BM84" s="49"/>
      <c r="BN84" s="49"/>
      <c r="BO84" s="49"/>
      <c r="BP84" s="49"/>
    </row>
    <row r="85" spans="5:68" ht="15.75">
      <c r="E85" s="699"/>
      <c r="F85" s="699"/>
      <c r="G85" s="699"/>
      <c r="H85" s="699"/>
      <c r="I85" s="699"/>
      <c r="J85" s="699"/>
      <c r="K85" s="699"/>
      <c r="L85" s="699"/>
      <c r="M85" s="699"/>
      <c r="N85" s="699"/>
      <c r="O85" s="699"/>
      <c r="P85" s="699"/>
      <c r="Q85" s="699"/>
      <c r="R85" s="699"/>
      <c r="S85" s="699"/>
      <c r="T85" s="699"/>
      <c r="U85" s="699"/>
      <c r="V85" s="699"/>
      <c r="W85" s="699"/>
      <c r="X85" s="699"/>
      <c r="Y85" s="699"/>
      <c r="Z85" s="699"/>
      <c r="AA85" s="699"/>
      <c r="AB85" s="699"/>
      <c r="AC85" s="699"/>
      <c r="AD85" s="699"/>
      <c r="AE85" s="699"/>
      <c r="AF85" s="1079"/>
      <c r="AG85" s="699"/>
      <c r="AH85" s="699"/>
      <c r="AI85" s="699"/>
      <c r="AJ85" s="246" t="s">
        <v>633</v>
      </c>
      <c r="AK85" s="699"/>
      <c r="AL85" s="246" t="s">
        <v>875</v>
      </c>
      <c r="AM85" s="699"/>
      <c r="AN85" s="246" t="s">
        <v>876</v>
      </c>
      <c r="AO85" s="699"/>
      <c r="AP85" s="246" t="s">
        <v>877</v>
      </c>
      <c r="AQ85" s="838"/>
      <c r="AR85" s="837"/>
      <c r="AS85" s="752" t="s">
        <v>878</v>
      </c>
      <c r="AT85" s="752" t="s">
        <v>879</v>
      </c>
      <c r="AU85" s="151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</row>
    <row r="86" spans="5:68" ht="47.25">
      <c r="E86" s="699"/>
      <c r="F86" s="699"/>
      <c r="G86" s="699"/>
      <c r="H86" s="699"/>
      <c r="I86" s="699"/>
      <c r="J86" s="699"/>
      <c r="K86" s="699"/>
      <c r="L86" s="699"/>
      <c r="M86" s="699"/>
      <c r="N86" s="699"/>
      <c r="O86" s="699"/>
      <c r="P86" s="699"/>
      <c r="Q86" s="699"/>
      <c r="R86" s="699"/>
      <c r="S86" s="699"/>
      <c r="T86" s="699"/>
      <c r="U86" s="699"/>
      <c r="V86" s="699"/>
      <c r="W86" s="699"/>
      <c r="X86" s="699"/>
      <c r="Y86" s="699"/>
      <c r="Z86" s="699"/>
      <c r="AA86" s="699"/>
      <c r="AB86" s="699"/>
      <c r="AC86" s="699"/>
      <c r="AD86" s="699"/>
      <c r="AE86" s="699"/>
      <c r="AF86" s="1079" t="s">
        <v>881</v>
      </c>
      <c r="AG86" s="538" t="s">
        <v>338</v>
      </c>
      <c r="AH86" s="139" t="s">
        <v>502</v>
      </c>
      <c r="AI86" s="699" t="s">
        <v>882</v>
      </c>
      <c r="AJ86" s="267">
        <v>600</v>
      </c>
      <c r="AK86" s="699" t="s">
        <v>882</v>
      </c>
      <c r="AL86" s="268">
        <v>800</v>
      </c>
      <c r="AM86" s="699" t="s">
        <v>882</v>
      </c>
      <c r="AN86" s="267">
        <v>1200</v>
      </c>
      <c r="AO86" s="699" t="s">
        <v>882</v>
      </c>
      <c r="AP86" s="267">
        <v>1500</v>
      </c>
      <c r="AQ86" s="838"/>
      <c r="AR86" s="837"/>
      <c r="AS86" s="151"/>
      <c r="AT86" s="151"/>
      <c r="AU86" s="151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  <c r="BK86" s="49"/>
      <c r="BL86" s="49"/>
      <c r="BM86" s="49"/>
      <c r="BN86" s="49"/>
      <c r="BO86" s="49"/>
      <c r="BP86" s="49"/>
    </row>
    <row r="87" spans="5:68" ht="15.75">
      <c r="E87" s="699"/>
      <c r="F87" s="699"/>
      <c r="G87" s="699"/>
      <c r="H87" s="699"/>
      <c r="I87" s="699"/>
      <c r="J87" s="699"/>
      <c r="K87" s="699"/>
      <c r="L87" s="699"/>
      <c r="M87" s="699"/>
      <c r="N87" s="699"/>
      <c r="O87" s="699"/>
      <c r="P87" s="699"/>
      <c r="Q87" s="699"/>
      <c r="R87" s="699"/>
      <c r="S87" s="699"/>
      <c r="T87" s="699"/>
      <c r="U87" s="699"/>
      <c r="V87" s="699"/>
      <c r="W87" s="699"/>
      <c r="X87" s="699"/>
      <c r="Y87" s="699"/>
      <c r="Z87" s="699"/>
      <c r="AA87" s="699"/>
      <c r="AB87" s="699"/>
      <c r="AC87" s="699"/>
      <c r="AD87" s="699"/>
      <c r="AE87" s="699"/>
      <c r="AF87" s="699"/>
      <c r="AG87" s="699" t="s">
        <v>174</v>
      </c>
      <c r="AH87" s="1066">
        <f>+SUM(AI87,AK87,AM87,AO87)-1</f>
        <v>0</v>
      </c>
      <c r="AI87" s="138">
        <v>0</v>
      </c>
      <c r="AJ87" s="1078">
        <f>(AI87*$AM44)/AJ$86</f>
        <v>0</v>
      </c>
      <c r="AK87" s="138">
        <v>0.45</v>
      </c>
      <c r="AL87" s="1078">
        <f>(AK87*$AM44)/AL$86</f>
        <v>31.0031803125</v>
      </c>
      <c r="AM87" s="138">
        <v>0.4</v>
      </c>
      <c r="AN87" s="1078">
        <f>(AM87*$AM44)/AN$86</f>
        <v>18.372255000000003</v>
      </c>
      <c r="AO87" s="138">
        <v>0.15</v>
      </c>
      <c r="AP87" s="1078">
        <f>(AO87*$AM44)/AP$86</f>
        <v>5.5116765000000001</v>
      </c>
      <c r="AQ87" s="838">
        <f>AP87+AN87+AL87</f>
        <v>54.887111812500002</v>
      </c>
      <c r="AR87" s="837">
        <f>AP87*$AP$86+AN87*$AN$86+AL87*$AL$86</f>
        <v>55116.764999999999</v>
      </c>
      <c r="AS87" s="741">
        <f>SUM(AJ87,AL87,AN87,AP87,AR87)</f>
        <v>55171.652111812502</v>
      </c>
      <c r="AT87" s="741">
        <f>(AJ$51*AJ87+AL$51*AL87+AN$51*AN87+AP$51*AP87+AW$51*AR87)</f>
        <v>71699981.709720373</v>
      </c>
      <c r="AU87" s="151"/>
      <c r="AV87" s="49"/>
      <c r="AW87" s="49"/>
      <c r="AX87" s="49"/>
      <c r="AY87" s="49"/>
      <c r="AZ87" s="49"/>
      <c r="BA87" s="49"/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</row>
    <row r="88" spans="5:68" ht="15.75">
      <c r="E88" s="699"/>
      <c r="F88" s="699"/>
      <c r="G88" s="699"/>
      <c r="H88" s="699"/>
      <c r="I88" s="699"/>
      <c r="J88" s="699"/>
      <c r="K88" s="699"/>
      <c r="L88" s="699"/>
      <c r="M88" s="699"/>
      <c r="N88" s="699"/>
      <c r="O88" s="699"/>
      <c r="P88" s="699"/>
      <c r="Q88" s="699"/>
      <c r="R88" s="699"/>
      <c r="S88" s="699"/>
      <c r="T88" s="699"/>
      <c r="U88" s="699"/>
      <c r="V88" s="699"/>
      <c r="W88" s="699"/>
      <c r="X88" s="699"/>
      <c r="Y88" s="699"/>
      <c r="Z88" s="699"/>
      <c r="AA88" s="699"/>
      <c r="AB88" s="699"/>
      <c r="AC88" s="699"/>
      <c r="AD88" s="699"/>
      <c r="AE88" s="699"/>
      <c r="AF88" s="699"/>
      <c r="AG88" s="699" t="s">
        <v>175</v>
      </c>
      <c r="AH88" s="1066">
        <f t="shared" ref="AH88:AH89" si="71">+SUM(AI88,AK88,AM88,AO88)-1</f>
        <v>0</v>
      </c>
      <c r="AI88" s="138">
        <v>0</v>
      </c>
      <c r="AJ88" s="1078">
        <f>(AI88*$AM45)/AJ$86</f>
        <v>0</v>
      </c>
      <c r="AK88" s="138">
        <v>0.45</v>
      </c>
      <c r="AL88" s="1078">
        <f>(AK88*$AM45)/AL$86</f>
        <v>22.507727343750002</v>
      </c>
      <c r="AM88" s="138">
        <v>0.4</v>
      </c>
      <c r="AN88" s="1078">
        <f>(AM88*$AM45)/AN$86</f>
        <v>13.337912500000002</v>
      </c>
      <c r="AO88" s="138">
        <v>0.15</v>
      </c>
      <c r="AP88" s="1078">
        <f>(AO88*$AM45)/AP$86</f>
        <v>4.00137375</v>
      </c>
      <c r="AQ88" s="838">
        <f t="shared" ref="AQ88:AQ89" si="72">AP88+AN88+AL88</f>
        <v>39.847013593750006</v>
      </c>
      <c r="AR88" s="837">
        <f t="shared" ref="AR88:AR89" si="73">AP88*$AP$86+AN88*$AN$86+AL88*$AL$86</f>
        <v>40013.737500000003</v>
      </c>
      <c r="AS88" s="741">
        <f>SUM(AJ88,AL88,AN88,AP88,AR88)</f>
        <v>40053.584513593756</v>
      </c>
      <c r="AT88" s="741">
        <f>(AJ$51*AJ88+AL$51*AL88+AN$51*AN88+AP$51*AP88+AW$51*AR88)</f>
        <v>52052841.76035282</v>
      </c>
      <c r="AU88" s="151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</row>
    <row r="89" spans="5:68" ht="15.75">
      <c r="E89" s="699"/>
      <c r="F89" s="699"/>
      <c r="G89" s="699"/>
      <c r="H89" s="699"/>
      <c r="I89" s="699"/>
      <c r="J89" s="699"/>
      <c r="K89" s="699"/>
      <c r="L89" s="699"/>
      <c r="M89" s="699"/>
      <c r="N89" s="699"/>
      <c r="O89" s="699"/>
      <c r="P89" s="699"/>
      <c r="Q89" s="699"/>
      <c r="R89" s="699"/>
      <c r="S89" s="699"/>
      <c r="T89" s="699"/>
      <c r="U89" s="699"/>
      <c r="V89" s="699"/>
      <c r="W89" s="699"/>
      <c r="X89" s="699"/>
      <c r="Y89" s="699"/>
      <c r="Z89" s="699"/>
      <c r="AA89" s="699"/>
      <c r="AB89" s="699"/>
      <c r="AC89" s="699"/>
      <c r="AD89" s="699"/>
      <c r="AE89" s="699"/>
      <c r="AF89" s="699"/>
      <c r="AG89" s="699" t="s">
        <v>176</v>
      </c>
      <c r="AH89" s="1066">
        <f t="shared" si="71"/>
        <v>0</v>
      </c>
      <c r="AI89" s="138">
        <v>0</v>
      </c>
      <c r="AJ89" s="1078">
        <f>(AI89*$AM46)/AJ$86</f>
        <v>0</v>
      </c>
      <c r="AK89" s="138">
        <v>0</v>
      </c>
      <c r="AL89" s="1078">
        <f>(AK89*$AM46)/AL$86</f>
        <v>0</v>
      </c>
      <c r="AM89" s="138">
        <v>0</v>
      </c>
      <c r="AN89" s="1078">
        <f>(AM89*$AM46)/AN$86</f>
        <v>0</v>
      </c>
      <c r="AO89" s="138">
        <v>1</v>
      </c>
      <c r="AP89" s="1078">
        <f>(AO89*$AM46)/AP$86</f>
        <v>38.627360000000003</v>
      </c>
      <c r="AQ89" s="838">
        <f t="shared" si="72"/>
        <v>38.627360000000003</v>
      </c>
      <c r="AR89" s="837">
        <f t="shared" si="73"/>
        <v>57941.040000000008</v>
      </c>
      <c r="AS89" s="741">
        <f>SUM(AJ89,AL89,AN89,AP89,AR89)</f>
        <v>57979.667360000007</v>
      </c>
      <c r="AT89" s="741">
        <f>(AJ$51*AJ89+AL$51*AL89+AN$51*AN89+AP$51*AP89+AW$51*AR89)</f>
        <v>75369666.204640016</v>
      </c>
      <c r="AU89" s="151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</row>
    <row r="90" spans="5:68" ht="15.75">
      <c r="E90" s="699"/>
      <c r="F90" s="699"/>
      <c r="G90" s="699"/>
      <c r="H90" s="699"/>
      <c r="I90" s="699"/>
      <c r="J90" s="699"/>
      <c r="K90" s="699"/>
      <c r="L90" s="699"/>
      <c r="M90" s="699"/>
      <c r="N90" s="699"/>
      <c r="O90" s="699"/>
      <c r="P90" s="699"/>
      <c r="Q90" s="699"/>
      <c r="R90" s="699"/>
      <c r="S90" s="699"/>
      <c r="T90" s="699"/>
      <c r="U90" s="699"/>
      <c r="V90" s="699"/>
      <c r="W90" s="699"/>
      <c r="X90" s="699"/>
      <c r="Y90" s="699"/>
      <c r="Z90" s="699"/>
      <c r="AA90" s="699"/>
      <c r="AB90" s="699"/>
      <c r="AC90" s="699"/>
      <c r="AD90" s="699"/>
      <c r="AE90" s="699"/>
      <c r="AF90" s="699"/>
      <c r="AG90" s="133" t="s">
        <v>258</v>
      </c>
      <c r="AH90" s="270">
        <f>SUM(AJ90:AR90)</f>
        <v>153338.2654708125</v>
      </c>
      <c r="AI90" s="133"/>
      <c r="AJ90" s="271">
        <f>+SUM(AJ87:AJ89)</f>
        <v>0</v>
      </c>
      <c r="AK90" s="271"/>
      <c r="AL90" s="271">
        <f>+SUM(AL87:AL89)</f>
        <v>53.510907656249998</v>
      </c>
      <c r="AM90" s="271"/>
      <c r="AN90" s="271">
        <f>+SUM(AN87:AN89)</f>
        <v>31.710167500000004</v>
      </c>
      <c r="AO90" s="271"/>
      <c r="AP90" s="271">
        <f>+SUM(AP87:AP89)</f>
        <v>48.140410250000002</v>
      </c>
      <c r="AQ90" s="838">
        <f>SUM(AQ87:AQ89)</f>
        <v>133.36148540625001</v>
      </c>
      <c r="AR90" s="769">
        <f>SUM(AR87:AR89)</f>
        <v>153071.54250000001</v>
      </c>
      <c r="AS90" s="741">
        <f>SUM(AS87:AS89)</f>
        <v>153204.90398540627</v>
      </c>
      <c r="AT90" s="741">
        <f>SUM(AT87:AT89)</f>
        <v>199122489.67471319</v>
      </c>
      <c r="AU90" s="151"/>
      <c r="AV90" s="49"/>
      <c r="AW90" s="49"/>
      <c r="AX90" s="49"/>
      <c r="AY90" s="49"/>
      <c r="AZ90" s="49"/>
      <c r="BA90" s="49"/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</row>
    <row r="91" spans="5:68">
      <c r="E91" s="699"/>
      <c r="F91" s="699"/>
      <c r="G91" s="699"/>
      <c r="H91" s="699"/>
      <c r="I91" s="699"/>
      <c r="J91" s="699"/>
      <c r="K91" s="699"/>
      <c r="L91" s="699"/>
      <c r="M91" s="699"/>
      <c r="N91" s="699"/>
      <c r="O91" s="699"/>
      <c r="P91" s="699"/>
      <c r="Q91" s="699"/>
      <c r="R91" s="699"/>
      <c r="S91" s="699"/>
      <c r="T91" s="699"/>
      <c r="U91" s="699"/>
      <c r="V91" s="699"/>
      <c r="W91" s="699"/>
      <c r="X91" s="699"/>
      <c r="Y91" s="699"/>
      <c r="Z91" s="699"/>
      <c r="AA91" s="699"/>
      <c r="AB91" s="699"/>
      <c r="AC91" s="699"/>
      <c r="AD91" s="699"/>
      <c r="AE91" s="699"/>
      <c r="AF91" s="699"/>
      <c r="AG91" s="699"/>
      <c r="AH91" s="699"/>
      <c r="AI91" s="699"/>
      <c r="AJ91" s="699"/>
      <c r="AK91" s="699"/>
      <c r="AL91" s="699"/>
      <c r="AM91" s="699"/>
      <c r="AN91" s="699"/>
      <c r="AO91" s="699"/>
      <c r="AP91" s="699"/>
      <c r="AQ91" s="151"/>
      <c r="AR91" s="151"/>
      <c r="AS91" s="151"/>
      <c r="AT91" s="151"/>
      <c r="AU91" s="151"/>
      <c r="AV91" s="49"/>
      <c r="AW91" s="49"/>
      <c r="AX91" s="49"/>
      <c r="AY91" s="49"/>
      <c r="AZ91" s="49"/>
      <c r="BA91" s="49"/>
      <c r="BB91" s="49"/>
      <c r="BC91" s="49"/>
      <c r="BD91" s="49"/>
      <c r="BE91" s="49"/>
      <c r="BF91" s="49"/>
      <c r="BG91" s="49"/>
      <c r="BH91" s="49"/>
      <c r="BI91" s="49"/>
      <c r="BJ91" s="49"/>
      <c r="BK91" s="49"/>
      <c r="BL91" s="49"/>
      <c r="BM91" s="49"/>
      <c r="BN91" s="49"/>
      <c r="BO91" s="49"/>
      <c r="BP91" s="49"/>
    </row>
    <row r="92" spans="5:68">
      <c r="E92" s="699"/>
      <c r="F92" s="699"/>
      <c r="G92" s="699"/>
      <c r="H92" s="699"/>
      <c r="I92" s="699"/>
      <c r="J92" s="699"/>
      <c r="K92" s="699"/>
      <c r="L92" s="699"/>
      <c r="M92" s="699"/>
      <c r="N92" s="699"/>
      <c r="O92" s="699"/>
      <c r="P92" s="699"/>
      <c r="Q92" s="699"/>
      <c r="R92" s="699"/>
      <c r="S92" s="699"/>
      <c r="T92" s="699"/>
      <c r="U92" s="699"/>
      <c r="V92" s="699"/>
      <c r="W92" s="699"/>
      <c r="X92" s="699"/>
      <c r="Y92" s="699"/>
      <c r="Z92" s="699"/>
      <c r="AA92" s="699"/>
      <c r="AB92" s="699"/>
      <c r="AC92" s="699"/>
      <c r="AD92" s="699"/>
      <c r="AE92" s="699"/>
      <c r="AF92" s="699"/>
      <c r="AG92" s="699"/>
      <c r="AH92" s="699"/>
      <c r="AI92" s="699"/>
      <c r="AJ92" s="699"/>
      <c r="AK92" s="699"/>
      <c r="AL92" s="699"/>
      <c r="AM92" s="699"/>
      <c r="AN92" s="699"/>
      <c r="AO92" s="699"/>
      <c r="AP92" s="699"/>
      <c r="AQ92" s="250"/>
      <c r="AR92" s="151"/>
      <c r="AS92" s="151"/>
      <c r="AT92" s="151"/>
      <c r="AU92" s="151"/>
      <c r="AV92" s="49"/>
      <c r="AW92" s="49"/>
      <c r="AX92" s="49"/>
      <c r="AY92" s="49"/>
      <c r="AZ92" s="49"/>
      <c r="BA92" s="49"/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</row>
    <row r="93" spans="5:68">
      <c r="E93" s="180"/>
      <c r="F93" s="699"/>
      <c r="G93" s="699"/>
      <c r="H93" s="699"/>
      <c r="I93" s="699"/>
      <c r="J93" s="699"/>
      <c r="K93" s="699"/>
      <c r="L93" s="699"/>
      <c r="M93" s="699"/>
      <c r="N93" s="699"/>
      <c r="O93" s="699"/>
      <c r="P93" s="699"/>
      <c r="Q93" s="699"/>
      <c r="R93" s="699"/>
      <c r="S93" s="699"/>
      <c r="T93" s="699"/>
      <c r="U93" s="699"/>
      <c r="V93" s="699"/>
      <c r="W93" s="699"/>
      <c r="X93" s="699"/>
      <c r="Y93" s="699"/>
      <c r="Z93" s="699"/>
      <c r="AA93" s="699"/>
      <c r="AB93" s="699"/>
      <c r="AC93" s="699"/>
      <c r="AD93" s="699"/>
      <c r="AE93" s="699"/>
      <c r="AF93" s="699"/>
      <c r="AG93" s="699"/>
      <c r="AH93" s="699"/>
      <c r="AI93" s="699"/>
      <c r="AJ93" s="699"/>
      <c r="AK93" s="699"/>
      <c r="AL93" s="699"/>
      <c r="AM93" s="699"/>
      <c r="AN93" s="699"/>
      <c r="AO93" s="699"/>
      <c r="AP93" s="699"/>
      <c r="AQ93" s="250"/>
      <c r="AR93" s="151"/>
      <c r="AS93" s="151"/>
      <c r="AT93" s="151"/>
      <c r="AU93" s="151"/>
      <c r="AV93" s="49"/>
      <c r="AW93" s="49"/>
      <c r="AX93" s="49"/>
      <c r="AY93" s="49"/>
      <c r="AZ93" s="49"/>
      <c r="BA93" s="49"/>
      <c r="BB93" s="49"/>
      <c r="BC93" s="49"/>
      <c r="BD93" s="49"/>
      <c r="BE93" s="49"/>
      <c r="BF93" s="49"/>
      <c r="BG93" s="49"/>
      <c r="BH93" s="49"/>
      <c r="BI93" s="49"/>
      <c r="BJ93" s="49"/>
      <c r="BK93" s="49"/>
      <c r="BL93" s="49"/>
      <c r="BM93" s="49"/>
      <c r="BN93" s="49"/>
      <c r="BO93" s="49"/>
      <c r="BP93" s="49"/>
    </row>
    <row r="94" spans="5:68">
      <c r="E94" s="180"/>
      <c r="F94" s="699"/>
      <c r="G94" s="699"/>
      <c r="H94" s="699"/>
      <c r="I94" s="699"/>
      <c r="J94" s="699"/>
      <c r="K94" s="699"/>
      <c r="L94" s="699"/>
      <c r="M94" s="699"/>
      <c r="N94" s="699"/>
      <c r="O94" s="699"/>
      <c r="P94" s="699"/>
      <c r="Q94" s="699"/>
      <c r="R94" s="699"/>
      <c r="S94" s="699"/>
      <c r="T94" s="699"/>
      <c r="U94" s="699"/>
      <c r="V94" s="699"/>
      <c r="W94" s="699"/>
      <c r="X94" s="699"/>
      <c r="Y94" s="699"/>
      <c r="Z94" s="699"/>
      <c r="AA94" s="699"/>
      <c r="AB94" s="699"/>
      <c r="AC94" s="699"/>
      <c r="AD94" s="699"/>
      <c r="AE94" s="699"/>
      <c r="AF94" s="1079" t="s">
        <v>881</v>
      </c>
      <c r="AG94" s="699"/>
      <c r="AH94" s="699"/>
      <c r="AI94" s="699"/>
      <c r="AJ94" s="699"/>
      <c r="AK94" s="699"/>
      <c r="AL94" s="699"/>
      <c r="AM94" s="699"/>
      <c r="AN94" s="699"/>
      <c r="AO94" s="699"/>
      <c r="AP94" s="699"/>
      <c r="AQ94" s="927"/>
      <c r="AR94" s="151"/>
      <c r="AS94" s="151"/>
      <c r="AT94" s="151"/>
      <c r="AU94" s="151"/>
      <c r="AV94" s="49"/>
      <c r="AW94" s="49"/>
      <c r="AX94" s="49"/>
      <c r="AY94" s="49"/>
      <c r="AZ94" s="49"/>
      <c r="BA94" s="49"/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</row>
    <row r="95" spans="5:68">
      <c r="E95" s="180"/>
      <c r="F95" s="699"/>
      <c r="G95" s="699"/>
      <c r="H95" s="699"/>
      <c r="I95" s="699"/>
      <c r="J95" s="699"/>
      <c r="K95" s="699"/>
      <c r="L95" s="699"/>
      <c r="M95" s="699"/>
      <c r="N95" s="699"/>
      <c r="O95" s="699"/>
      <c r="P95" s="699"/>
      <c r="Q95" s="699"/>
      <c r="R95" s="699"/>
      <c r="S95" s="699"/>
      <c r="T95" s="699"/>
      <c r="U95" s="699"/>
      <c r="V95" s="699"/>
      <c r="W95" s="699"/>
      <c r="X95" s="699"/>
      <c r="Y95" s="699"/>
      <c r="Z95" s="699"/>
      <c r="AA95" s="699"/>
      <c r="AB95" s="699"/>
      <c r="AC95" s="699"/>
      <c r="AD95" s="699"/>
      <c r="AE95" s="699"/>
      <c r="AF95" s="699"/>
      <c r="AG95" s="699"/>
      <c r="AH95" s="699"/>
      <c r="AI95" s="699"/>
      <c r="AJ95" s="699"/>
      <c r="AK95" s="699"/>
      <c r="AL95" s="699"/>
      <c r="AM95" s="699"/>
      <c r="AN95" s="699"/>
      <c r="AO95" s="699"/>
      <c r="AP95" s="699"/>
      <c r="AQ95" s="250"/>
      <c r="AR95" s="151"/>
      <c r="AS95" s="151"/>
      <c r="AT95" s="151"/>
      <c r="AU95" s="151"/>
      <c r="AV95" s="49"/>
      <c r="AW95" s="49"/>
      <c r="AX95" s="49"/>
      <c r="AY95" s="49"/>
      <c r="AZ95" s="49"/>
      <c r="BA95" s="49"/>
      <c r="BB95" s="49"/>
      <c r="BC95" s="49"/>
      <c r="BD95" s="49"/>
      <c r="BE95" s="49"/>
      <c r="BF95" s="49"/>
      <c r="BG95" s="49"/>
      <c r="BH95" s="49"/>
      <c r="BI95" s="49"/>
      <c r="BJ95" s="49"/>
      <c r="BK95" s="49"/>
      <c r="BL95" s="49"/>
      <c r="BM95" s="49"/>
      <c r="BN95" s="49"/>
      <c r="BO95" s="49"/>
      <c r="BP95" s="49"/>
    </row>
    <row r="96" spans="5:68">
      <c r="E96" s="180"/>
      <c r="F96" s="699"/>
      <c r="G96" s="699"/>
      <c r="H96" s="699"/>
      <c r="I96" s="699"/>
      <c r="J96" s="699"/>
      <c r="K96" s="699"/>
      <c r="L96" s="699"/>
      <c r="M96" s="699"/>
      <c r="N96" s="699"/>
      <c r="O96" s="699"/>
      <c r="P96" s="699"/>
      <c r="Q96" s="699"/>
      <c r="R96" s="699"/>
      <c r="S96" s="699"/>
      <c r="T96" s="699"/>
      <c r="U96" s="699"/>
      <c r="V96" s="699"/>
      <c r="W96" s="699"/>
      <c r="X96" s="699"/>
      <c r="Y96" s="699"/>
      <c r="Z96" s="699"/>
      <c r="AA96" s="699"/>
      <c r="AB96" s="699"/>
      <c r="AC96" s="699"/>
      <c r="AD96" s="699"/>
      <c r="AE96" s="699"/>
      <c r="AF96" s="699"/>
      <c r="AG96" s="699"/>
      <c r="AH96" s="699"/>
      <c r="AI96" s="699"/>
      <c r="AJ96" s="699"/>
      <c r="AK96" s="699"/>
      <c r="AL96" s="699"/>
      <c r="AM96" s="699"/>
      <c r="AN96" s="699"/>
      <c r="AO96" s="699"/>
      <c r="AP96" s="699"/>
      <c r="AQ96" s="699"/>
      <c r="AR96" s="699"/>
      <c r="AS96" s="699"/>
      <c r="AT96" s="699"/>
      <c r="AU96" s="699"/>
      <c r="AV96" s="49"/>
      <c r="AW96" s="49"/>
      <c r="AX96" s="49"/>
      <c r="AY96" s="49"/>
      <c r="AZ96" s="49"/>
      <c r="BA96" s="49"/>
      <c r="BB96" s="49"/>
      <c r="BC96" s="49"/>
      <c r="BD96" s="49"/>
      <c r="BE96" s="49"/>
      <c r="BF96" s="49"/>
      <c r="BG96" s="49"/>
      <c r="BH96" s="49"/>
      <c r="BI96" s="49"/>
      <c r="BJ96" s="49"/>
      <c r="BK96" s="49"/>
      <c r="BL96" s="49"/>
      <c r="BM96" s="49"/>
      <c r="BN96" s="49"/>
      <c r="BO96" s="49"/>
      <c r="BP96" s="49"/>
    </row>
    <row r="97" spans="5:88">
      <c r="E97" s="180"/>
      <c r="F97" s="699"/>
      <c r="G97" s="699"/>
      <c r="H97" s="699"/>
      <c r="I97" s="699"/>
      <c r="J97" s="699"/>
      <c r="K97" s="699"/>
      <c r="L97" s="699"/>
      <c r="M97" s="699"/>
      <c r="N97" s="699"/>
      <c r="O97" s="699"/>
      <c r="P97" s="699"/>
      <c r="Q97" s="699"/>
      <c r="R97" s="699"/>
      <c r="S97" s="699"/>
      <c r="T97" s="699"/>
      <c r="U97" s="699"/>
      <c r="V97" s="699"/>
      <c r="W97" s="699"/>
      <c r="X97" s="699"/>
      <c r="Y97" s="699"/>
      <c r="Z97" s="699"/>
      <c r="AA97" s="699"/>
      <c r="AB97" s="699"/>
      <c r="AC97" s="699"/>
      <c r="AD97" s="699"/>
      <c r="AE97" s="699"/>
      <c r="AF97" s="699"/>
      <c r="AG97" s="699"/>
      <c r="AH97" s="699"/>
      <c r="AI97" s="699"/>
      <c r="AJ97" s="699"/>
      <c r="AK97" s="699"/>
      <c r="AL97" s="699"/>
      <c r="AM97" s="699"/>
      <c r="AN97" s="699"/>
      <c r="AO97" s="699"/>
      <c r="AP97" s="699"/>
      <c r="AQ97" s="699"/>
      <c r="AR97" s="699"/>
      <c r="AS97" s="699"/>
      <c r="AT97" s="699"/>
      <c r="AU97" s="699"/>
      <c r="AV97" s="49"/>
      <c r="AW97" s="49"/>
      <c r="AX97" s="49"/>
      <c r="AY97" s="49"/>
      <c r="AZ97" s="49"/>
      <c r="BA97" s="49"/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699"/>
      <c r="BR97" s="699"/>
      <c r="BS97" s="699"/>
      <c r="BT97" s="699"/>
      <c r="BU97" s="699"/>
      <c r="BV97" s="699"/>
      <c r="BW97" s="699"/>
      <c r="BX97" s="699"/>
      <c r="BY97" s="699"/>
      <c r="BZ97" s="699"/>
      <c r="CA97" s="699"/>
      <c r="CB97" s="699"/>
      <c r="CC97" s="699"/>
      <c r="CD97" s="699"/>
      <c r="CE97" s="699"/>
      <c r="CF97" s="699"/>
      <c r="CG97" s="699"/>
      <c r="CH97" s="699"/>
      <c r="CI97" s="699"/>
      <c r="CJ97" s="699"/>
    </row>
    <row r="98" spans="5:88">
      <c r="E98" s="180"/>
      <c r="F98" s="699"/>
      <c r="G98" s="699"/>
      <c r="H98" s="699"/>
      <c r="I98" s="699"/>
      <c r="J98" s="699"/>
      <c r="K98" s="699"/>
      <c r="L98" s="699"/>
      <c r="M98" s="699"/>
      <c r="N98" s="699"/>
      <c r="O98" s="699"/>
      <c r="P98" s="699"/>
      <c r="Q98" s="699"/>
      <c r="R98" s="699"/>
      <c r="S98" s="699"/>
      <c r="T98" s="699"/>
      <c r="U98" s="699"/>
      <c r="V98" s="699"/>
      <c r="W98" s="699"/>
      <c r="X98" s="699"/>
      <c r="Y98" s="699"/>
      <c r="Z98" s="699"/>
      <c r="AA98" s="699"/>
      <c r="AB98" s="699"/>
      <c r="AC98" s="699"/>
      <c r="AD98" s="699"/>
      <c r="AE98" s="699"/>
      <c r="AF98" s="699"/>
      <c r="AG98" s="699"/>
      <c r="AH98" s="699"/>
      <c r="AI98" s="699"/>
      <c r="AJ98" s="699"/>
      <c r="AK98" s="699"/>
      <c r="AL98" s="699"/>
      <c r="AM98" s="699"/>
      <c r="AN98" s="699"/>
      <c r="AO98" s="699"/>
      <c r="AP98" s="699"/>
      <c r="AQ98" s="699"/>
      <c r="AR98" s="699"/>
      <c r="AS98" s="699"/>
      <c r="AT98" s="699"/>
      <c r="AU98" s="699"/>
      <c r="AV98" s="49"/>
      <c r="AW98" s="49"/>
      <c r="AX98" s="49"/>
      <c r="AY98" s="49"/>
      <c r="AZ98" s="49"/>
      <c r="BA98" s="49"/>
      <c r="BB98" s="49"/>
      <c r="BC98" s="49"/>
      <c r="BD98" s="49"/>
      <c r="BE98" s="49"/>
      <c r="BF98" s="49"/>
      <c r="BG98" s="49"/>
      <c r="BH98" s="49"/>
      <c r="BI98" s="49"/>
      <c r="BJ98" s="49"/>
      <c r="BK98" s="49"/>
      <c r="BL98" s="49"/>
      <c r="BM98" s="49"/>
      <c r="BN98" s="49"/>
      <c r="BO98" s="49"/>
      <c r="BP98" s="49"/>
      <c r="BQ98" s="699"/>
      <c r="BR98" s="699"/>
      <c r="BS98" s="699"/>
      <c r="BT98" s="699"/>
      <c r="BU98" s="699"/>
      <c r="BV98" s="699"/>
      <c r="BW98" s="699"/>
      <c r="BX98" s="699"/>
      <c r="BY98" s="699"/>
      <c r="BZ98" s="699"/>
      <c r="CA98" s="699"/>
      <c r="CB98" s="699"/>
      <c r="CC98" s="699"/>
      <c r="CD98" s="699"/>
      <c r="CE98" s="699"/>
      <c r="CF98" s="699"/>
      <c r="CG98" s="699"/>
      <c r="CH98" s="699"/>
      <c r="CI98" s="699"/>
      <c r="CJ98" s="699"/>
    </row>
    <row r="99" spans="5:88">
      <c r="E99" s="699"/>
      <c r="F99" s="699"/>
      <c r="G99" s="699"/>
      <c r="H99" s="699"/>
      <c r="I99" s="699"/>
      <c r="J99" s="699"/>
      <c r="K99" s="699"/>
      <c r="L99" s="699"/>
      <c r="M99" s="699"/>
      <c r="N99" s="699"/>
      <c r="O99" s="699"/>
      <c r="P99" s="699"/>
      <c r="Q99" s="699"/>
      <c r="R99" s="699"/>
      <c r="S99" s="699"/>
      <c r="T99" s="699"/>
      <c r="U99" s="699"/>
      <c r="V99" s="699"/>
      <c r="W99" s="699"/>
      <c r="X99" s="699"/>
      <c r="Y99" s="699"/>
      <c r="Z99" s="699"/>
      <c r="AA99" s="699"/>
      <c r="AB99" s="699"/>
      <c r="AC99" s="699"/>
      <c r="AD99" s="699"/>
      <c r="AE99" s="699"/>
      <c r="AF99" s="699"/>
      <c r="AG99" s="699"/>
      <c r="AH99" s="699"/>
      <c r="AI99" s="699"/>
      <c r="AJ99" s="699"/>
      <c r="AK99" s="699"/>
      <c r="AL99" s="699"/>
      <c r="AM99" s="699"/>
      <c r="AN99" s="699"/>
      <c r="AO99" s="699"/>
      <c r="AP99" s="699"/>
      <c r="AQ99" s="699"/>
      <c r="AR99" s="699"/>
      <c r="AS99" s="699"/>
      <c r="AT99" s="699"/>
      <c r="AU99" s="699"/>
      <c r="AV99" s="49"/>
      <c r="AW99" s="49"/>
      <c r="AX99" s="49"/>
      <c r="AY99" s="49"/>
      <c r="AZ99" s="49"/>
      <c r="BA99" s="49"/>
      <c r="BB99" s="49"/>
      <c r="BC99" s="49"/>
      <c r="BD99" s="49"/>
      <c r="BE99" s="49"/>
      <c r="BF99" s="49"/>
      <c r="BG99" s="49"/>
      <c r="BH99" s="49"/>
      <c r="BI99" s="49"/>
      <c r="BJ99" s="49"/>
      <c r="BK99" s="49"/>
      <c r="BL99" s="49"/>
      <c r="BM99" s="49"/>
      <c r="BN99" s="49"/>
      <c r="BO99" s="49"/>
      <c r="BP99" s="49"/>
      <c r="BQ99" s="699"/>
      <c r="BR99" s="699"/>
      <c r="BS99" s="699"/>
      <c r="BT99" s="699"/>
      <c r="BU99" s="699"/>
      <c r="BV99" s="699"/>
      <c r="BW99" s="699"/>
      <c r="BX99" s="699"/>
      <c r="BY99" s="699"/>
      <c r="BZ99" s="699"/>
      <c r="CA99" s="699"/>
      <c r="CB99" s="699"/>
      <c r="CC99" s="699"/>
      <c r="CD99" s="699"/>
      <c r="CE99" s="699"/>
      <c r="CF99" s="699"/>
      <c r="CG99" s="699"/>
      <c r="CH99" s="699"/>
      <c r="CI99" s="699"/>
      <c r="CJ99" s="699"/>
    </row>
    <row r="100" spans="5:88">
      <c r="E100" s="699"/>
      <c r="F100" s="699"/>
      <c r="G100" s="699"/>
      <c r="H100" s="699"/>
      <c r="I100" s="699"/>
      <c r="J100" s="699"/>
      <c r="K100" s="699"/>
      <c r="L100" s="699"/>
      <c r="M100" s="699"/>
      <c r="N100" s="699"/>
      <c r="O100" s="699"/>
      <c r="P100" s="699"/>
      <c r="Q100" s="699"/>
      <c r="R100" s="699"/>
      <c r="S100" s="699"/>
      <c r="T100" s="699"/>
      <c r="U100" s="699"/>
      <c r="V100" s="699"/>
      <c r="W100" s="699"/>
      <c r="X100" s="699"/>
      <c r="Y100" s="699"/>
      <c r="Z100" s="699"/>
      <c r="AA100" s="699"/>
      <c r="AB100" s="699"/>
      <c r="AC100" s="699"/>
      <c r="AD100" s="699"/>
      <c r="AE100" s="699"/>
      <c r="AF100" s="699"/>
      <c r="AG100" s="699"/>
      <c r="AH100" s="699"/>
      <c r="AI100" s="699"/>
      <c r="AJ100" s="699"/>
      <c r="AK100" s="699"/>
      <c r="AL100" s="699"/>
      <c r="AM100" s="699"/>
      <c r="AN100" s="699"/>
      <c r="AO100" s="699"/>
      <c r="AP100" s="699"/>
      <c r="AQ100" s="699"/>
      <c r="AR100" s="699"/>
      <c r="AS100" s="699"/>
      <c r="AT100" s="699"/>
      <c r="AU100" s="69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699"/>
      <c r="BR100" s="699"/>
      <c r="BS100" s="699"/>
      <c r="BT100" s="699"/>
      <c r="BU100" s="699"/>
      <c r="BV100" s="699"/>
      <c r="BW100" s="699"/>
      <c r="BX100" s="699"/>
      <c r="BY100" s="699"/>
      <c r="BZ100" s="699"/>
      <c r="CA100" s="699"/>
      <c r="CB100" s="699"/>
      <c r="CC100" s="699"/>
      <c r="CD100" s="699"/>
      <c r="CE100" s="699"/>
      <c r="CF100" s="699"/>
      <c r="CG100" s="699"/>
      <c r="CH100" s="699"/>
      <c r="CI100" s="699"/>
      <c r="CJ100" s="699"/>
    </row>
    <row r="101" spans="5:88">
      <c r="E101" s="699"/>
      <c r="F101" s="699"/>
      <c r="G101" s="699"/>
      <c r="H101" s="699"/>
      <c r="I101" s="699"/>
      <c r="J101" s="699"/>
      <c r="K101" s="699"/>
      <c r="L101" s="699"/>
      <c r="M101" s="699"/>
      <c r="N101" s="699"/>
      <c r="O101" s="699"/>
      <c r="P101" s="699"/>
      <c r="Q101" s="699"/>
      <c r="R101" s="699"/>
      <c r="S101" s="699"/>
      <c r="T101" s="699"/>
      <c r="U101" s="699"/>
      <c r="V101" s="699"/>
      <c r="W101" s="699"/>
      <c r="X101" s="699"/>
      <c r="Y101" s="699"/>
      <c r="Z101" s="699"/>
      <c r="AA101" s="699"/>
      <c r="AB101" s="699"/>
      <c r="AC101" s="699"/>
      <c r="AD101" s="699"/>
      <c r="AE101" s="699"/>
      <c r="AF101" s="699"/>
      <c r="AG101" s="699"/>
      <c r="AH101" s="699"/>
      <c r="AI101" s="699"/>
      <c r="AJ101" s="699"/>
      <c r="AK101" s="699"/>
      <c r="AL101" s="699"/>
      <c r="AM101" s="699"/>
      <c r="AN101" s="699"/>
      <c r="AO101" s="699"/>
      <c r="AP101" s="699"/>
      <c r="AQ101" s="699"/>
      <c r="AR101" s="699"/>
      <c r="AS101" s="699"/>
      <c r="AT101" s="699"/>
      <c r="AU101" s="699"/>
      <c r="AV101" s="699"/>
      <c r="AW101" s="699"/>
      <c r="AX101" s="699"/>
      <c r="AY101" s="699"/>
      <c r="AZ101" s="699" t="s">
        <v>881</v>
      </c>
      <c r="BA101" s="699"/>
      <c r="BB101" s="699"/>
      <c r="BC101" s="699"/>
      <c r="BD101" s="699"/>
      <c r="BE101" s="699"/>
      <c r="BF101" s="699"/>
      <c r="BG101" s="699"/>
      <c r="BH101" s="699"/>
      <c r="BI101" s="699"/>
      <c r="BJ101" s="699"/>
      <c r="BK101" s="699"/>
      <c r="BL101" s="699"/>
      <c r="BM101" s="699"/>
      <c r="BN101" s="699"/>
      <c r="BO101" s="699"/>
      <c r="BP101" s="49"/>
      <c r="BQ101" s="49"/>
      <c r="BR101" s="49"/>
      <c r="BS101" s="49"/>
      <c r="BT101" s="49"/>
      <c r="BU101" s="49"/>
      <c r="BV101" s="49"/>
      <c r="BW101" s="49"/>
      <c r="BX101" s="49"/>
      <c r="BY101" s="49"/>
      <c r="BZ101" s="49"/>
      <c r="CA101" s="49"/>
      <c r="CB101" s="49"/>
      <c r="CC101" s="49"/>
      <c r="CD101" s="49"/>
      <c r="CE101" s="49"/>
      <c r="CF101" s="49"/>
      <c r="CG101" s="49"/>
      <c r="CH101" s="49"/>
      <c r="CI101" s="49"/>
      <c r="CJ101" s="49"/>
    </row>
    <row r="102" spans="5:88">
      <c r="E102" s="699"/>
      <c r="F102" s="699"/>
      <c r="G102" s="699"/>
      <c r="H102" s="699"/>
      <c r="I102" s="699"/>
      <c r="J102" s="699"/>
      <c r="K102" s="699"/>
      <c r="L102" s="699"/>
      <c r="M102" s="699"/>
      <c r="N102" s="699"/>
      <c r="O102" s="699"/>
      <c r="P102" s="699"/>
      <c r="Q102" s="699"/>
      <c r="R102" s="699"/>
      <c r="S102" s="699"/>
      <c r="T102" s="699"/>
      <c r="U102" s="699"/>
      <c r="V102" s="699"/>
      <c r="W102" s="699"/>
      <c r="X102" s="699"/>
      <c r="Y102" s="699"/>
      <c r="Z102" s="699"/>
      <c r="AA102" s="699"/>
      <c r="AB102" s="699"/>
      <c r="AC102" s="699"/>
      <c r="AD102" s="699"/>
      <c r="AE102" s="699"/>
      <c r="AF102" s="699"/>
      <c r="AG102" s="699"/>
      <c r="AH102" s="699"/>
      <c r="AI102" s="699"/>
      <c r="AJ102" s="699"/>
      <c r="AK102" s="699"/>
      <c r="AL102" s="699"/>
      <c r="AM102" s="699"/>
      <c r="AN102" s="699"/>
      <c r="AO102" s="699"/>
      <c r="AP102" s="699"/>
      <c r="AQ102" s="699"/>
      <c r="AR102" s="699"/>
      <c r="AS102" s="699"/>
      <c r="AT102" s="699"/>
      <c r="AU102" s="699"/>
      <c r="AV102" s="699"/>
      <c r="AW102" s="699"/>
      <c r="AX102" s="699"/>
      <c r="AY102" s="699"/>
      <c r="AZ102" s="699"/>
      <c r="BA102" s="699"/>
      <c r="BB102" s="699"/>
      <c r="BC102" s="699"/>
      <c r="BD102" s="699"/>
      <c r="BE102" s="699"/>
      <c r="BF102" s="699"/>
      <c r="BG102" s="699"/>
      <c r="BH102" s="699"/>
      <c r="BI102" s="699"/>
      <c r="BJ102" s="699"/>
      <c r="BK102" s="699"/>
      <c r="BL102" s="699"/>
      <c r="BM102" s="699"/>
      <c r="BN102" s="699"/>
      <c r="BO102" s="699"/>
      <c r="BP102" s="49"/>
      <c r="BQ102" s="49"/>
      <c r="BR102" s="49"/>
      <c r="BS102" s="49"/>
      <c r="BT102" s="49"/>
      <c r="BU102" s="49"/>
      <c r="BV102" s="49"/>
      <c r="BW102" s="49"/>
      <c r="BX102" s="49"/>
      <c r="BY102" s="49"/>
      <c r="BZ102" s="49"/>
      <c r="CA102" s="49"/>
      <c r="CB102" s="49"/>
      <c r="CC102" s="49"/>
      <c r="CD102" s="49"/>
      <c r="CE102" s="49"/>
      <c r="CF102" s="49"/>
      <c r="CG102" s="49"/>
      <c r="CH102" s="49"/>
      <c r="CI102" s="49"/>
      <c r="CJ102" s="49"/>
    </row>
    <row r="103" spans="5:88">
      <c r="E103" s="699"/>
      <c r="F103" s="699"/>
      <c r="G103" s="699"/>
      <c r="H103" s="699"/>
      <c r="I103" s="699"/>
      <c r="J103" s="699"/>
      <c r="K103" s="699"/>
      <c r="L103" s="699"/>
      <c r="M103" s="699"/>
      <c r="N103" s="699"/>
      <c r="O103" s="699"/>
      <c r="P103" s="699"/>
      <c r="Q103" s="699"/>
      <c r="R103" s="699"/>
      <c r="S103" s="699"/>
      <c r="T103" s="699"/>
      <c r="U103" s="699"/>
      <c r="V103" s="699"/>
      <c r="W103" s="699"/>
      <c r="X103" s="699"/>
      <c r="Y103" s="699"/>
      <c r="Z103" s="699"/>
      <c r="AA103" s="699"/>
      <c r="AB103" s="699"/>
      <c r="AC103" s="699"/>
      <c r="AD103" s="699"/>
      <c r="AE103" s="699"/>
      <c r="AF103" s="699"/>
      <c r="AG103" s="699"/>
      <c r="AH103" s="699"/>
      <c r="AI103" s="699"/>
      <c r="AJ103" s="699"/>
      <c r="AK103" s="699"/>
      <c r="AL103" s="699"/>
      <c r="AM103" s="699"/>
      <c r="AN103" s="699"/>
      <c r="AO103" s="699"/>
      <c r="AP103" s="699"/>
      <c r="AQ103" s="699"/>
      <c r="AR103" s="699"/>
      <c r="AS103" s="699"/>
      <c r="AT103" s="699"/>
      <c r="AU103" s="699"/>
      <c r="AV103" s="699"/>
      <c r="AW103" s="699"/>
      <c r="AX103" s="699"/>
      <c r="AY103" s="699"/>
      <c r="AZ103" s="699"/>
      <c r="BA103" s="699"/>
      <c r="BB103" s="699"/>
      <c r="BC103" s="699"/>
      <c r="BD103" s="699"/>
      <c r="BE103" s="699"/>
      <c r="BF103" s="699"/>
      <c r="BG103" s="699"/>
      <c r="BH103" s="699"/>
      <c r="BI103" s="699"/>
      <c r="BJ103" s="699"/>
      <c r="BK103" s="699"/>
      <c r="BL103" s="699"/>
      <c r="BM103" s="699"/>
      <c r="BN103" s="699"/>
      <c r="BO103" s="699"/>
      <c r="BP103" s="49"/>
      <c r="BQ103" s="49"/>
      <c r="BR103" s="49"/>
      <c r="BS103" s="49"/>
      <c r="BT103" s="49"/>
      <c r="BU103" s="49"/>
      <c r="BV103" s="49"/>
      <c r="BW103" s="49"/>
      <c r="BX103" s="49"/>
      <c r="BY103" s="49"/>
      <c r="BZ103" s="49"/>
      <c r="CA103" s="49"/>
      <c r="CB103" s="49"/>
      <c r="CC103" s="49"/>
      <c r="CD103" s="49"/>
      <c r="CE103" s="49"/>
      <c r="CF103" s="49"/>
      <c r="CG103" s="49"/>
      <c r="CH103" s="49"/>
      <c r="CI103" s="49"/>
      <c r="CJ103" s="49"/>
    </row>
    <row r="104" spans="5:88">
      <c r="E104" s="699"/>
      <c r="F104" s="699"/>
      <c r="G104" s="699"/>
      <c r="H104" s="699"/>
      <c r="I104" s="699"/>
      <c r="J104" s="699"/>
      <c r="K104" s="699"/>
      <c r="L104" s="699"/>
      <c r="M104" s="699"/>
      <c r="N104" s="699"/>
      <c r="O104" s="699"/>
      <c r="P104" s="699"/>
      <c r="Q104" s="699"/>
      <c r="R104" s="699"/>
      <c r="S104" s="699"/>
      <c r="T104" s="699"/>
      <c r="U104" s="699"/>
      <c r="V104" s="699"/>
      <c r="W104" s="699"/>
      <c r="X104" s="699"/>
      <c r="Y104" s="699"/>
      <c r="Z104" s="699"/>
      <c r="AA104" s="699"/>
      <c r="AB104" s="699"/>
      <c r="AC104" s="699"/>
      <c r="AD104" s="699"/>
      <c r="AE104" s="699"/>
      <c r="AF104" s="699"/>
      <c r="AG104" s="699"/>
      <c r="AH104" s="699"/>
      <c r="AI104" s="699"/>
      <c r="AJ104" s="699"/>
      <c r="AK104" s="699"/>
      <c r="AL104" s="699"/>
      <c r="AM104" s="699"/>
      <c r="AN104" s="699"/>
      <c r="AO104" s="699"/>
      <c r="AP104" s="699"/>
      <c r="AQ104" s="699"/>
      <c r="AR104" s="699"/>
      <c r="AS104" s="699"/>
      <c r="AT104" s="699"/>
      <c r="AU104" s="699"/>
      <c r="AV104" s="699"/>
      <c r="AW104" s="699"/>
      <c r="AX104" s="699"/>
      <c r="AY104" s="699"/>
      <c r="AZ104" s="699"/>
      <c r="BA104" s="699"/>
      <c r="BB104" s="699"/>
      <c r="BC104" s="699"/>
      <c r="BD104" s="699"/>
      <c r="BE104" s="699"/>
      <c r="BF104" s="699"/>
      <c r="BG104" s="699"/>
      <c r="BH104" s="699"/>
      <c r="BI104" s="699"/>
      <c r="BJ104" s="699"/>
      <c r="BK104" s="699"/>
      <c r="BL104" s="699"/>
      <c r="BM104" s="699"/>
      <c r="BN104" s="699"/>
      <c r="BO104" s="699"/>
      <c r="BP104" s="49"/>
      <c r="BQ104" s="49"/>
      <c r="BR104" s="49"/>
      <c r="BS104" s="49"/>
      <c r="BT104" s="49"/>
      <c r="BU104" s="49"/>
      <c r="BV104" s="49"/>
      <c r="BW104" s="49"/>
      <c r="BX104" s="49"/>
      <c r="BY104" s="49"/>
      <c r="BZ104" s="49"/>
      <c r="CA104" s="49"/>
      <c r="CB104" s="49"/>
      <c r="CC104" s="49"/>
      <c r="CD104" s="49"/>
      <c r="CE104" s="49"/>
      <c r="CF104" s="49"/>
      <c r="CG104" s="49"/>
      <c r="CH104" s="49"/>
      <c r="CI104" s="49"/>
      <c r="CJ104" s="49"/>
    </row>
    <row r="105" spans="5:88">
      <c r="E105" s="699"/>
      <c r="F105" s="699"/>
      <c r="G105" s="699"/>
      <c r="H105" s="699"/>
      <c r="I105" s="699"/>
      <c r="J105" s="699"/>
      <c r="K105" s="699"/>
      <c r="L105" s="699"/>
      <c r="M105" s="699"/>
      <c r="N105" s="699"/>
      <c r="O105" s="699"/>
      <c r="P105" s="699"/>
      <c r="Q105" s="699"/>
      <c r="R105" s="699"/>
      <c r="S105" s="699"/>
      <c r="T105" s="699"/>
      <c r="U105" s="699"/>
      <c r="V105" s="699"/>
      <c r="W105" s="699"/>
      <c r="X105" s="699"/>
      <c r="Y105" s="699"/>
      <c r="Z105" s="699"/>
      <c r="AA105" s="699"/>
      <c r="AB105" s="699"/>
      <c r="AC105" s="699"/>
      <c r="AD105" s="699"/>
      <c r="AE105" s="699"/>
      <c r="AF105" s="699"/>
      <c r="AG105" s="699"/>
      <c r="AH105" s="699"/>
      <c r="AI105" s="699"/>
      <c r="AJ105" s="699"/>
      <c r="AK105" s="699"/>
      <c r="AL105" s="699"/>
      <c r="AM105" s="699"/>
      <c r="AN105" s="699"/>
      <c r="AO105" s="699"/>
      <c r="AP105" s="699"/>
      <c r="AQ105" s="699"/>
      <c r="AR105" s="699"/>
      <c r="AS105" s="699"/>
      <c r="AT105" s="699"/>
      <c r="AU105" s="699"/>
      <c r="AV105" s="699"/>
      <c r="AW105" s="699"/>
      <c r="AX105" s="699"/>
      <c r="AY105" s="699"/>
      <c r="AZ105" s="699"/>
      <c r="BA105" s="699"/>
      <c r="BB105" s="699"/>
      <c r="BC105" s="699"/>
      <c r="BD105" s="699"/>
      <c r="BE105" s="699"/>
      <c r="BF105" s="699"/>
      <c r="BG105" s="699"/>
      <c r="BH105" s="699"/>
      <c r="BI105" s="699"/>
      <c r="BJ105" s="699"/>
      <c r="BK105" s="699"/>
      <c r="BL105" s="699"/>
      <c r="BM105" s="699"/>
      <c r="BN105" s="699"/>
      <c r="BO105" s="699"/>
      <c r="BP105" s="49"/>
      <c r="BQ105" s="49"/>
      <c r="BR105" s="49"/>
      <c r="BS105" s="49"/>
      <c r="BT105" s="49"/>
      <c r="BU105" s="49"/>
      <c r="BV105" s="49"/>
      <c r="BW105" s="49"/>
      <c r="BX105" s="49"/>
      <c r="BY105" s="49"/>
      <c r="BZ105" s="49"/>
      <c r="CA105" s="49"/>
      <c r="CB105" s="49"/>
      <c r="CC105" s="49"/>
      <c r="CD105" s="49"/>
      <c r="CE105" s="49"/>
      <c r="CF105" s="49"/>
      <c r="CG105" s="49"/>
      <c r="CH105" s="49"/>
      <c r="CI105" s="49"/>
      <c r="CJ105" s="49"/>
    </row>
    <row r="106" spans="5:88">
      <c r="E106" s="699"/>
      <c r="F106" s="699"/>
      <c r="G106" s="699"/>
      <c r="H106" s="699"/>
      <c r="I106" s="699"/>
      <c r="J106" s="699"/>
      <c r="K106" s="699"/>
      <c r="L106" s="699"/>
      <c r="M106" s="699"/>
      <c r="N106" s="699"/>
      <c r="O106" s="699"/>
      <c r="P106" s="699"/>
      <c r="Q106" s="699"/>
      <c r="R106" s="699"/>
      <c r="S106" s="699"/>
      <c r="T106" s="699"/>
      <c r="U106" s="699"/>
      <c r="V106" s="699"/>
      <c r="W106" s="699"/>
      <c r="X106" s="699"/>
      <c r="Y106" s="699"/>
      <c r="Z106" s="699"/>
      <c r="AA106" s="699"/>
      <c r="AB106" s="699"/>
      <c r="AC106" s="699"/>
      <c r="AD106" s="699"/>
      <c r="AE106" s="699"/>
      <c r="AF106" s="699"/>
      <c r="AG106" s="699"/>
      <c r="AH106" s="699"/>
      <c r="AI106" s="699"/>
      <c r="AJ106" s="699"/>
      <c r="AK106" s="699"/>
      <c r="AL106" s="699"/>
      <c r="AM106" s="699"/>
      <c r="AN106" s="699"/>
      <c r="AO106" s="699"/>
      <c r="AP106" s="699"/>
      <c r="AQ106" s="699"/>
      <c r="AR106" s="699"/>
      <c r="AS106" s="699"/>
      <c r="AT106" s="699"/>
      <c r="AU106" s="699"/>
      <c r="AV106" s="699"/>
      <c r="AW106" s="699"/>
      <c r="AX106" s="699"/>
      <c r="AY106" s="699"/>
      <c r="AZ106" s="699"/>
      <c r="BA106" s="699"/>
      <c r="BB106" s="699"/>
      <c r="BC106" s="699"/>
      <c r="BD106" s="699"/>
      <c r="BE106" s="699"/>
      <c r="BF106" s="699"/>
      <c r="BG106" s="699"/>
      <c r="BH106" s="699"/>
      <c r="BI106" s="699"/>
      <c r="BJ106" s="699"/>
      <c r="BK106" s="699"/>
      <c r="BL106" s="699"/>
      <c r="BM106" s="699"/>
      <c r="BN106" s="699"/>
      <c r="BO106" s="699"/>
      <c r="BP106" s="49"/>
      <c r="BQ106" s="49"/>
      <c r="BR106" s="49"/>
      <c r="BS106" s="49"/>
      <c r="BT106" s="49"/>
      <c r="BU106" s="49"/>
      <c r="BV106" s="49"/>
      <c r="BW106" s="49"/>
      <c r="BX106" s="49"/>
      <c r="BY106" s="49"/>
      <c r="BZ106" s="49"/>
      <c r="CA106" s="49"/>
      <c r="CB106" s="49"/>
      <c r="CC106" s="49"/>
      <c r="CD106" s="49"/>
      <c r="CE106" s="49"/>
      <c r="CF106" s="49"/>
      <c r="CG106" s="49"/>
      <c r="CH106" s="49"/>
      <c r="CI106" s="49"/>
      <c r="CJ106" s="49"/>
    </row>
    <row r="108" spans="5:88">
      <c r="E108" s="699"/>
      <c r="F108" s="699"/>
      <c r="G108" s="699"/>
      <c r="H108" s="699"/>
      <c r="I108" s="699"/>
      <c r="J108" s="699"/>
      <c r="K108" s="699"/>
      <c r="L108" s="699"/>
      <c r="M108" s="699"/>
      <c r="N108" s="699"/>
      <c r="O108" s="699"/>
      <c r="P108" s="699"/>
      <c r="Q108" s="699"/>
      <c r="R108" s="699"/>
      <c r="S108" s="699"/>
      <c r="T108" s="699"/>
      <c r="U108" s="699"/>
      <c r="V108" s="699"/>
      <c r="W108" s="699"/>
      <c r="X108" s="699"/>
      <c r="Y108" s="699"/>
      <c r="Z108" s="699"/>
      <c r="AA108" s="699"/>
      <c r="AB108" s="699"/>
      <c r="AC108" s="699"/>
      <c r="AD108" s="699"/>
      <c r="AE108" s="699"/>
      <c r="AF108" s="699"/>
      <c r="AG108" s="699"/>
      <c r="AH108" s="699"/>
      <c r="AI108" s="699"/>
      <c r="AJ108" s="699"/>
      <c r="AK108" s="699"/>
      <c r="AL108" s="699"/>
      <c r="AM108" s="699"/>
      <c r="AN108" s="699"/>
      <c r="AO108" s="699"/>
      <c r="AP108" s="699"/>
      <c r="AQ108" s="699"/>
      <c r="AR108" s="699"/>
      <c r="AS108" s="699"/>
      <c r="AT108" s="699"/>
      <c r="AU108" s="699"/>
      <c r="AV108" s="699"/>
      <c r="AW108" s="699"/>
      <c r="AX108" s="699"/>
      <c r="AY108" s="699"/>
      <c r="AZ108" s="699" t="s">
        <v>881</v>
      </c>
      <c r="BA108" s="699"/>
      <c r="BB108" s="699"/>
      <c r="BC108" s="699"/>
      <c r="BD108" s="699"/>
      <c r="BE108" s="699"/>
      <c r="BF108" s="699"/>
      <c r="BG108" s="699"/>
      <c r="BH108" s="699"/>
      <c r="BI108" s="699"/>
      <c r="BJ108" s="699"/>
      <c r="BK108" s="699"/>
      <c r="BL108" s="699"/>
      <c r="BM108" s="699"/>
      <c r="BN108" s="699"/>
      <c r="BO108" s="699"/>
      <c r="BP108" s="699"/>
      <c r="BQ108" s="699"/>
      <c r="BR108" s="699"/>
      <c r="BS108" s="699"/>
      <c r="BT108" s="699"/>
      <c r="BU108" s="699"/>
      <c r="BV108" s="699"/>
      <c r="BW108" s="699"/>
      <c r="BX108" s="699"/>
      <c r="BY108" s="699"/>
      <c r="BZ108" s="699"/>
      <c r="CA108" s="699"/>
      <c r="CB108" s="699"/>
      <c r="CC108" s="699"/>
      <c r="CD108" s="699"/>
      <c r="CE108" s="699"/>
      <c r="CF108" s="699"/>
      <c r="CG108" s="699"/>
      <c r="CH108" s="699"/>
      <c r="CI108" s="699"/>
      <c r="CJ108" s="699"/>
    </row>
    <row r="115" spans="49:67">
      <c r="AW115" s="699"/>
      <c r="AX115" s="699"/>
      <c r="AY115" s="699"/>
      <c r="AZ115" s="699" t="s">
        <v>881</v>
      </c>
      <c r="BA115" s="699"/>
      <c r="BB115" s="699"/>
      <c r="BC115" s="699"/>
      <c r="BD115" s="699"/>
      <c r="BE115" s="699"/>
      <c r="BF115" s="699"/>
      <c r="BG115" s="699"/>
      <c r="BH115" s="699"/>
      <c r="BI115" s="699"/>
      <c r="BJ115" s="699"/>
      <c r="BK115" s="699"/>
      <c r="BL115" s="699"/>
      <c r="BM115" s="699"/>
      <c r="BN115" s="699"/>
      <c r="BO115" s="699"/>
    </row>
    <row r="121" spans="49:67">
      <c r="AW121" s="699"/>
      <c r="AX121" s="699"/>
      <c r="AY121" s="699"/>
      <c r="AZ121" s="699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</row>
    <row r="122" spans="49:67" ht="15.75">
      <c r="AW122" s="699"/>
      <c r="AX122" s="699"/>
      <c r="AY122" s="1045"/>
      <c r="AZ122" s="699"/>
      <c r="BA122" s="151"/>
      <c r="BB122" s="151"/>
      <c r="BC122" s="151"/>
      <c r="BD122" s="743" t="s">
        <v>633</v>
      </c>
      <c r="BE122" s="151"/>
      <c r="BF122" s="743" t="s">
        <v>875</v>
      </c>
      <c r="BG122" s="151"/>
      <c r="BH122" s="743" t="s">
        <v>876</v>
      </c>
      <c r="BI122" s="151"/>
      <c r="BJ122" s="743" t="s">
        <v>877</v>
      </c>
      <c r="BK122" s="151"/>
      <c r="BL122" s="743" t="s">
        <v>880</v>
      </c>
      <c r="BM122" s="752" t="s">
        <v>878</v>
      </c>
      <c r="BN122" s="752" t="s">
        <v>879</v>
      </c>
      <c r="BO122" s="151"/>
    </row>
    <row r="123" spans="49:67" ht="47.25">
      <c r="AW123" s="765"/>
      <c r="AX123" s="699"/>
      <c r="AY123" s="1045"/>
      <c r="AZ123" s="699"/>
      <c r="BA123" s="744" t="s">
        <v>886</v>
      </c>
      <c r="BB123" s="745" t="s">
        <v>502</v>
      </c>
      <c r="BC123" s="151" t="s">
        <v>882</v>
      </c>
      <c r="BD123" s="746">
        <f>+Assumptions!$E$235</f>
        <v>550</v>
      </c>
      <c r="BE123" s="151" t="s">
        <v>882</v>
      </c>
      <c r="BF123" s="747">
        <f>+Assumptions!$E$239</f>
        <v>623</v>
      </c>
      <c r="BG123" s="151" t="s">
        <v>882</v>
      </c>
      <c r="BH123" s="746">
        <f>+Assumptions!$E$243</f>
        <v>824</v>
      </c>
      <c r="BI123" s="151" t="s">
        <v>882</v>
      </c>
      <c r="BJ123" s="746">
        <f>+Assumptions!$E$247</f>
        <v>1100</v>
      </c>
      <c r="BK123" s="151" t="s">
        <v>882</v>
      </c>
      <c r="BL123" s="746">
        <f>+Assumptions!$E$251</f>
        <v>1350</v>
      </c>
      <c r="BM123" s="151"/>
      <c r="BN123" s="151"/>
      <c r="BO123" s="151"/>
    </row>
    <row r="124" spans="49:67" ht="15.75">
      <c r="AW124" s="765"/>
      <c r="AX124" s="699"/>
      <c r="AY124" s="1045"/>
      <c r="AZ124" s="699"/>
      <c r="BA124" s="151" t="s">
        <v>174</v>
      </c>
      <c r="BB124" s="748">
        <f>+SUM(BC124,BE124,BG124,BI124,BK124)-1</f>
        <v>0</v>
      </c>
      <c r="BC124" s="749">
        <v>0.05</v>
      </c>
      <c r="BD124" s="750">
        <f>(BC124*$BC45)/BD$123</f>
        <v>0</v>
      </c>
      <c r="BE124" s="749">
        <v>0.65</v>
      </c>
      <c r="BF124" s="750">
        <f>(BE124*$BC45)/BF$123</f>
        <v>0</v>
      </c>
      <c r="BG124" s="749">
        <v>0.25</v>
      </c>
      <c r="BH124" s="750">
        <f>(BG124*$BC45)/BH$123</f>
        <v>0</v>
      </c>
      <c r="BI124" s="749">
        <v>0.05</v>
      </c>
      <c r="BJ124" s="750">
        <f>(BI124*$BC45)/BJ$123</f>
        <v>0</v>
      </c>
      <c r="BK124" s="749">
        <v>0</v>
      </c>
      <c r="BL124" s="750">
        <f>(BK124*$BC45)/BL$123</f>
        <v>0</v>
      </c>
      <c r="BM124" s="741">
        <f>SUM(BD124,BF124,BH124,BJ124,BL124)</f>
        <v>0</v>
      </c>
      <c r="BN124" s="741">
        <f>(AJ$51*BD124+AL$51*BF124+AN$51*BH124+AP$51*BJ124+AW$51*BL124)</f>
        <v>0</v>
      </c>
      <c r="BO124" s="151"/>
    </row>
    <row r="125" spans="49:67" ht="15.75">
      <c r="AW125" s="258"/>
      <c r="AX125" s="699"/>
      <c r="AY125" s="1045"/>
      <c r="AZ125" s="699"/>
      <c r="BA125" s="151" t="s">
        <v>175</v>
      </c>
      <c r="BB125" s="748">
        <f t="shared" ref="BB125:BB126" si="74">+SUM(BC125,BE125,BG125,BI125,BK125)-1</f>
        <v>0</v>
      </c>
      <c r="BC125" s="749">
        <v>0.05</v>
      </c>
      <c r="BD125" s="750">
        <f>(BC125*$BC46)/BD$123</f>
        <v>0</v>
      </c>
      <c r="BE125" s="749">
        <v>0.65</v>
      </c>
      <c r="BF125" s="750">
        <f>(BE125*$BC46)/BF$123</f>
        <v>0</v>
      </c>
      <c r="BG125" s="749">
        <v>0.25</v>
      </c>
      <c r="BH125" s="750">
        <f>(BG125*$BC46)/BH$123</f>
        <v>0</v>
      </c>
      <c r="BI125" s="749">
        <v>0.05</v>
      </c>
      <c r="BJ125" s="750">
        <f>(BI125*$BC46)/BJ$123</f>
        <v>0</v>
      </c>
      <c r="BK125" s="749">
        <v>0</v>
      </c>
      <c r="BL125" s="750">
        <f>(BK125*$AK88)/AW$51</f>
        <v>0</v>
      </c>
      <c r="BM125" s="741">
        <f>SUM(BD125,BF125,BH125,BJ125,BL125)</f>
        <v>0</v>
      </c>
      <c r="BN125" s="741">
        <f>(AJ$51*BD125+AL$51*BF125+AN$51*BH125+AP$51*BJ125+AW$51*BL125)</f>
        <v>0</v>
      </c>
      <c r="BO125" s="151"/>
    </row>
    <row r="126" spans="49:67" ht="15.75">
      <c r="AW126" s="258"/>
      <c r="AX126" s="699"/>
      <c r="AY126" s="1045"/>
      <c r="AZ126" s="699"/>
      <c r="BA126" s="151" t="s">
        <v>176</v>
      </c>
      <c r="BB126" s="748">
        <f t="shared" si="74"/>
        <v>0</v>
      </c>
      <c r="BC126" s="749">
        <v>0.05</v>
      </c>
      <c r="BD126" s="750">
        <f>(BC126*$BC47)/BD$123</f>
        <v>0</v>
      </c>
      <c r="BE126" s="749">
        <v>0.65</v>
      </c>
      <c r="BF126" s="750">
        <f>(BE126*$BC47)/BF$123</f>
        <v>0</v>
      </c>
      <c r="BG126" s="749">
        <v>0.25</v>
      </c>
      <c r="BH126" s="750">
        <f>(BG126*$BC47)/BH$123</f>
        <v>0</v>
      </c>
      <c r="BI126" s="749">
        <v>0.05</v>
      </c>
      <c r="BJ126" s="750">
        <f>(BI126*$BC47)/BJ$123</f>
        <v>0</v>
      </c>
      <c r="BK126" s="749">
        <v>0</v>
      </c>
      <c r="BL126" s="750">
        <f>(BK126*$AK89)/AW$51</f>
        <v>0</v>
      </c>
      <c r="BM126" s="741">
        <f>SUM(BD126,BF126,BH126,BJ126,BL126)</f>
        <v>0</v>
      </c>
      <c r="BN126" s="741">
        <f>(AJ$51*BD126+AL$51*BF126+AN$51*BH126+AP$51*BJ126+AW$51*BL126)</f>
        <v>0</v>
      </c>
      <c r="BO126" s="151"/>
    </row>
    <row r="127" spans="49:67" ht="15.75">
      <c r="AW127" s="765"/>
      <c r="AX127" s="699"/>
      <c r="AY127" s="1045"/>
      <c r="AZ127" s="699"/>
      <c r="BA127" s="718" t="s">
        <v>258</v>
      </c>
      <c r="BB127" s="751">
        <f>SUM(BD127:BL127)</f>
        <v>0</v>
      </c>
      <c r="BC127" s="718"/>
      <c r="BD127" s="742">
        <f>+SUM(BD124:BD126)</f>
        <v>0</v>
      </c>
      <c r="BE127" s="742"/>
      <c r="BF127" s="742">
        <f>+SUM(BF124:BF126)</f>
        <v>0</v>
      </c>
      <c r="BG127" s="742"/>
      <c r="BH127" s="742">
        <f>+SUM(BH124:BH126)</f>
        <v>0</v>
      </c>
      <c r="BI127" s="742"/>
      <c r="BJ127" s="742">
        <f>+SUM(BJ124:BJ126)</f>
        <v>0</v>
      </c>
      <c r="BK127" s="742"/>
      <c r="BL127" s="742">
        <f>+SUM(BL124:BL126)</f>
        <v>0</v>
      </c>
      <c r="BM127" s="741">
        <f>SUM(BM124:BM126)</f>
        <v>0</v>
      </c>
      <c r="BN127" s="741">
        <f>SUM(BN124:BN126)</f>
        <v>0</v>
      </c>
      <c r="BO127" s="151"/>
    </row>
    <row r="128" spans="49:67" ht="15.75">
      <c r="AW128" s="765"/>
      <c r="AX128" s="699"/>
      <c r="AY128" s="1045"/>
      <c r="AZ128" s="699"/>
      <c r="BA128" s="718"/>
      <c r="BB128" s="751"/>
      <c r="BC128" s="718"/>
      <c r="BD128" s="742"/>
      <c r="BE128" s="742"/>
      <c r="BF128" s="742"/>
      <c r="BG128" s="742"/>
      <c r="BH128" s="742"/>
      <c r="BI128" s="742"/>
      <c r="BJ128" s="742"/>
      <c r="BK128" s="742"/>
      <c r="BL128" s="742"/>
      <c r="BM128" s="741"/>
      <c r="BN128" s="741"/>
      <c r="BO128" s="151"/>
    </row>
    <row r="129" spans="49:67" ht="15.75">
      <c r="AW129" s="258"/>
      <c r="AX129" s="699"/>
      <c r="AY129" s="1045"/>
      <c r="AZ129" s="699"/>
      <c r="BA129" s="151"/>
      <c r="BB129" s="151"/>
      <c r="BC129" s="151"/>
      <c r="BD129" s="743" t="s">
        <v>633</v>
      </c>
      <c r="BE129" s="151"/>
      <c r="BF129" s="743" t="s">
        <v>875</v>
      </c>
      <c r="BG129" s="151"/>
      <c r="BH129" s="743" t="s">
        <v>876</v>
      </c>
      <c r="BI129" s="151"/>
      <c r="BJ129" s="743" t="s">
        <v>877</v>
      </c>
      <c r="BK129" s="151"/>
      <c r="BL129" s="743" t="s">
        <v>880</v>
      </c>
      <c r="BM129" s="151"/>
      <c r="BN129" s="151"/>
      <c r="BO129" s="151"/>
    </row>
    <row r="130" spans="49:67" ht="47.25">
      <c r="AW130" s="765"/>
      <c r="AX130" s="699"/>
      <c r="AY130" s="1045"/>
      <c r="AZ130" s="699"/>
      <c r="BA130" s="744" t="s">
        <v>887</v>
      </c>
      <c r="BB130" s="745" t="s">
        <v>502</v>
      </c>
      <c r="BC130" s="151" t="s">
        <v>882</v>
      </c>
      <c r="BD130" s="746">
        <f>+Assumptions!E235</f>
        <v>550</v>
      </c>
      <c r="BE130" s="151" t="s">
        <v>882</v>
      </c>
      <c r="BF130" s="747">
        <f>+Assumptions!$E$239</f>
        <v>623</v>
      </c>
      <c r="BG130" s="151" t="s">
        <v>882</v>
      </c>
      <c r="BH130" s="746">
        <f>+Assumptions!$E$243</f>
        <v>824</v>
      </c>
      <c r="BI130" s="151" t="s">
        <v>882</v>
      </c>
      <c r="BJ130" s="746">
        <f>+Assumptions!$E$247</f>
        <v>1100</v>
      </c>
      <c r="BK130" s="151" t="s">
        <v>882</v>
      </c>
      <c r="BL130" s="746">
        <f>+Assumptions!$E$251</f>
        <v>1350</v>
      </c>
      <c r="BM130" s="151"/>
      <c r="BN130" s="151"/>
      <c r="BO130" s="151"/>
    </row>
    <row r="131" spans="49:67" ht="15.75">
      <c r="AW131" s="765"/>
      <c r="AX131" s="699"/>
      <c r="AY131" s="1045"/>
      <c r="AZ131" s="699"/>
      <c r="BA131" s="151" t="s">
        <v>174</v>
      </c>
      <c r="BB131" s="748">
        <f>+SUM(BC131,BE131,BG131,BI131,BK131)-1</f>
        <v>0</v>
      </c>
      <c r="BC131" s="749">
        <v>0</v>
      </c>
      <c r="BD131" s="750">
        <f>(BC131*$BB45)/BD$130</f>
        <v>0</v>
      </c>
      <c r="BE131" s="749">
        <v>0</v>
      </c>
      <c r="BF131" s="750">
        <f>(BE131*$BB45)/BF$130</f>
        <v>0</v>
      </c>
      <c r="BG131" s="749">
        <v>0.75</v>
      </c>
      <c r="BH131" s="750">
        <f>(BG131*$BB45)/BH$130</f>
        <v>0</v>
      </c>
      <c r="BI131" s="749">
        <v>0.25</v>
      </c>
      <c r="BJ131" s="750">
        <f>(BI131*$BB45)/BJ$130</f>
        <v>0</v>
      </c>
      <c r="BK131" s="749">
        <v>0</v>
      </c>
      <c r="BL131" s="750">
        <f>(BK131*$BB45)/BL$130</f>
        <v>0</v>
      </c>
      <c r="BM131" s="741">
        <f>SUM(BD131,BF131,BH131,BJ131,BL131)</f>
        <v>0</v>
      </c>
      <c r="BN131" s="741">
        <f>(AJ$58*BD131+AL$58*BF131+AN$58*BH131+AP$58*BJ131+AW$58*BL131)</f>
        <v>0</v>
      </c>
      <c r="BO131" s="151"/>
    </row>
    <row r="132" spans="49:67" ht="15.75">
      <c r="AW132" s="699"/>
      <c r="AX132" s="699"/>
      <c r="AY132" s="1045"/>
      <c r="AZ132" s="699"/>
      <c r="BA132" s="151" t="s">
        <v>175</v>
      </c>
      <c r="BB132" s="748">
        <f t="shared" ref="BB132:BB133" si="75">+SUM(BC132,BE132,BG132,BI132,BK132)-1</f>
        <v>0</v>
      </c>
      <c r="BC132" s="749">
        <v>0</v>
      </c>
      <c r="BD132" s="750">
        <f>(BC132*$BB46)/BD$130</f>
        <v>0</v>
      </c>
      <c r="BE132" s="749">
        <v>0</v>
      </c>
      <c r="BF132" s="750">
        <f>(BE132*$BB46)/BF$130</f>
        <v>0</v>
      </c>
      <c r="BG132" s="749">
        <v>0.75</v>
      </c>
      <c r="BH132" s="750">
        <f>(BG132*$BB46)/BH$130</f>
        <v>0</v>
      </c>
      <c r="BI132" s="749">
        <v>0.25</v>
      </c>
      <c r="BJ132" s="750">
        <f>(BI132*$BB46)/BJ$130</f>
        <v>0</v>
      </c>
      <c r="BK132" s="749">
        <v>0</v>
      </c>
      <c r="BL132" s="750">
        <f>(BK132*$BB46)/BL$130</f>
        <v>0</v>
      </c>
      <c r="BM132" s="741">
        <f>SUM(BD132,BF132,BH132,BJ132,BL132)</f>
        <v>0</v>
      </c>
      <c r="BN132" s="741">
        <f>(AJ$58*BD132+AL$58*BF132+AN$58*BH132+AP$58*BJ132+AW$58*BL132)</f>
        <v>0</v>
      </c>
      <c r="BO132" s="151"/>
    </row>
    <row r="133" spans="49:67" ht="15.75">
      <c r="AW133" s="699"/>
      <c r="AX133" s="699"/>
      <c r="AY133" s="699"/>
      <c r="AZ133" s="699"/>
      <c r="BA133" s="151" t="s">
        <v>176</v>
      </c>
      <c r="BB133" s="748">
        <f t="shared" si="75"/>
        <v>0</v>
      </c>
      <c r="BC133" s="749">
        <v>0</v>
      </c>
      <c r="BD133" s="750">
        <f>(BC133*$BB47)/BD$130</f>
        <v>0</v>
      </c>
      <c r="BE133" s="749">
        <v>0</v>
      </c>
      <c r="BF133" s="750">
        <f>(BE133*$BB47)/BF$130</f>
        <v>0</v>
      </c>
      <c r="BG133" s="749">
        <v>0.75</v>
      </c>
      <c r="BH133" s="750">
        <f>(BG133*$BB47)/BH$130</f>
        <v>0</v>
      </c>
      <c r="BI133" s="749">
        <v>0.25</v>
      </c>
      <c r="BJ133" s="750">
        <f>(BI133*$BB47)/BJ$130</f>
        <v>0</v>
      </c>
      <c r="BK133" s="749">
        <v>0</v>
      </c>
      <c r="BL133" s="750">
        <f>(BK133*$BB47)/BL$130</f>
        <v>0</v>
      </c>
      <c r="BM133" s="741">
        <f>SUM(BD133,BF133,BH133,BJ133,BL133)</f>
        <v>0</v>
      </c>
      <c r="BN133" s="741">
        <f>(AJ$58*BD133+AL$58*BF133+AN$58*BH133+AP$58*BJ133+AW$58*BL133)</f>
        <v>0</v>
      </c>
      <c r="BO133" s="151"/>
    </row>
    <row r="134" spans="49:67" ht="15.75">
      <c r="AW134" s="699"/>
      <c r="AX134" s="699"/>
      <c r="AY134" s="699"/>
      <c r="AZ134" s="699"/>
      <c r="BA134" s="718" t="s">
        <v>258</v>
      </c>
      <c r="BB134" s="718"/>
      <c r="BC134" s="718"/>
      <c r="BD134" s="741">
        <f>+SUM(BD131:BD133)</f>
        <v>0</v>
      </c>
      <c r="BE134" s="718"/>
      <c r="BF134" s="741">
        <f>+SUM(BF131:BF133)</f>
        <v>0</v>
      </c>
      <c r="BG134" s="718"/>
      <c r="BH134" s="741">
        <f>+SUM(BH131:BH133)</f>
        <v>0</v>
      </c>
      <c r="BI134" s="718"/>
      <c r="BJ134" s="741">
        <f>+SUM(BJ131:BJ133)</f>
        <v>0</v>
      </c>
      <c r="BK134" s="718"/>
      <c r="BL134" s="741">
        <f>+SUM(BL131:BL133)</f>
        <v>0</v>
      </c>
      <c r="BM134" s="741">
        <f>SUM(BM131:BM133)</f>
        <v>0</v>
      </c>
      <c r="BN134" s="741">
        <f>SUM(BN131:BN133)</f>
        <v>0</v>
      </c>
      <c r="BO134" s="151"/>
    </row>
    <row r="135" spans="49:67">
      <c r="AW135" s="699"/>
      <c r="AX135" s="699"/>
      <c r="AY135" s="699"/>
      <c r="AZ135" s="699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</row>
    <row r="166" spans="56:69" ht="15.75">
      <c r="BD166" s="718"/>
      <c r="BE166" s="718"/>
      <c r="BF166" s="718"/>
      <c r="BG166" s="741"/>
      <c r="BH166" s="718"/>
      <c r="BI166" s="741"/>
      <c r="BJ166" s="718"/>
      <c r="BK166" s="741"/>
      <c r="BL166" s="718"/>
      <c r="BM166" s="741"/>
      <c r="BN166" s="718"/>
      <c r="BO166" s="741"/>
      <c r="BP166" s="741"/>
      <c r="BQ166" s="741"/>
    </row>
    <row r="167" spans="56:69">
      <c r="BD167" s="151"/>
      <c r="BE167" s="151"/>
      <c r="BF167" s="151"/>
      <c r="BG167" s="743" t="s">
        <v>633</v>
      </c>
      <c r="BH167" s="151"/>
      <c r="BI167" s="743" t="s">
        <v>875</v>
      </c>
      <c r="BJ167" s="151"/>
      <c r="BK167" s="743" t="s">
        <v>876</v>
      </c>
      <c r="BL167" s="151"/>
      <c r="BM167" s="743" t="s">
        <v>877</v>
      </c>
      <c r="BN167" s="151"/>
      <c r="BO167" s="743" t="s">
        <v>880</v>
      </c>
      <c r="BP167" s="151"/>
      <c r="BQ167" s="151"/>
    </row>
    <row r="168" spans="56:69" ht="63">
      <c r="BD168" s="744" t="str">
        <f>Assumptions!AA64</f>
        <v>Market-Rate Multi-Bedroom Residential</v>
      </c>
      <c r="BE168" s="745" t="s">
        <v>502</v>
      </c>
      <c r="BF168" s="151" t="s">
        <v>882</v>
      </c>
      <c r="BG168" s="746">
        <f>Assumptions!AD66</f>
        <v>550</v>
      </c>
      <c r="BH168" s="151" t="s">
        <v>882</v>
      </c>
      <c r="BI168" s="747">
        <f>Assumptions!AD70</f>
        <v>750</v>
      </c>
      <c r="BJ168" s="151" t="s">
        <v>882</v>
      </c>
      <c r="BK168" s="746">
        <f>Assumptions!AD74</f>
        <v>1200</v>
      </c>
      <c r="BL168" s="151" t="s">
        <v>882</v>
      </c>
      <c r="BM168" s="746">
        <f>+Assumptions!AD78</f>
        <v>1400</v>
      </c>
      <c r="BN168" s="151" t="s">
        <v>882</v>
      </c>
      <c r="BO168" s="746">
        <f>Assumptions!AD82</f>
        <v>1800</v>
      </c>
      <c r="BP168" s="151"/>
      <c r="BQ168" s="151"/>
    </row>
    <row r="169" spans="56:69" ht="15.75">
      <c r="BD169" s="151" t="s">
        <v>174</v>
      </c>
      <c r="BE169" s="748">
        <f>+SUM(BF169,BH169,BJ169,BL169,BN169)-1</f>
        <v>0</v>
      </c>
      <c r="BF169" s="749">
        <v>0</v>
      </c>
      <c r="BG169" s="750">
        <f>BF169*$BI45/BG$168</f>
        <v>0</v>
      </c>
      <c r="BH169" s="749">
        <v>0</v>
      </c>
      <c r="BI169" s="750">
        <f>BH169*$BI45/BI$168</f>
        <v>0</v>
      </c>
      <c r="BJ169" s="749">
        <v>0.6</v>
      </c>
      <c r="BK169" s="750">
        <f>BJ169*$BI45/BK$168</f>
        <v>0</v>
      </c>
      <c r="BL169" s="749">
        <v>0.3</v>
      </c>
      <c r="BM169" s="750">
        <f>BL169*$BI45/BM$168</f>
        <v>0</v>
      </c>
      <c r="BN169" s="749">
        <v>0.1</v>
      </c>
      <c r="BO169" s="750">
        <f>BN169*$BI45/BO$168</f>
        <v>0</v>
      </c>
      <c r="BP169" s="741">
        <f>SUM(BG169,BI169,BK169,BM169,BO169)</f>
        <v>0</v>
      </c>
      <c r="BQ169" s="741">
        <f>(BG$168*BG169+BI$168*BI169+BK$168*BK169+BM$168*BM169+BO$168*BO169)</f>
        <v>0</v>
      </c>
    </row>
    <row r="170" spans="56:69" ht="15.75">
      <c r="BD170" s="151" t="s">
        <v>175</v>
      </c>
      <c r="BE170" s="748">
        <f t="shared" ref="BE170:BE171" si="76">+SUM(BF170,BH170,BJ170,BL170,BN170)-1</f>
        <v>0</v>
      </c>
      <c r="BF170" s="749">
        <v>0</v>
      </c>
      <c r="BG170" s="750">
        <f>BF170*$BI46/BG$168</f>
        <v>0</v>
      </c>
      <c r="BH170" s="749">
        <v>0</v>
      </c>
      <c r="BI170" s="750">
        <f>BH170*$BI46/BI$168</f>
        <v>0</v>
      </c>
      <c r="BJ170" s="749">
        <v>0.6</v>
      </c>
      <c r="BK170" s="750">
        <f>BJ170*$BI46/BK$168</f>
        <v>0</v>
      </c>
      <c r="BL170" s="749">
        <v>0.3</v>
      </c>
      <c r="BM170" s="750">
        <f>BL170*$BI46/BM$168</f>
        <v>0</v>
      </c>
      <c r="BN170" s="749">
        <v>0.1</v>
      </c>
      <c r="BO170" s="750">
        <f>BN170*$BI46/BO$168</f>
        <v>0</v>
      </c>
      <c r="BP170" s="741">
        <f>SUM(BG170,BI170,BK170,BM170,BO170)</f>
        <v>0</v>
      </c>
      <c r="BQ170" s="741">
        <f>(BG$168*BG170+BI$168*BI170+BK$168*BK170+BM$168*BM170+BO$168*BO170)</f>
        <v>0</v>
      </c>
    </row>
    <row r="171" spans="56:69" ht="15.75">
      <c r="BD171" s="151" t="s">
        <v>176</v>
      </c>
      <c r="BE171" s="748">
        <f t="shared" si="76"/>
        <v>0</v>
      </c>
      <c r="BF171" s="749">
        <v>0</v>
      </c>
      <c r="BG171" s="750">
        <f>BF171*$BI47/BG$168</f>
        <v>0</v>
      </c>
      <c r="BH171" s="749">
        <v>0</v>
      </c>
      <c r="BI171" s="750">
        <f>BH171*$BI47/BI$168</f>
        <v>0</v>
      </c>
      <c r="BJ171" s="749">
        <v>0.6</v>
      </c>
      <c r="BK171" s="750">
        <f>BJ171*$BI47/BK$168</f>
        <v>0</v>
      </c>
      <c r="BL171" s="749">
        <v>0.3</v>
      </c>
      <c r="BM171" s="750">
        <f>BL171*$BI47/BM$168</f>
        <v>0</v>
      </c>
      <c r="BN171" s="749">
        <v>0.1</v>
      </c>
      <c r="BO171" s="750">
        <f>BN171*$BI47/BO$168</f>
        <v>0</v>
      </c>
      <c r="BP171" s="741">
        <f>SUM(BG171,BI171,BK171,BM171,BO171)</f>
        <v>0</v>
      </c>
      <c r="BQ171" s="741">
        <f>(BG$168*BG171+BI$168*BI171+BK$168*BK171+BM$168*BM171+BO$168*BO171)</f>
        <v>0</v>
      </c>
    </row>
    <row r="172" spans="56:69" ht="15.75">
      <c r="BD172" s="718" t="s">
        <v>258</v>
      </c>
      <c r="BE172" s="718"/>
      <c r="BF172" s="718"/>
      <c r="BG172" s="741">
        <f>+SUM(BG169:BG171)</f>
        <v>0</v>
      </c>
      <c r="BH172" s="718"/>
      <c r="BI172" s="741">
        <f>+SUM(BI169:BI171)</f>
        <v>0</v>
      </c>
      <c r="BJ172" s="718"/>
      <c r="BK172" s="741">
        <f>+SUM(BK169:BK171)</f>
        <v>0</v>
      </c>
      <c r="BL172" s="718"/>
      <c r="BM172" s="741">
        <f>+SUM(BM169:BM171)</f>
        <v>0</v>
      </c>
      <c r="BN172" s="718"/>
      <c r="BO172" s="741">
        <f>+SUM(BO169:BO171)</f>
        <v>0</v>
      </c>
      <c r="BP172" s="741">
        <f>SUM(BP169:BP171)</f>
        <v>0</v>
      </c>
      <c r="BQ172" s="741">
        <f>SUM(BQ169:BQ171)</f>
        <v>0</v>
      </c>
    </row>
    <row r="173" spans="56:69" ht="15.75">
      <c r="BD173" s="718"/>
      <c r="BE173" s="718"/>
      <c r="BF173" s="718"/>
      <c r="BG173" s="741"/>
      <c r="BH173" s="718"/>
      <c r="BI173" s="741"/>
      <c r="BJ173" s="718"/>
      <c r="BK173" s="741"/>
      <c r="BL173" s="718"/>
      <c r="BM173" s="741"/>
      <c r="BN173" s="718"/>
      <c r="BO173" s="741"/>
      <c r="BP173" s="741"/>
      <c r="BQ173" s="741"/>
    </row>
    <row r="174" spans="56:69">
      <c r="BD174" s="151"/>
      <c r="BE174" s="151"/>
      <c r="BF174" s="151"/>
      <c r="BG174" s="743" t="s">
        <v>633</v>
      </c>
      <c r="BH174" s="151"/>
      <c r="BI174" s="743" t="s">
        <v>875</v>
      </c>
      <c r="BJ174" s="151"/>
      <c r="BK174" s="743" t="s">
        <v>876</v>
      </c>
      <c r="BL174" s="151"/>
      <c r="BM174" s="743" t="s">
        <v>877</v>
      </c>
      <c r="BN174" s="151"/>
      <c r="BO174" s="743" t="s">
        <v>880</v>
      </c>
      <c r="BP174" s="151"/>
      <c r="BQ174" s="151"/>
    </row>
    <row r="175" spans="56:69" ht="63">
      <c r="BD175" s="744" t="str">
        <f>Assumptions!$AA$37</f>
        <v>Affordable Multi-Bedroom Residential</v>
      </c>
      <c r="BE175" s="745" t="s">
        <v>502</v>
      </c>
      <c r="BF175" s="151" t="s">
        <v>882</v>
      </c>
      <c r="BG175" s="746">
        <f>Assumptions!AD39</f>
        <v>550</v>
      </c>
      <c r="BH175" s="151" t="s">
        <v>882</v>
      </c>
      <c r="BI175" s="747">
        <f>Assumptions!AD43</f>
        <v>750</v>
      </c>
      <c r="BJ175" s="151" t="s">
        <v>882</v>
      </c>
      <c r="BK175" s="746">
        <f>Assumptions!AD47</f>
        <v>1200</v>
      </c>
      <c r="BL175" s="151" t="s">
        <v>882</v>
      </c>
      <c r="BM175" s="746">
        <f>Assumptions!AD51</f>
        <v>1400</v>
      </c>
      <c r="BN175" s="151" t="s">
        <v>882</v>
      </c>
      <c r="BO175" s="746">
        <f>Assumptions!AD55</f>
        <v>1400</v>
      </c>
      <c r="BP175" s="151"/>
      <c r="BQ175" s="151"/>
    </row>
    <row r="176" spans="56:69" ht="15.75">
      <c r="BD176" s="151" t="s">
        <v>174</v>
      </c>
      <c r="BE176" s="748">
        <f>+SUM(BF176,BH176,BJ176,BL176,BN176)-1</f>
        <v>0</v>
      </c>
      <c r="BF176" s="749">
        <v>0</v>
      </c>
      <c r="BG176" s="750">
        <f>BF176*$BH45/BG$175</f>
        <v>0</v>
      </c>
      <c r="BH176" s="749">
        <v>0</v>
      </c>
      <c r="BI176" s="750">
        <f>BH176*$BH45/BI$175</f>
        <v>0</v>
      </c>
      <c r="BJ176" s="749">
        <v>0.75</v>
      </c>
      <c r="BK176" s="750">
        <f>BJ176*$BH45/BK$175</f>
        <v>0</v>
      </c>
      <c r="BL176" s="749">
        <v>0.25</v>
      </c>
      <c r="BM176" s="750">
        <f>BL176*$BH45/BM$175</f>
        <v>0</v>
      </c>
      <c r="BN176" s="749">
        <v>0</v>
      </c>
      <c r="BO176" s="750">
        <f>BN176*$BH45/BO$175</f>
        <v>0</v>
      </c>
      <c r="BP176" s="741">
        <f>SUM(BG176,BI176,BK176,BM176,BO176)</f>
        <v>0</v>
      </c>
      <c r="BQ176" s="741">
        <f>(BG$175*BG176+BI$175*BI176+BK$175*BK176+BM$175*BM176+BO$175*BO176)</f>
        <v>0</v>
      </c>
    </row>
    <row r="177" spans="56:69" ht="15.75">
      <c r="BD177" s="151" t="s">
        <v>175</v>
      </c>
      <c r="BE177" s="748">
        <f t="shared" ref="BE177:BE178" si="77">+SUM(BF177,BH177,BJ177,BL177,BN177)-1</f>
        <v>0</v>
      </c>
      <c r="BF177" s="749">
        <v>0</v>
      </c>
      <c r="BG177" s="750">
        <f>BF177*$BH46/BG$175</f>
        <v>0</v>
      </c>
      <c r="BH177" s="749">
        <v>0</v>
      </c>
      <c r="BI177" s="750">
        <f>BH177*$BH46/BI$175</f>
        <v>0</v>
      </c>
      <c r="BJ177" s="749">
        <v>0.75</v>
      </c>
      <c r="BK177" s="750">
        <f>BJ177*$BH46/BK$175</f>
        <v>0</v>
      </c>
      <c r="BL177" s="749">
        <v>0.25</v>
      </c>
      <c r="BM177" s="750">
        <f>BL177*$BH46/BM$175</f>
        <v>0</v>
      </c>
      <c r="BN177" s="749">
        <v>0</v>
      </c>
      <c r="BO177" s="750">
        <f>BN177*$BH46/BO$175</f>
        <v>0</v>
      </c>
      <c r="BP177" s="741">
        <f>SUM(BG177,BI177,BK177,BM177,BO177)</f>
        <v>0</v>
      </c>
      <c r="BQ177" s="741">
        <f>(BG$175*BG177+BI$175*BI177+BK$175*BK177+BM$175*BM177+BO$175*BO177)</f>
        <v>0</v>
      </c>
    </row>
    <row r="178" spans="56:69" ht="15.75">
      <c r="BD178" s="151" t="s">
        <v>176</v>
      </c>
      <c r="BE178" s="748">
        <f t="shared" si="77"/>
        <v>0</v>
      </c>
      <c r="BF178" s="749">
        <v>0</v>
      </c>
      <c r="BG178" s="750">
        <f>BF178*$BH47/BG$175</f>
        <v>0</v>
      </c>
      <c r="BH178" s="749">
        <v>0</v>
      </c>
      <c r="BI178" s="750">
        <f>BH178*$BH47/BI$175</f>
        <v>0</v>
      </c>
      <c r="BJ178" s="749">
        <v>0.75</v>
      </c>
      <c r="BK178" s="750">
        <f>BJ178*$BH47/BK$175</f>
        <v>0</v>
      </c>
      <c r="BL178" s="749">
        <v>0.25</v>
      </c>
      <c r="BM178" s="750">
        <f>BL178*$BH47/BM$175</f>
        <v>0</v>
      </c>
      <c r="BN178" s="749">
        <v>0</v>
      </c>
      <c r="BO178" s="750">
        <f>BN178*$BH47/BO$175</f>
        <v>0</v>
      </c>
      <c r="BP178" s="741">
        <f>SUM(BG178,BI178,BK178,BM178,BO178)</f>
        <v>0</v>
      </c>
      <c r="BQ178" s="741">
        <f>(BG$175*BG178+BI$175*BI178+BK$175*BK178+BM$175*BM178+BO$175*BO178)</f>
        <v>0</v>
      </c>
    </row>
    <row r="179" spans="56:69" ht="15.75">
      <c r="BD179" s="718" t="s">
        <v>258</v>
      </c>
      <c r="BE179" s="718"/>
      <c r="BF179" s="718"/>
      <c r="BG179" s="741">
        <f>+SUM(BG176:BG178)</f>
        <v>0</v>
      </c>
      <c r="BH179" s="718"/>
      <c r="BI179" s="741">
        <f>+SUM(BI176:BI178)</f>
        <v>0</v>
      </c>
      <c r="BJ179" s="718"/>
      <c r="BK179" s="741">
        <f>+SUM(BK176:BK178)</f>
        <v>0</v>
      </c>
      <c r="BL179" s="718"/>
      <c r="BM179" s="741">
        <f>+SUM(BM176:BM178)</f>
        <v>0</v>
      </c>
      <c r="BN179" s="718"/>
      <c r="BO179" s="741">
        <f>+SUM(BO176:BO178)</f>
        <v>0</v>
      </c>
      <c r="BP179" s="741">
        <f>SUM(BP176:BP178)</f>
        <v>0</v>
      </c>
      <c r="BQ179" s="741">
        <f>SUM(BQ176:BQ178)</f>
        <v>0</v>
      </c>
    </row>
    <row r="180" spans="56:69" ht="15.75">
      <c r="BD180" s="718"/>
      <c r="BE180" s="718"/>
      <c r="BF180" s="718"/>
      <c r="BG180" s="741"/>
      <c r="BH180" s="718"/>
      <c r="BI180" s="741"/>
      <c r="BJ180" s="718"/>
      <c r="BK180" s="741"/>
      <c r="BL180" s="718"/>
      <c r="BM180" s="741"/>
      <c r="BN180" s="718"/>
      <c r="BO180" s="741"/>
      <c r="BP180" s="741"/>
      <c r="BQ180" s="741"/>
    </row>
    <row r="181" spans="56:69">
      <c r="BD181" s="151"/>
      <c r="BE181" s="151"/>
      <c r="BF181" s="151"/>
      <c r="BG181" s="743" t="s">
        <v>875</v>
      </c>
      <c r="BH181" s="151"/>
      <c r="BI181" s="743" t="s">
        <v>876</v>
      </c>
      <c r="BJ181" s="151"/>
      <c r="BK181" s="743" t="s">
        <v>875</v>
      </c>
      <c r="BL181" s="151"/>
      <c r="BM181" s="743" t="s">
        <v>876</v>
      </c>
      <c r="BN181" s="151"/>
      <c r="BO181" s="743" t="s">
        <v>888</v>
      </c>
      <c r="BP181" s="151"/>
      <c r="BQ181" s="151"/>
    </row>
    <row r="182" spans="56:69" ht="63">
      <c r="BD182" s="744" t="str">
        <f ca="1">+BK19</f>
        <v xml:space="preserve">Market-Rate Senior Living Residential </v>
      </c>
      <c r="BE182" s="745" t="s">
        <v>502</v>
      </c>
      <c r="BF182" s="151" t="s">
        <v>882</v>
      </c>
      <c r="BG182" s="746">
        <f>+Assumptions!AD124</f>
        <v>650</v>
      </c>
      <c r="BH182" s="151" t="s">
        <v>882</v>
      </c>
      <c r="BI182" s="747">
        <f>+Assumptions!AD128</f>
        <v>1000</v>
      </c>
      <c r="BJ182" s="151" t="s">
        <v>882</v>
      </c>
      <c r="BK182" s="746">
        <f>+Assumptions!AD133</f>
        <v>650</v>
      </c>
      <c r="BL182" s="151" t="s">
        <v>882</v>
      </c>
      <c r="BM182" s="746">
        <f>+Assumptions!AD137</f>
        <v>1000</v>
      </c>
      <c r="BN182" s="151" t="s">
        <v>882</v>
      </c>
      <c r="BO182" s="746">
        <f>+Assumptions!AD142</f>
        <v>330</v>
      </c>
      <c r="BP182" s="151"/>
      <c r="BQ182" s="151"/>
    </row>
    <row r="183" spans="56:69" ht="15.75">
      <c r="BD183" s="151" t="s">
        <v>174</v>
      </c>
      <c r="BE183" s="748">
        <f>+SUM(BF183,BH183,BJ183,BL183,BN183)-1</f>
        <v>0</v>
      </c>
      <c r="BF183" s="749">
        <v>0.25</v>
      </c>
      <c r="BG183" s="750">
        <f>BF183*$BK45/BG$182</f>
        <v>0</v>
      </c>
      <c r="BH183" s="749">
        <v>0.25</v>
      </c>
      <c r="BI183" s="750">
        <f>BH183*$BK45/BI$182</f>
        <v>0</v>
      </c>
      <c r="BJ183" s="749">
        <v>0.25</v>
      </c>
      <c r="BK183" s="750">
        <f>BJ183*$BK45/BK$182</f>
        <v>0</v>
      </c>
      <c r="BL183" s="749">
        <v>0.25</v>
      </c>
      <c r="BM183" s="750">
        <f>BL183*$BK45/BM$182</f>
        <v>0</v>
      </c>
      <c r="BN183" s="749">
        <v>0</v>
      </c>
      <c r="BO183" s="750">
        <f>BN183*$BK45/BO$182</f>
        <v>0</v>
      </c>
      <c r="BP183" s="741">
        <f>SUM(BG183,BI183,BK183,BM183,BO183)</f>
        <v>0</v>
      </c>
      <c r="BQ183" s="741">
        <f>(BG$182*BG183+BI$182*BI183+BK$182*BK183+BM$182*BM183+BO$182*BO183)</f>
        <v>0</v>
      </c>
    </row>
    <row r="184" spans="56:69" ht="15.75">
      <c r="BD184" s="151" t="s">
        <v>175</v>
      </c>
      <c r="BE184" s="748">
        <f t="shared" ref="BE184:BE185" si="78">+SUM(BF184,BH184,BJ184,BL184,BN184)-1</f>
        <v>0</v>
      </c>
      <c r="BF184" s="749">
        <v>0.25</v>
      </c>
      <c r="BG184" s="750">
        <f>BF184*$BK46/BG$182</f>
        <v>0</v>
      </c>
      <c r="BH184" s="749">
        <v>0.25</v>
      </c>
      <c r="BI184" s="750">
        <f>BH184*$BK46/BI$182</f>
        <v>0</v>
      </c>
      <c r="BJ184" s="749">
        <v>0.25</v>
      </c>
      <c r="BK184" s="750">
        <f>BJ184*$BK46/BK$182</f>
        <v>0</v>
      </c>
      <c r="BL184" s="749">
        <v>0.25</v>
      </c>
      <c r="BM184" s="750">
        <f>BL184*$BK46/BM$182</f>
        <v>0</v>
      </c>
      <c r="BN184" s="749">
        <v>0</v>
      </c>
      <c r="BO184" s="750">
        <f>BN184*$BK46/BO$182</f>
        <v>0</v>
      </c>
      <c r="BP184" s="741">
        <f>SUM(BG184,BI184,BK184,BM184,BO184)</f>
        <v>0</v>
      </c>
      <c r="BQ184" s="741">
        <f>(BG$182*BG184+BI$182*BI184+BK$182*BK184+BM$182*BM184+BO$182*BO184)</f>
        <v>0</v>
      </c>
    </row>
    <row r="185" spans="56:69" ht="15.75">
      <c r="BD185" s="151" t="s">
        <v>176</v>
      </c>
      <c r="BE185" s="748">
        <f t="shared" si="78"/>
        <v>0</v>
      </c>
      <c r="BF185" s="749">
        <v>0.25</v>
      </c>
      <c r="BG185" s="750">
        <f>BF185*$BK47/BG$182</f>
        <v>0</v>
      </c>
      <c r="BH185" s="749">
        <v>0.25</v>
      </c>
      <c r="BI185" s="750">
        <f>BH185*$BK47/BI$182</f>
        <v>0</v>
      </c>
      <c r="BJ185" s="749">
        <v>0.25</v>
      </c>
      <c r="BK185" s="750">
        <f>BJ185*$BK47/BK$182</f>
        <v>0</v>
      </c>
      <c r="BL185" s="749">
        <v>0.25</v>
      </c>
      <c r="BM185" s="750">
        <f>BL185*$BK47/BM$182</f>
        <v>0</v>
      </c>
      <c r="BN185" s="749">
        <v>0</v>
      </c>
      <c r="BO185" s="750">
        <f>BN185*$BK47/BO$182</f>
        <v>0</v>
      </c>
      <c r="BP185" s="741">
        <f>SUM(BG185,BI185,BK185,BM185,BO185)</f>
        <v>0</v>
      </c>
      <c r="BQ185" s="741">
        <f>(BG$182*BG185+BI$182*BI185+BK$182*BK185+BM$182*BM185+BO$182*BO185)</f>
        <v>0</v>
      </c>
    </row>
    <row r="186" spans="56:69" ht="15.75">
      <c r="BD186" s="718" t="s">
        <v>258</v>
      </c>
      <c r="BE186" s="718"/>
      <c r="BF186" s="718"/>
      <c r="BG186" s="742">
        <f>+SUM(BG183:BG185)</f>
        <v>0</v>
      </c>
      <c r="BH186" s="742"/>
      <c r="BI186" s="742">
        <f>+SUM(BI183:BI185)</f>
        <v>0</v>
      </c>
      <c r="BJ186" s="742"/>
      <c r="BK186" s="742">
        <f>+SUM(BK183:BK185)</f>
        <v>0</v>
      </c>
      <c r="BL186" s="742"/>
      <c r="BM186" s="742">
        <f>+SUM(BM183:BM185)</f>
        <v>0</v>
      </c>
      <c r="BN186" s="742"/>
      <c r="BO186" s="742">
        <f>+SUM(BO183:BO185)</f>
        <v>0</v>
      </c>
      <c r="BP186" s="741">
        <f>SUM(BP183:BP185)</f>
        <v>0</v>
      </c>
      <c r="BQ186" s="741">
        <f>SUM(BQ183:BQ185)</f>
        <v>0</v>
      </c>
    </row>
    <row r="187" spans="56:69" ht="15.75">
      <c r="BD187" s="718"/>
      <c r="BE187" s="718"/>
      <c r="BF187" s="718"/>
      <c r="BG187" s="742"/>
      <c r="BH187" s="742"/>
      <c r="BI187" s="742"/>
      <c r="BJ187" s="742"/>
      <c r="BK187" s="742"/>
      <c r="BL187" s="742"/>
      <c r="BM187" s="742"/>
      <c r="BN187" s="742"/>
      <c r="BO187" s="742"/>
      <c r="BP187" s="741"/>
      <c r="BQ187" s="741"/>
    </row>
    <row r="188" spans="56:69">
      <c r="BD188" s="151"/>
      <c r="BE188" s="151"/>
      <c r="BF188" s="151"/>
      <c r="BG188" s="743" t="str">
        <f>+BG181</f>
        <v>1-BR</v>
      </c>
      <c r="BH188" s="151"/>
      <c r="BI188" s="743" t="str">
        <f>+BI181</f>
        <v>2-BR</v>
      </c>
      <c r="BJ188" s="151"/>
      <c r="BK188" s="743" t="str">
        <f>+BK181</f>
        <v>1-BR</v>
      </c>
      <c r="BL188" s="151"/>
      <c r="BM188" s="743" t="str">
        <f>+BM181</f>
        <v>2-BR</v>
      </c>
      <c r="BN188" s="151"/>
      <c r="BO188" s="743" t="str">
        <f>+BO181</f>
        <v>Memory Care</v>
      </c>
      <c r="BP188" s="151"/>
      <c r="BQ188" s="151"/>
    </row>
    <row r="189" spans="56:69" ht="63">
      <c r="BD189" s="744" t="str">
        <f ca="1">+BJ19</f>
        <v xml:space="preserve">Affordable Senior Living Residential </v>
      </c>
      <c r="BE189" s="745" t="s">
        <v>502</v>
      </c>
      <c r="BF189" s="151" t="s">
        <v>882</v>
      </c>
      <c r="BG189" s="746">
        <f>+Assumptions!AD94</f>
        <v>650</v>
      </c>
      <c r="BH189" s="151" t="s">
        <v>882</v>
      </c>
      <c r="BI189" s="747">
        <f>+Assumptions!AD98</f>
        <v>1000</v>
      </c>
      <c r="BJ189" s="151" t="s">
        <v>882</v>
      </c>
      <c r="BK189" s="746">
        <f>+Assumptions!AD103</f>
        <v>650</v>
      </c>
      <c r="BL189" s="151" t="s">
        <v>882</v>
      </c>
      <c r="BM189" s="746">
        <f>+Assumptions!AD107</f>
        <v>1000</v>
      </c>
      <c r="BN189" s="151" t="s">
        <v>882</v>
      </c>
      <c r="BO189" s="746">
        <f>+Assumptions!AD112</f>
        <v>330</v>
      </c>
      <c r="BP189" s="151"/>
      <c r="BQ189" s="151"/>
    </row>
    <row r="190" spans="56:69" ht="15.75">
      <c r="BD190" s="151" t="s">
        <v>174</v>
      </c>
      <c r="BE190" s="748">
        <f>+SUM(BF190,BH190,BJ190,BL190,BN190)-1</f>
        <v>0</v>
      </c>
      <c r="BF190" s="749">
        <v>0</v>
      </c>
      <c r="BG190" s="750">
        <f>BF190*$BJ45/BG$189</f>
        <v>0</v>
      </c>
      <c r="BH190" s="749">
        <v>0.4</v>
      </c>
      <c r="BI190" s="750">
        <f>BH190*$BJ45/BI$189</f>
        <v>0</v>
      </c>
      <c r="BJ190" s="749">
        <v>0</v>
      </c>
      <c r="BK190" s="750">
        <f>BJ190*$BJ45/BK$189</f>
        <v>0</v>
      </c>
      <c r="BL190" s="749">
        <v>0.6</v>
      </c>
      <c r="BM190" s="750">
        <f>BL190*$BJ45/BM$189</f>
        <v>0</v>
      </c>
      <c r="BN190" s="749">
        <v>0</v>
      </c>
      <c r="BO190" s="750">
        <f>BN190*$BJ45/BO$189</f>
        <v>0</v>
      </c>
      <c r="BP190" s="741">
        <f>SUM(BG190,BI190,BK190,BM190,BO190)</f>
        <v>0</v>
      </c>
      <c r="BQ190" s="741">
        <f>(BG$189*BG190+BI$189*BI190+BK$189*BK190+BM$189*BM190+BO$189*BO190)</f>
        <v>0</v>
      </c>
    </row>
    <row r="191" spans="56:69" ht="15.75">
      <c r="BD191" s="151" t="s">
        <v>175</v>
      </c>
      <c r="BE191" s="748">
        <f t="shared" ref="BE191:BE192" si="79">+SUM(BF191,BH191,BJ191,BL191,BN191)-1</f>
        <v>0</v>
      </c>
      <c r="BF191" s="749">
        <v>0</v>
      </c>
      <c r="BG191" s="750">
        <f>BF191*$BJ46/BG$189</f>
        <v>0</v>
      </c>
      <c r="BH191" s="749">
        <v>0.4</v>
      </c>
      <c r="BI191" s="750">
        <f>BH191*$BJ46/BI$189</f>
        <v>0</v>
      </c>
      <c r="BJ191" s="749">
        <v>0</v>
      </c>
      <c r="BK191" s="750">
        <f>BJ191*$BJ46/BK$189</f>
        <v>0</v>
      </c>
      <c r="BL191" s="749">
        <v>0.6</v>
      </c>
      <c r="BM191" s="750">
        <f>BL191*$BJ46/BM$189</f>
        <v>0</v>
      </c>
      <c r="BN191" s="749">
        <v>0</v>
      </c>
      <c r="BO191" s="750">
        <f>BN191*$BJ46/BO$189</f>
        <v>0</v>
      </c>
      <c r="BP191" s="741">
        <f>SUM(BG191,BI191,BK191,BM191,BO191)</f>
        <v>0</v>
      </c>
      <c r="BQ191" s="741">
        <f>(BG$189*BG191+BI$189*BI191+BK$189*BK191+BM$189*BM191+BO$189*BO191)</f>
        <v>0</v>
      </c>
    </row>
    <row r="192" spans="56:69" ht="15.75">
      <c r="BD192" s="151" t="s">
        <v>176</v>
      </c>
      <c r="BE192" s="748">
        <f t="shared" si="79"/>
        <v>0</v>
      </c>
      <c r="BF192" s="749">
        <v>0</v>
      </c>
      <c r="BG192" s="750">
        <f>BF192*$BJ47/BG$189</f>
        <v>0</v>
      </c>
      <c r="BH192" s="749">
        <v>0.4</v>
      </c>
      <c r="BI192" s="750">
        <f>BH192*$BJ47/BI$189</f>
        <v>0</v>
      </c>
      <c r="BJ192" s="749">
        <v>0</v>
      </c>
      <c r="BK192" s="750">
        <f>BJ192*$BJ47/BK$189</f>
        <v>0</v>
      </c>
      <c r="BL192" s="749">
        <v>0.6</v>
      </c>
      <c r="BM192" s="750">
        <f>BL192*$BJ47/BM$189</f>
        <v>0</v>
      </c>
      <c r="BN192" s="749">
        <v>0</v>
      </c>
      <c r="BO192" s="750">
        <f>BN192*$BJ47/BO$189</f>
        <v>0</v>
      </c>
      <c r="BP192" s="741">
        <f>SUM(BG192,BI192,BK192,BM192,BO192)</f>
        <v>0</v>
      </c>
      <c r="BQ192" s="741">
        <f>(BG$189*BG192+BI$189*BI192+BK$189*BK192+BM$189*BM192+BO$189*BO192)</f>
        <v>0</v>
      </c>
    </row>
    <row r="193" spans="54:76" ht="15.75">
      <c r="BB193" s="699"/>
      <c r="BC193" s="699"/>
      <c r="BD193" s="718" t="s">
        <v>258</v>
      </c>
      <c r="BE193" s="718"/>
      <c r="BF193" s="718"/>
      <c r="BG193" s="741">
        <f>+SUM(BG190:BG192)</f>
        <v>0</v>
      </c>
      <c r="BH193" s="741"/>
      <c r="BI193" s="741">
        <f>+SUM(BI190:BI192)</f>
        <v>0</v>
      </c>
      <c r="BJ193" s="741"/>
      <c r="BK193" s="741">
        <f>+SUM(BK190:BK192)</f>
        <v>0</v>
      </c>
      <c r="BL193" s="741"/>
      <c r="BM193" s="741">
        <f>+SUM(BM190:BM192)</f>
        <v>0</v>
      </c>
      <c r="BN193" s="741"/>
      <c r="BO193" s="741">
        <f>+SUM(BO190:BO192)</f>
        <v>0</v>
      </c>
      <c r="BP193" s="741">
        <f>SUM(BP190:BP192)</f>
        <v>0</v>
      </c>
      <c r="BQ193" s="741">
        <f>SUM(BQ190:BQ192)</f>
        <v>0</v>
      </c>
      <c r="BR193" s="699"/>
      <c r="BS193" s="699"/>
      <c r="BT193" s="699"/>
      <c r="BU193" s="699"/>
      <c r="BV193" s="699"/>
      <c r="BW193" s="699"/>
      <c r="BX193" s="699"/>
    </row>
    <row r="194" spans="54:76">
      <c r="BB194" s="699"/>
      <c r="BC194" s="699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  <c r="BP194" s="151"/>
      <c r="BQ194" s="151"/>
      <c r="BR194" s="699"/>
      <c r="BS194" s="699"/>
      <c r="BT194" s="699"/>
      <c r="BU194" s="699"/>
      <c r="BV194" s="699"/>
      <c r="BW194" s="699"/>
      <c r="BX194" s="699"/>
    </row>
    <row r="196" spans="54:76"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  <c r="BP196" s="151"/>
      <c r="BQ196" s="151"/>
      <c r="BR196" s="151"/>
      <c r="BS196" s="151"/>
      <c r="BT196" s="151"/>
      <c r="BU196" s="151"/>
      <c r="BV196" s="151"/>
      <c r="BW196" s="151"/>
      <c r="BX196" s="151"/>
    </row>
    <row r="197" spans="54:76">
      <c r="BB197" s="151"/>
      <c r="BC197" s="151"/>
      <c r="BD197" s="151"/>
      <c r="BE197" s="151"/>
      <c r="BF197" s="151"/>
      <c r="BG197" s="151"/>
      <c r="BH197" s="151"/>
      <c r="BI197" s="151"/>
      <c r="BJ197" s="151"/>
      <c r="BK197" s="151"/>
      <c r="BL197" s="151"/>
      <c r="BM197" s="151"/>
      <c r="BN197" s="151"/>
      <c r="BO197" s="151"/>
      <c r="BP197" s="151"/>
      <c r="BQ197" s="151"/>
      <c r="BR197" s="151"/>
      <c r="BS197" s="151"/>
      <c r="BT197" s="151"/>
      <c r="BU197" s="151"/>
      <c r="BV197" s="151"/>
      <c r="BW197" s="151"/>
      <c r="BX197" s="151"/>
    </row>
    <row r="198" spans="54:76"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151"/>
      <c r="BQ198" s="151"/>
      <c r="BR198" s="151"/>
      <c r="BS198" s="151"/>
      <c r="BT198" s="151"/>
      <c r="BU198" s="151"/>
      <c r="BV198" s="151"/>
      <c r="BW198" s="151"/>
      <c r="BX198" s="151"/>
    </row>
    <row r="199" spans="54:76"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/>
    </row>
    <row r="200" spans="54:76"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1"/>
      <c r="BW200" s="151"/>
      <c r="BX200" s="151"/>
    </row>
    <row r="201" spans="54:76"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</row>
    <row r="202" spans="54:76"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  <c r="BM202" s="151"/>
      <c r="BN202" s="151"/>
      <c r="BO202" s="151"/>
      <c r="BP202" s="151"/>
      <c r="BQ202" s="151"/>
      <c r="BR202" s="151"/>
      <c r="BS202" s="151"/>
      <c r="BT202" s="151"/>
      <c r="BU202" s="151"/>
      <c r="BV202" s="151"/>
      <c r="BW202" s="151"/>
      <c r="BX202" s="151"/>
    </row>
    <row r="203" spans="54:76"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  <c r="BM203" s="151"/>
      <c r="BN203" s="151"/>
      <c r="BO203" s="151"/>
      <c r="BP203" s="151"/>
      <c r="BQ203" s="151"/>
      <c r="BR203" s="151"/>
      <c r="BS203" s="151"/>
      <c r="BT203" s="151"/>
      <c r="BU203" s="151"/>
      <c r="BV203" s="151"/>
      <c r="BW203" s="151"/>
      <c r="BX203" s="151"/>
    </row>
    <row r="204" spans="54:76"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  <c r="BM204" s="151"/>
      <c r="BN204" s="151"/>
      <c r="BO204" s="151"/>
      <c r="BP204" s="151"/>
      <c r="BQ204" s="151"/>
      <c r="BR204" s="151"/>
      <c r="BS204" s="151"/>
      <c r="BT204" s="151"/>
      <c r="BU204" s="151"/>
      <c r="BV204" s="151"/>
      <c r="BW204" s="151"/>
      <c r="BX204" s="151"/>
    </row>
    <row r="205" spans="54:76"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1"/>
      <c r="BW205" s="151"/>
      <c r="BX205" s="151"/>
    </row>
    <row r="206" spans="54:76"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1"/>
      <c r="BQ206" s="151"/>
      <c r="BR206" s="151"/>
      <c r="BS206" s="151"/>
      <c r="BT206" s="151"/>
      <c r="BU206" s="151"/>
      <c r="BV206" s="151"/>
      <c r="BW206" s="151"/>
      <c r="BX206" s="151"/>
    </row>
    <row r="207" spans="54:76"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1"/>
      <c r="BW207" s="151"/>
      <c r="BX207" s="151"/>
    </row>
    <row r="208" spans="54:76"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1"/>
      <c r="BX208" s="151"/>
    </row>
    <row r="209" spans="54:76"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</row>
    <row r="210" spans="54:76"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/>
      <c r="BX210" s="151"/>
    </row>
    <row r="211" spans="54:76"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BX211" s="151"/>
    </row>
    <row r="212" spans="54:76">
      <c r="BB212" s="151"/>
      <c r="BC212" s="151"/>
      <c r="BD212" s="151"/>
      <c r="BE212" s="820">
        <v>0</v>
      </c>
      <c r="BF212" s="820">
        <f>+BE212+1</f>
        <v>1</v>
      </c>
      <c r="BG212" s="820">
        <f t="shared" ref="BG212:BU212" si="80">+BF212+1</f>
        <v>2</v>
      </c>
      <c r="BH212" s="820">
        <f t="shared" si="80"/>
        <v>3</v>
      </c>
      <c r="BI212" s="820">
        <f t="shared" si="80"/>
        <v>4</v>
      </c>
      <c r="BJ212" s="820">
        <f t="shared" si="80"/>
        <v>5</v>
      </c>
      <c r="BK212" s="820">
        <f t="shared" si="80"/>
        <v>6</v>
      </c>
      <c r="BL212" s="820">
        <f t="shared" si="80"/>
        <v>7</v>
      </c>
      <c r="BM212" s="820">
        <f t="shared" si="80"/>
        <v>8</v>
      </c>
      <c r="BN212" s="820">
        <f t="shared" si="80"/>
        <v>9</v>
      </c>
      <c r="BO212" s="820">
        <f t="shared" si="80"/>
        <v>10</v>
      </c>
      <c r="BP212" s="820">
        <f t="shared" si="80"/>
        <v>11</v>
      </c>
      <c r="BQ212" s="820">
        <f t="shared" si="80"/>
        <v>12</v>
      </c>
      <c r="BR212" s="820">
        <f t="shared" si="80"/>
        <v>13</v>
      </c>
      <c r="BS212" s="820">
        <f t="shared" si="80"/>
        <v>14</v>
      </c>
      <c r="BT212" s="820">
        <f t="shared" si="80"/>
        <v>15</v>
      </c>
      <c r="BU212" s="820">
        <f t="shared" si="80"/>
        <v>16</v>
      </c>
      <c r="BV212" s="151"/>
      <c r="BW212" s="151"/>
      <c r="BX212" s="151"/>
    </row>
    <row r="213" spans="54:76">
      <c r="BB213" s="151"/>
      <c r="BC213" s="151"/>
      <c r="BD213" s="151"/>
      <c r="BE213" s="821">
        <f ca="1">+OFFSET(Budget!$D$50,'Parcel Breakdown'!BE212,0)</f>
        <v>335</v>
      </c>
      <c r="BF213" s="821">
        <f ca="1">+OFFSET(Budget!$D$50,'Parcel Breakdown'!BF212,0)</f>
        <v>345</v>
      </c>
      <c r="BG213" s="821">
        <f ca="1">+OFFSET(Budget!$D$50,'Parcel Breakdown'!BG212,0)</f>
        <v>191</v>
      </c>
      <c r="BH213" s="821">
        <f ca="1">+OFFSET(Budget!$D$50,'Parcel Breakdown'!BH212,0)</f>
        <v>191</v>
      </c>
      <c r="BI213" s="821">
        <f ca="1">+OFFSET(Budget!$D$50,'Parcel Breakdown'!BI212,0)</f>
        <v>0</v>
      </c>
      <c r="BJ213" s="821">
        <f ca="1">+OFFSET(Budget!$D$50,'Parcel Breakdown'!BJ212,0)</f>
        <v>0</v>
      </c>
      <c r="BK213" s="821">
        <f ca="1">+OFFSET(Budget!$D$50,'Parcel Breakdown'!BK212,0)</f>
        <v>310</v>
      </c>
      <c r="BL213" s="821">
        <f ca="1">+OFFSET(Budget!$D$50,'Parcel Breakdown'!BL212,0)</f>
        <v>325</v>
      </c>
      <c r="BM213" s="821">
        <f ca="1">+OFFSET(Budget!$D$50,'Parcel Breakdown'!BM212,0)</f>
        <v>0</v>
      </c>
      <c r="BN213" s="821">
        <f ca="1">+OFFSET(Budget!$D$50,'Parcel Breakdown'!BN212,0)</f>
        <v>0</v>
      </c>
      <c r="BO213" s="821">
        <f ca="1">+OFFSET(Budget!$D$50,'Parcel Breakdown'!BO212,0)</f>
        <v>465</v>
      </c>
      <c r="BP213" s="821">
        <f ca="1">+OFFSET(Budget!$D$50,'Parcel Breakdown'!BP212,0)</f>
        <v>180</v>
      </c>
      <c r="BQ213" s="821">
        <f ca="1">+OFFSET(Budget!$D$50,'Parcel Breakdown'!BQ212,0)</f>
        <v>310</v>
      </c>
      <c r="BR213" s="821">
        <f ca="1">+OFFSET(Budget!$D$50,'Parcel Breakdown'!BR212,0)</f>
        <v>1750</v>
      </c>
      <c r="BS213" s="821">
        <f ca="1">+OFFSET(Budget!$D$50,'Parcel Breakdown'!BS212,0)</f>
        <v>165</v>
      </c>
      <c r="BT213" s="821">
        <f ca="1">+OFFSET(Budget!$D$50,'Parcel Breakdown'!BT212,0)</f>
        <v>119</v>
      </c>
      <c r="BU213" s="821">
        <f ca="1">+OFFSET(Budget!$D$50,'Parcel Breakdown'!BU212,0)</f>
        <v>10</v>
      </c>
      <c r="BV213" s="151"/>
      <c r="BW213" s="151"/>
      <c r="BX213" s="151"/>
    </row>
    <row r="214" spans="54:76" ht="15.75">
      <c r="BB214" s="151"/>
      <c r="BC214" s="151"/>
      <c r="BD214" s="151"/>
      <c r="BE214" s="1127" t="s">
        <v>889</v>
      </c>
      <c r="BF214" s="1127"/>
      <c r="BG214" s="1127"/>
      <c r="BH214" s="1127"/>
      <c r="BI214" s="1127"/>
      <c r="BJ214" s="1127"/>
      <c r="BK214" s="1127"/>
      <c r="BL214" s="1127"/>
      <c r="BM214" s="1127"/>
      <c r="BN214" s="1127"/>
      <c r="BO214" s="1127"/>
      <c r="BP214" s="1127"/>
      <c r="BQ214" s="1127"/>
      <c r="BR214" s="1127"/>
      <c r="BS214" s="1127"/>
      <c r="BT214" s="1127"/>
      <c r="BU214" s="1127"/>
      <c r="BV214" s="1127" t="s">
        <v>357</v>
      </c>
      <c r="BW214" s="1127"/>
      <c r="BX214" s="151"/>
    </row>
    <row r="215" spans="54:76" ht="94.5">
      <c r="BB215" s="151"/>
      <c r="BC215" s="151"/>
      <c r="BD215" s="151"/>
      <c r="BE215" s="744" t="str">
        <f ca="1">+OFFSET(Budget!$B$50,BE212,0)</f>
        <v xml:space="preserve">Standard Affordable Residential </v>
      </c>
      <c r="BF215" s="744" t="str">
        <f ca="1">+OFFSET(Budget!$B$50,BF212,0)</f>
        <v xml:space="preserve">Standard Market-Rate Residential </v>
      </c>
      <c r="BG215" s="744" t="str">
        <f ca="1">+OFFSET(Budget!$B$50,BG212,0)</f>
        <v>Affordable Multi-Bedroom Residential</v>
      </c>
      <c r="BH215" s="744" t="str">
        <f ca="1">+OFFSET(Budget!$B$50,BH212,0)</f>
        <v>Market-Rate Multi-Bedroom Residential</v>
      </c>
      <c r="BI215" s="744" t="str">
        <f ca="1">+OFFSET(Budget!$B$50,BI212,0)</f>
        <v xml:space="preserve">Affordable Senior Living Residential </v>
      </c>
      <c r="BJ215" s="744" t="str">
        <f ca="1">+OFFSET(Budget!$B$50,BJ212,0)</f>
        <v xml:space="preserve">Market-Rate Senior Living Residential </v>
      </c>
      <c r="BK215" s="744" t="str">
        <f ca="1">+OFFSET(Budget!$B$50,BK212,0)</f>
        <v>Affordable For-Sale Residential</v>
      </c>
      <c r="BL215" s="744" t="str">
        <f ca="1">+OFFSET(Budget!$B$50,BL212,0)</f>
        <v xml:space="preserve">Market-Rate For-Sale Residential </v>
      </c>
      <c r="BM215" s="744" t="str">
        <f ca="1">+OFFSET(Budget!$B$50,BM212,0)</f>
        <v xml:space="preserve">Affordable Student Housing </v>
      </c>
      <c r="BN215" s="744" t="str">
        <f ca="1">+OFFSET(Budget!$B$50,BN212,0)</f>
        <v xml:space="preserve">Market-Rate Student Housing </v>
      </c>
      <c r="BO215" s="744" t="str">
        <f ca="1">+OFFSET(Budget!$B$50,BO212,0)</f>
        <v xml:space="preserve">Office </v>
      </c>
      <c r="BP215" s="744" t="str">
        <f ca="1">+OFFSET(Budget!$B$50,BP212,0)</f>
        <v xml:space="preserve">Retail </v>
      </c>
      <c r="BQ215" s="744" t="str">
        <f ca="1">+OFFSET(Budget!$B$50,BQ212,0)</f>
        <v xml:space="preserve">Hotel </v>
      </c>
      <c r="BR215" s="744" t="str">
        <f ca="1">+OFFSET(Budget!$B$50,BR212,0)</f>
        <v xml:space="preserve">Specialty - Data Center </v>
      </c>
      <c r="BS215" s="744" t="str">
        <f ca="1">+OFFSET(Budget!$B$50,BS212,0)</f>
        <v xml:space="preserve">Community Facility </v>
      </c>
      <c r="BT215" s="744" t="str">
        <f ca="1">+OFFSET(Budget!$B$50,BT212,0)</f>
        <v xml:space="preserve">Structural Parking </v>
      </c>
      <c r="BU215" s="744" t="str">
        <f ca="1">+OFFSET(Budget!$B$50,BU212,0)</f>
        <v xml:space="preserve">Surface Parking </v>
      </c>
      <c r="BV215" s="744" t="s">
        <v>890</v>
      </c>
      <c r="BW215" s="744" t="s">
        <v>891</v>
      </c>
      <c r="BX215" s="151"/>
    </row>
    <row r="216" spans="54:76">
      <c r="BB216" s="151"/>
      <c r="BC216" s="151"/>
      <c r="BD216" s="151"/>
      <c r="BE216" s="822">
        <f>+IF($D19=Acquisition!$C$16,O19*BE$213,IF($D19=Acquisition!$C$20,O19*(BE$213*(1+$D$3)^$G$4),IF($D19=Acquisition!$C$21,O19*(BE$213*(1+$D$3)^$H$4),0)))</f>
        <v>0</v>
      </c>
      <c r="BF216" s="822">
        <f>+IF($D19=Acquisition!$C$16,P19*BF$213,IF($D19=Acquisition!$C$20,P19*(BF$213*(1+$D$3)^$G$4),IF($D19=Acquisition!$C$21,P19*(BF$213*(1+$D$3)^$H$4),0)))</f>
        <v>0</v>
      </c>
      <c r="BG216" s="822">
        <f>+IF($D19=Acquisition!$C$16,Q19*BG$213,IF($D19=Acquisition!$C$20,Q19*(BG$213*(1+$D$3)^$G$4),IF($D19=Acquisition!$C$21,Q19*(BG$213*(1+$D$3)^$H$4),0)))</f>
        <v>0</v>
      </c>
      <c r="BH216" s="822">
        <f>+IF($D19=Acquisition!$C$16,R19*BH$213,IF($D19=Acquisition!$C$20,R19*(BH$213*(1+$D$3)^$G$4),IF($D19=Acquisition!$C$21,R19*(BH$213*(1+$D$3)^$H$4),0)))</f>
        <v>0</v>
      </c>
      <c r="BI216" s="822">
        <f>+IF($D19=Acquisition!$C$16,S19*BI$213,IF($D19=Acquisition!$C$20,S19*(BI$213*(1+$D$3)^$G$4),IF($D19=Acquisition!$C$21,S19*(BI$213*(1+$D$3)^$H$4),0)))</f>
        <v>0</v>
      </c>
      <c r="BJ216" s="822">
        <f>+IF($D19=Acquisition!$C$16,T19*BJ$213,IF($D19=Acquisition!$C$20,T19*(BJ$213*(1+$D$3)^$G$4),IF($D19=Acquisition!$C$21,T19*(BJ$213*(1+$D$3)^$H$4),0)))</f>
        <v>0</v>
      </c>
      <c r="BK216" s="822">
        <f>+IF($D19=Acquisition!$C$16,U19*BK$213,IF($D19=Acquisition!$C$20,U19*(BK$213*(1+$D$3)^$G$4),IF($D19=Acquisition!$C$21,U19*(BK$213*(1+$D$3)^$H$4),0)))</f>
        <v>0</v>
      </c>
      <c r="BL216" s="822">
        <f>+IF($D19=Acquisition!$C$16,V19*BL$213,IF($D19=Acquisition!$C$20,V19*(BL$213*(1+$D$3)^$G$4),IF($D19=Acquisition!$C$21,V19*(BL$213*(1+$D$3)^$H$4),0)))</f>
        <v>0</v>
      </c>
      <c r="BM216" s="822">
        <f>+IF($D19=Acquisition!$C$16,W19*BM$213,IF($D19=Acquisition!$C$20,W19*(BM$213*(1+$D$3)^$G$4),IF($D19=Acquisition!$C$21,W19*(BM$213*(1+$D$3)^$H$4),0)))</f>
        <v>0</v>
      </c>
      <c r="BN216" s="822">
        <f>+IF($D19=Acquisition!$C$16,X19*BN$213,IF($D19=Acquisition!$C$20,X19*(BN$213*(1+$D$3)^$G$4),IF($D19=Acquisition!$C$21,X19*(BN$213*(1+$D$3)^$H$4),0)))</f>
        <v>0</v>
      </c>
      <c r="BO216" s="822">
        <f>+IF($D19=Acquisition!$C$16,Y19*BO$213,IF($D19=Acquisition!$C$20,Y19*(BO$213*(1+$D$3)^$G$4),IF($D19=Acquisition!$C$21,Y19*(BO$213*(1+$D$3)^$H$4),0)))</f>
        <v>0</v>
      </c>
      <c r="BP216" s="822">
        <f>+IF($D19=Acquisition!$C$16,Z19*BP$213,IF($D19=Acquisition!$C$20,Z19*(BP$213*(1+$D$3)^$G$4),IF($D19=Acquisition!$C$21,Z19*(BP$213*(1+$D$3)^$H$4),0)))</f>
        <v>0</v>
      </c>
      <c r="BQ216" s="822">
        <f>+IF($D19=Acquisition!$C$16,AA19*BQ$213,IF($D19=Acquisition!$C$20,AA19*(BQ$213*(1+$D$3)^$G$4),IF($D19=Acquisition!$C$21,AA19*(BQ$213*(1+$D$3)^$H$4),0)))</f>
        <v>0</v>
      </c>
      <c r="BR216" s="822">
        <f>+IF($D19=Acquisition!$C$16,AB19*BR$213,IF($D19=Acquisition!$C$20,AB19*(BR$213*(1+$D$3)^$G$4),IF($D19=Acquisition!$C$21,AB19*(BR$213*(1+$D$3)^$H$4),0)))</f>
        <v>0</v>
      </c>
      <c r="BS216" s="822">
        <f>+IF($D19=Acquisition!$C$16,AC19*BS$213,IF($D19=Acquisition!$C$20,AC19*(BS$213*(1+$D$3)^$G$4),IF($D19=Acquisition!$C$21,AC19*(BS$213*(1+$D$3)^$H$4),0)))</f>
        <v>0</v>
      </c>
      <c r="BT216" s="822">
        <f>+IF($D19=Acquisition!$C$16,AD19*BT$213,IF($D19=Acquisition!$C$20,AD19*(BT$213*(1+$D$3)^$G$4),IF($D19=Acquisition!$C$21,AD19*(BT$213*(1+$D$3)^$H$4),0)))</f>
        <v>0</v>
      </c>
      <c r="BU216" s="822">
        <f>+IF($D19=Acquisition!$C$16,AE19*BU$213,IF($D19=Acquisition!$C$20,AE19*(BU$213*(1+$D$3)^$G$4),IF($D19=Acquisition!$C$21,AE19*(BU$213*(1+$D$3)^$H$4),0)))</f>
        <v>0</v>
      </c>
      <c r="BV216" s="822">
        <f t="shared" ref="BV216:BV224" si="81">+IFERROR(SUM($BE216:$BU216)/$L19,"")</f>
        <v>0</v>
      </c>
      <c r="BW216" s="822">
        <f t="shared" ref="BW216:BW224" si="82">+IFERROR(SUM($BE216:$BS216)/$L19,"")</f>
        <v>0</v>
      </c>
      <c r="BX216" s="151"/>
    </row>
    <row r="217" spans="54:76">
      <c r="BB217" s="151"/>
      <c r="BC217" s="151"/>
      <c r="BD217" s="151"/>
      <c r="BE217" s="822">
        <f>+IF($D20=Acquisition!$C$16,O20*BE$213,IF($D20=Acquisition!$C$20,O20*(BE$213*(1+$D$3)^$G$4),IF($D20=Acquisition!$C$21,O20*(BE$213*(1+$D$3)^$H$4),0)))</f>
        <v>0</v>
      </c>
      <c r="BF217" s="822">
        <f>+IF($D20=Acquisition!$C$16,P20*BF$213,IF($D20=Acquisition!$C$20,P20*(BF$213*(1+$D$3)^$G$4),IF($D20=Acquisition!$C$21,P20*(BF$213*(1+$D$3)^$H$4),0)))</f>
        <v>0</v>
      </c>
      <c r="BG217" s="822">
        <f>+IF($D20=Acquisition!$C$16,Q20*BG$213,IF($D20=Acquisition!$C$20,Q20*(BG$213*(1+$D$3)^$G$4),IF($D20=Acquisition!$C$21,Q20*(BG$213*(1+$D$3)^$H$4),0)))</f>
        <v>0</v>
      </c>
      <c r="BH217" s="822">
        <f>+IF($D20=Acquisition!$C$16,R20*BH$213,IF($D20=Acquisition!$C$20,R20*(BH$213*(1+$D$3)^$G$4),IF($D20=Acquisition!$C$21,R20*(BH$213*(1+$D$3)^$H$4),0)))</f>
        <v>0</v>
      </c>
      <c r="BI217" s="822">
        <f>+IF($D20=Acquisition!$C$16,S20*BI$213,IF($D20=Acquisition!$C$20,S20*(BI$213*(1+$D$3)^$G$4),IF($D20=Acquisition!$C$21,S20*(BI$213*(1+$D$3)^$H$4),0)))</f>
        <v>0</v>
      </c>
      <c r="BJ217" s="822">
        <f>+IF($D20=Acquisition!$C$16,T20*BJ$213,IF($D20=Acquisition!$C$20,T20*(BJ$213*(1+$D$3)^$G$4),IF($D20=Acquisition!$C$21,T20*(BJ$213*(1+$D$3)^$H$4),0)))</f>
        <v>0</v>
      </c>
      <c r="BK217" s="822">
        <f>+IF($D20=Acquisition!$C$16,U20*BK$213,IF($D20=Acquisition!$C$20,U20*(BK$213*(1+$D$3)^$G$4),IF($D20=Acquisition!$C$21,U20*(BK$213*(1+$D$3)^$H$4),0)))</f>
        <v>0</v>
      </c>
      <c r="BL217" s="822">
        <f>+IF($D20=Acquisition!$C$16,V20*BL$213,IF($D20=Acquisition!$C$20,V20*(BL$213*(1+$D$3)^$G$4),IF($D20=Acquisition!$C$21,V20*(BL$213*(1+$D$3)^$H$4),0)))</f>
        <v>0</v>
      </c>
      <c r="BM217" s="822">
        <f>+IF($D20=Acquisition!$C$16,W20*BM$213,IF($D20=Acquisition!$C$20,W20*(BM$213*(1+$D$3)^$G$4),IF($D20=Acquisition!$C$21,W20*(BM$213*(1+$D$3)^$H$4),0)))</f>
        <v>0</v>
      </c>
      <c r="BN217" s="822">
        <f>+IF($D20=Acquisition!$C$16,X20*BN$213,IF($D20=Acquisition!$C$20,X20*(BN$213*(1+$D$3)^$G$4),IF($D20=Acquisition!$C$21,X20*(BN$213*(1+$D$3)^$H$4),0)))</f>
        <v>0</v>
      </c>
      <c r="BO217" s="822">
        <f>+IF($D20=Acquisition!$C$16,Y20*BO$213,IF($D20=Acquisition!$C$20,Y20*(BO$213*(1+$D$3)^$G$4),IF($D20=Acquisition!$C$21,Y20*(BO$213*(1+$D$3)^$H$4),0)))</f>
        <v>0</v>
      </c>
      <c r="BP217" s="822">
        <f>+IF($D20=Acquisition!$C$16,Z20*BP$213,IF($D20=Acquisition!$C$20,Z20*(BP$213*(1+$D$3)^$G$4),IF($D20=Acquisition!$C$21,Z20*(BP$213*(1+$D$3)^$H$4),0)))</f>
        <v>0</v>
      </c>
      <c r="BQ217" s="822">
        <f>+IF($D20=Acquisition!$C$16,AA20*BQ$213,IF($D20=Acquisition!$C$20,AA20*(BQ$213*(1+$D$3)^$G$4),IF($D20=Acquisition!$C$21,AA20*(BQ$213*(1+$D$3)^$H$4),0)))</f>
        <v>0</v>
      </c>
      <c r="BR217" s="822">
        <f>+IF($D20=Acquisition!$C$16,AB20*BR$213,IF($D20=Acquisition!$C$20,AB20*(BR$213*(1+$D$3)^$G$4),IF($D20=Acquisition!$C$21,AB20*(BR$213*(1+$D$3)^$H$4),0)))</f>
        <v>0</v>
      </c>
      <c r="BS217" s="822">
        <f>+IF($D20=Acquisition!$C$16,AC20*BS$213,IF($D20=Acquisition!$C$20,AC20*(BS$213*(1+$D$3)^$G$4),IF($D20=Acquisition!$C$21,AC20*(BS$213*(1+$D$3)^$H$4),0)))</f>
        <v>0</v>
      </c>
      <c r="BT217" s="822">
        <f>+IF($D20=Acquisition!$C$16,AD20*BT$213,IF($D20=Acquisition!$C$20,AD20*(BT$213*(1+$D$3)^$G$4),IF($D20=Acquisition!$C$21,AD20*(BT$213*(1+$D$3)^$H$4),0)))</f>
        <v>0</v>
      </c>
      <c r="BU217" s="822">
        <f>+IF($D20=Acquisition!$C$16,AE20*BU$213,IF($D20=Acquisition!$C$20,AE20*(BU$213*(1+$D$3)^$G$4),IF($D20=Acquisition!$C$21,AE20*(BU$213*(1+$D$3)^$H$4),0)))</f>
        <v>0</v>
      </c>
      <c r="BV217" s="822">
        <f t="shared" si="81"/>
        <v>0</v>
      </c>
      <c r="BW217" s="822">
        <f t="shared" si="82"/>
        <v>0</v>
      </c>
      <c r="BX217" s="151"/>
    </row>
    <row r="218" spans="54:76">
      <c r="BB218" s="151"/>
      <c r="BC218" s="151"/>
      <c r="BD218" s="151"/>
      <c r="BE218" s="822">
        <f>+IF($D21=Acquisition!$C$16,O21*BE$213,IF($D21=Acquisition!$C$20,O21*(BE$213*(1+$D$3)^$G$4),IF($D21=Acquisition!$C$21,O21*(BE$213*(1+$D$3)^$H$4),0)))</f>
        <v>0</v>
      </c>
      <c r="BF218" s="822">
        <f>+IF($D21=Acquisition!$C$16,P21*BF$213,IF($D21=Acquisition!$C$20,P21*(BF$213*(1+$D$3)^$G$4),IF($D21=Acquisition!$C$21,P21*(BF$213*(1+$D$3)^$H$4),0)))</f>
        <v>0</v>
      </c>
      <c r="BG218" s="822">
        <f>+IF($D21=Acquisition!$C$16,Q21*BG$213,IF($D21=Acquisition!$C$20,Q21*(BG$213*(1+$D$3)^$G$4),IF($D21=Acquisition!$C$21,Q21*(BG$213*(1+$D$3)^$H$4),0)))</f>
        <v>0</v>
      </c>
      <c r="BH218" s="822">
        <f>+IF($D21=Acquisition!$C$16,R21*BH$213,IF($D21=Acquisition!$C$20,R21*(BH$213*(1+$D$3)^$G$4),IF($D21=Acquisition!$C$21,R21*(BH$213*(1+$D$3)^$H$4),0)))</f>
        <v>0</v>
      </c>
      <c r="BI218" s="822">
        <f>+IF($D21=Acquisition!$C$16,S21*BI$213,IF($D21=Acquisition!$C$20,S21*(BI$213*(1+$D$3)^$G$4),IF($D21=Acquisition!$C$21,S21*(BI$213*(1+$D$3)^$H$4),0)))</f>
        <v>0</v>
      </c>
      <c r="BJ218" s="822">
        <f>+IF($D21=Acquisition!$C$16,T21*BJ$213,IF($D21=Acquisition!$C$20,T21*(BJ$213*(1+$D$3)^$G$4),IF($D21=Acquisition!$C$21,T21*(BJ$213*(1+$D$3)^$H$4),0)))</f>
        <v>0</v>
      </c>
      <c r="BK218" s="822">
        <f>+IF($D21=Acquisition!$C$16,U21*BK$213,IF($D21=Acquisition!$C$20,U21*(BK$213*(1+$D$3)^$G$4),IF($D21=Acquisition!$C$21,U21*(BK$213*(1+$D$3)^$H$4),0)))</f>
        <v>0</v>
      </c>
      <c r="BL218" s="822">
        <f>+IF($D21=Acquisition!$C$16,V21*BL$213,IF($D21=Acquisition!$C$20,V21*(BL$213*(1+$D$3)^$G$4),IF($D21=Acquisition!$C$21,V21*(BL$213*(1+$D$3)^$H$4),0)))</f>
        <v>0</v>
      </c>
      <c r="BM218" s="822">
        <f>+IF($D21=Acquisition!$C$16,W21*BM$213,IF($D21=Acquisition!$C$20,W21*(BM$213*(1+$D$3)^$G$4),IF($D21=Acquisition!$C$21,W21*(BM$213*(1+$D$3)^$H$4),0)))</f>
        <v>0</v>
      </c>
      <c r="BN218" s="822">
        <f>+IF($D21=Acquisition!$C$16,X21*BN$213,IF($D21=Acquisition!$C$20,X21*(BN$213*(1+$D$3)^$G$4),IF($D21=Acquisition!$C$21,X21*(BN$213*(1+$D$3)^$H$4),0)))</f>
        <v>0</v>
      </c>
      <c r="BO218" s="822">
        <f>+IF($D21=Acquisition!$C$16,Y21*BO$213,IF($D21=Acquisition!$C$20,Y21*(BO$213*(1+$D$3)^$G$4),IF($D21=Acquisition!$C$21,Y21*(BO$213*(1+$D$3)^$H$4),0)))</f>
        <v>0</v>
      </c>
      <c r="BP218" s="822">
        <f>+IF($D21=Acquisition!$C$16,Z21*BP$213,IF($D21=Acquisition!$C$20,Z21*(BP$213*(1+$D$3)^$G$4),IF($D21=Acquisition!$C$21,Z21*(BP$213*(1+$D$3)^$H$4),0)))</f>
        <v>0</v>
      </c>
      <c r="BQ218" s="822">
        <f>+IF($D21=Acquisition!$C$16,AA21*BQ$213,IF($D21=Acquisition!$C$20,AA21*(BQ$213*(1+$D$3)^$G$4),IF($D21=Acquisition!$C$21,AA21*(BQ$213*(1+$D$3)^$H$4),0)))</f>
        <v>0</v>
      </c>
      <c r="BR218" s="822">
        <f>+IF($D21=Acquisition!$C$16,AB21*BR$213,IF($D21=Acquisition!$C$20,AB21*(BR$213*(1+$D$3)^$G$4),IF($D21=Acquisition!$C$21,AB21*(BR$213*(1+$D$3)^$H$4),0)))</f>
        <v>0</v>
      </c>
      <c r="BS218" s="822">
        <f>+IF($D21=Acquisition!$C$16,AC21*BS$213,IF($D21=Acquisition!$C$20,AC21*(BS$213*(1+$D$3)^$G$4),IF($D21=Acquisition!$C$21,AC21*(BS$213*(1+$D$3)^$H$4),0)))</f>
        <v>0</v>
      </c>
      <c r="BT218" s="822">
        <f>+IF($D21=Acquisition!$C$16,AD21*BT$213,IF($D21=Acquisition!$C$20,AD21*(BT$213*(1+$D$3)^$G$4),IF($D21=Acquisition!$C$21,AD21*(BT$213*(1+$D$3)^$H$4),0)))</f>
        <v>0</v>
      </c>
      <c r="BU218" s="822">
        <f>+IF($D21=Acquisition!$C$16,AE21*BU$213,IF($D21=Acquisition!$C$20,AE21*(BU$213*(1+$D$3)^$G$4),IF($D21=Acquisition!$C$21,AE21*(BU$213*(1+$D$3)^$H$4),0)))</f>
        <v>0</v>
      </c>
      <c r="BV218" s="822">
        <f t="shared" si="81"/>
        <v>0</v>
      </c>
      <c r="BW218" s="822">
        <f t="shared" si="82"/>
        <v>0</v>
      </c>
      <c r="BX218" s="151"/>
    </row>
    <row r="219" spans="54:76">
      <c r="BB219" s="151"/>
      <c r="BC219" s="151"/>
      <c r="BD219" s="151"/>
      <c r="BE219" s="822">
        <f>+IF($D22=Acquisition!$C$16,O22*BE$213,IF($D22=Acquisition!$C$20,O22*(BE$213*(1+$D$3)^$G$4),IF($D22=Acquisition!$C$21,O22*(BE$213*(1+$D$3)^$H$4),0)))</f>
        <v>0</v>
      </c>
      <c r="BF219" s="822">
        <f>+IF($D22=Acquisition!$C$16,P22*BF$213,IF($D22=Acquisition!$C$20,P22*(BF$213*(1+$D$3)^$G$4),IF($D22=Acquisition!$C$21,P22*(BF$213*(1+$D$3)^$H$4),0)))</f>
        <v>0</v>
      </c>
      <c r="BG219" s="822">
        <f>+IF($D22=Acquisition!$C$16,Q22*BG$213,IF($D22=Acquisition!$C$20,Q22*(BG$213*(1+$D$3)^$G$4),IF($D22=Acquisition!$C$21,Q22*(BG$213*(1+$D$3)^$H$4),0)))</f>
        <v>0</v>
      </c>
      <c r="BH219" s="822">
        <f>+IF($D22=Acquisition!$C$16,R22*BH$213,IF($D22=Acquisition!$C$20,R22*(BH$213*(1+$D$3)^$G$4),IF($D22=Acquisition!$C$21,R22*(BH$213*(1+$D$3)^$H$4),0)))</f>
        <v>0</v>
      </c>
      <c r="BI219" s="822">
        <f>+IF($D22=Acquisition!$C$16,S22*BI$213,IF($D22=Acquisition!$C$20,S22*(BI$213*(1+$D$3)^$G$4),IF($D22=Acquisition!$C$21,S22*(BI$213*(1+$D$3)^$H$4),0)))</f>
        <v>0</v>
      </c>
      <c r="BJ219" s="822">
        <f>+IF($D22=Acquisition!$C$16,T22*BJ$213,IF($D22=Acquisition!$C$20,T22*(BJ$213*(1+$D$3)^$G$4),IF($D22=Acquisition!$C$21,T22*(BJ$213*(1+$D$3)^$H$4),0)))</f>
        <v>0</v>
      </c>
      <c r="BK219" s="822">
        <f>+IF($D22=Acquisition!$C$16,U22*BK$213,IF($D22=Acquisition!$C$20,U22*(BK$213*(1+$D$3)^$G$4),IF($D22=Acquisition!$C$21,U22*(BK$213*(1+$D$3)^$H$4),0)))</f>
        <v>0</v>
      </c>
      <c r="BL219" s="822">
        <f>+IF($D22=Acquisition!$C$16,V22*BL$213,IF($D22=Acquisition!$C$20,V22*(BL$213*(1+$D$3)^$G$4),IF($D22=Acquisition!$C$21,V22*(BL$213*(1+$D$3)^$H$4),0)))</f>
        <v>0</v>
      </c>
      <c r="BM219" s="822">
        <f>+IF($D22=Acquisition!$C$16,W22*BM$213,IF($D22=Acquisition!$C$20,W22*(BM$213*(1+$D$3)^$G$4),IF($D22=Acquisition!$C$21,W22*(BM$213*(1+$D$3)^$H$4),0)))</f>
        <v>0</v>
      </c>
      <c r="BN219" s="822">
        <f>+IF($D22=Acquisition!$C$16,X22*BN$213,IF($D22=Acquisition!$C$20,X22*(BN$213*(1+$D$3)^$G$4),IF($D22=Acquisition!$C$21,X22*(BN$213*(1+$D$3)^$H$4),0)))</f>
        <v>0</v>
      </c>
      <c r="BO219" s="822">
        <f>+IF($D22=Acquisition!$C$16,Y22*BO$213,IF($D22=Acquisition!$C$20,Y22*(BO$213*(1+$D$3)^$G$4),IF($D22=Acquisition!$C$21,Y22*(BO$213*(1+$D$3)^$H$4),0)))</f>
        <v>0</v>
      </c>
      <c r="BP219" s="822">
        <f>+IF($D22=Acquisition!$C$16,Z22*BP$213,IF($D22=Acquisition!$C$20,Z22*(BP$213*(1+$D$3)^$G$4),IF($D22=Acquisition!$C$21,Z22*(BP$213*(1+$D$3)^$H$4),0)))</f>
        <v>0</v>
      </c>
      <c r="BQ219" s="822">
        <f>+IF($D22=Acquisition!$C$16,AA22*BQ$213,IF($D22=Acquisition!$C$20,AA22*(BQ$213*(1+$D$3)^$G$4),IF($D22=Acquisition!$C$21,AA22*(BQ$213*(1+$D$3)^$H$4),0)))</f>
        <v>0</v>
      </c>
      <c r="BR219" s="822">
        <f>+IF($D22=Acquisition!$C$16,AB22*BR$213,IF($D22=Acquisition!$C$20,AB22*(BR$213*(1+$D$3)^$G$4),IF($D22=Acquisition!$C$21,AB22*(BR$213*(1+$D$3)^$H$4),0)))</f>
        <v>0</v>
      </c>
      <c r="BS219" s="822">
        <f>+IF($D22=Acquisition!$C$16,AC22*BS$213,IF($D22=Acquisition!$C$20,AC22*(BS$213*(1+$D$3)^$G$4),IF($D22=Acquisition!$C$21,AC22*(BS$213*(1+$D$3)^$H$4),0)))</f>
        <v>0</v>
      </c>
      <c r="BT219" s="822">
        <f>+IF($D22=Acquisition!$C$16,AD22*BT$213,IF($D22=Acquisition!$C$20,AD22*(BT$213*(1+$D$3)^$G$4),IF($D22=Acquisition!$C$21,AD22*(BT$213*(1+$D$3)^$H$4),0)))</f>
        <v>0</v>
      </c>
      <c r="BU219" s="822">
        <f>+IF($D22=Acquisition!$C$16,AE22*BU$213,IF($D22=Acquisition!$C$20,AE22*(BU$213*(1+$D$3)^$G$4),IF($D22=Acquisition!$C$21,AE22*(BU$213*(1+$D$3)^$H$4),0)))</f>
        <v>0</v>
      </c>
      <c r="BV219" s="822">
        <f t="shared" si="81"/>
        <v>0</v>
      </c>
      <c r="BW219" s="822">
        <f t="shared" si="82"/>
        <v>0</v>
      </c>
      <c r="BX219" s="151"/>
    </row>
    <row r="220" spans="54:76">
      <c r="BB220" s="151"/>
      <c r="BC220" s="151"/>
      <c r="BD220" s="151"/>
      <c r="BE220" s="822">
        <f>+IF($D23=Acquisition!$C$16,O23*BE$213,IF($D23=Acquisition!$C$20,O23*(BE$213*(1+$D$3)^$G$4),IF($D23=Acquisition!$C$21,O23*(BE$213*(1+$D$3)^$H$4),0)))</f>
        <v>0</v>
      </c>
      <c r="BF220" s="822">
        <f>+IF($D23=Acquisition!$C$16,P23*BF$213,IF($D23=Acquisition!$C$20,P23*(BF$213*(1+$D$3)^$G$4),IF($D23=Acquisition!$C$21,P23*(BF$213*(1+$D$3)^$H$4),0)))</f>
        <v>0</v>
      </c>
      <c r="BG220" s="822">
        <f>+IF($D23=Acquisition!$C$16,Q23*BG$213,IF($D23=Acquisition!$C$20,Q23*(BG$213*(1+$D$3)^$G$4),IF($D23=Acquisition!$C$21,Q23*(BG$213*(1+$D$3)^$H$4),0)))</f>
        <v>0</v>
      </c>
      <c r="BH220" s="822">
        <f>+IF($D23=Acquisition!$C$16,R23*BH$213,IF($D23=Acquisition!$C$20,R23*(BH$213*(1+$D$3)^$G$4),IF($D23=Acquisition!$C$21,R23*(BH$213*(1+$D$3)^$H$4),0)))</f>
        <v>0</v>
      </c>
      <c r="BI220" s="822">
        <f>+IF($D23=Acquisition!$C$16,S23*BI$213,IF($D23=Acquisition!$C$20,S23*(BI$213*(1+$D$3)^$G$4),IF($D23=Acquisition!$C$21,S23*(BI$213*(1+$D$3)^$H$4),0)))</f>
        <v>0</v>
      </c>
      <c r="BJ220" s="822">
        <f>+IF($D23=Acquisition!$C$16,T23*BJ$213,IF($D23=Acquisition!$C$20,T23*(BJ$213*(1+$D$3)^$G$4),IF($D23=Acquisition!$C$21,T23*(BJ$213*(1+$D$3)^$H$4),0)))</f>
        <v>0</v>
      </c>
      <c r="BK220" s="822">
        <f>+IF($D23=Acquisition!$C$16,U23*BK$213,IF($D23=Acquisition!$C$20,U23*(BK$213*(1+$D$3)^$G$4),IF($D23=Acquisition!$C$21,U23*(BK$213*(1+$D$3)^$H$4),0)))</f>
        <v>0</v>
      </c>
      <c r="BL220" s="822">
        <f>+IF($D23=Acquisition!$C$16,V23*BL$213,IF($D23=Acquisition!$C$20,V23*(BL$213*(1+$D$3)^$G$4),IF($D23=Acquisition!$C$21,V23*(BL$213*(1+$D$3)^$H$4),0)))</f>
        <v>0</v>
      </c>
      <c r="BM220" s="822">
        <f>+IF($D23=Acquisition!$C$16,W23*BM$213,IF($D23=Acquisition!$C$20,W23*(BM$213*(1+$D$3)^$G$4),IF($D23=Acquisition!$C$21,W23*(BM$213*(1+$D$3)^$H$4),0)))</f>
        <v>0</v>
      </c>
      <c r="BN220" s="822">
        <f>+IF($D23=Acquisition!$C$16,X23*BN$213,IF($D23=Acquisition!$C$20,X23*(BN$213*(1+$D$3)^$G$4),IF($D23=Acquisition!$C$21,X23*(BN$213*(1+$D$3)^$H$4),0)))</f>
        <v>0</v>
      </c>
      <c r="BO220" s="822">
        <f>+IF($D23=Acquisition!$C$16,Y23*BO$213,IF($D23=Acquisition!$C$20,Y23*(BO$213*(1+$D$3)^$G$4),IF($D23=Acquisition!$C$21,Y23*(BO$213*(1+$D$3)^$H$4),0)))</f>
        <v>0</v>
      </c>
      <c r="BP220" s="822">
        <f>+IF($D23=Acquisition!$C$16,Z23*BP$213,IF($D23=Acquisition!$C$20,Z23*(BP$213*(1+$D$3)^$G$4),IF($D23=Acquisition!$C$21,Z23*(BP$213*(1+$D$3)^$H$4),0)))</f>
        <v>0</v>
      </c>
      <c r="BQ220" s="822">
        <f>+IF($D23=Acquisition!$C$16,AA23*BQ$213,IF($D23=Acquisition!$C$20,AA23*(BQ$213*(1+$D$3)^$G$4),IF($D23=Acquisition!$C$21,AA23*(BQ$213*(1+$D$3)^$H$4),0)))</f>
        <v>0</v>
      </c>
      <c r="BR220" s="822">
        <f>+IF($D23=Acquisition!$C$16,AB23*BR$213,IF($D23=Acquisition!$C$20,AB23*(BR$213*(1+$D$3)^$G$4),IF($D23=Acquisition!$C$21,AB23*(BR$213*(1+$D$3)^$H$4),0)))</f>
        <v>0</v>
      </c>
      <c r="BS220" s="822">
        <f>+IF($D23=Acquisition!$C$16,AC23*BS$213,IF($D23=Acquisition!$C$20,AC23*(BS$213*(1+$D$3)^$G$4),IF($D23=Acquisition!$C$21,AC23*(BS$213*(1+$D$3)^$H$4),0)))</f>
        <v>0</v>
      </c>
      <c r="BT220" s="822">
        <f>+IF($D23=Acquisition!$C$16,AD23*BT$213,IF($D23=Acquisition!$C$20,AD23*(BT$213*(1+$D$3)^$G$4),IF($D23=Acquisition!$C$21,AD23*(BT$213*(1+$D$3)^$H$4),0)))</f>
        <v>0</v>
      </c>
      <c r="BU220" s="822">
        <f>+IF($D23=Acquisition!$C$16,AE23*BU$213,IF($D23=Acquisition!$C$20,AE23*(BU$213*(1+$D$3)^$G$4),IF($D23=Acquisition!$C$21,AE23*(BU$213*(1+$D$3)^$H$4),0)))</f>
        <v>0</v>
      </c>
      <c r="BV220" s="822">
        <f t="shared" si="81"/>
        <v>0</v>
      </c>
      <c r="BW220" s="822">
        <f t="shared" si="82"/>
        <v>0</v>
      </c>
      <c r="BX220" s="151"/>
    </row>
    <row r="221" spans="54:76">
      <c r="BB221" s="151"/>
      <c r="BC221" s="151"/>
      <c r="BD221" s="151"/>
      <c r="BE221" s="822">
        <f>+IF($D24=Acquisition!$C$16,O24*BE$213,IF($D24=Acquisition!$C$20,O24*(BE$213*(1+$D$3)^$G$4),IF($D24=Acquisition!$C$21,O24*(BE$213*(1+$D$3)^$H$4),0)))</f>
        <v>0</v>
      </c>
      <c r="BF221" s="822">
        <f>+IF($D24=Acquisition!$C$16,P24*BF$213,IF($D24=Acquisition!$C$20,P24*(BF$213*(1+$D$3)^$G$4),IF($D24=Acquisition!$C$21,P24*(BF$213*(1+$D$3)^$H$4),0)))</f>
        <v>0</v>
      </c>
      <c r="BG221" s="822">
        <f>+IF($D24=Acquisition!$C$16,Q24*BG$213,IF($D24=Acquisition!$C$20,Q24*(BG$213*(1+$D$3)^$G$4),IF($D24=Acquisition!$C$21,Q24*(BG$213*(1+$D$3)^$H$4),0)))</f>
        <v>0</v>
      </c>
      <c r="BH221" s="822">
        <f>+IF($D24=Acquisition!$C$16,R24*BH$213,IF($D24=Acquisition!$C$20,R24*(BH$213*(1+$D$3)^$G$4),IF($D24=Acquisition!$C$21,R24*(BH$213*(1+$D$3)^$H$4),0)))</f>
        <v>0</v>
      </c>
      <c r="BI221" s="822">
        <f>+IF($D24=Acquisition!$C$16,S24*BI$213,IF($D24=Acquisition!$C$20,S24*(BI$213*(1+$D$3)^$G$4),IF($D24=Acquisition!$C$21,S24*(BI$213*(1+$D$3)^$H$4),0)))</f>
        <v>0</v>
      </c>
      <c r="BJ221" s="822">
        <f>+IF($D24=Acquisition!$C$16,T24*BJ$213,IF($D24=Acquisition!$C$20,T24*(BJ$213*(1+$D$3)^$G$4),IF($D24=Acquisition!$C$21,T24*(BJ$213*(1+$D$3)^$H$4),0)))</f>
        <v>0</v>
      </c>
      <c r="BK221" s="822">
        <f>+IF($D24=Acquisition!$C$16,U24*BK$213,IF($D24=Acquisition!$C$20,U24*(BK$213*(1+$D$3)^$G$4),IF($D24=Acquisition!$C$21,U24*(BK$213*(1+$D$3)^$H$4),0)))</f>
        <v>0</v>
      </c>
      <c r="BL221" s="822">
        <f>+IF($D24=Acquisition!$C$16,V24*BL$213,IF($D24=Acquisition!$C$20,V24*(BL$213*(1+$D$3)^$G$4),IF($D24=Acquisition!$C$21,V24*(BL$213*(1+$D$3)^$H$4),0)))</f>
        <v>0</v>
      </c>
      <c r="BM221" s="822">
        <f>+IF($D24=Acquisition!$C$16,W24*BM$213,IF($D24=Acquisition!$C$20,W24*(BM$213*(1+$D$3)^$G$4),IF($D24=Acquisition!$C$21,W24*(BM$213*(1+$D$3)^$H$4),0)))</f>
        <v>0</v>
      </c>
      <c r="BN221" s="822">
        <f>+IF($D24=Acquisition!$C$16,X24*BN$213,IF($D24=Acquisition!$C$20,X24*(BN$213*(1+$D$3)^$G$4),IF($D24=Acquisition!$C$21,X24*(BN$213*(1+$D$3)^$H$4),0)))</f>
        <v>0</v>
      </c>
      <c r="BO221" s="822">
        <f>+IF($D24=Acquisition!$C$16,Y24*BO$213,IF($D24=Acquisition!$C$20,Y24*(BO$213*(1+$D$3)^$G$4),IF($D24=Acquisition!$C$21,Y24*(BO$213*(1+$D$3)^$H$4),0)))</f>
        <v>0</v>
      </c>
      <c r="BP221" s="822">
        <f>+IF($D24=Acquisition!$C$16,Z24*BP$213,IF($D24=Acquisition!$C$20,Z24*(BP$213*(1+$D$3)^$G$4),IF($D24=Acquisition!$C$21,Z24*(BP$213*(1+$D$3)^$H$4),0)))</f>
        <v>0</v>
      </c>
      <c r="BQ221" s="822">
        <f>+IF($D24=Acquisition!$C$16,AA24*BQ$213,IF($D24=Acquisition!$C$20,AA24*(BQ$213*(1+$D$3)^$G$4),IF($D24=Acquisition!$C$21,AA24*(BQ$213*(1+$D$3)^$H$4),0)))</f>
        <v>0</v>
      </c>
      <c r="BR221" s="822">
        <f>+IF($D24=Acquisition!$C$16,AB24*BR$213,IF($D24=Acquisition!$C$20,AB24*(BR$213*(1+$D$3)^$G$4),IF($D24=Acquisition!$C$21,AB24*(BR$213*(1+$D$3)^$H$4),0)))</f>
        <v>0</v>
      </c>
      <c r="BS221" s="822">
        <f>+IF($D24=Acquisition!$C$16,AC24*BS$213,IF($D24=Acquisition!$C$20,AC24*(BS$213*(1+$D$3)^$G$4),IF($D24=Acquisition!$C$21,AC24*(BS$213*(1+$D$3)^$H$4),0)))</f>
        <v>0</v>
      </c>
      <c r="BT221" s="822">
        <f>+IF($D24=Acquisition!$C$16,AD24*BT$213,IF($D24=Acquisition!$C$20,AD24*(BT$213*(1+$D$3)^$G$4),IF($D24=Acquisition!$C$21,AD24*(BT$213*(1+$D$3)^$H$4),0)))</f>
        <v>0</v>
      </c>
      <c r="BU221" s="822">
        <f>+IF($D24=Acquisition!$C$16,AE24*BU$213,IF($D24=Acquisition!$C$20,AE24*(BU$213*(1+$D$3)^$G$4),IF($D24=Acquisition!$C$21,AE24*(BU$213*(1+$D$3)^$H$4),0)))</f>
        <v>0</v>
      </c>
      <c r="BV221" s="822">
        <f t="shared" si="81"/>
        <v>0</v>
      </c>
      <c r="BW221" s="822">
        <f t="shared" si="82"/>
        <v>0</v>
      </c>
      <c r="BX221" s="151"/>
    </row>
    <row r="222" spans="54:76">
      <c r="BB222" s="151"/>
      <c r="BC222" s="151"/>
      <c r="BD222" s="151"/>
      <c r="BE222" s="822">
        <f>+IF($D25=Acquisition!$C$16,O25*BE$213,IF($D25=Acquisition!$C$20,O25*(BE$213*(1+$D$3)^$G$4),IF($D25=Acquisition!$C$21,O25*(BE$213*(1+$D$3)^$H$4),0)))</f>
        <v>0</v>
      </c>
      <c r="BF222" s="822">
        <f>+IF($D25=Acquisition!$C$16,P25*BF$213,IF($D25=Acquisition!$C$20,P25*(BF$213*(1+$D$3)^$G$4),IF($D25=Acquisition!$C$21,P25*(BF$213*(1+$D$3)^$H$4),0)))</f>
        <v>0</v>
      </c>
      <c r="BG222" s="822">
        <f>+IF($D25=Acquisition!$C$16,Q25*BG$213,IF($D25=Acquisition!$C$20,Q25*(BG$213*(1+$D$3)^$G$4),IF($D25=Acquisition!$C$21,Q25*(BG$213*(1+$D$3)^$H$4),0)))</f>
        <v>0</v>
      </c>
      <c r="BH222" s="822">
        <f>+IF($D25=Acquisition!$C$16,R25*BH$213,IF($D25=Acquisition!$C$20,R25*(BH$213*(1+$D$3)^$G$4),IF($D25=Acquisition!$C$21,R25*(BH$213*(1+$D$3)^$H$4),0)))</f>
        <v>0</v>
      </c>
      <c r="BI222" s="822">
        <f>+IF($D25=Acquisition!$C$16,S25*BI$213,IF($D25=Acquisition!$C$20,S25*(BI$213*(1+$D$3)^$G$4),IF($D25=Acquisition!$C$21,S25*(BI$213*(1+$D$3)^$H$4),0)))</f>
        <v>0</v>
      </c>
      <c r="BJ222" s="822">
        <f>+IF($D25=Acquisition!$C$16,T25*BJ$213,IF($D25=Acquisition!$C$20,T25*(BJ$213*(1+$D$3)^$G$4),IF($D25=Acquisition!$C$21,T25*(BJ$213*(1+$D$3)^$H$4),0)))</f>
        <v>0</v>
      </c>
      <c r="BK222" s="822">
        <f>+IF($D25=Acquisition!$C$16,U25*BK$213,IF($D25=Acquisition!$C$20,U25*(BK$213*(1+$D$3)^$G$4),IF($D25=Acquisition!$C$21,U25*(BK$213*(1+$D$3)^$H$4),0)))</f>
        <v>0</v>
      </c>
      <c r="BL222" s="822">
        <f>+IF($D25=Acquisition!$C$16,V25*BL$213,IF($D25=Acquisition!$C$20,V25*(BL$213*(1+$D$3)^$G$4),IF($D25=Acquisition!$C$21,V25*(BL$213*(1+$D$3)^$H$4),0)))</f>
        <v>0</v>
      </c>
      <c r="BM222" s="822">
        <f>+IF($D25=Acquisition!$C$16,W25*BM$213,IF($D25=Acquisition!$C$20,W25*(BM$213*(1+$D$3)^$G$4),IF($D25=Acquisition!$C$21,W25*(BM$213*(1+$D$3)^$H$4),0)))</f>
        <v>0</v>
      </c>
      <c r="BN222" s="822">
        <f>+IF($D25=Acquisition!$C$16,X25*BN$213,IF($D25=Acquisition!$C$20,X25*(BN$213*(1+$D$3)^$G$4),IF($D25=Acquisition!$C$21,X25*(BN$213*(1+$D$3)^$H$4),0)))</f>
        <v>0</v>
      </c>
      <c r="BO222" s="822">
        <f>+IF($D25=Acquisition!$C$16,Y25*BO$213,IF($D25=Acquisition!$C$20,Y25*(BO$213*(1+$D$3)^$G$4),IF($D25=Acquisition!$C$21,Y25*(BO$213*(1+$D$3)^$H$4),0)))</f>
        <v>0</v>
      </c>
      <c r="BP222" s="822">
        <f>+IF($D25=Acquisition!$C$16,Z25*BP$213,IF($D25=Acquisition!$C$20,Z25*(BP$213*(1+$D$3)^$G$4),IF($D25=Acquisition!$C$21,Z25*(BP$213*(1+$D$3)^$H$4),0)))</f>
        <v>0</v>
      </c>
      <c r="BQ222" s="822">
        <f>+IF($D25=Acquisition!$C$16,AA25*BQ$213,IF($D25=Acquisition!$C$20,AA25*(BQ$213*(1+$D$3)^$G$4),IF($D25=Acquisition!$C$21,AA25*(BQ$213*(1+$D$3)^$H$4),0)))</f>
        <v>0</v>
      </c>
      <c r="BR222" s="822">
        <f>+IF($D25=Acquisition!$C$16,AB25*BR$213,IF($D25=Acquisition!$C$20,AB25*(BR$213*(1+$D$3)^$G$4),IF($D25=Acquisition!$C$21,AB25*(BR$213*(1+$D$3)^$H$4),0)))</f>
        <v>0</v>
      </c>
      <c r="BS222" s="822">
        <f>+IF($D25=Acquisition!$C$16,AC25*BS$213,IF($D25=Acquisition!$C$20,AC25*(BS$213*(1+$D$3)^$G$4),IF($D25=Acquisition!$C$21,AC25*(BS$213*(1+$D$3)^$H$4),0)))</f>
        <v>0</v>
      </c>
      <c r="BT222" s="822">
        <f>+IF($D25=Acquisition!$C$16,AD25*BT$213,IF($D25=Acquisition!$C$20,AD25*(BT$213*(1+$D$3)^$G$4),IF($D25=Acquisition!$C$21,AD25*(BT$213*(1+$D$3)^$H$4),0)))</f>
        <v>0</v>
      </c>
      <c r="BU222" s="822">
        <f>+IF($D25=Acquisition!$C$16,AE25*BU$213,IF($D25=Acquisition!$C$20,AE25*(BU$213*(1+$D$3)^$G$4),IF($D25=Acquisition!$C$21,AE25*(BU$213*(1+$D$3)^$H$4),0)))</f>
        <v>0</v>
      </c>
      <c r="BV222" s="822">
        <f t="shared" si="81"/>
        <v>0</v>
      </c>
      <c r="BW222" s="822">
        <f t="shared" si="82"/>
        <v>0</v>
      </c>
      <c r="BX222" s="151"/>
    </row>
    <row r="223" spans="54:76">
      <c r="BB223" s="151"/>
      <c r="BC223" s="151"/>
      <c r="BD223" s="151"/>
      <c r="BE223" s="822">
        <f>+IF($D26=Acquisition!$C$16,O26*BE$213,IF($D26=Acquisition!$C$20,O26*(BE$213*(1+$D$3)^$G$4),IF($D26=Acquisition!$C$21,O26*(BE$213*(1+$D$3)^$H$4),0)))</f>
        <v>0</v>
      </c>
      <c r="BF223" s="822">
        <f>+IF($D26=Acquisition!$C$16,P26*BF$213,IF($D26=Acquisition!$C$20,P26*(BF$213*(1+$D$3)^$G$4),IF($D26=Acquisition!$C$21,P26*(BF$213*(1+$D$3)^$H$4),0)))</f>
        <v>0</v>
      </c>
      <c r="BG223" s="822">
        <f>+IF($D26=Acquisition!$C$16,Q26*BG$213,IF($D26=Acquisition!$C$20,Q26*(BG$213*(1+$D$3)^$G$4),IF($D26=Acquisition!$C$21,Q26*(BG$213*(1+$D$3)^$H$4),0)))</f>
        <v>0</v>
      </c>
      <c r="BH223" s="822">
        <f>+IF($D26=Acquisition!$C$16,R26*BH$213,IF($D26=Acquisition!$C$20,R26*(BH$213*(1+$D$3)^$G$4),IF($D26=Acquisition!$C$21,R26*(BH$213*(1+$D$3)^$H$4),0)))</f>
        <v>0</v>
      </c>
      <c r="BI223" s="822">
        <f>+IF($D26=Acquisition!$C$16,S26*BI$213,IF($D26=Acquisition!$C$20,S26*(BI$213*(1+$D$3)^$G$4),IF($D26=Acquisition!$C$21,S26*(BI$213*(1+$D$3)^$H$4),0)))</f>
        <v>0</v>
      </c>
      <c r="BJ223" s="822">
        <f>+IF($D26=Acquisition!$C$16,T26*BJ$213,IF($D26=Acquisition!$C$20,T26*(BJ$213*(1+$D$3)^$G$4),IF($D26=Acquisition!$C$21,T26*(BJ$213*(1+$D$3)^$H$4),0)))</f>
        <v>0</v>
      </c>
      <c r="BK223" s="822">
        <f>+IF($D26=Acquisition!$C$16,U26*BK$213,IF($D26=Acquisition!$C$20,U26*(BK$213*(1+$D$3)^$G$4),IF($D26=Acquisition!$C$21,U26*(BK$213*(1+$D$3)^$H$4),0)))</f>
        <v>0</v>
      </c>
      <c r="BL223" s="822">
        <f>+IF($D26=Acquisition!$C$16,V26*BL$213,IF($D26=Acquisition!$C$20,V26*(BL$213*(1+$D$3)^$G$4),IF($D26=Acquisition!$C$21,V26*(BL$213*(1+$D$3)^$H$4),0)))</f>
        <v>0</v>
      </c>
      <c r="BM223" s="822">
        <f>+IF($D26=Acquisition!$C$16,W26*BM$213,IF($D26=Acquisition!$C$20,W26*(BM$213*(1+$D$3)^$G$4),IF($D26=Acquisition!$C$21,W26*(BM$213*(1+$D$3)^$H$4),0)))</f>
        <v>0</v>
      </c>
      <c r="BN223" s="822">
        <f>+IF($D26=Acquisition!$C$16,X26*BN$213,IF($D26=Acquisition!$C$20,X26*(BN$213*(1+$D$3)^$G$4),IF($D26=Acquisition!$C$21,X26*(BN$213*(1+$D$3)^$H$4),0)))</f>
        <v>0</v>
      </c>
      <c r="BO223" s="822">
        <f>+IF($D26=Acquisition!$C$16,Y26*BO$213,IF($D26=Acquisition!$C$20,Y26*(BO$213*(1+$D$3)^$G$4),IF($D26=Acquisition!$C$21,Y26*(BO$213*(1+$D$3)^$H$4),0)))</f>
        <v>0</v>
      </c>
      <c r="BP223" s="822">
        <f>+IF($D26=Acquisition!$C$16,Z26*BP$213,IF($D26=Acquisition!$C$20,Z26*(BP$213*(1+$D$3)^$G$4),IF($D26=Acquisition!$C$21,Z26*(BP$213*(1+$D$3)^$H$4),0)))</f>
        <v>0</v>
      </c>
      <c r="BQ223" s="822">
        <f>+IF($D26=Acquisition!$C$16,AA26*BQ$213,IF($D26=Acquisition!$C$20,AA26*(BQ$213*(1+$D$3)^$G$4),IF($D26=Acquisition!$C$21,AA26*(BQ$213*(1+$D$3)^$H$4),0)))</f>
        <v>0</v>
      </c>
      <c r="BR223" s="822">
        <f>+IF($D26=Acquisition!$C$16,AB26*BR$213,IF($D26=Acquisition!$C$20,AB26*(BR$213*(1+$D$3)^$G$4),IF($D26=Acquisition!$C$21,AB26*(BR$213*(1+$D$3)^$H$4),0)))</f>
        <v>0</v>
      </c>
      <c r="BS223" s="822">
        <f>+IF($D26=Acquisition!$C$16,AC26*BS$213,IF($D26=Acquisition!$C$20,AC26*(BS$213*(1+$D$3)^$G$4),IF($D26=Acquisition!$C$21,AC26*(BS$213*(1+$D$3)^$H$4),0)))</f>
        <v>0</v>
      </c>
      <c r="BT223" s="822">
        <f>+IF($D26=Acquisition!$C$16,AD26*BT$213,IF($D26=Acquisition!$C$20,AD26*(BT$213*(1+$D$3)^$G$4),IF($D26=Acquisition!$C$21,AD26*(BT$213*(1+$D$3)^$H$4),0)))</f>
        <v>0</v>
      </c>
      <c r="BU223" s="822">
        <f>+IF($D26=Acquisition!$C$16,AE26*BU$213,IF($D26=Acquisition!$C$20,AE26*(BU$213*(1+$D$3)^$G$4),IF($D26=Acquisition!$C$21,AE26*(BU$213*(1+$D$3)^$H$4),0)))</f>
        <v>0</v>
      </c>
      <c r="BV223" s="822">
        <f t="shared" si="81"/>
        <v>0</v>
      </c>
      <c r="BW223" s="822">
        <f t="shared" si="82"/>
        <v>0</v>
      </c>
      <c r="BX223" s="151"/>
    </row>
    <row r="224" spans="54:76">
      <c r="BB224" s="151"/>
      <c r="BC224" s="151"/>
      <c r="BD224" s="151"/>
      <c r="BE224" s="822">
        <f>+IF($D27=Acquisition!$C$16,O27*BE$213,IF($D27=Acquisition!$C$20,O27*(BE$213*(1+$D$3)^$G$4),IF($D27=Acquisition!$C$21,O27*(BE$213*(1+$D$3)^$H$4),0)))</f>
        <v>0</v>
      </c>
      <c r="BF224" s="822">
        <f>+IF($D27=Acquisition!$C$16,P27*BF$213,IF($D27=Acquisition!$C$20,P27*(BF$213*(1+$D$3)^$G$4),IF($D27=Acquisition!$C$21,P27*(BF$213*(1+$D$3)^$H$4),0)))</f>
        <v>0</v>
      </c>
      <c r="BG224" s="822">
        <f>+IF($D27=Acquisition!$C$16,Q27*BG$213,IF($D27=Acquisition!$C$20,Q27*(BG$213*(1+$D$3)^$G$4),IF($D27=Acquisition!$C$21,Q27*(BG$213*(1+$D$3)^$H$4),0)))</f>
        <v>0</v>
      </c>
      <c r="BH224" s="822">
        <f>+IF($D27=Acquisition!$C$16,R27*BH$213,IF($D27=Acquisition!$C$20,R27*(BH$213*(1+$D$3)^$G$4),IF($D27=Acquisition!$C$21,R27*(BH$213*(1+$D$3)^$H$4),0)))</f>
        <v>0</v>
      </c>
      <c r="BI224" s="822">
        <f>+IF($D27=Acquisition!$C$16,S27*BI$213,IF($D27=Acquisition!$C$20,S27*(BI$213*(1+$D$3)^$G$4),IF($D27=Acquisition!$C$21,S27*(BI$213*(1+$D$3)^$H$4),0)))</f>
        <v>0</v>
      </c>
      <c r="BJ224" s="822">
        <f>+IF($D27=Acquisition!$C$16,T27*BJ$213,IF($D27=Acquisition!$C$20,T27*(BJ$213*(1+$D$3)^$G$4),IF($D27=Acquisition!$C$21,T27*(BJ$213*(1+$D$3)^$H$4),0)))</f>
        <v>0</v>
      </c>
      <c r="BK224" s="822">
        <f>+IF($D27=Acquisition!$C$16,U27*BK$213,IF($D27=Acquisition!$C$20,U27*(BK$213*(1+$D$3)^$G$4),IF($D27=Acquisition!$C$21,U27*(BK$213*(1+$D$3)^$H$4),0)))</f>
        <v>0</v>
      </c>
      <c r="BL224" s="822">
        <f>+IF($D27=Acquisition!$C$16,V27*BL$213,IF($D27=Acquisition!$C$20,V27*(BL$213*(1+$D$3)^$G$4),IF($D27=Acquisition!$C$21,V27*(BL$213*(1+$D$3)^$H$4),0)))</f>
        <v>0</v>
      </c>
      <c r="BM224" s="822">
        <f>+IF($D27=Acquisition!$C$16,W27*BM$213,IF($D27=Acquisition!$C$20,W27*(BM$213*(1+$D$3)^$G$4),IF($D27=Acquisition!$C$21,W27*(BM$213*(1+$D$3)^$H$4),0)))</f>
        <v>0</v>
      </c>
      <c r="BN224" s="822">
        <f>+IF($D27=Acquisition!$C$16,X27*BN$213,IF($D27=Acquisition!$C$20,X27*(BN$213*(1+$D$3)^$G$4),IF($D27=Acquisition!$C$21,X27*(BN$213*(1+$D$3)^$H$4),0)))</f>
        <v>0</v>
      </c>
      <c r="BO224" s="822">
        <f>+IF($D27=Acquisition!$C$16,Y27*BO$213,IF($D27=Acquisition!$C$20,Y27*(BO$213*(1+$D$3)^$G$4),IF($D27=Acquisition!$C$21,Y27*(BO$213*(1+$D$3)^$H$4),0)))</f>
        <v>0</v>
      </c>
      <c r="BP224" s="822">
        <f>+IF($D27=Acquisition!$C$16,Z27*BP$213,IF($D27=Acquisition!$C$20,Z27*(BP$213*(1+$D$3)^$G$4),IF($D27=Acquisition!$C$21,Z27*(BP$213*(1+$D$3)^$H$4),0)))</f>
        <v>0</v>
      </c>
      <c r="BQ224" s="822">
        <f>+IF($D27=Acquisition!$C$16,AA27*BQ$213,IF($D27=Acquisition!$C$20,AA27*(BQ$213*(1+$D$3)^$G$4),IF($D27=Acquisition!$C$21,AA27*(BQ$213*(1+$D$3)^$H$4),0)))</f>
        <v>0</v>
      </c>
      <c r="BR224" s="822">
        <f>+IF($D27=Acquisition!$C$16,AB27*BR$213,IF($D27=Acquisition!$C$20,AB27*(BR$213*(1+$D$3)^$G$4),IF($D27=Acquisition!$C$21,AB27*(BR$213*(1+$D$3)^$H$4),0)))</f>
        <v>0</v>
      </c>
      <c r="BS224" s="822">
        <f>+IF($D27=Acquisition!$C$16,AC27*BS$213,IF($D27=Acquisition!$C$20,AC27*(BS$213*(1+$D$3)^$G$4),IF($D27=Acquisition!$C$21,AC27*(BS$213*(1+$D$3)^$H$4),0)))</f>
        <v>0</v>
      </c>
      <c r="BT224" s="822">
        <f>+IF($D27=Acquisition!$C$16,AD27*BT$213,IF($D27=Acquisition!$C$20,AD27*(BT$213*(1+$D$3)^$G$4),IF($D27=Acquisition!$C$21,AD27*(BT$213*(1+$D$3)^$H$4),0)))</f>
        <v>0</v>
      </c>
      <c r="BU224" s="822">
        <f>+IF($D27=Acquisition!$C$16,AE27*BU$213,IF($D27=Acquisition!$C$20,AE27*(BU$213*(1+$D$3)^$G$4),IF($D27=Acquisition!$C$21,AE27*(BU$213*(1+$D$3)^$H$4),0)))</f>
        <v>0</v>
      </c>
      <c r="BV224" s="822">
        <f t="shared" si="81"/>
        <v>0</v>
      </c>
      <c r="BW224" s="822">
        <f t="shared" si="82"/>
        <v>0</v>
      </c>
      <c r="BX224" s="151"/>
    </row>
    <row r="225" spans="54:76">
      <c r="BB225" s="151"/>
      <c r="BC225" s="151"/>
      <c r="BD225" s="151"/>
      <c r="BE225" s="822">
        <f>+IF($D28=Acquisition!$C$16,O28*BE$213,IF($D28=Acquisition!$C$20,O28*(BE$213*(1+$D$3)^$G$4),IF($D28=Acquisition!$C$21,O28*(BE$213*(1+$D$3)^$H$4),0)))</f>
        <v>0</v>
      </c>
      <c r="BF225" s="822">
        <f>+IF($D28=Acquisition!$C$16,P28*BF$213,IF($D28=Acquisition!$C$20,P28*(BF$213*(1+$D$3)^$G$4),IF($D28=Acquisition!$C$21,P28*(BF$213*(1+$D$3)^$H$4),0)))</f>
        <v>0</v>
      </c>
      <c r="BG225" s="822">
        <f>+IF($D28=Acquisition!$C$16,Q28*BG$213,IF($D28=Acquisition!$C$20,Q28*(BG$213*(1+$D$3)^$G$4),IF($D28=Acquisition!$C$21,Q28*(BG$213*(1+$D$3)^$H$4),0)))</f>
        <v>0</v>
      </c>
      <c r="BH225" s="822">
        <f>+IF($D28=Acquisition!$C$16,R28*BH$213,IF($D28=Acquisition!$C$20,R28*(BH$213*(1+$D$3)^$G$4),IF($D28=Acquisition!$C$21,R28*(BH$213*(1+$D$3)^$H$4),0)))</f>
        <v>0</v>
      </c>
      <c r="BI225" s="822">
        <f>+IF($D28=Acquisition!$C$16,S28*BI$213,IF($D28=Acquisition!$C$20,S28*(BI$213*(1+$D$3)^$G$4),IF($D28=Acquisition!$C$21,S28*(BI$213*(1+$D$3)^$H$4),0)))</f>
        <v>0</v>
      </c>
      <c r="BJ225" s="822">
        <f>+IF($D28=Acquisition!$C$16,T28*BJ$213,IF($D28=Acquisition!$C$20,T28*(BJ$213*(1+$D$3)^$G$4),IF($D28=Acquisition!$C$21,T28*(BJ$213*(1+$D$3)^$H$4),0)))</f>
        <v>0</v>
      </c>
      <c r="BK225" s="822">
        <f>+IF($D28=Acquisition!$C$16,U28*BK$213,IF($D28=Acquisition!$C$20,U28*(BK$213*(1+$D$3)^$G$4),IF($D28=Acquisition!$C$21,U28*(BK$213*(1+$D$3)^$H$4),0)))</f>
        <v>0</v>
      </c>
      <c r="BL225" s="822">
        <f>+IF($D28=Acquisition!$C$16,V28*BL$213,IF($D28=Acquisition!$C$20,V28*(BL$213*(1+$D$3)^$G$4),IF($D28=Acquisition!$C$21,V28*(BL$213*(1+$D$3)^$H$4),0)))</f>
        <v>0</v>
      </c>
      <c r="BM225" s="822">
        <f>+IF($D28=Acquisition!$C$16,W28*BM$213,IF($D28=Acquisition!$C$20,W28*(BM$213*(1+$D$3)^$G$4),IF($D28=Acquisition!$C$21,W28*(BM$213*(1+$D$3)^$H$4),0)))</f>
        <v>0</v>
      </c>
      <c r="BN225" s="822">
        <f>+IF($D28=Acquisition!$C$16,X28*BN$213,IF($D28=Acquisition!$C$20,X28*(BN$213*(1+$D$3)^$G$4),IF($D28=Acquisition!$C$21,X28*(BN$213*(1+$D$3)^$H$4),0)))</f>
        <v>0</v>
      </c>
      <c r="BO225" s="822">
        <f>+IF($D28=Acquisition!$C$16,Y28*BO$213,IF($D28=Acquisition!$C$20,Y28*(BO$213*(1+$D$3)^$G$4),IF($D28=Acquisition!$C$21,Y28*(BO$213*(1+$D$3)^$H$4),0)))</f>
        <v>0</v>
      </c>
      <c r="BP225" s="822">
        <f>+IF($D28=Acquisition!$C$16,Z28*BP$213,IF($D28=Acquisition!$C$20,Z28*(BP$213*(1+$D$3)^$G$4),IF($D28=Acquisition!$C$21,Z28*(BP$213*(1+$D$3)^$H$4),0)))</f>
        <v>0</v>
      </c>
      <c r="BQ225" s="822">
        <f>+IF($D28=Acquisition!$C$16,AA28*BQ$213,IF($D28=Acquisition!$C$20,AA28*(BQ$213*(1+$D$3)^$G$4),IF($D28=Acquisition!$C$21,AA28*(BQ$213*(1+$D$3)^$H$4),0)))</f>
        <v>0</v>
      </c>
      <c r="BR225" s="822">
        <f>+IF($D28=Acquisition!$C$16,AB28*BR$213,IF($D28=Acquisition!$C$20,AB28*(BR$213*(1+$D$3)^$G$4),IF($D28=Acquisition!$C$21,AB28*(BR$213*(1+$D$3)^$H$4),0)))</f>
        <v>0</v>
      </c>
      <c r="BS225" s="822">
        <f>+IF($D28=Acquisition!$C$16,AC28*BS$213,IF($D28=Acquisition!$C$20,AC28*(BS$213*(1+$D$3)^$G$4),IF($D28=Acquisition!$C$21,AC28*(BS$213*(1+$D$3)^$H$4),0)))</f>
        <v>0</v>
      </c>
      <c r="BT225" s="822">
        <f>+IF($D28=Acquisition!$C$16,AD28*BT$213,IF($D28=Acquisition!$C$20,AD28*(BT$213*(1+$D$3)^$G$4),IF($D28=Acquisition!$C$21,AD28*(BT$213*(1+$D$3)^$H$4),0)))</f>
        <v>0</v>
      </c>
      <c r="BU225" s="822">
        <f>+IF($D28=Acquisition!$C$16,AE28*BU$213,IF($D28=Acquisition!$C$20,AE28*(BU$213*(1+$D$3)^$G$4),IF($D28=Acquisition!$C$21,AE28*(BU$213*(1+$D$3)^$H$4),0)))</f>
        <v>0</v>
      </c>
      <c r="BV225" s="822">
        <f t="shared" ref="BV225:BV239" si="83">+IFERROR(SUM($BE225:$BS225)/$L28,"")</f>
        <v>0</v>
      </c>
      <c r="BW225" s="822">
        <f t="shared" ref="BW225:BW239" si="84">+IFERROR(SUM($BE225:$BQ225)/$L28,"")</f>
        <v>0</v>
      </c>
      <c r="BX225" s="151"/>
    </row>
    <row r="226" spans="54:76">
      <c r="BB226" s="151"/>
      <c r="BC226" s="151"/>
      <c r="BD226" s="151"/>
      <c r="BE226" s="822">
        <f>+IF($D29=Acquisition!$C$16,O29*BE$213,IF($D29=Acquisition!$C$20,O29*(BE$213*(1+$D$3)^$G$4),IF($D29=Acquisition!$C$21,O29*(BE$213*(1+$D$3)^$H$4),0)))</f>
        <v>0</v>
      </c>
      <c r="BF226" s="822">
        <f>+IF($D29=Acquisition!$C$16,P29*BF$213,IF($D29=Acquisition!$C$20,P29*(BF$213*(1+$D$3)^$G$4),IF($D29=Acquisition!$C$21,P29*(BF$213*(1+$D$3)^$H$4),0)))</f>
        <v>0</v>
      </c>
      <c r="BG226" s="822">
        <f>+IF($D29=Acquisition!$C$16,Q29*BG$213,IF($D29=Acquisition!$C$20,Q29*(BG$213*(1+$D$3)^$G$4),IF($D29=Acquisition!$C$21,Q29*(BG$213*(1+$D$3)^$H$4),0)))</f>
        <v>0</v>
      </c>
      <c r="BH226" s="822">
        <f>+IF($D29=Acquisition!$C$16,R29*BH$213,IF($D29=Acquisition!$C$20,R29*(BH$213*(1+$D$3)^$G$4),IF($D29=Acquisition!$C$21,R29*(BH$213*(1+$D$3)^$H$4),0)))</f>
        <v>0</v>
      </c>
      <c r="BI226" s="822">
        <f>+IF($D29=Acquisition!$C$16,S29*BI$213,IF($D29=Acquisition!$C$20,S29*(BI$213*(1+$D$3)^$G$4),IF($D29=Acquisition!$C$21,S29*(BI$213*(1+$D$3)^$H$4),0)))</f>
        <v>0</v>
      </c>
      <c r="BJ226" s="822">
        <f>+IF($D29=Acquisition!$C$16,T29*BJ$213,IF($D29=Acquisition!$C$20,T29*(BJ$213*(1+$D$3)^$G$4),IF($D29=Acquisition!$C$21,T29*(BJ$213*(1+$D$3)^$H$4),0)))</f>
        <v>0</v>
      </c>
      <c r="BK226" s="822">
        <f>+IF($D29=Acquisition!$C$16,U29*BK$213,IF($D29=Acquisition!$C$20,U29*(BK$213*(1+$D$3)^$G$4),IF($D29=Acquisition!$C$21,U29*(BK$213*(1+$D$3)^$H$4),0)))</f>
        <v>0</v>
      </c>
      <c r="BL226" s="822">
        <f>+IF($D29=Acquisition!$C$16,V29*BL$213,IF($D29=Acquisition!$C$20,V29*(BL$213*(1+$D$3)^$G$4),IF($D29=Acquisition!$C$21,V29*(BL$213*(1+$D$3)^$H$4),0)))</f>
        <v>0</v>
      </c>
      <c r="BM226" s="822">
        <f>+IF($D29=Acquisition!$C$16,W29*BM$213,IF($D29=Acquisition!$C$20,W29*(BM$213*(1+$D$3)^$G$4),IF($D29=Acquisition!$C$21,W29*(BM$213*(1+$D$3)^$H$4),0)))</f>
        <v>0</v>
      </c>
      <c r="BN226" s="822">
        <f>+IF($D29=Acquisition!$C$16,X29*BN$213,IF($D29=Acquisition!$C$20,X29*(BN$213*(1+$D$3)^$G$4),IF($D29=Acquisition!$C$21,X29*(BN$213*(1+$D$3)^$H$4),0)))</f>
        <v>0</v>
      </c>
      <c r="BO226" s="822">
        <f>+IF($D29=Acquisition!$C$16,Y29*BO$213,IF($D29=Acquisition!$C$20,Y29*(BO$213*(1+$D$3)^$G$4),IF($D29=Acquisition!$C$21,Y29*(BO$213*(1+$D$3)^$H$4),0)))</f>
        <v>0</v>
      </c>
      <c r="BP226" s="822">
        <f>+IF($D29=Acquisition!$C$16,Z29*BP$213,IF($D29=Acquisition!$C$20,Z29*(BP$213*(1+$D$3)^$G$4),IF($D29=Acquisition!$C$21,Z29*(BP$213*(1+$D$3)^$H$4),0)))</f>
        <v>0</v>
      </c>
      <c r="BQ226" s="822">
        <f>+IF($D29=Acquisition!$C$16,AA29*BQ$213,IF($D29=Acquisition!$C$20,AA29*(BQ$213*(1+$D$3)^$G$4),IF($D29=Acquisition!$C$21,AA29*(BQ$213*(1+$D$3)^$H$4),0)))</f>
        <v>0</v>
      </c>
      <c r="BR226" s="822">
        <f>+IF($D29=Acquisition!$C$16,AB29*BR$213,IF($D29=Acquisition!$C$20,AB29*(BR$213*(1+$D$3)^$G$4),IF($D29=Acquisition!$C$21,AB29*(BR$213*(1+$D$3)^$H$4),0)))</f>
        <v>0</v>
      </c>
      <c r="BS226" s="822">
        <f>+IF($D29=Acquisition!$C$16,AC29*BS$213,IF($D29=Acquisition!$C$20,AC29*(BS$213*(1+$D$3)^$G$4),IF($D29=Acquisition!$C$21,AC29*(BS$213*(1+$D$3)^$H$4),0)))</f>
        <v>0</v>
      </c>
      <c r="BT226" s="822">
        <f>+IF($D29=Acquisition!$C$16,AD29*BT$213,IF($D29=Acquisition!$C$20,AD29*(BT$213*(1+$D$3)^$G$4),IF($D29=Acquisition!$C$21,AD29*(BT$213*(1+$D$3)^$H$4),0)))</f>
        <v>0</v>
      </c>
      <c r="BU226" s="822">
        <f>+IF($D29=Acquisition!$C$16,AE29*BU$213,IF($D29=Acquisition!$C$20,AE29*(BU$213*(1+$D$3)^$G$4),IF($D29=Acquisition!$C$21,AE29*(BU$213*(1+$D$3)^$H$4),0)))</f>
        <v>0</v>
      </c>
      <c r="BV226" s="822" t="str">
        <f t="shared" si="83"/>
        <v/>
      </c>
      <c r="BW226" s="822" t="str">
        <f t="shared" si="84"/>
        <v/>
      </c>
      <c r="BX226" s="151"/>
    </row>
    <row r="227" spans="54:76">
      <c r="BB227" s="151"/>
      <c r="BC227" s="151"/>
      <c r="BD227" s="151"/>
      <c r="BE227" s="822">
        <f>+IF($D30=Acquisition!$C$16,O30*BE$213,IF($D30=Acquisition!$C$20,O30*(BE$213*(1+$D$3)^$G$4),IF($D30=Acquisition!$C$21,O30*(BE$213*(1+$D$3)^$H$4),0)))</f>
        <v>0</v>
      </c>
      <c r="BF227" s="822">
        <f>+IF($D30=Acquisition!$C$16,P30*BF$213,IF($D30=Acquisition!$C$20,P30*(BF$213*(1+$D$3)^$G$4),IF($D30=Acquisition!$C$21,P30*(BF$213*(1+$D$3)^$H$4),0)))</f>
        <v>0</v>
      </c>
      <c r="BG227" s="822">
        <f>+IF($D30=Acquisition!$C$16,Q30*BG$213,IF($D30=Acquisition!$C$20,Q30*(BG$213*(1+$D$3)^$G$4),IF($D30=Acquisition!$C$21,Q30*(BG$213*(1+$D$3)^$H$4),0)))</f>
        <v>0</v>
      </c>
      <c r="BH227" s="822">
        <f>+IF($D30=Acquisition!$C$16,R30*BH$213,IF($D30=Acquisition!$C$20,R30*(BH$213*(1+$D$3)^$G$4),IF($D30=Acquisition!$C$21,R30*(BH$213*(1+$D$3)^$H$4),0)))</f>
        <v>0</v>
      </c>
      <c r="BI227" s="822">
        <f>+IF($D30=Acquisition!$C$16,S30*BI$213,IF($D30=Acquisition!$C$20,S30*(BI$213*(1+$D$3)^$G$4),IF($D30=Acquisition!$C$21,S30*(BI$213*(1+$D$3)^$H$4),0)))</f>
        <v>0</v>
      </c>
      <c r="BJ227" s="822">
        <f>+IF($D30=Acquisition!$C$16,T30*BJ$213,IF($D30=Acquisition!$C$20,T30*(BJ$213*(1+$D$3)^$G$4),IF($D30=Acquisition!$C$21,T30*(BJ$213*(1+$D$3)^$H$4),0)))</f>
        <v>0</v>
      </c>
      <c r="BK227" s="822">
        <f>+IF($D30=Acquisition!$C$16,U30*BK$213,IF($D30=Acquisition!$C$20,U30*(BK$213*(1+$D$3)^$G$4),IF($D30=Acquisition!$C$21,U30*(BK$213*(1+$D$3)^$H$4),0)))</f>
        <v>0</v>
      </c>
      <c r="BL227" s="822">
        <f>+IF($D30=Acquisition!$C$16,V30*BL$213,IF($D30=Acquisition!$C$20,V30*(BL$213*(1+$D$3)^$G$4),IF($D30=Acquisition!$C$21,V30*(BL$213*(1+$D$3)^$H$4),0)))</f>
        <v>0</v>
      </c>
      <c r="BM227" s="822">
        <f>+IF($D30=Acquisition!$C$16,W30*BM$213,IF($D30=Acquisition!$C$20,W30*(BM$213*(1+$D$3)^$G$4),IF($D30=Acquisition!$C$21,W30*(BM$213*(1+$D$3)^$H$4),0)))</f>
        <v>0</v>
      </c>
      <c r="BN227" s="822">
        <f>+IF($D30=Acquisition!$C$16,X30*BN$213,IF($D30=Acquisition!$C$20,X30*(BN$213*(1+$D$3)^$G$4),IF($D30=Acquisition!$C$21,X30*(BN$213*(1+$D$3)^$H$4),0)))</f>
        <v>0</v>
      </c>
      <c r="BO227" s="822">
        <f>+IF($D30=Acquisition!$C$16,Y30*BO$213,IF($D30=Acquisition!$C$20,Y30*(BO$213*(1+$D$3)^$G$4),IF($D30=Acquisition!$C$21,Y30*(BO$213*(1+$D$3)^$H$4),0)))</f>
        <v>0</v>
      </c>
      <c r="BP227" s="822">
        <f>+IF($D30=Acquisition!$C$16,Z30*BP$213,IF($D30=Acquisition!$C$20,Z30*(BP$213*(1+$D$3)^$G$4),IF($D30=Acquisition!$C$21,Z30*(BP$213*(1+$D$3)^$H$4),0)))</f>
        <v>0</v>
      </c>
      <c r="BQ227" s="822">
        <f>+IF($D30=Acquisition!$C$16,AA30*BQ$213,IF($D30=Acquisition!$C$20,AA30*(BQ$213*(1+$D$3)^$G$4),IF($D30=Acquisition!$C$21,AA30*(BQ$213*(1+$D$3)^$H$4),0)))</f>
        <v>0</v>
      </c>
      <c r="BR227" s="822">
        <f>+IF($D30=Acquisition!$C$16,AB30*BR$213,IF($D30=Acquisition!$C$20,AB30*(BR$213*(1+$D$3)^$G$4),IF($D30=Acquisition!$C$21,AB30*(BR$213*(1+$D$3)^$H$4),0)))</f>
        <v>0</v>
      </c>
      <c r="BS227" s="822">
        <f>+IF($D30=Acquisition!$C$16,AC30*BS$213,IF($D30=Acquisition!$C$20,AC30*(BS$213*(1+$D$3)^$G$4),IF($D30=Acquisition!$C$21,AC30*(BS$213*(1+$D$3)^$H$4),0)))</f>
        <v>0</v>
      </c>
      <c r="BT227" s="822">
        <f>+IF($D30=Acquisition!$C$16,AD30*BT$213,IF($D30=Acquisition!$C$20,AD30*(BT$213*(1+$D$3)^$G$4),IF($D30=Acquisition!$C$21,AD30*(BT$213*(1+$D$3)^$H$4),0)))</f>
        <v>0</v>
      </c>
      <c r="BU227" s="822">
        <f>+IF($D30=Acquisition!$C$16,AE30*BU$213,IF($D30=Acquisition!$C$20,AE30*(BU$213*(1+$D$3)^$G$4),IF($D30=Acquisition!$C$21,AE30*(BU$213*(1+$D$3)^$H$4),0)))</f>
        <v>0</v>
      </c>
      <c r="BV227" s="822" t="str">
        <f t="shared" si="83"/>
        <v/>
      </c>
      <c r="BW227" s="822" t="str">
        <f t="shared" si="84"/>
        <v/>
      </c>
      <c r="BX227" s="151"/>
    </row>
    <row r="228" spans="54:76">
      <c r="BB228" s="151"/>
      <c r="BC228" s="151"/>
      <c r="BD228" s="151"/>
      <c r="BE228" s="822">
        <f>+IF($D31=Acquisition!$C$16,O31*BE$213,IF($D31=Acquisition!$C$20,O31*(BE$213*(1+$D$3)^$G$4),IF($D31=Acquisition!$C$21,O31*(BE$213*(1+$D$3)^$H$4),0)))</f>
        <v>0</v>
      </c>
      <c r="BF228" s="822">
        <f>+IF($D31=Acquisition!$C$16,P31*BF$213,IF($D31=Acquisition!$C$20,P31*(BF$213*(1+$D$3)^$G$4),IF($D31=Acquisition!$C$21,P31*(BF$213*(1+$D$3)^$H$4),0)))</f>
        <v>0</v>
      </c>
      <c r="BG228" s="822">
        <f>+IF($D31=Acquisition!$C$16,Q31*BG$213,IF($D31=Acquisition!$C$20,Q31*(BG$213*(1+$D$3)^$G$4),IF($D31=Acquisition!$C$21,Q31*(BG$213*(1+$D$3)^$H$4),0)))</f>
        <v>0</v>
      </c>
      <c r="BH228" s="822">
        <f>+IF($D31=Acquisition!$C$16,R31*BH$213,IF($D31=Acquisition!$C$20,R31*(BH$213*(1+$D$3)^$G$4),IF($D31=Acquisition!$C$21,R31*(BH$213*(1+$D$3)^$H$4),0)))</f>
        <v>0</v>
      </c>
      <c r="BI228" s="822">
        <f>+IF($D31=Acquisition!$C$16,S31*BI$213,IF($D31=Acquisition!$C$20,S31*(BI$213*(1+$D$3)^$G$4),IF($D31=Acquisition!$C$21,S31*(BI$213*(1+$D$3)^$H$4),0)))</f>
        <v>0</v>
      </c>
      <c r="BJ228" s="822">
        <f>+IF($D31=Acquisition!$C$16,T31*BJ$213,IF($D31=Acquisition!$C$20,T31*(BJ$213*(1+$D$3)^$G$4),IF($D31=Acquisition!$C$21,T31*(BJ$213*(1+$D$3)^$H$4),0)))</f>
        <v>0</v>
      </c>
      <c r="BK228" s="822">
        <f>+IF($D31=Acquisition!$C$16,U31*BK$213,IF($D31=Acquisition!$C$20,U31*(BK$213*(1+$D$3)^$G$4),IF($D31=Acquisition!$C$21,U31*(BK$213*(1+$D$3)^$H$4),0)))</f>
        <v>0</v>
      </c>
      <c r="BL228" s="822">
        <f>+IF($D31=Acquisition!$C$16,V31*BL$213,IF($D31=Acquisition!$C$20,V31*(BL$213*(1+$D$3)^$G$4),IF($D31=Acquisition!$C$21,V31*(BL$213*(1+$D$3)^$H$4),0)))</f>
        <v>0</v>
      </c>
      <c r="BM228" s="822">
        <f>+IF($D31=Acquisition!$C$16,W31*BM$213,IF($D31=Acquisition!$C$20,W31*(BM$213*(1+$D$3)^$G$4),IF($D31=Acquisition!$C$21,W31*(BM$213*(1+$D$3)^$H$4),0)))</f>
        <v>0</v>
      </c>
      <c r="BN228" s="822">
        <f>+IF($D31=Acquisition!$C$16,X31*BN$213,IF($D31=Acquisition!$C$20,X31*(BN$213*(1+$D$3)^$G$4),IF($D31=Acquisition!$C$21,X31*(BN$213*(1+$D$3)^$H$4),0)))</f>
        <v>0</v>
      </c>
      <c r="BO228" s="822">
        <f>+IF($D31=Acquisition!$C$16,Y31*BO$213,IF($D31=Acquisition!$C$20,Y31*(BO$213*(1+$D$3)^$G$4),IF($D31=Acquisition!$C$21,Y31*(BO$213*(1+$D$3)^$H$4),0)))</f>
        <v>0</v>
      </c>
      <c r="BP228" s="822">
        <f>+IF($D31=Acquisition!$C$16,Z31*BP$213,IF($D31=Acquisition!$C$20,Z31*(BP$213*(1+$D$3)^$G$4),IF($D31=Acquisition!$C$21,Z31*(BP$213*(1+$D$3)^$H$4),0)))</f>
        <v>0</v>
      </c>
      <c r="BQ228" s="822">
        <f>+IF($D31=Acquisition!$C$16,AA31*BQ$213,IF($D31=Acquisition!$C$20,AA31*(BQ$213*(1+$D$3)^$G$4),IF($D31=Acquisition!$C$21,AA31*(BQ$213*(1+$D$3)^$H$4),0)))</f>
        <v>0</v>
      </c>
      <c r="BR228" s="822">
        <f>+IF($D31=Acquisition!$C$16,AB31*BR$213,IF($D31=Acquisition!$C$20,AB31*(BR$213*(1+$D$3)^$G$4),IF($D31=Acquisition!$C$21,AB31*(BR$213*(1+$D$3)^$H$4),0)))</f>
        <v>0</v>
      </c>
      <c r="BS228" s="822">
        <f>+IF($D31=Acquisition!$C$16,AC31*BS$213,IF($D31=Acquisition!$C$20,AC31*(BS$213*(1+$D$3)^$G$4),IF($D31=Acquisition!$C$21,AC31*(BS$213*(1+$D$3)^$H$4),0)))</f>
        <v>0</v>
      </c>
      <c r="BT228" s="822">
        <f>+IF($D31=Acquisition!$C$16,AD31*BT$213,IF($D31=Acquisition!$C$20,AD31*(BT$213*(1+$D$3)^$G$4),IF($D31=Acquisition!$C$21,AD31*(BT$213*(1+$D$3)^$H$4),0)))</f>
        <v>0</v>
      </c>
      <c r="BU228" s="822">
        <f>+IF($D31=Acquisition!$C$16,AE31*BU$213,IF($D31=Acquisition!$C$20,AE31*(BU$213*(1+$D$3)^$G$4),IF($D31=Acquisition!$C$21,AE31*(BU$213*(1+$D$3)^$H$4),0)))</f>
        <v>0</v>
      </c>
      <c r="BV228" s="822" t="str">
        <f t="shared" si="83"/>
        <v/>
      </c>
      <c r="BW228" s="822" t="str">
        <f t="shared" si="84"/>
        <v/>
      </c>
      <c r="BX228" s="151"/>
    </row>
    <row r="229" spans="54:76">
      <c r="BB229" s="151"/>
      <c r="BC229" s="151"/>
      <c r="BD229" s="151"/>
      <c r="BE229" s="822">
        <f>+IF($D32=Acquisition!$C$16,O32*BE$213,IF($D32=Acquisition!$C$20,O32*(BE$213*(1+$D$3)^$G$4),IF($D32=Acquisition!$C$21,O32*(BE$213*(1+$D$3)^$H$4),0)))</f>
        <v>0</v>
      </c>
      <c r="BF229" s="822">
        <f>+IF($D32=Acquisition!$C$16,P32*BF$213,IF($D32=Acquisition!$C$20,P32*(BF$213*(1+$D$3)^$G$4),IF($D32=Acquisition!$C$21,P32*(BF$213*(1+$D$3)^$H$4),0)))</f>
        <v>0</v>
      </c>
      <c r="BG229" s="822">
        <f>+IF($D32=Acquisition!$C$16,Q32*BG$213,IF($D32=Acquisition!$C$20,Q32*(BG$213*(1+$D$3)^$G$4),IF($D32=Acquisition!$C$21,Q32*(BG$213*(1+$D$3)^$H$4),0)))</f>
        <v>0</v>
      </c>
      <c r="BH229" s="822">
        <f>+IF($D32=Acquisition!$C$16,R32*BH$213,IF($D32=Acquisition!$C$20,R32*(BH$213*(1+$D$3)^$G$4),IF($D32=Acquisition!$C$21,R32*(BH$213*(1+$D$3)^$H$4),0)))</f>
        <v>0</v>
      </c>
      <c r="BI229" s="822">
        <f>+IF($D32=Acquisition!$C$16,S32*BI$213,IF($D32=Acquisition!$C$20,S32*(BI$213*(1+$D$3)^$G$4),IF($D32=Acquisition!$C$21,S32*(BI$213*(1+$D$3)^$H$4),0)))</f>
        <v>0</v>
      </c>
      <c r="BJ229" s="822">
        <f>+IF($D32=Acquisition!$C$16,T32*BJ$213,IF($D32=Acquisition!$C$20,T32*(BJ$213*(1+$D$3)^$G$4),IF($D32=Acquisition!$C$21,T32*(BJ$213*(1+$D$3)^$H$4),0)))</f>
        <v>0</v>
      </c>
      <c r="BK229" s="822">
        <f>+IF($D32=Acquisition!$C$16,U32*BK$213,IF($D32=Acquisition!$C$20,U32*(BK$213*(1+$D$3)^$G$4),IF($D32=Acquisition!$C$21,U32*(BK$213*(1+$D$3)^$H$4),0)))</f>
        <v>0</v>
      </c>
      <c r="BL229" s="822">
        <f>+IF($D32=Acquisition!$C$16,V32*BL$213,IF($D32=Acquisition!$C$20,V32*(BL$213*(1+$D$3)^$G$4),IF($D32=Acquisition!$C$21,V32*(BL$213*(1+$D$3)^$H$4),0)))</f>
        <v>0</v>
      </c>
      <c r="BM229" s="822">
        <f>+IF($D32=Acquisition!$C$16,W32*BM$213,IF($D32=Acquisition!$C$20,W32*(BM$213*(1+$D$3)^$G$4),IF($D32=Acquisition!$C$21,W32*(BM$213*(1+$D$3)^$H$4),0)))</f>
        <v>0</v>
      </c>
      <c r="BN229" s="822">
        <f>+IF($D32=Acquisition!$C$16,X32*BN$213,IF($D32=Acquisition!$C$20,X32*(BN$213*(1+$D$3)^$G$4),IF($D32=Acquisition!$C$21,X32*(BN$213*(1+$D$3)^$H$4),0)))</f>
        <v>0</v>
      </c>
      <c r="BO229" s="822">
        <f>+IF($D32=Acquisition!$C$16,Y32*BO$213,IF($D32=Acquisition!$C$20,Y32*(BO$213*(1+$D$3)^$G$4),IF($D32=Acquisition!$C$21,Y32*(BO$213*(1+$D$3)^$H$4),0)))</f>
        <v>0</v>
      </c>
      <c r="BP229" s="822">
        <f>+IF($D32=Acquisition!$C$16,Z32*BP$213,IF($D32=Acquisition!$C$20,Z32*(BP$213*(1+$D$3)^$G$4),IF($D32=Acquisition!$C$21,Z32*(BP$213*(1+$D$3)^$H$4),0)))</f>
        <v>0</v>
      </c>
      <c r="BQ229" s="822">
        <f>+IF($D32=Acquisition!$C$16,AA32*BQ$213,IF($D32=Acquisition!$C$20,AA32*(BQ$213*(1+$D$3)^$G$4),IF($D32=Acquisition!$C$21,AA32*(BQ$213*(1+$D$3)^$H$4),0)))</f>
        <v>0</v>
      </c>
      <c r="BR229" s="822">
        <f>+IF($D32=Acquisition!$C$16,AB32*BR$213,IF($D32=Acquisition!$C$20,AB32*(BR$213*(1+$D$3)^$G$4),IF($D32=Acquisition!$C$21,AB32*(BR$213*(1+$D$3)^$H$4),0)))</f>
        <v>0</v>
      </c>
      <c r="BS229" s="822">
        <f>+IF($D32=Acquisition!$C$16,AC32*BS$213,IF($D32=Acquisition!$C$20,AC32*(BS$213*(1+$D$3)^$G$4),IF($D32=Acquisition!$C$21,AC32*(BS$213*(1+$D$3)^$H$4),0)))</f>
        <v>0</v>
      </c>
      <c r="BT229" s="822">
        <f>+IF($D32=Acquisition!$C$16,AD32*BT$213,IF($D32=Acquisition!$C$20,AD32*(BT$213*(1+$D$3)^$G$4),IF($D32=Acquisition!$C$21,AD32*(BT$213*(1+$D$3)^$H$4),0)))</f>
        <v>0</v>
      </c>
      <c r="BU229" s="822">
        <f>+IF($D32=Acquisition!$C$16,AE32*BU$213,IF($D32=Acquisition!$C$20,AE32*(BU$213*(1+$D$3)^$G$4),IF($D32=Acquisition!$C$21,AE32*(BU$213*(1+$D$3)^$H$4),0)))</f>
        <v>0</v>
      </c>
      <c r="BV229" s="822" t="str">
        <f t="shared" si="83"/>
        <v/>
      </c>
      <c r="BW229" s="822" t="str">
        <f t="shared" si="84"/>
        <v/>
      </c>
      <c r="BX229" s="151"/>
    </row>
    <row r="230" spans="54:76">
      <c r="BB230" s="151"/>
      <c r="BC230" s="151"/>
      <c r="BD230" s="151"/>
      <c r="BE230" s="822">
        <f>+IF($D33=Acquisition!$C$16,O33*BE$213,IF($D33=Acquisition!$C$20,O33*(BE$213*(1+$D$3)^$G$4),IF($D33=Acquisition!$C$21,O33*(BE$213*(1+$D$3)^$H$4),0)))</f>
        <v>0</v>
      </c>
      <c r="BF230" s="822">
        <f>+IF($D33=Acquisition!$C$16,P33*BF$213,IF($D33=Acquisition!$C$20,P33*(BF$213*(1+$D$3)^$G$4),IF($D33=Acquisition!$C$21,P33*(BF$213*(1+$D$3)^$H$4),0)))</f>
        <v>0</v>
      </c>
      <c r="BG230" s="822">
        <f>+IF($D33=Acquisition!$C$16,Q33*BG$213,IF($D33=Acquisition!$C$20,Q33*(BG$213*(1+$D$3)^$G$4),IF($D33=Acquisition!$C$21,Q33*(BG$213*(1+$D$3)^$H$4),0)))</f>
        <v>0</v>
      </c>
      <c r="BH230" s="822">
        <f>+IF($D33=Acquisition!$C$16,R33*BH$213,IF($D33=Acquisition!$C$20,R33*(BH$213*(1+$D$3)^$G$4),IF($D33=Acquisition!$C$21,R33*(BH$213*(1+$D$3)^$H$4),0)))</f>
        <v>0</v>
      </c>
      <c r="BI230" s="822">
        <f>+IF($D33=Acquisition!$C$16,S33*BI$213,IF($D33=Acquisition!$C$20,S33*(BI$213*(1+$D$3)^$G$4),IF($D33=Acquisition!$C$21,S33*(BI$213*(1+$D$3)^$H$4),0)))</f>
        <v>0</v>
      </c>
      <c r="BJ230" s="822">
        <f>+IF($D33=Acquisition!$C$16,T33*BJ$213,IF($D33=Acquisition!$C$20,T33*(BJ$213*(1+$D$3)^$G$4),IF($D33=Acquisition!$C$21,T33*(BJ$213*(1+$D$3)^$H$4),0)))</f>
        <v>0</v>
      </c>
      <c r="BK230" s="822">
        <f>+IF($D33=Acquisition!$C$16,U33*BK$213,IF($D33=Acquisition!$C$20,U33*(BK$213*(1+$D$3)^$G$4),IF($D33=Acquisition!$C$21,U33*(BK$213*(1+$D$3)^$H$4),0)))</f>
        <v>0</v>
      </c>
      <c r="BL230" s="822">
        <f>+IF($D33=Acquisition!$C$16,V33*BL$213,IF($D33=Acquisition!$C$20,V33*(BL$213*(1+$D$3)^$G$4),IF($D33=Acquisition!$C$21,V33*(BL$213*(1+$D$3)^$H$4),0)))</f>
        <v>0</v>
      </c>
      <c r="BM230" s="822">
        <f>+IF($D33=Acquisition!$C$16,W33*BM$213,IF($D33=Acquisition!$C$20,W33*(BM$213*(1+$D$3)^$G$4),IF($D33=Acquisition!$C$21,W33*(BM$213*(1+$D$3)^$H$4),0)))</f>
        <v>0</v>
      </c>
      <c r="BN230" s="822">
        <f>+IF($D33=Acquisition!$C$16,X33*BN$213,IF($D33=Acquisition!$C$20,X33*(BN$213*(1+$D$3)^$G$4),IF($D33=Acquisition!$C$21,X33*(BN$213*(1+$D$3)^$H$4),0)))</f>
        <v>0</v>
      </c>
      <c r="BO230" s="822">
        <f>+IF($D33=Acquisition!$C$16,Y33*BO$213,IF($D33=Acquisition!$C$20,Y33*(BO$213*(1+$D$3)^$G$4),IF($D33=Acquisition!$C$21,Y33*(BO$213*(1+$D$3)^$H$4),0)))</f>
        <v>0</v>
      </c>
      <c r="BP230" s="822">
        <f>+IF($D33=Acquisition!$C$16,Z33*BP$213,IF($D33=Acquisition!$C$20,Z33*(BP$213*(1+$D$3)^$G$4),IF($D33=Acquisition!$C$21,Z33*(BP$213*(1+$D$3)^$H$4),0)))</f>
        <v>0</v>
      </c>
      <c r="BQ230" s="822">
        <f>+IF($D33=Acquisition!$C$16,AA33*BQ$213,IF($D33=Acquisition!$C$20,AA33*(BQ$213*(1+$D$3)^$G$4),IF($D33=Acquisition!$C$21,AA33*(BQ$213*(1+$D$3)^$H$4),0)))</f>
        <v>0</v>
      </c>
      <c r="BR230" s="822">
        <f>+IF($D33=Acquisition!$C$16,AB33*BR$213,IF($D33=Acquisition!$C$20,AB33*(BR$213*(1+$D$3)^$G$4),IF($D33=Acquisition!$C$21,AB33*(BR$213*(1+$D$3)^$H$4),0)))</f>
        <v>0</v>
      </c>
      <c r="BS230" s="822">
        <f>+IF($D33=Acquisition!$C$16,AC33*BS$213,IF($D33=Acquisition!$C$20,AC33*(BS$213*(1+$D$3)^$G$4),IF($D33=Acquisition!$C$21,AC33*(BS$213*(1+$D$3)^$H$4),0)))</f>
        <v>0</v>
      </c>
      <c r="BT230" s="822">
        <f>+IF($D33=Acquisition!$C$16,AD33*BT$213,IF($D33=Acquisition!$C$20,AD33*(BT$213*(1+$D$3)^$G$4),IF($D33=Acquisition!$C$21,AD33*(BT$213*(1+$D$3)^$H$4),0)))</f>
        <v>0</v>
      </c>
      <c r="BU230" s="822">
        <f>+IF($D33=Acquisition!$C$16,AE33*BU$213,IF($D33=Acquisition!$C$20,AE33*(BU$213*(1+$D$3)^$G$4),IF($D33=Acquisition!$C$21,AE33*(BU$213*(1+$D$3)^$H$4),0)))</f>
        <v>0</v>
      </c>
      <c r="BV230" s="822" t="str">
        <f t="shared" si="83"/>
        <v/>
      </c>
      <c r="BW230" s="822" t="str">
        <f t="shared" si="84"/>
        <v/>
      </c>
      <c r="BX230" s="151"/>
    </row>
    <row r="231" spans="54:76">
      <c r="BB231" s="151"/>
      <c r="BC231" s="151"/>
      <c r="BD231" s="151"/>
      <c r="BE231" s="822">
        <f>+IF($D34=Acquisition!$C$16,O34*BE$213,IF($D34=Acquisition!$C$20,O34*(BE$213*(1+$D$3)^$G$4),IF($D34=Acquisition!$C$21,O34*(BE$213*(1+$D$3)^$H$4),0)))</f>
        <v>0</v>
      </c>
      <c r="BF231" s="822">
        <f>+IF($D34=Acquisition!$C$16,P34*BF$213,IF($D34=Acquisition!$C$20,P34*(BF$213*(1+$D$3)^$G$4),IF($D34=Acquisition!$C$21,P34*(BF$213*(1+$D$3)^$H$4),0)))</f>
        <v>0</v>
      </c>
      <c r="BG231" s="822">
        <f>+IF($D34=Acquisition!$C$16,Q34*BG$213,IF($D34=Acquisition!$C$20,Q34*(BG$213*(1+$D$3)^$G$4),IF($D34=Acquisition!$C$21,Q34*(BG$213*(1+$D$3)^$H$4),0)))</f>
        <v>0</v>
      </c>
      <c r="BH231" s="822">
        <f>+IF($D34=Acquisition!$C$16,R34*BH$213,IF($D34=Acquisition!$C$20,R34*(BH$213*(1+$D$3)^$G$4),IF($D34=Acquisition!$C$21,R34*(BH$213*(1+$D$3)^$H$4),0)))</f>
        <v>0</v>
      </c>
      <c r="BI231" s="822">
        <f>+IF($D34=Acquisition!$C$16,S34*BI$213,IF($D34=Acquisition!$C$20,S34*(BI$213*(1+$D$3)^$G$4),IF($D34=Acquisition!$C$21,S34*(BI$213*(1+$D$3)^$H$4),0)))</f>
        <v>0</v>
      </c>
      <c r="BJ231" s="822">
        <f>+IF($D34=Acquisition!$C$16,T34*BJ$213,IF($D34=Acquisition!$C$20,T34*(BJ$213*(1+$D$3)^$G$4),IF($D34=Acquisition!$C$21,T34*(BJ$213*(1+$D$3)^$H$4),0)))</f>
        <v>0</v>
      </c>
      <c r="BK231" s="822">
        <f>+IF($D34=Acquisition!$C$16,U34*BK$213,IF($D34=Acquisition!$C$20,U34*(BK$213*(1+$D$3)^$G$4),IF($D34=Acquisition!$C$21,U34*(BK$213*(1+$D$3)^$H$4),0)))</f>
        <v>0</v>
      </c>
      <c r="BL231" s="822">
        <f>+IF($D34=Acquisition!$C$16,V34*BL$213,IF($D34=Acquisition!$C$20,V34*(BL$213*(1+$D$3)^$G$4),IF($D34=Acquisition!$C$21,V34*(BL$213*(1+$D$3)^$H$4),0)))</f>
        <v>0</v>
      </c>
      <c r="BM231" s="822">
        <f>+IF($D34=Acquisition!$C$16,W34*BM$213,IF($D34=Acquisition!$C$20,W34*(BM$213*(1+$D$3)^$G$4),IF($D34=Acquisition!$C$21,W34*(BM$213*(1+$D$3)^$H$4),0)))</f>
        <v>0</v>
      </c>
      <c r="BN231" s="822">
        <f>+IF($D34=Acquisition!$C$16,X34*BN$213,IF($D34=Acquisition!$C$20,X34*(BN$213*(1+$D$3)^$G$4),IF($D34=Acquisition!$C$21,X34*(BN$213*(1+$D$3)^$H$4),0)))</f>
        <v>0</v>
      </c>
      <c r="BO231" s="822">
        <f>+IF($D34=Acquisition!$C$16,Y34*BO$213,IF($D34=Acquisition!$C$20,Y34*(BO$213*(1+$D$3)^$G$4),IF($D34=Acquisition!$C$21,Y34*(BO$213*(1+$D$3)^$H$4),0)))</f>
        <v>0</v>
      </c>
      <c r="BP231" s="822">
        <f>+IF($D34=Acquisition!$C$16,Z34*BP$213,IF($D34=Acquisition!$C$20,Z34*(BP$213*(1+$D$3)^$G$4),IF($D34=Acquisition!$C$21,Z34*(BP$213*(1+$D$3)^$H$4),0)))</f>
        <v>0</v>
      </c>
      <c r="BQ231" s="822">
        <f>+IF($D34=Acquisition!$C$16,AA34*BQ$213,IF($D34=Acquisition!$C$20,AA34*(BQ$213*(1+$D$3)^$G$4),IF($D34=Acquisition!$C$21,AA34*(BQ$213*(1+$D$3)^$H$4),0)))</f>
        <v>0</v>
      </c>
      <c r="BR231" s="822">
        <f>+IF($D34=Acquisition!$C$16,AB34*BR$213,IF($D34=Acquisition!$C$20,AB34*(BR$213*(1+$D$3)^$G$4),IF($D34=Acquisition!$C$21,AB34*(BR$213*(1+$D$3)^$H$4),0)))</f>
        <v>0</v>
      </c>
      <c r="BS231" s="822">
        <f>+IF($D34=Acquisition!$C$16,AC34*BS$213,IF($D34=Acquisition!$C$20,AC34*(BS$213*(1+$D$3)^$G$4),IF($D34=Acquisition!$C$21,AC34*(BS$213*(1+$D$3)^$H$4),0)))</f>
        <v>0</v>
      </c>
      <c r="BT231" s="822">
        <f>+IF($D34=Acquisition!$C$16,AD34*BT$213,IF($D34=Acquisition!$C$20,AD34*(BT$213*(1+$D$3)^$G$4),IF($D34=Acquisition!$C$21,AD34*(BT$213*(1+$D$3)^$H$4),0)))</f>
        <v>0</v>
      </c>
      <c r="BU231" s="822">
        <f>+IF($D34=Acquisition!$C$16,AE34*BU$213,IF($D34=Acquisition!$C$20,AE34*(BU$213*(1+$D$3)^$G$4),IF($D34=Acquisition!$C$21,AE34*(BU$213*(1+$D$3)^$H$4),0)))</f>
        <v>0</v>
      </c>
      <c r="BV231" s="822" t="str">
        <f t="shared" si="83"/>
        <v/>
      </c>
      <c r="BW231" s="822" t="str">
        <f t="shared" si="84"/>
        <v/>
      </c>
      <c r="BX231" s="151"/>
    </row>
    <row r="232" spans="54:76">
      <c r="BB232" s="151"/>
      <c r="BC232" s="151"/>
      <c r="BD232" s="151"/>
      <c r="BE232" s="822">
        <f>+IF($D35=Acquisition!$C$16,O35*BE$213,IF($D35=Acquisition!$C$20,O35*(BE$213*(1+$D$3)^$G$4),IF($D35=Acquisition!$C$21,O35*(BE$213*(1+$D$3)^$H$4),0)))</f>
        <v>0</v>
      </c>
      <c r="BF232" s="822">
        <f>+IF($D35=Acquisition!$C$16,P35*BF$213,IF($D35=Acquisition!$C$20,P35*(BF$213*(1+$D$3)^$G$4),IF($D35=Acquisition!$C$21,P35*(BF$213*(1+$D$3)^$H$4),0)))</f>
        <v>0</v>
      </c>
      <c r="BG232" s="822">
        <f>+IF($D35=Acquisition!$C$16,Q35*BG$213,IF($D35=Acquisition!$C$20,Q35*(BG$213*(1+$D$3)^$G$4),IF($D35=Acquisition!$C$21,Q35*(BG$213*(1+$D$3)^$H$4),0)))</f>
        <v>0</v>
      </c>
      <c r="BH232" s="822">
        <f>+IF($D35=Acquisition!$C$16,R35*BH$213,IF($D35=Acquisition!$C$20,R35*(BH$213*(1+$D$3)^$G$4),IF($D35=Acquisition!$C$21,R35*(BH$213*(1+$D$3)^$H$4),0)))</f>
        <v>0</v>
      </c>
      <c r="BI232" s="822">
        <f>+IF($D35=Acquisition!$C$16,S35*BI$213,IF($D35=Acquisition!$C$20,S35*(BI$213*(1+$D$3)^$G$4),IF($D35=Acquisition!$C$21,S35*(BI$213*(1+$D$3)^$H$4),0)))</f>
        <v>0</v>
      </c>
      <c r="BJ232" s="822">
        <f>+IF($D35=Acquisition!$C$16,T35*BJ$213,IF($D35=Acquisition!$C$20,T35*(BJ$213*(1+$D$3)^$G$4),IF($D35=Acquisition!$C$21,T35*(BJ$213*(1+$D$3)^$H$4),0)))</f>
        <v>0</v>
      </c>
      <c r="BK232" s="822">
        <f>+IF($D35=Acquisition!$C$16,U35*BK$213,IF($D35=Acquisition!$C$20,U35*(BK$213*(1+$D$3)^$G$4),IF($D35=Acquisition!$C$21,U35*(BK$213*(1+$D$3)^$H$4),0)))</f>
        <v>0</v>
      </c>
      <c r="BL232" s="822">
        <f>+IF($D35=Acquisition!$C$16,V35*BL$213,IF($D35=Acquisition!$C$20,V35*(BL$213*(1+$D$3)^$G$4),IF($D35=Acquisition!$C$21,V35*(BL$213*(1+$D$3)^$H$4),0)))</f>
        <v>0</v>
      </c>
      <c r="BM232" s="822">
        <f>+IF($D35=Acquisition!$C$16,W35*BM$213,IF($D35=Acquisition!$C$20,W35*(BM$213*(1+$D$3)^$G$4),IF($D35=Acquisition!$C$21,W35*(BM$213*(1+$D$3)^$H$4),0)))</f>
        <v>0</v>
      </c>
      <c r="BN232" s="822">
        <f>+IF($D35=Acquisition!$C$16,X35*BN$213,IF($D35=Acquisition!$C$20,X35*(BN$213*(1+$D$3)^$G$4),IF($D35=Acquisition!$C$21,X35*(BN$213*(1+$D$3)^$H$4),0)))</f>
        <v>0</v>
      </c>
      <c r="BO232" s="822">
        <f>+IF($D35=Acquisition!$C$16,Y35*BO$213,IF($D35=Acquisition!$C$20,Y35*(BO$213*(1+$D$3)^$G$4),IF($D35=Acquisition!$C$21,Y35*(BO$213*(1+$D$3)^$H$4),0)))</f>
        <v>0</v>
      </c>
      <c r="BP232" s="822">
        <f>+IF($D35=Acquisition!$C$16,Z35*BP$213,IF($D35=Acquisition!$C$20,Z35*(BP$213*(1+$D$3)^$G$4),IF($D35=Acquisition!$C$21,Z35*(BP$213*(1+$D$3)^$H$4),0)))</f>
        <v>0</v>
      </c>
      <c r="BQ232" s="822">
        <f>+IF($D35=Acquisition!$C$16,AA35*BQ$213,IF($D35=Acquisition!$C$20,AA35*(BQ$213*(1+$D$3)^$G$4),IF($D35=Acquisition!$C$21,AA35*(BQ$213*(1+$D$3)^$H$4),0)))</f>
        <v>0</v>
      </c>
      <c r="BR232" s="822">
        <f>+IF($D35=Acquisition!$C$16,AB35*BR$213,IF($D35=Acquisition!$C$20,AB35*(BR$213*(1+$D$3)^$G$4),IF($D35=Acquisition!$C$21,AB35*(BR$213*(1+$D$3)^$H$4),0)))</f>
        <v>0</v>
      </c>
      <c r="BS232" s="822">
        <f>+IF($D35=Acquisition!$C$16,AC35*BS$213,IF($D35=Acquisition!$C$20,AC35*(BS$213*(1+$D$3)^$G$4),IF($D35=Acquisition!$C$21,AC35*(BS$213*(1+$D$3)^$H$4),0)))</f>
        <v>0</v>
      </c>
      <c r="BT232" s="822">
        <f>+IF($D35=Acquisition!$C$16,AD35*BT$213,IF($D35=Acquisition!$C$20,AD35*(BT$213*(1+$D$3)^$G$4),IF($D35=Acquisition!$C$21,AD35*(BT$213*(1+$D$3)^$H$4),0)))</f>
        <v>0</v>
      </c>
      <c r="BU232" s="822">
        <f>+IF($D35=Acquisition!$C$16,AE35*BU$213,IF($D35=Acquisition!$C$20,AE35*(BU$213*(1+$D$3)^$G$4),IF($D35=Acquisition!$C$21,AE35*(BU$213*(1+$D$3)^$H$4),0)))</f>
        <v>0</v>
      </c>
      <c r="BV232" s="822" t="str">
        <f t="shared" si="83"/>
        <v/>
      </c>
      <c r="BW232" s="822" t="str">
        <f t="shared" si="84"/>
        <v/>
      </c>
      <c r="BX232" s="151"/>
    </row>
    <row r="233" spans="54:76">
      <c r="BB233" s="151"/>
      <c r="BC233" s="151"/>
      <c r="BD233" s="151"/>
      <c r="BE233" s="822">
        <f>+IF($D36=Acquisition!$C$16,O36*BE$213,IF($D36=Acquisition!$C$20,O36*(BE$213*(1+$D$3)^$G$4),IF($D36=Acquisition!$C$21,O36*(BE$213*(1+$D$3)^$H$4),0)))</f>
        <v>0</v>
      </c>
      <c r="BF233" s="822">
        <f>+IF($D36=Acquisition!$C$16,P36*BF$213,IF($D36=Acquisition!$C$20,P36*(BF$213*(1+$D$3)^$G$4),IF($D36=Acquisition!$C$21,P36*(BF$213*(1+$D$3)^$H$4),0)))</f>
        <v>0</v>
      </c>
      <c r="BG233" s="822">
        <f>+IF($D36=Acquisition!$C$16,Q36*BG$213,IF($D36=Acquisition!$C$20,Q36*(BG$213*(1+$D$3)^$G$4),IF($D36=Acquisition!$C$21,Q36*(BG$213*(1+$D$3)^$H$4),0)))</f>
        <v>0</v>
      </c>
      <c r="BH233" s="822">
        <f>+IF($D36=Acquisition!$C$16,R36*BH$213,IF($D36=Acquisition!$C$20,R36*(BH$213*(1+$D$3)^$G$4),IF($D36=Acquisition!$C$21,R36*(BH$213*(1+$D$3)^$H$4),0)))</f>
        <v>0</v>
      </c>
      <c r="BI233" s="822">
        <f>+IF($D36=Acquisition!$C$16,S36*BI$213,IF($D36=Acquisition!$C$20,S36*(BI$213*(1+$D$3)^$G$4),IF($D36=Acquisition!$C$21,S36*(BI$213*(1+$D$3)^$H$4),0)))</f>
        <v>0</v>
      </c>
      <c r="BJ233" s="822">
        <f>+IF($D36=Acquisition!$C$16,T36*BJ$213,IF($D36=Acquisition!$C$20,T36*(BJ$213*(1+$D$3)^$G$4),IF($D36=Acquisition!$C$21,T36*(BJ$213*(1+$D$3)^$H$4),0)))</f>
        <v>0</v>
      </c>
      <c r="BK233" s="822">
        <f>+IF($D36=Acquisition!$C$16,U36*BK$213,IF($D36=Acquisition!$C$20,U36*(BK$213*(1+$D$3)^$G$4),IF($D36=Acquisition!$C$21,U36*(BK$213*(1+$D$3)^$H$4),0)))</f>
        <v>0</v>
      </c>
      <c r="BL233" s="822">
        <f>+IF($D36=Acquisition!$C$16,V36*BL$213,IF($D36=Acquisition!$C$20,V36*(BL$213*(1+$D$3)^$G$4),IF($D36=Acquisition!$C$21,V36*(BL$213*(1+$D$3)^$H$4),0)))</f>
        <v>0</v>
      </c>
      <c r="BM233" s="822">
        <f>+IF($D36=Acquisition!$C$16,W36*BM$213,IF($D36=Acquisition!$C$20,W36*(BM$213*(1+$D$3)^$G$4),IF($D36=Acquisition!$C$21,W36*(BM$213*(1+$D$3)^$H$4),0)))</f>
        <v>0</v>
      </c>
      <c r="BN233" s="822">
        <f>+IF($D36=Acquisition!$C$16,X36*BN$213,IF($D36=Acquisition!$C$20,X36*(BN$213*(1+$D$3)^$G$4),IF($D36=Acquisition!$C$21,X36*(BN$213*(1+$D$3)^$H$4),0)))</f>
        <v>0</v>
      </c>
      <c r="BO233" s="822">
        <f>+IF($D36=Acquisition!$C$16,Y36*BO$213,IF($D36=Acquisition!$C$20,Y36*(BO$213*(1+$D$3)^$G$4),IF($D36=Acquisition!$C$21,Y36*(BO$213*(1+$D$3)^$H$4),0)))</f>
        <v>0</v>
      </c>
      <c r="BP233" s="822">
        <f>+IF($D36=Acquisition!$C$16,Z36*BP$213,IF($D36=Acquisition!$C$20,Z36*(BP$213*(1+$D$3)^$G$4),IF($D36=Acquisition!$C$21,Z36*(BP$213*(1+$D$3)^$H$4),0)))</f>
        <v>0</v>
      </c>
      <c r="BQ233" s="822">
        <f>+IF($D36=Acquisition!$C$16,AA36*BQ$213,IF($D36=Acquisition!$C$20,AA36*(BQ$213*(1+$D$3)^$G$4),IF($D36=Acquisition!$C$21,AA36*(BQ$213*(1+$D$3)^$H$4),0)))</f>
        <v>0</v>
      </c>
      <c r="BR233" s="822">
        <f>+IF($D36=Acquisition!$C$16,AB36*BR$213,IF($D36=Acquisition!$C$20,AB36*(BR$213*(1+$D$3)^$G$4),IF($D36=Acquisition!$C$21,AB36*(BR$213*(1+$D$3)^$H$4),0)))</f>
        <v>0</v>
      </c>
      <c r="BS233" s="822">
        <f>+IF($D36=Acquisition!$C$16,AC36*BS$213,IF($D36=Acquisition!$C$20,AC36*(BS$213*(1+$D$3)^$G$4),IF($D36=Acquisition!$C$21,AC36*(BS$213*(1+$D$3)^$H$4),0)))</f>
        <v>0</v>
      </c>
      <c r="BT233" s="822">
        <f>+IF($D36=Acquisition!$C$16,AD36*BT$213,IF($D36=Acquisition!$C$20,AD36*(BT$213*(1+$D$3)^$G$4),IF($D36=Acquisition!$C$21,AD36*(BT$213*(1+$D$3)^$H$4),0)))</f>
        <v>0</v>
      </c>
      <c r="BU233" s="822">
        <f>+IF($D36=Acquisition!$C$16,AE36*BU$213,IF($D36=Acquisition!$C$20,AE36*(BU$213*(1+$D$3)^$G$4),IF($D36=Acquisition!$C$21,AE36*(BU$213*(1+$D$3)^$H$4),0)))</f>
        <v>0</v>
      </c>
      <c r="BV233" s="822" t="str">
        <f t="shared" si="83"/>
        <v/>
      </c>
      <c r="BW233" s="822" t="str">
        <f t="shared" si="84"/>
        <v/>
      </c>
      <c r="BX233" s="151"/>
    </row>
    <row r="234" spans="54:76">
      <c r="BB234" s="151"/>
      <c r="BC234" s="151"/>
      <c r="BD234" s="151"/>
      <c r="BE234" s="822">
        <f>+IF($D37=Acquisition!$C$16,O37*BE$213,IF($D37=Acquisition!$C$20,O37*(BE$213*(1+$D$3)^$G$4),IF($D37=Acquisition!$C$21,O37*(BE$213*(1+$D$3)^$H$4),0)))</f>
        <v>0</v>
      </c>
      <c r="BF234" s="822">
        <f>+IF($D37=Acquisition!$C$16,P37*BF$213,IF($D37=Acquisition!$C$20,P37*(BF$213*(1+$D$3)^$G$4),IF($D37=Acquisition!$C$21,P37*(BF$213*(1+$D$3)^$H$4),0)))</f>
        <v>0</v>
      </c>
      <c r="BG234" s="822">
        <f>+IF($D37=Acquisition!$C$16,Q37*BG$213,IF($D37=Acquisition!$C$20,Q37*(BG$213*(1+$D$3)^$G$4),IF($D37=Acquisition!$C$21,Q37*(BG$213*(1+$D$3)^$H$4),0)))</f>
        <v>0</v>
      </c>
      <c r="BH234" s="822">
        <f>+IF($D37=Acquisition!$C$16,R37*BH$213,IF($D37=Acquisition!$C$20,R37*(BH$213*(1+$D$3)^$G$4),IF($D37=Acquisition!$C$21,R37*(BH$213*(1+$D$3)^$H$4),0)))</f>
        <v>0</v>
      </c>
      <c r="BI234" s="822">
        <f>+IF($D37=Acquisition!$C$16,S37*BI$213,IF($D37=Acquisition!$C$20,S37*(BI$213*(1+$D$3)^$G$4),IF($D37=Acquisition!$C$21,S37*(BI$213*(1+$D$3)^$H$4),0)))</f>
        <v>0</v>
      </c>
      <c r="BJ234" s="822">
        <f>+IF($D37=Acquisition!$C$16,T37*BJ$213,IF($D37=Acquisition!$C$20,T37*(BJ$213*(1+$D$3)^$G$4),IF($D37=Acquisition!$C$21,T37*(BJ$213*(1+$D$3)^$H$4),0)))</f>
        <v>0</v>
      </c>
      <c r="BK234" s="822">
        <f>+IF($D37=Acquisition!$C$16,U37*BK$213,IF($D37=Acquisition!$C$20,U37*(BK$213*(1+$D$3)^$G$4),IF($D37=Acquisition!$C$21,U37*(BK$213*(1+$D$3)^$H$4),0)))</f>
        <v>0</v>
      </c>
      <c r="BL234" s="822">
        <f>+IF($D37=Acquisition!$C$16,V37*BL$213,IF($D37=Acquisition!$C$20,V37*(BL$213*(1+$D$3)^$G$4),IF($D37=Acquisition!$C$21,V37*(BL$213*(1+$D$3)^$H$4),0)))</f>
        <v>0</v>
      </c>
      <c r="BM234" s="822">
        <f>+IF($D37=Acquisition!$C$16,W37*BM$213,IF($D37=Acquisition!$C$20,W37*(BM$213*(1+$D$3)^$G$4),IF($D37=Acquisition!$C$21,W37*(BM$213*(1+$D$3)^$H$4),0)))</f>
        <v>0</v>
      </c>
      <c r="BN234" s="822">
        <f>+IF($D37=Acquisition!$C$16,X37*BN$213,IF($D37=Acquisition!$C$20,X37*(BN$213*(1+$D$3)^$G$4),IF($D37=Acquisition!$C$21,X37*(BN$213*(1+$D$3)^$H$4),0)))</f>
        <v>0</v>
      </c>
      <c r="BO234" s="822">
        <f>+IF($D37=Acquisition!$C$16,Y37*BO$213,IF($D37=Acquisition!$C$20,Y37*(BO$213*(1+$D$3)^$G$4),IF($D37=Acquisition!$C$21,Y37*(BO$213*(1+$D$3)^$H$4),0)))</f>
        <v>0</v>
      </c>
      <c r="BP234" s="822">
        <f>+IF($D37=Acquisition!$C$16,Z37*BP$213,IF($D37=Acquisition!$C$20,Z37*(BP$213*(1+$D$3)^$G$4),IF($D37=Acquisition!$C$21,Z37*(BP$213*(1+$D$3)^$H$4),0)))</f>
        <v>0</v>
      </c>
      <c r="BQ234" s="822">
        <f>+IF($D37=Acquisition!$C$16,AA37*BQ$213,IF($D37=Acquisition!$C$20,AA37*(BQ$213*(1+$D$3)^$G$4),IF($D37=Acquisition!$C$21,AA37*(BQ$213*(1+$D$3)^$H$4),0)))</f>
        <v>0</v>
      </c>
      <c r="BR234" s="822">
        <f>+IF($D37=Acquisition!$C$16,AB37*BR$213,IF($D37=Acquisition!$C$20,AB37*(BR$213*(1+$D$3)^$G$4),IF($D37=Acquisition!$C$21,AB37*(BR$213*(1+$D$3)^$H$4),0)))</f>
        <v>0</v>
      </c>
      <c r="BS234" s="822">
        <f>+IF($D37=Acquisition!$C$16,AC37*BS$213,IF($D37=Acquisition!$C$20,AC37*(BS$213*(1+$D$3)^$G$4),IF($D37=Acquisition!$C$21,AC37*(BS$213*(1+$D$3)^$H$4),0)))</f>
        <v>0</v>
      </c>
      <c r="BT234" s="822">
        <f>+IF($D37=Acquisition!$C$16,AD37*BT$213,IF($D37=Acquisition!$C$20,AD37*(BT$213*(1+$D$3)^$G$4),IF($D37=Acquisition!$C$21,AD37*(BT$213*(1+$D$3)^$H$4),0)))</f>
        <v>0</v>
      </c>
      <c r="BU234" s="822">
        <f>+IF($D37=Acquisition!$C$16,AE37*BU$213,IF($D37=Acquisition!$C$20,AE37*(BU$213*(1+$D$3)^$G$4),IF($D37=Acquisition!$C$21,AE37*(BU$213*(1+$D$3)^$H$4),0)))</f>
        <v>0</v>
      </c>
      <c r="BV234" s="822" t="str">
        <f t="shared" si="83"/>
        <v/>
      </c>
      <c r="BW234" s="822" t="str">
        <f t="shared" si="84"/>
        <v/>
      </c>
      <c r="BX234" s="151"/>
    </row>
    <row r="235" spans="54:76">
      <c r="BB235" s="151"/>
      <c r="BC235" s="151"/>
      <c r="BD235" s="151"/>
      <c r="BE235" s="822">
        <f>+IF($D38=Acquisition!$C$16,O38*BE$213,IF($D38=Acquisition!$C$20,O38*(BE$213*(1+$D$3)^$G$4),IF($D38=Acquisition!$C$21,O38*(BE$213*(1+$D$3)^$H$4),0)))</f>
        <v>0</v>
      </c>
      <c r="BF235" s="822">
        <f>+IF($D38=Acquisition!$C$16,P38*BF$213,IF($D38=Acquisition!$C$20,P38*(BF$213*(1+$D$3)^$G$4),IF($D38=Acquisition!$C$21,P38*(BF$213*(1+$D$3)^$H$4),0)))</f>
        <v>0</v>
      </c>
      <c r="BG235" s="822">
        <f>+IF($D38=Acquisition!$C$16,Q38*BG$213,IF($D38=Acquisition!$C$20,Q38*(BG$213*(1+$D$3)^$G$4),IF($D38=Acquisition!$C$21,Q38*(BG$213*(1+$D$3)^$H$4),0)))</f>
        <v>0</v>
      </c>
      <c r="BH235" s="822">
        <f>+IF($D38=Acquisition!$C$16,R38*BH$213,IF($D38=Acquisition!$C$20,R38*(BH$213*(1+$D$3)^$G$4),IF($D38=Acquisition!$C$21,R38*(BH$213*(1+$D$3)^$H$4),0)))</f>
        <v>0</v>
      </c>
      <c r="BI235" s="822">
        <f>+IF($D38=Acquisition!$C$16,S38*BI$213,IF($D38=Acquisition!$C$20,S38*(BI$213*(1+$D$3)^$G$4),IF($D38=Acquisition!$C$21,S38*(BI$213*(1+$D$3)^$H$4),0)))</f>
        <v>0</v>
      </c>
      <c r="BJ235" s="822">
        <f>+IF($D38=Acquisition!$C$16,T38*BJ$213,IF($D38=Acquisition!$C$20,T38*(BJ$213*(1+$D$3)^$G$4),IF($D38=Acquisition!$C$21,T38*(BJ$213*(1+$D$3)^$H$4),0)))</f>
        <v>0</v>
      </c>
      <c r="BK235" s="822">
        <f>+IF($D38=Acquisition!$C$16,U38*BK$213,IF($D38=Acquisition!$C$20,U38*(BK$213*(1+$D$3)^$G$4),IF($D38=Acquisition!$C$21,U38*(BK$213*(1+$D$3)^$H$4),0)))</f>
        <v>0</v>
      </c>
      <c r="BL235" s="822">
        <f>+IF($D38=Acquisition!$C$16,V38*BL$213,IF($D38=Acquisition!$C$20,V38*(BL$213*(1+$D$3)^$G$4),IF($D38=Acquisition!$C$21,V38*(BL$213*(1+$D$3)^$H$4),0)))</f>
        <v>0</v>
      </c>
      <c r="BM235" s="822">
        <f>+IF($D38=Acquisition!$C$16,W38*BM$213,IF($D38=Acquisition!$C$20,W38*(BM$213*(1+$D$3)^$G$4),IF($D38=Acquisition!$C$21,W38*(BM$213*(1+$D$3)^$H$4),0)))</f>
        <v>0</v>
      </c>
      <c r="BN235" s="822">
        <f>+IF($D38=Acquisition!$C$16,X38*BN$213,IF($D38=Acquisition!$C$20,X38*(BN$213*(1+$D$3)^$G$4),IF($D38=Acquisition!$C$21,X38*(BN$213*(1+$D$3)^$H$4),0)))</f>
        <v>0</v>
      </c>
      <c r="BO235" s="822">
        <f>+IF($D38=Acquisition!$C$16,Y38*BO$213,IF($D38=Acquisition!$C$20,Y38*(BO$213*(1+$D$3)^$G$4),IF($D38=Acquisition!$C$21,Y38*(BO$213*(1+$D$3)^$H$4),0)))</f>
        <v>0</v>
      </c>
      <c r="BP235" s="822">
        <f>+IF($D38=Acquisition!$C$16,Z38*BP$213,IF($D38=Acquisition!$C$20,Z38*(BP$213*(1+$D$3)^$G$4),IF($D38=Acquisition!$C$21,Z38*(BP$213*(1+$D$3)^$H$4),0)))</f>
        <v>0</v>
      </c>
      <c r="BQ235" s="822">
        <f>+IF($D38=Acquisition!$C$16,AA38*BQ$213,IF($D38=Acquisition!$C$20,AA38*(BQ$213*(1+$D$3)^$G$4),IF($D38=Acquisition!$C$21,AA38*(BQ$213*(1+$D$3)^$H$4),0)))</f>
        <v>0</v>
      </c>
      <c r="BR235" s="822">
        <f>+IF($D38=Acquisition!$C$16,AB38*BR$213,IF($D38=Acquisition!$C$20,AB38*(BR$213*(1+$D$3)^$G$4),IF($D38=Acquisition!$C$21,AB38*(BR$213*(1+$D$3)^$H$4),0)))</f>
        <v>0</v>
      </c>
      <c r="BS235" s="822">
        <f>+IF($D38=Acquisition!$C$16,AC38*BS$213,IF($D38=Acquisition!$C$20,AC38*(BS$213*(1+$D$3)^$G$4),IF($D38=Acquisition!$C$21,AC38*(BS$213*(1+$D$3)^$H$4),0)))</f>
        <v>0</v>
      </c>
      <c r="BT235" s="822">
        <f>+IF($D38=Acquisition!$C$16,AD38*BT$213,IF($D38=Acquisition!$C$20,AD38*(BT$213*(1+$D$3)^$G$4),IF($D38=Acquisition!$C$21,AD38*(BT$213*(1+$D$3)^$H$4),0)))</f>
        <v>0</v>
      </c>
      <c r="BU235" s="822">
        <f>+IF($D38=Acquisition!$C$16,AE38*BU$213,IF($D38=Acquisition!$C$20,AE38*(BU$213*(1+$D$3)^$G$4),IF($D38=Acquisition!$C$21,AE38*(BU$213*(1+$D$3)^$H$4),0)))</f>
        <v>0</v>
      </c>
      <c r="BV235" s="822" t="str">
        <f t="shared" si="83"/>
        <v/>
      </c>
      <c r="BW235" s="822" t="str">
        <f t="shared" si="84"/>
        <v/>
      </c>
      <c r="BX235" s="151"/>
    </row>
    <row r="236" spans="54:76">
      <c r="BB236" s="151"/>
      <c r="BC236" s="151"/>
      <c r="BD236" s="151"/>
      <c r="BE236" s="822">
        <f>+IF($D39=Acquisition!$C$16,O39*BE$213,IF($D39=Acquisition!$C$20,O39*(BE$213*(1+$D$3)^$G$4),IF($D39=Acquisition!$C$21,O39*(BE$213*(1+$D$3)^$H$4),0)))</f>
        <v>0</v>
      </c>
      <c r="BF236" s="822">
        <f>+IF($D39=Acquisition!$C$16,P39*BF$213,IF($D39=Acquisition!$C$20,P39*(BF$213*(1+$D$3)^$G$4),IF($D39=Acquisition!$C$21,P39*(BF$213*(1+$D$3)^$H$4),0)))</f>
        <v>0</v>
      </c>
      <c r="BG236" s="822">
        <f>+IF($D39=Acquisition!$C$16,Q39*BG$213,IF($D39=Acquisition!$C$20,Q39*(BG$213*(1+$D$3)^$G$4),IF($D39=Acquisition!$C$21,Q39*(BG$213*(1+$D$3)^$H$4),0)))</f>
        <v>0</v>
      </c>
      <c r="BH236" s="822">
        <f>+IF($D39=Acquisition!$C$16,R39*BH$213,IF($D39=Acquisition!$C$20,R39*(BH$213*(1+$D$3)^$G$4),IF($D39=Acquisition!$C$21,R39*(BH$213*(1+$D$3)^$H$4),0)))</f>
        <v>0</v>
      </c>
      <c r="BI236" s="822">
        <f>+IF($D39=Acquisition!$C$16,S39*BI$213,IF($D39=Acquisition!$C$20,S39*(BI$213*(1+$D$3)^$G$4),IF($D39=Acquisition!$C$21,S39*(BI$213*(1+$D$3)^$H$4),0)))</f>
        <v>0</v>
      </c>
      <c r="BJ236" s="822">
        <f>+IF($D39=Acquisition!$C$16,T39*BJ$213,IF($D39=Acquisition!$C$20,T39*(BJ$213*(1+$D$3)^$G$4),IF($D39=Acquisition!$C$21,T39*(BJ$213*(1+$D$3)^$H$4),0)))</f>
        <v>0</v>
      </c>
      <c r="BK236" s="822">
        <f>+IF($D39=Acquisition!$C$16,U39*BK$213,IF($D39=Acquisition!$C$20,U39*(BK$213*(1+$D$3)^$G$4),IF($D39=Acquisition!$C$21,U39*(BK$213*(1+$D$3)^$H$4),0)))</f>
        <v>0</v>
      </c>
      <c r="BL236" s="822">
        <f>+IF($D39=Acquisition!$C$16,V39*BL$213,IF($D39=Acquisition!$C$20,V39*(BL$213*(1+$D$3)^$G$4),IF($D39=Acquisition!$C$21,V39*(BL$213*(1+$D$3)^$H$4),0)))</f>
        <v>0</v>
      </c>
      <c r="BM236" s="822">
        <f>+IF($D39=Acquisition!$C$16,W39*BM$213,IF($D39=Acquisition!$C$20,W39*(BM$213*(1+$D$3)^$G$4),IF($D39=Acquisition!$C$21,W39*(BM$213*(1+$D$3)^$H$4),0)))</f>
        <v>0</v>
      </c>
      <c r="BN236" s="822">
        <f>+IF($D39=Acquisition!$C$16,X39*BN$213,IF($D39=Acquisition!$C$20,X39*(BN$213*(1+$D$3)^$G$4),IF($D39=Acquisition!$C$21,X39*(BN$213*(1+$D$3)^$H$4),0)))</f>
        <v>0</v>
      </c>
      <c r="BO236" s="822">
        <f>+IF($D39=Acquisition!$C$16,Y39*BO$213,IF($D39=Acquisition!$C$20,Y39*(BO$213*(1+$D$3)^$G$4),IF($D39=Acquisition!$C$21,Y39*(BO$213*(1+$D$3)^$H$4),0)))</f>
        <v>0</v>
      </c>
      <c r="BP236" s="822">
        <f>+IF($D39=Acquisition!$C$16,Z39*BP$213,IF($D39=Acquisition!$C$20,Z39*(BP$213*(1+$D$3)^$G$4),IF($D39=Acquisition!$C$21,Z39*(BP$213*(1+$D$3)^$H$4),0)))</f>
        <v>0</v>
      </c>
      <c r="BQ236" s="822">
        <f>+IF($D39=Acquisition!$C$16,AA39*BQ$213,IF($D39=Acquisition!$C$20,AA39*(BQ$213*(1+$D$3)^$G$4),IF($D39=Acquisition!$C$21,AA39*(BQ$213*(1+$D$3)^$H$4),0)))</f>
        <v>0</v>
      </c>
      <c r="BR236" s="822">
        <f>+IF($D39=Acquisition!$C$16,AB39*BR$213,IF($D39=Acquisition!$C$20,AB39*(BR$213*(1+$D$3)^$G$4),IF($D39=Acquisition!$C$21,AB39*(BR$213*(1+$D$3)^$H$4),0)))</f>
        <v>0</v>
      </c>
      <c r="BS236" s="822">
        <f>+IF($D39=Acquisition!$C$16,AC39*BS$213,IF($D39=Acquisition!$C$20,AC39*(BS$213*(1+$D$3)^$G$4),IF($D39=Acquisition!$C$21,AC39*(BS$213*(1+$D$3)^$H$4),0)))</f>
        <v>0</v>
      </c>
      <c r="BT236" s="822">
        <f>+IF($D39=Acquisition!$C$16,AD39*BT$213,IF($D39=Acquisition!$C$20,AD39*(BT$213*(1+$D$3)^$G$4),IF($D39=Acquisition!$C$21,AD39*(BT$213*(1+$D$3)^$H$4),0)))</f>
        <v>0</v>
      </c>
      <c r="BU236" s="822">
        <f>+IF($D39=Acquisition!$C$16,AE39*BU$213,IF($D39=Acquisition!$C$20,AE39*(BU$213*(1+$D$3)^$G$4),IF($D39=Acquisition!$C$21,AE39*(BU$213*(1+$D$3)^$H$4),0)))</f>
        <v>0</v>
      </c>
      <c r="BV236" s="822" t="str">
        <f t="shared" si="83"/>
        <v/>
      </c>
      <c r="BW236" s="822" t="str">
        <f t="shared" si="84"/>
        <v/>
      </c>
      <c r="BX236" s="151"/>
    </row>
    <row r="237" spans="54:76">
      <c r="BB237" s="151"/>
      <c r="BC237" s="151"/>
      <c r="BD237" s="151"/>
      <c r="BE237" s="822">
        <f>+IF($D40=Acquisition!$C$16,O40*BE$213,IF($D40=Acquisition!$C$20,O40*(BE$213*(1+$D$3)^$G$4),IF($D40=Acquisition!$C$21,O40*(BE$213*(1+$D$3)^$H$4),0)))</f>
        <v>0</v>
      </c>
      <c r="BF237" s="822">
        <f>+IF($D40=Acquisition!$C$16,P40*BF$213,IF($D40=Acquisition!$C$20,P40*(BF$213*(1+$D$3)^$G$4),IF($D40=Acquisition!$C$21,P40*(BF$213*(1+$D$3)^$H$4),0)))</f>
        <v>0</v>
      </c>
      <c r="BG237" s="822">
        <f>+IF($D40=Acquisition!$C$16,Q40*BG$213,IF($D40=Acquisition!$C$20,Q40*(BG$213*(1+$D$3)^$G$4),IF($D40=Acquisition!$C$21,Q40*(BG$213*(1+$D$3)^$H$4),0)))</f>
        <v>0</v>
      </c>
      <c r="BH237" s="822">
        <f>+IF($D40=Acquisition!$C$16,R40*BH$213,IF($D40=Acquisition!$C$20,R40*(BH$213*(1+$D$3)^$G$4),IF($D40=Acquisition!$C$21,R40*(BH$213*(1+$D$3)^$H$4),0)))</f>
        <v>0</v>
      </c>
      <c r="BI237" s="822">
        <f>+IF($D40=Acquisition!$C$16,S40*BI$213,IF($D40=Acquisition!$C$20,S40*(BI$213*(1+$D$3)^$G$4),IF($D40=Acquisition!$C$21,S40*(BI$213*(1+$D$3)^$H$4),0)))</f>
        <v>0</v>
      </c>
      <c r="BJ237" s="822">
        <f>+IF($D40=Acquisition!$C$16,T40*BJ$213,IF($D40=Acquisition!$C$20,T40*(BJ$213*(1+$D$3)^$G$4),IF($D40=Acquisition!$C$21,T40*(BJ$213*(1+$D$3)^$H$4),0)))</f>
        <v>0</v>
      </c>
      <c r="BK237" s="822">
        <f>+IF($D40=Acquisition!$C$16,U40*BK$213,IF($D40=Acquisition!$C$20,U40*(BK$213*(1+$D$3)^$G$4),IF($D40=Acquisition!$C$21,U40*(BK$213*(1+$D$3)^$H$4),0)))</f>
        <v>0</v>
      </c>
      <c r="BL237" s="822">
        <f>+IF($D40=Acquisition!$C$16,V40*BL$213,IF($D40=Acquisition!$C$20,V40*(BL$213*(1+$D$3)^$G$4),IF($D40=Acquisition!$C$21,V40*(BL$213*(1+$D$3)^$H$4),0)))</f>
        <v>0</v>
      </c>
      <c r="BM237" s="822">
        <f>+IF($D40=Acquisition!$C$16,W40*BM$213,IF($D40=Acquisition!$C$20,W40*(BM$213*(1+$D$3)^$G$4),IF($D40=Acquisition!$C$21,W40*(BM$213*(1+$D$3)^$H$4),0)))</f>
        <v>0</v>
      </c>
      <c r="BN237" s="822">
        <f>+IF($D40=Acquisition!$C$16,X40*BN$213,IF($D40=Acquisition!$C$20,X40*(BN$213*(1+$D$3)^$G$4),IF($D40=Acquisition!$C$21,X40*(BN$213*(1+$D$3)^$H$4),0)))</f>
        <v>0</v>
      </c>
      <c r="BO237" s="822">
        <f>+IF($D40=Acquisition!$C$16,Y40*BO$213,IF($D40=Acquisition!$C$20,Y40*(BO$213*(1+$D$3)^$G$4),IF($D40=Acquisition!$C$21,Y40*(BO$213*(1+$D$3)^$H$4),0)))</f>
        <v>0</v>
      </c>
      <c r="BP237" s="822">
        <f>+IF($D40=Acquisition!$C$16,Z40*BP$213,IF($D40=Acquisition!$C$20,Z40*(BP$213*(1+$D$3)^$G$4),IF($D40=Acquisition!$C$21,Z40*(BP$213*(1+$D$3)^$H$4),0)))</f>
        <v>0</v>
      </c>
      <c r="BQ237" s="822">
        <f>+IF($D40=Acquisition!$C$16,AA40*BQ$213,IF($D40=Acquisition!$C$20,AA40*(BQ$213*(1+$D$3)^$G$4),IF($D40=Acquisition!$C$21,AA40*(BQ$213*(1+$D$3)^$H$4),0)))</f>
        <v>0</v>
      </c>
      <c r="BR237" s="822">
        <f>+IF($D40=Acquisition!$C$16,AB40*BR$213,IF($D40=Acquisition!$C$20,AB40*(BR$213*(1+$D$3)^$G$4),IF($D40=Acquisition!$C$21,AB40*(BR$213*(1+$D$3)^$H$4),0)))</f>
        <v>0</v>
      </c>
      <c r="BS237" s="822">
        <f>+IF($D40=Acquisition!$C$16,AC40*BS$213,IF($D40=Acquisition!$C$20,AC40*(BS$213*(1+$D$3)^$G$4),IF($D40=Acquisition!$C$21,AC40*(BS$213*(1+$D$3)^$H$4),0)))</f>
        <v>0</v>
      </c>
      <c r="BT237" s="822">
        <f>+IF($D40=Acquisition!$C$16,AD40*BT$213,IF($D40=Acquisition!$C$20,AD40*(BT$213*(1+$D$3)^$G$4),IF($D40=Acquisition!$C$21,AD40*(BT$213*(1+$D$3)^$H$4),0)))</f>
        <v>0</v>
      </c>
      <c r="BU237" s="822">
        <f>+IF($D40=Acquisition!$C$16,AE40*BU$213,IF($D40=Acquisition!$C$20,AE40*(BU$213*(1+$D$3)^$G$4),IF($D40=Acquisition!$C$21,AE40*(BU$213*(1+$D$3)^$H$4),0)))</f>
        <v>0</v>
      </c>
      <c r="BV237" s="822" t="str">
        <f t="shared" si="83"/>
        <v/>
      </c>
      <c r="BW237" s="822" t="str">
        <f t="shared" si="84"/>
        <v/>
      </c>
      <c r="BX237" s="151"/>
    </row>
    <row r="238" spans="54:76">
      <c r="BB238" s="151"/>
      <c r="BC238" s="151"/>
      <c r="BD238" s="151"/>
      <c r="BE238" s="822">
        <f>+IF($D41=Acquisition!$C$16,O41*BE$213,IF($D41=Acquisition!$C$20,O41*(BE$213*(1+$D$3)^$G$4),IF($D41=Acquisition!$C$21,O41*(BE$213*(1+$D$3)^$H$4),0)))</f>
        <v>0</v>
      </c>
      <c r="BF238" s="822">
        <f>+IF($D41=Acquisition!$C$16,P41*BF$213,IF($D41=Acquisition!$C$20,P41*(BF$213*(1+$D$3)^$G$4),IF($D41=Acquisition!$C$21,P41*(BF$213*(1+$D$3)^$H$4),0)))</f>
        <v>0</v>
      </c>
      <c r="BG238" s="822">
        <f>+IF($D41=Acquisition!$C$16,Q41*BG$213,IF($D41=Acquisition!$C$20,Q41*(BG$213*(1+$D$3)^$G$4),IF($D41=Acquisition!$C$21,Q41*(BG$213*(1+$D$3)^$H$4),0)))</f>
        <v>0</v>
      </c>
      <c r="BH238" s="822">
        <f>+IF($D41=Acquisition!$C$16,R41*BH$213,IF($D41=Acquisition!$C$20,R41*(BH$213*(1+$D$3)^$G$4),IF($D41=Acquisition!$C$21,R41*(BH$213*(1+$D$3)^$H$4),0)))</f>
        <v>0</v>
      </c>
      <c r="BI238" s="822">
        <f>+IF($D41=Acquisition!$C$16,S41*BI$213,IF($D41=Acquisition!$C$20,S41*(BI$213*(1+$D$3)^$G$4),IF($D41=Acquisition!$C$21,S41*(BI$213*(1+$D$3)^$H$4),0)))</f>
        <v>0</v>
      </c>
      <c r="BJ238" s="822">
        <f>+IF($D41=Acquisition!$C$16,T41*BJ$213,IF($D41=Acquisition!$C$20,T41*(BJ$213*(1+$D$3)^$G$4),IF($D41=Acquisition!$C$21,T41*(BJ$213*(1+$D$3)^$H$4),0)))</f>
        <v>0</v>
      </c>
      <c r="BK238" s="822">
        <f>+IF($D41=Acquisition!$C$16,U41*BK$213,IF($D41=Acquisition!$C$20,U41*(BK$213*(1+$D$3)^$G$4),IF($D41=Acquisition!$C$21,U41*(BK$213*(1+$D$3)^$H$4),0)))</f>
        <v>0</v>
      </c>
      <c r="BL238" s="822">
        <f>+IF($D41=Acquisition!$C$16,V41*BL$213,IF($D41=Acquisition!$C$20,V41*(BL$213*(1+$D$3)^$G$4),IF($D41=Acquisition!$C$21,V41*(BL$213*(1+$D$3)^$H$4),0)))</f>
        <v>0</v>
      </c>
      <c r="BM238" s="822">
        <f>+IF($D41=Acquisition!$C$16,W41*BM$213,IF($D41=Acquisition!$C$20,W41*(BM$213*(1+$D$3)^$G$4),IF($D41=Acquisition!$C$21,W41*(BM$213*(1+$D$3)^$H$4),0)))</f>
        <v>0</v>
      </c>
      <c r="BN238" s="822">
        <f>+IF($D41=Acquisition!$C$16,X41*BN$213,IF($D41=Acquisition!$C$20,X41*(BN$213*(1+$D$3)^$G$4),IF($D41=Acquisition!$C$21,X41*(BN$213*(1+$D$3)^$H$4),0)))</f>
        <v>0</v>
      </c>
      <c r="BO238" s="822">
        <f>+IF($D41=Acquisition!$C$16,Y41*BO$213,IF($D41=Acquisition!$C$20,Y41*(BO$213*(1+$D$3)^$G$4),IF($D41=Acquisition!$C$21,Y41*(BO$213*(1+$D$3)^$H$4),0)))</f>
        <v>0</v>
      </c>
      <c r="BP238" s="822">
        <f>+IF($D41=Acquisition!$C$16,Z41*BP$213,IF($D41=Acquisition!$C$20,Z41*(BP$213*(1+$D$3)^$G$4),IF($D41=Acquisition!$C$21,Z41*(BP$213*(1+$D$3)^$H$4),0)))</f>
        <v>0</v>
      </c>
      <c r="BQ238" s="822">
        <f>+IF($D41=Acquisition!$C$16,AA41*BQ$213,IF($D41=Acquisition!$C$20,AA41*(BQ$213*(1+$D$3)^$G$4),IF($D41=Acquisition!$C$21,AA41*(BQ$213*(1+$D$3)^$H$4),0)))</f>
        <v>0</v>
      </c>
      <c r="BR238" s="822">
        <f>+IF($D41=Acquisition!$C$16,AB41*BR$213,IF($D41=Acquisition!$C$20,AB41*(BR$213*(1+$D$3)^$G$4),IF($D41=Acquisition!$C$21,AB41*(BR$213*(1+$D$3)^$H$4),0)))</f>
        <v>0</v>
      </c>
      <c r="BS238" s="822">
        <f>+IF($D41=Acquisition!$C$16,AC41*BS$213,IF($D41=Acquisition!$C$20,AC41*(BS$213*(1+$D$3)^$G$4),IF($D41=Acquisition!$C$21,AC41*(BS$213*(1+$D$3)^$H$4),0)))</f>
        <v>0</v>
      </c>
      <c r="BT238" s="822">
        <f>+IF($D41=Acquisition!$C$16,AD41*BT$213,IF($D41=Acquisition!$C$20,AD41*(BT$213*(1+$D$3)^$G$4),IF($D41=Acquisition!$C$21,AD41*(BT$213*(1+$D$3)^$H$4),0)))</f>
        <v>0</v>
      </c>
      <c r="BU238" s="822">
        <f>+IF($D41=Acquisition!$C$16,AE41*BU$213,IF($D41=Acquisition!$C$20,AE41*(BU$213*(1+$D$3)^$G$4),IF($D41=Acquisition!$C$21,AE41*(BU$213*(1+$D$3)^$H$4),0)))</f>
        <v>0</v>
      </c>
      <c r="BV238" s="822" t="str">
        <f t="shared" si="83"/>
        <v/>
      </c>
      <c r="BW238" s="822" t="str">
        <f t="shared" si="84"/>
        <v/>
      </c>
      <c r="BX238" s="151"/>
    </row>
    <row r="239" spans="54:76">
      <c r="BB239" s="151"/>
      <c r="BC239" s="151"/>
      <c r="BD239" s="151"/>
      <c r="BE239" s="822">
        <f>+IF($D42=Acquisition!$C$16,O42*BE$213,IF($D42=Acquisition!$C$20,O42*(BE$213*(1+$D$3)^$G$4),IF($D42=Acquisition!$C$21,O42*(BE$213*(1+$D$3)^$H$4),0)))</f>
        <v>0</v>
      </c>
      <c r="BF239" s="822">
        <f>+IF($D42=Acquisition!$C$16,P42*BF$213,IF($D42=Acquisition!$C$20,P42*(BF$213*(1+$D$3)^$G$4),IF($D42=Acquisition!$C$21,P42*(BF$213*(1+$D$3)^$H$4),0)))</f>
        <v>0</v>
      </c>
      <c r="BG239" s="822">
        <f>+IF($D42=Acquisition!$C$16,Q42*BG$213,IF($D42=Acquisition!$C$20,Q42*(BG$213*(1+$D$3)^$G$4),IF($D42=Acquisition!$C$21,Q42*(BG$213*(1+$D$3)^$H$4),0)))</f>
        <v>0</v>
      </c>
      <c r="BH239" s="822">
        <f>+IF($D42=Acquisition!$C$16,R42*BH$213,IF($D42=Acquisition!$C$20,R42*(BH$213*(1+$D$3)^$G$4),IF($D42=Acquisition!$C$21,R42*(BH$213*(1+$D$3)^$H$4),0)))</f>
        <v>0</v>
      </c>
      <c r="BI239" s="822">
        <f>+IF($D42=Acquisition!$C$16,S42*BI$213,IF($D42=Acquisition!$C$20,S42*(BI$213*(1+$D$3)^$G$4),IF($D42=Acquisition!$C$21,S42*(BI$213*(1+$D$3)^$H$4),0)))</f>
        <v>0</v>
      </c>
      <c r="BJ239" s="822">
        <f>+IF($D42=Acquisition!$C$16,T42*BJ$213,IF($D42=Acquisition!$C$20,T42*(BJ$213*(1+$D$3)^$G$4),IF($D42=Acquisition!$C$21,T42*(BJ$213*(1+$D$3)^$H$4),0)))</f>
        <v>0</v>
      </c>
      <c r="BK239" s="822">
        <f>+IF($D42=Acquisition!$C$16,U42*BK$213,IF($D42=Acquisition!$C$20,U42*(BK$213*(1+$D$3)^$G$4),IF($D42=Acquisition!$C$21,U42*(BK$213*(1+$D$3)^$H$4),0)))</f>
        <v>0</v>
      </c>
      <c r="BL239" s="822">
        <f>+IF($D42=Acquisition!$C$16,V42*BL$213,IF($D42=Acquisition!$C$20,V42*(BL$213*(1+$D$3)^$G$4),IF($D42=Acquisition!$C$21,V42*(BL$213*(1+$D$3)^$H$4),0)))</f>
        <v>0</v>
      </c>
      <c r="BM239" s="822">
        <f>+IF($D42=Acquisition!$C$16,W42*BM$213,IF($D42=Acquisition!$C$20,W42*(BM$213*(1+$D$3)^$G$4),IF($D42=Acquisition!$C$21,W42*(BM$213*(1+$D$3)^$H$4),0)))</f>
        <v>0</v>
      </c>
      <c r="BN239" s="822">
        <f>+IF($D42=Acquisition!$C$16,X42*BN$213,IF($D42=Acquisition!$C$20,X42*(BN$213*(1+$D$3)^$G$4),IF($D42=Acquisition!$C$21,X42*(BN$213*(1+$D$3)^$H$4),0)))</f>
        <v>0</v>
      </c>
      <c r="BO239" s="822">
        <f>+IF($D42=Acquisition!$C$16,Y42*BO$213,IF($D42=Acquisition!$C$20,Y42*(BO$213*(1+$D$3)^$G$4),IF($D42=Acquisition!$C$21,Y42*(BO$213*(1+$D$3)^$H$4),0)))</f>
        <v>0</v>
      </c>
      <c r="BP239" s="822">
        <f>+IF($D42=Acquisition!$C$16,Z42*BP$213,IF($D42=Acquisition!$C$20,Z42*(BP$213*(1+$D$3)^$G$4),IF($D42=Acquisition!$C$21,Z42*(BP$213*(1+$D$3)^$H$4),0)))</f>
        <v>0</v>
      </c>
      <c r="BQ239" s="822">
        <f>+IF($D42=Acquisition!$C$16,AA42*BQ$213,IF($D42=Acquisition!$C$20,AA42*(BQ$213*(1+$D$3)^$G$4),IF($D42=Acquisition!$C$21,AA42*(BQ$213*(1+$D$3)^$H$4),0)))</f>
        <v>0</v>
      </c>
      <c r="BR239" s="822">
        <f>+IF($D42=Acquisition!$C$16,AB42*BR$213,IF($D42=Acquisition!$C$20,AB42*(BR$213*(1+$D$3)^$G$4),IF($D42=Acquisition!$C$21,AB42*(BR$213*(1+$D$3)^$H$4),0)))</f>
        <v>0</v>
      </c>
      <c r="BS239" s="822">
        <f>+IF($D42=Acquisition!$C$16,AC42*BS$213,IF($D42=Acquisition!$C$20,AC42*(BS$213*(1+$D$3)^$G$4),IF($D42=Acquisition!$C$21,AC42*(BS$213*(1+$D$3)^$H$4),0)))</f>
        <v>0</v>
      </c>
      <c r="BT239" s="822">
        <f>+IF($D42=Acquisition!$C$16,AD42*BT$213,IF($D42=Acquisition!$C$20,AD42*(BT$213*(1+$D$3)^$G$4),IF($D42=Acquisition!$C$21,AD42*(BT$213*(1+$D$3)^$H$4),0)))</f>
        <v>0</v>
      </c>
      <c r="BU239" s="822">
        <f>+IF($D42=Acquisition!$C$16,AE42*BU$213,IF($D42=Acquisition!$C$20,AE42*(BU$213*(1+$D$3)^$G$4),IF($D42=Acquisition!$C$21,AE42*(BU$213*(1+$D$3)^$H$4),0)))</f>
        <v>0</v>
      </c>
      <c r="BV239" s="822" t="str">
        <f t="shared" si="83"/>
        <v/>
      </c>
      <c r="BW239" s="822" t="str">
        <f t="shared" si="84"/>
        <v/>
      </c>
      <c r="BX239" s="151"/>
    </row>
    <row r="240" spans="54:76" ht="15.75">
      <c r="BB240" s="151"/>
      <c r="BC240" s="151"/>
      <c r="BD240" s="151"/>
      <c r="BE240" s="751">
        <f t="shared" ref="BE240:BU240" si="85">+SUM(BE216:BE239)</f>
        <v>0</v>
      </c>
      <c r="BF240" s="751">
        <f t="shared" si="85"/>
        <v>0</v>
      </c>
      <c r="BG240" s="751">
        <f t="shared" si="85"/>
        <v>0</v>
      </c>
      <c r="BH240" s="751">
        <f t="shared" si="85"/>
        <v>0</v>
      </c>
      <c r="BI240" s="751">
        <f t="shared" si="85"/>
        <v>0</v>
      </c>
      <c r="BJ240" s="751">
        <f t="shared" si="85"/>
        <v>0</v>
      </c>
      <c r="BK240" s="751">
        <f t="shared" si="85"/>
        <v>0</v>
      </c>
      <c r="BL240" s="751">
        <f t="shared" si="85"/>
        <v>0</v>
      </c>
      <c r="BM240" s="751">
        <f t="shared" ref="BM240:BN240" si="86">+SUM(BM216:BM239)</f>
        <v>0</v>
      </c>
      <c r="BN240" s="751">
        <f t="shared" si="86"/>
        <v>0</v>
      </c>
      <c r="BO240" s="751">
        <f t="shared" si="85"/>
        <v>0</v>
      </c>
      <c r="BP240" s="751">
        <f t="shared" si="85"/>
        <v>0</v>
      </c>
      <c r="BQ240" s="751">
        <f t="shared" si="85"/>
        <v>0</v>
      </c>
      <c r="BR240" s="751">
        <f t="shared" si="85"/>
        <v>0</v>
      </c>
      <c r="BS240" s="751">
        <f t="shared" si="85"/>
        <v>0</v>
      </c>
      <c r="BT240" s="751">
        <f t="shared" si="85"/>
        <v>0</v>
      </c>
      <c r="BU240" s="751">
        <f t="shared" si="85"/>
        <v>0</v>
      </c>
      <c r="BV240" s="823"/>
      <c r="BW240" s="823"/>
      <c r="BX240" s="151"/>
    </row>
    <row r="241" spans="54:76" ht="15.75">
      <c r="BB241" s="151"/>
      <c r="BC241" s="151"/>
      <c r="BD241" s="151"/>
      <c r="BE241" s="751">
        <f t="shared" ref="BE241:BU241" si="87">+SUMIF($D$19:$D$42,$D44,BE$216:BE$239)</f>
        <v>0</v>
      </c>
      <c r="BF241" s="751">
        <f t="shared" si="87"/>
        <v>0</v>
      </c>
      <c r="BG241" s="751">
        <f t="shared" si="87"/>
        <v>0</v>
      </c>
      <c r="BH241" s="751">
        <f t="shared" si="87"/>
        <v>0</v>
      </c>
      <c r="BI241" s="751">
        <f t="shared" si="87"/>
        <v>0</v>
      </c>
      <c r="BJ241" s="751">
        <f t="shared" si="87"/>
        <v>0</v>
      </c>
      <c r="BK241" s="751">
        <f t="shared" si="87"/>
        <v>0</v>
      </c>
      <c r="BL241" s="751">
        <f t="shared" si="87"/>
        <v>0</v>
      </c>
      <c r="BM241" s="751">
        <f t="shared" si="87"/>
        <v>0</v>
      </c>
      <c r="BN241" s="751">
        <f t="shared" si="87"/>
        <v>0</v>
      </c>
      <c r="BO241" s="751">
        <f t="shared" si="87"/>
        <v>0</v>
      </c>
      <c r="BP241" s="751">
        <f t="shared" si="87"/>
        <v>0</v>
      </c>
      <c r="BQ241" s="751">
        <f t="shared" si="87"/>
        <v>0</v>
      </c>
      <c r="BR241" s="751">
        <f t="shared" si="87"/>
        <v>0</v>
      </c>
      <c r="BS241" s="751">
        <f t="shared" si="87"/>
        <v>0</v>
      </c>
      <c r="BT241" s="751">
        <f t="shared" si="87"/>
        <v>0</v>
      </c>
      <c r="BU241" s="751">
        <f t="shared" si="87"/>
        <v>0</v>
      </c>
      <c r="BV241" s="823"/>
      <c r="BW241" s="823"/>
      <c r="BX241" s="151"/>
    </row>
    <row r="242" spans="54:76" ht="15.75">
      <c r="BB242" s="151"/>
      <c r="BC242" s="151"/>
      <c r="BD242" s="151"/>
      <c r="BE242" s="751">
        <f t="shared" ref="BE242:BU242" si="88">+SUMIF($D$19:$D$42,$D45,BE$216:BE$239)</f>
        <v>0</v>
      </c>
      <c r="BF242" s="751">
        <f t="shared" si="88"/>
        <v>0</v>
      </c>
      <c r="BG242" s="751">
        <f t="shared" si="88"/>
        <v>0</v>
      </c>
      <c r="BH242" s="751">
        <f t="shared" si="88"/>
        <v>0</v>
      </c>
      <c r="BI242" s="751">
        <f t="shared" si="88"/>
        <v>0</v>
      </c>
      <c r="BJ242" s="751">
        <f t="shared" si="88"/>
        <v>0</v>
      </c>
      <c r="BK242" s="751">
        <f t="shared" si="88"/>
        <v>0</v>
      </c>
      <c r="BL242" s="751">
        <f t="shared" si="88"/>
        <v>0</v>
      </c>
      <c r="BM242" s="751">
        <f t="shared" si="88"/>
        <v>0</v>
      </c>
      <c r="BN242" s="751">
        <f t="shared" si="88"/>
        <v>0</v>
      </c>
      <c r="BO242" s="751">
        <f t="shared" si="88"/>
        <v>0</v>
      </c>
      <c r="BP242" s="751">
        <f t="shared" si="88"/>
        <v>0</v>
      </c>
      <c r="BQ242" s="751">
        <f t="shared" si="88"/>
        <v>0</v>
      </c>
      <c r="BR242" s="751">
        <f t="shared" si="88"/>
        <v>0</v>
      </c>
      <c r="BS242" s="751">
        <f t="shared" si="88"/>
        <v>0</v>
      </c>
      <c r="BT242" s="751">
        <f t="shared" si="88"/>
        <v>0</v>
      </c>
      <c r="BU242" s="751">
        <f t="shared" si="88"/>
        <v>0</v>
      </c>
      <c r="BV242" s="823"/>
      <c r="BW242" s="823"/>
      <c r="BX242" s="151"/>
    </row>
    <row r="243" spans="54:76" ht="15.75">
      <c r="BB243" s="151"/>
      <c r="BC243" s="151"/>
      <c r="BD243" s="151"/>
      <c r="BE243" s="751">
        <f t="shared" ref="BE243:BU243" si="89">+SUMIF($D$19:$D$42,$D46,BE$216:BE$239)</f>
        <v>0</v>
      </c>
      <c r="BF243" s="751">
        <f t="shared" si="89"/>
        <v>0</v>
      </c>
      <c r="BG243" s="751">
        <f t="shared" si="89"/>
        <v>0</v>
      </c>
      <c r="BH243" s="751">
        <f t="shared" si="89"/>
        <v>0</v>
      </c>
      <c r="BI243" s="751">
        <f t="shared" si="89"/>
        <v>0</v>
      </c>
      <c r="BJ243" s="751">
        <f t="shared" si="89"/>
        <v>0</v>
      </c>
      <c r="BK243" s="751">
        <f t="shared" si="89"/>
        <v>0</v>
      </c>
      <c r="BL243" s="751">
        <f t="shared" si="89"/>
        <v>0</v>
      </c>
      <c r="BM243" s="751">
        <f t="shared" si="89"/>
        <v>0</v>
      </c>
      <c r="BN243" s="751">
        <f t="shared" si="89"/>
        <v>0</v>
      </c>
      <c r="BO243" s="751">
        <f t="shared" si="89"/>
        <v>0</v>
      </c>
      <c r="BP243" s="751">
        <f t="shared" si="89"/>
        <v>0</v>
      </c>
      <c r="BQ243" s="751">
        <f t="shared" si="89"/>
        <v>0</v>
      </c>
      <c r="BR243" s="751">
        <f t="shared" si="89"/>
        <v>0</v>
      </c>
      <c r="BS243" s="751">
        <f t="shared" si="89"/>
        <v>0</v>
      </c>
      <c r="BT243" s="751">
        <f t="shared" si="89"/>
        <v>0</v>
      </c>
      <c r="BU243" s="751">
        <f t="shared" si="89"/>
        <v>0</v>
      </c>
      <c r="BV243" s="823"/>
      <c r="BW243" s="823"/>
      <c r="BX243" s="151"/>
    </row>
    <row r="244" spans="54:76" ht="15.75">
      <c r="BB244" s="151"/>
      <c r="BC244" s="151"/>
      <c r="BD244" s="151"/>
      <c r="BE244" s="824">
        <f t="shared" ref="BE244:BS244" si="90">+SUM(BE241:BE243)</f>
        <v>0</v>
      </c>
      <c r="BF244" s="824">
        <f t="shared" si="90"/>
        <v>0</v>
      </c>
      <c r="BG244" s="824">
        <f t="shared" si="90"/>
        <v>0</v>
      </c>
      <c r="BH244" s="824">
        <f t="shared" si="90"/>
        <v>0</v>
      </c>
      <c r="BI244" s="824">
        <f t="shared" si="90"/>
        <v>0</v>
      </c>
      <c r="BJ244" s="824">
        <f t="shared" si="90"/>
        <v>0</v>
      </c>
      <c r="BK244" s="824">
        <f t="shared" si="90"/>
        <v>0</v>
      </c>
      <c r="BL244" s="824">
        <f t="shared" si="90"/>
        <v>0</v>
      </c>
      <c r="BM244" s="824"/>
      <c r="BN244" s="824"/>
      <c r="BO244" s="824">
        <f t="shared" si="90"/>
        <v>0</v>
      </c>
      <c r="BP244" s="824">
        <f t="shared" si="90"/>
        <v>0</v>
      </c>
      <c r="BQ244" s="824">
        <f t="shared" si="90"/>
        <v>0</v>
      </c>
      <c r="BR244" s="824">
        <f t="shared" si="90"/>
        <v>0</v>
      </c>
      <c r="BS244" s="824">
        <f t="shared" si="90"/>
        <v>0</v>
      </c>
      <c r="BT244" s="824">
        <f t="shared" ref="BT244:BU244" si="91">+SUM(BT241:BT243)</f>
        <v>0</v>
      </c>
      <c r="BU244" s="824">
        <f t="shared" si="91"/>
        <v>0</v>
      </c>
      <c r="BV244" s="823"/>
      <c r="BW244" s="823"/>
      <c r="BX244" s="151"/>
    </row>
    <row r="245" spans="54:76">
      <c r="BB245" s="151"/>
      <c r="BC245" s="151"/>
      <c r="BD245" s="151"/>
      <c r="BE245" s="825">
        <f t="shared" ref="BE245:BS245" si="92">+BE240-BE244</f>
        <v>0</v>
      </c>
      <c r="BF245" s="825">
        <f t="shared" si="92"/>
        <v>0</v>
      </c>
      <c r="BG245" s="825">
        <f t="shared" si="92"/>
        <v>0</v>
      </c>
      <c r="BH245" s="825">
        <f t="shared" si="92"/>
        <v>0</v>
      </c>
      <c r="BI245" s="825">
        <f t="shared" si="92"/>
        <v>0</v>
      </c>
      <c r="BJ245" s="825">
        <f t="shared" si="92"/>
        <v>0</v>
      </c>
      <c r="BK245" s="825">
        <f t="shared" si="92"/>
        <v>0</v>
      </c>
      <c r="BL245" s="825">
        <f t="shared" si="92"/>
        <v>0</v>
      </c>
      <c r="BM245" s="825"/>
      <c r="BN245" s="825"/>
      <c r="BO245" s="825">
        <f t="shared" si="92"/>
        <v>0</v>
      </c>
      <c r="BP245" s="825">
        <f t="shared" si="92"/>
        <v>0</v>
      </c>
      <c r="BQ245" s="825">
        <f t="shared" si="92"/>
        <v>0</v>
      </c>
      <c r="BR245" s="825">
        <f t="shared" si="92"/>
        <v>0</v>
      </c>
      <c r="BS245" s="825">
        <f t="shared" si="92"/>
        <v>0</v>
      </c>
      <c r="BT245" s="825">
        <f t="shared" ref="BT245:BU245" si="93">+BT240-BT244</f>
        <v>0</v>
      </c>
      <c r="BU245" s="825">
        <f t="shared" si="93"/>
        <v>0</v>
      </c>
      <c r="BV245" s="826"/>
      <c r="BW245" s="826"/>
      <c r="BX245" s="151"/>
    </row>
    <row r="246" spans="54:76">
      <c r="BB246" s="151"/>
      <c r="BC246" s="151"/>
      <c r="BD246" s="151"/>
      <c r="BE246" s="822"/>
      <c r="BF246" s="822"/>
      <c r="BG246" s="822"/>
      <c r="BH246" s="822"/>
      <c r="BI246" s="822"/>
      <c r="BJ246" s="822"/>
      <c r="BK246" s="822"/>
      <c r="BL246" s="822"/>
      <c r="BM246" s="822"/>
      <c r="BN246" s="822"/>
      <c r="BO246" s="822"/>
      <c r="BP246" s="822"/>
      <c r="BQ246" s="822"/>
      <c r="BR246" s="822"/>
      <c r="BS246" s="822"/>
      <c r="BT246" s="822"/>
      <c r="BU246" s="822"/>
      <c r="BV246" s="151"/>
      <c r="BW246" s="151"/>
      <c r="BX246" s="151"/>
    </row>
    <row r="247" spans="54:76">
      <c r="BB247" s="151"/>
      <c r="BC247" s="151"/>
      <c r="BD247" s="151"/>
      <c r="BE247" s="822"/>
      <c r="BF247" s="822"/>
      <c r="BG247" s="822"/>
      <c r="BH247" s="822"/>
      <c r="BI247" s="822"/>
      <c r="BJ247" s="822"/>
      <c r="BK247" s="822"/>
      <c r="BL247" s="822"/>
      <c r="BM247" s="822"/>
      <c r="BN247" s="822"/>
      <c r="BO247" s="822"/>
      <c r="BP247" s="822"/>
      <c r="BQ247" s="822"/>
      <c r="BR247" s="822"/>
      <c r="BS247" s="822"/>
      <c r="BT247" s="822"/>
      <c r="BU247" s="822"/>
      <c r="BV247" s="151"/>
      <c r="BW247" s="151"/>
      <c r="BX247" s="151"/>
    </row>
    <row r="248" spans="54:76">
      <c r="BB248" s="151"/>
      <c r="BC248" s="151"/>
      <c r="BD248" s="151"/>
      <c r="BE248" s="151"/>
      <c r="BF248" s="151"/>
      <c r="BG248" s="151"/>
      <c r="BH248" s="151"/>
      <c r="BI248" s="151"/>
      <c r="BJ248" s="151"/>
      <c r="BK248" s="151"/>
      <c r="BL248" s="151"/>
      <c r="BM248" s="151"/>
      <c r="BN248" s="151"/>
      <c r="BO248" s="151"/>
      <c r="BP248" s="151"/>
      <c r="BQ248" s="151"/>
      <c r="BR248" s="151"/>
      <c r="BS248" s="151"/>
      <c r="BT248" s="151"/>
      <c r="BU248" s="151"/>
      <c r="BV248" s="151"/>
      <c r="BW248" s="151"/>
      <c r="BX248" s="151"/>
    </row>
    <row r="249" spans="54:76">
      <c r="BB249" s="699"/>
      <c r="BC249" s="699"/>
      <c r="BD249" s="699"/>
      <c r="BE249" s="699"/>
      <c r="BF249" s="699"/>
      <c r="BG249" s="699"/>
      <c r="BH249" s="699"/>
      <c r="BI249" s="699"/>
      <c r="BJ249" s="699"/>
      <c r="BK249" s="699"/>
      <c r="BL249" s="699"/>
      <c r="BM249" s="699"/>
      <c r="BN249" s="699"/>
      <c r="BO249" s="1050"/>
      <c r="BP249" s="699"/>
      <c r="BQ249" s="699"/>
      <c r="BR249" s="699"/>
      <c r="BS249" s="699"/>
      <c r="BT249" s="699"/>
      <c r="BU249" s="699"/>
      <c r="BV249" s="699"/>
      <c r="BW249" s="699"/>
      <c r="BX249" s="699"/>
    </row>
    <row r="250" spans="54:76">
      <c r="BB250" s="699"/>
      <c r="BC250" s="699"/>
      <c r="BD250" s="699"/>
      <c r="BE250" s="699"/>
      <c r="BF250" s="699"/>
      <c r="BG250" s="699"/>
      <c r="BH250" s="699"/>
      <c r="BI250" s="699"/>
      <c r="BJ250" s="699"/>
      <c r="BK250" s="699"/>
      <c r="BL250" s="699"/>
      <c r="BM250" s="699"/>
      <c r="BN250" s="699"/>
      <c r="BO250" s="1050"/>
      <c r="BP250" s="151">
        <v>315272</v>
      </c>
      <c r="BQ250" s="699"/>
      <c r="BR250" s="699"/>
      <c r="BS250" s="699"/>
      <c r="BT250" s="699"/>
      <c r="BU250" s="699"/>
      <c r="BV250" s="699"/>
      <c r="BW250" s="699"/>
      <c r="BX250" s="699"/>
    </row>
    <row r="251" spans="54:76">
      <c r="BB251" s="699"/>
      <c r="BC251" s="699"/>
      <c r="BD251" s="699"/>
      <c r="BE251" s="699"/>
      <c r="BF251" s="699"/>
      <c r="BG251" s="699"/>
      <c r="BH251" s="699"/>
      <c r="BI251" s="699"/>
      <c r="BJ251" s="699"/>
      <c r="BK251" s="699"/>
      <c r="BL251" s="699"/>
      <c r="BM251" s="699"/>
      <c r="BN251" s="699"/>
      <c r="BO251" s="1050"/>
      <c r="BP251" s="151">
        <v>157986</v>
      </c>
      <c r="BQ251" s="699"/>
      <c r="BR251" s="699"/>
      <c r="BS251" s="699"/>
      <c r="BT251" s="699"/>
      <c r="BU251" s="699"/>
      <c r="BV251" s="699"/>
      <c r="BW251" s="699"/>
      <c r="BX251" s="699"/>
    </row>
    <row r="252" spans="54:76">
      <c r="BB252" s="699"/>
      <c r="BC252" s="699"/>
      <c r="BD252" s="699"/>
      <c r="BE252" s="1042"/>
      <c r="BF252" s="699"/>
      <c r="BG252" s="699"/>
      <c r="BH252" s="699"/>
      <c r="BI252" s="699"/>
      <c r="BJ252" s="699"/>
      <c r="BK252" s="699"/>
      <c r="BL252" s="699"/>
      <c r="BM252" s="699"/>
      <c r="BN252" s="699"/>
      <c r="BO252" s="1050"/>
      <c r="BP252" s="151">
        <v>197810</v>
      </c>
      <c r="BQ252" s="699"/>
      <c r="BR252" s="699"/>
      <c r="BS252" s="699"/>
      <c r="BT252" s="699"/>
      <c r="BU252" s="699"/>
      <c r="BV252" s="699"/>
      <c r="BW252" s="699"/>
      <c r="BX252" s="699"/>
    </row>
    <row r="253" spans="54:76">
      <c r="BB253" s="699"/>
      <c r="BC253" s="699"/>
      <c r="BD253" s="699"/>
      <c r="BE253" s="1042"/>
      <c r="BF253" s="699"/>
      <c r="BG253" s="699"/>
      <c r="BH253" s="699"/>
      <c r="BI253" s="699"/>
      <c r="BJ253" s="699"/>
      <c r="BK253" s="699"/>
      <c r="BL253" s="699"/>
      <c r="BM253" s="699"/>
      <c r="BN253" s="699"/>
      <c r="BO253" s="1050"/>
      <c r="BP253" s="151">
        <v>142100</v>
      </c>
      <c r="BQ253" s="699"/>
      <c r="BR253" s="699"/>
      <c r="BS253" s="699"/>
      <c r="BT253" s="699"/>
      <c r="BU253" s="699"/>
      <c r="BV253" s="699"/>
      <c r="BW253" s="699"/>
      <c r="BX253" s="699"/>
    </row>
    <row r="254" spans="54:76">
      <c r="BB254" s="699"/>
      <c r="BC254" s="699"/>
      <c r="BD254" s="699"/>
      <c r="BE254" s="1042"/>
      <c r="BF254" s="699"/>
      <c r="BG254" s="1045"/>
      <c r="BH254" s="699"/>
      <c r="BI254" s="699"/>
      <c r="BJ254" s="699"/>
      <c r="BK254" s="699"/>
      <c r="BL254" s="699"/>
      <c r="BM254" s="699"/>
      <c r="BN254" s="699"/>
      <c r="BO254" s="1050"/>
      <c r="BP254" s="151">
        <v>192270</v>
      </c>
      <c r="BQ254" s="699"/>
      <c r="BR254" s="699"/>
      <c r="BS254" s="699"/>
      <c r="BT254" s="699"/>
      <c r="BU254" s="699"/>
      <c r="BV254" s="699"/>
      <c r="BW254" s="699"/>
      <c r="BX254" s="699"/>
    </row>
    <row r="255" spans="54:76" ht="15.75">
      <c r="BB255" s="699"/>
      <c r="BC255" s="699"/>
      <c r="BD255" s="699"/>
      <c r="BE255" s="274"/>
      <c r="BF255" s="274"/>
      <c r="BG255" s="699"/>
      <c r="BH255" s="699"/>
      <c r="BI255" s="699"/>
      <c r="BJ255" s="699"/>
      <c r="BK255" s="699"/>
      <c r="BL255" s="699"/>
      <c r="BM255" s="699"/>
      <c r="BN255" s="699"/>
      <c r="BO255" s="1050"/>
      <c r="BP255" s="151">
        <v>123852</v>
      </c>
      <c r="BQ255" s="699"/>
      <c r="BR255" s="699"/>
      <c r="BS255" s="699"/>
      <c r="BT255" s="699"/>
      <c r="BU255" s="699"/>
      <c r="BV255" s="699"/>
      <c r="BW255" s="699"/>
      <c r="BX255" s="699"/>
    </row>
    <row r="256" spans="54:76">
      <c r="BB256" s="699"/>
      <c r="BC256" s="699"/>
      <c r="BD256" s="699"/>
      <c r="BE256" s="699"/>
      <c r="BF256" s="699"/>
      <c r="BG256" s="699"/>
      <c r="BH256" s="699"/>
      <c r="BI256" s="699"/>
      <c r="BJ256" s="699"/>
      <c r="BK256" s="699"/>
      <c r="BL256" s="699"/>
      <c r="BM256" s="699"/>
      <c r="BN256" s="699"/>
      <c r="BO256" s="1050"/>
      <c r="BP256" s="151">
        <v>194824</v>
      </c>
      <c r="BQ256" s="699"/>
      <c r="BR256" s="699"/>
      <c r="BS256" s="699"/>
      <c r="BT256" s="699"/>
      <c r="BU256" s="699"/>
      <c r="BV256" s="699"/>
      <c r="BW256" s="699"/>
      <c r="BX256" s="699"/>
    </row>
    <row r="257" spans="57:68">
      <c r="BE257" s="1045"/>
      <c r="BF257" s="699"/>
      <c r="BG257" s="699"/>
      <c r="BH257" s="699"/>
      <c r="BI257" s="699"/>
      <c r="BJ257" s="699"/>
      <c r="BK257" s="699"/>
      <c r="BL257" s="699"/>
      <c r="BM257" s="699"/>
      <c r="BN257" s="699"/>
      <c r="BO257" s="1050"/>
      <c r="BP257" s="151">
        <v>94935</v>
      </c>
    </row>
    <row r="258" spans="57:68">
      <c r="BE258" s="699"/>
      <c r="BF258" s="699"/>
      <c r="BG258" s="699"/>
      <c r="BH258" s="699"/>
      <c r="BI258" s="699"/>
      <c r="BJ258" s="699"/>
      <c r="BK258" s="699"/>
      <c r="BL258" s="699"/>
      <c r="BM258" s="699"/>
      <c r="BN258" s="699"/>
      <c r="BO258" s="1050"/>
      <c r="BP258" s="699"/>
    </row>
    <row r="259" spans="57:68">
      <c r="BE259" s="699"/>
      <c r="BF259" s="699"/>
      <c r="BG259" s="699"/>
      <c r="BH259" s="699"/>
      <c r="BI259" s="699"/>
      <c r="BJ259" s="699"/>
      <c r="BK259" s="699"/>
      <c r="BL259" s="699"/>
      <c r="BM259" s="699"/>
      <c r="BN259" s="699"/>
      <c r="BO259" s="1050"/>
      <c r="BP259" s="699"/>
    </row>
    <row r="260" spans="57:68">
      <c r="BE260" s="699"/>
      <c r="BF260" s="699"/>
      <c r="BG260" s="699"/>
      <c r="BH260" s="699"/>
      <c r="BI260" s="699"/>
      <c r="BJ260" s="699"/>
      <c r="BK260" s="699"/>
      <c r="BL260" s="699"/>
      <c r="BM260" s="699"/>
      <c r="BN260" s="699"/>
      <c r="BO260" s="1050"/>
      <c r="BP260" s="699"/>
    </row>
    <row r="261" spans="57:68">
      <c r="BE261" s="699"/>
      <c r="BF261" s="699"/>
      <c r="BG261" s="699"/>
      <c r="BH261" s="699"/>
      <c r="BI261" s="699"/>
      <c r="BJ261" s="699"/>
      <c r="BK261" s="699"/>
      <c r="BL261" s="699"/>
      <c r="BM261" s="699"/>
      <c r="BN261" s="699"/>
      <c r="BO261" s="1050"/>
      <c r="BP261" s="699"/>
    </row>
    <row r="262" spans="57:68">
      <c r="BE262" s="699"/>
      <c r="BF262" s="699"/>
      <c r="BG262" s="699"/>
      <c r="BH262" s="699"/>
      <c r="BI262" s="699"/>
      <c r="BJ262" s="699"/>
      <c r="BK262" s="699"/>
      <c r="BL262" s="699"/>
      <c r="BM262" s="699"/>
      <c r="BN262" s="699"/>
      <c r="BO262" s="1050"/>
      <c r="BP262" s="699"/>
    </row>
    <row r="263" spans="57:68">
      <c r="BE263" s="699"/>
      <c r="BF263" s="699"/>
      <c r="BG263" s="699"/>
      <c r="BH263" s="699"/>
      <c r="BI263" s="699"/>
      <c r="BJ263" s="699"/>
      <c r="BK263" s="699"/>
      <c r="BL263" s="699"/>
      <c r="BM263" s="699"/>
      <c r="BN263" s="699"/>
      <c r="BO263" s="1050"/>
      <c r="BP263" s="699"/>
    </row>
    <row r="264" spans="57:68">
      <c r="BE264" s="699"/>
      <c r="BF264" s="699"/>
      <c r="BG264" s="699"/>
      <c r="BH264" s="699"/>
      <c r="BI264" s="699"/>
      <c r="BJ264" s="699"/>
      <c r="BK264" s="699"/>
      <c r="BL264" s="699"/>
      <c r="BM264" s="699"/>
      <c r="BN264" s="699"/>
      <c r="BO264" s="1050"/>
      <c r="BP264" s="699"/>
    </row>
    <row r="265" spans="57:68">
      <c r="BE265" s="699"/>
      <c r="BF265" s="699"/>
      <c r="BG265" s="699"/>
      <c r="BH265" s="699"/>
      <c r="BI265" s="699"/>
      <c r="BJ265" s="699"/>
      <c r="BK265" s="699"/>
      <c r="BL265" s="699"/>
      <c r="BM265" s="699"/>
      <c r="BN265" s="699"/>
      <c r="BO265" s="1050"/>
      <c r="BP265" s="699"/>
    </row>
    <row r="266" spans="57:68">
      <c r="BE266" s="699"/>
      <c r="BF266" s="699"/>
      <c r="BG266" s="699"/>
      <c r="BH266" s="699"/>
      <c r="BI266" s="699"/>
      <c r="BJ266" s="699"/>
      <c r="BK266" s="699"/>
      <c r="BL266" s="699"/>
      <c r="BM266" s="699"/>
      <c r="BN266" s="699"/>
      <c r="BO266" s="1050"/>
      <c r="BP266" s="699"/>
    </row>
    <row r="267" spans="57:68">
      <c r="BE267" s="699"/>
      <c r="BF267" s="699"/>
      <c r="BG267" s="699"/>
      <c r="BH267" s="699"/>
      <c r="BI267" s="699"/>
      <c r="BJ267" s="699"/>
      <c r="BK267" s="699"/>
      <c r="BL267" s="699"/>
      <c r="BM267" s="699"/>
      <c r="BN267" s="699"/>
      <c r="BO267" s="1050"/>
      <c r="BP267" s="699"/>
    </row>
    <row r="268" spans="57:68">
      <c r="BE268" s="699"/>
      <c r="BF268" s="699"/>
      <c r="BG268" s="699"/>
      <c r="BH268" s="699"/>
      <c r="BI268" s="699"/>
      <c r="BJ268" s="699"/>
      <c r="BK268" s="699"/>
      <c r="BL268" s="699"/>
      <c r="BM268" s="699"/>
      <c r="BN268" s="699"/>
      <c r="BO268" s="1050"/>
      <c r="BP268" s="699"/>
    </row>
    <row r="269" spans="57:68">
      <c r="BE269" s="699"/>
      <c r="BF269" s="699"/>
      <c r="BG269" s="699"/>
      <c r="BH269" s="699"/>
      <c r="BI269" s="699"/>
      <c r="BJ269" s="699"/>
      <c r="BK269" s="699"/>
      <c r="BL269" s="699"/>
      <c r="BM269" s="699"/>
      <c r="BN269" s="699"/>
      <c r="BO269" s="1050"/>
      <c r="BP269" s="699"/>
    </row>
  </sheetData>
  <mergeCells count="5">
    <mergeCell ref="C2:H2"/>
    <mergeCell ref="BV214:BW214"/>
    <mergeCell ref="O17:AG17"/>
    <mergeCell ref="BE214:BU214"/>
    <mergeCell ref="AI17:AR17"/>
  </mergeCells>
  <phoneticPr fontId="87" type="noConversion"/>
  <conditionalFormatting sqref="F48:L48 BE245:BU245 O48:AF48 BR49:BU49 BH49:BI49 BU48:BV48 AI48:AQ48 CB48">
    <cfRule type="cellIs" dxfId="3" priority="4" operator="greaterThan">
      <formula>0</formula>
    </cfRule>
  </conditionalFormatting>
  <conditionalFormatting sqref="AR48">
    <cfRule type="cellIs" dxfId="2" priority="3" operator="greaterThan">
      <formula>0</formula>
    </cfRule>
  </conditionalFormatting>
  <conditionalFormatting sqref="AG48">
    <cfRule type="cellIs" dxfId="1" priority="2" operator="greaterThan">
      <formula>0</formula>
    </cfRule>
  </conditionalFormatting>
  <conditionalFormatting sqref="AG19:AG42">
    <cfRule type="cellIs" dxfId="0" priority="1" operator="notEqual">
      <formula>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702F5-3C10-4BD4-97C1-C407EE756DF9}">
  <sheetPr>
    <tabColor rgb="FFC00000"/>
  </sheetPr>
  <dimension ref="A2:FU121"/>
  <sheetViews>
    <sheetView topLeftCell="G97" zoomScale="70" zoomScaleNormal="70" workbookViewId="0">
      <selection activeCell="W119" sqref="W119"/>
    </sheetView>
  </sheetViews>
  <sheetFormatPr defaultColWidth="8.85546875" defaultRowHeight="16.5" outlineLevelRow="1"/>
  <cols>
    <col min="1" max="1" width="12.42578125" style="1" customWidth="1"/>
    <col min="2" max="2" width="7.42578125" style="1" customWidth="1"/>
    <col min="3" max="3" width="45.85546875" style="1" customWidth="1"/>
    <col min="4" max="4" width="13.42578125" style="1" bestFit="1" customWidth="1"/>
    <col min="5" max="5" width="8.42578125" style="1" bestFit="1" customWidth="1"/>
    <col min="6" max="6" width="9.85546875" style="1" bestFit="1" customWidth="1"/>
    <col min="7" max="7" width="19.42578125" style="1" bestFit="1" customWidth="1"/>
    <col min="8" max="10" width="17.140625" style="1" bestFit="1" customWidth="1"/>
    <col min="11" max="11" width="9.5703125" style="1" bestFit="1" customWidth="1"/>
    <col min="12" max="12" width="19.42578125" style="1" bestFit="1" customWidth="1"/>
    <col min="13" max="14" width="17.140625" style="1" bestFit="1" customWidth="1"/>
    <col min="15" max="16" width="17.7109375" style="1" hidden="1" customWidth="1"/>
    <col min="17" max="18" width="0.140625" style="1" customWidth="1"/>
    <col min="19" max="19" width="15.7109375" style="1" bestFit="1" customWidth="1"/>
    <col min="20" max="20" width="17.140625" style="1" bestFit="1" customWidth="1"/>
    <col min="21" max="22" width="0.140625" style="1" customWidth="1"/>
    <col min="23" max="25" width="17.140625" style="1" bestFit="1" customWidth="1"/>
    <col min="26" max="26" width="17.42578125" style="1" hidden="1" customWidth="1"/>
    <col min="27" max="27" width="16" style="1" hidden="1" customWidth="1"/>
    <col min="28" max="28" width="17.140625" style="1" bestFit="1" customWidth="1"/>
    <col min="29" max="29" width="0.140625" style="1" customWidth="1"/>
    <col min="30" max="30" width="13.28515625" style="1" customWidth="1"/>
    <col min="31" max="33" width="1.85546875" style="1" customWidth="1"/>
    <col min="34" max="34" width="0" style="1" hidden="1" customWidth="1"/>
    <col min="35" max="37" width="17.140625" style="1" bestFit="1" customWidth="1"/>
    <col min="38" max="41" width="16.85546875" style="1" hidden="1" customWidth="1"/>
    <col min="42" max="42" width="15.7109375" style="1" bestFit="1" customWidth="1"/>
    <col min="43" max="43" width="16.7109375" style="1" customWidth="1"/>
    <col min="44" max="45" width="16.85546875" style="1" hidden="1" customWidth="1"/>
    <col min="46" max="47" width="15.7109375" style="1" bestFit="1" customWidth="1"/>
    <col min="48" max="48" width="17.140625" style="1" customWidth="1"/>
    <col min="49" max="49" width="13.85546875" style="1" hidden="1" customWidth="1"/>
    <col min="50" max="50" width="17.140625" style="1" hidden="1" customWidth="1"/>
    <col min="51" max="51" width="15.7109375" style="1" bestFit="1" customWidth="1"/>
    <col min="52" max="52" width="0.140625" style="1" customWidth="1"/>
    <col min="53" max="53" width="21" style="1" customWidth="1"/>
    <col min="54" max="55" width="1.85546875" style="1" customWidth="1"/>
    <col min="56" max="56" width="17.140625" style="1" bestFit="1" customWidth="1"/>
    <col min="57" max="57" width="15.7109375" style="1" bestFit="1" customWidth="1"/>
    <col min="58" max="58" width="17.140625" style="1" bestFit="1" customWidth="1"/>
    <col min="59" max="59" width="0.140625" style="1" customWidth="1"/>
    <col min="60" max="60" width="16.42578125" style="1" hidden="1" customWidth="1"/>
    <col min="61" max="62" width="0.140625" style="1" customWidth="1"/>
    <col min="63" max="63" width="15.7109375" style="1" bestFit="1" customWidth="1"/>
    <col min="64" max="64" width="16.28515625" style="1" customWidth="1"/>
    <col min="65" max="65" width="0.140625" style="1" customWidth="1"/>
    <col min="66" max="66" width="15.140625" style="1" hidden="1" customWidth="1"/>
    <col min="67" max="68" width="15.7109375" style="1" bestFit="1" customWidth="1"/>
    <col min="69" max="69" width="13.28515625" style="1" customWidth="1"/>
    <col min="70" max="70" width="15.140625" style="1" hidden="1" customWidth="1"/>
    <col min="71" max="71" width="5.5703125" style="1" hidden="1" customWidth="1"/>
    <col min="72" max="72" width="15.7109375" style="1" bestFit="1" customWidth="1"/>
    <col min="73" max="73" width="14.140625" style="1" hidden="1" customWidth="1"/>
    <col min="74" max="74" width="7.85546875" style="1" customWidth="1"/>
    <col min="75" max="76" width="1.85546875" style="1" customWidth="1"/>
    <col min="77" max="77" width="17.140625" style="1" bestFit="1" customWidth="1"/>
    <col min="78" max="78" width="15.7109375" style="1" bestFit="1" customWidth="1"/>
    <col min="79" max="79" width="18.42578125" style="1" customWidth="1"/>
    <col min="80" max="81" width="16.85546875" style="1" hidden="1" customWidth="1"/>
    <col min="82" max="83" width="0.28515625" style="1" customWidth="1"/>
    <col min="84" max="84" width="15.7109375" style="1" bestFit="1" customWidth="1"/>
    <col min="85" max="85" width="18.85546875" style="1" customWidth="1"/>
    <col min="86" max="87" width="16.85546875" style="1" hidden="1" customWidth="1"/>
    <col min="88" max="89" width="15.7109375" style="1" bestFit="1" customWidth="1"/>
    <col min="90" max="90" width="17.140625" style="1" bestFit="1" customWidth="1"/>
    <col min="91" max="92" width="14.28515625" style="1" hidden="1" customWidth="1"/>
    <col min="93" max="93" width="15.7109375" style="1" bestFit="1" customWidth="1"/>
    <col min="94" max="94" width="14.28515625" style="1" hidden="1" customWidth="1"/>
    <col min="95" max="96" width="21" style="1" customWidth="1"/>
    <col min="97" max="16384" width="8.85546875" style="1"/>
  </cols>
  <sheetData>
    <row r="2" spans="1:96">
      <c r="A2" s="2" t="s">
        <v>250</v>
      </c>
      <c r="L2" s="1129" t="s">
        <v>892</v>
      </c>
      <c r="M2" s="1129"/>
      <c r="N2" s="1129"/>
      <c r="O2" s="1129"/>
      <c r="P2" s="1129"/>
      <c r="Q2" s="1129"/>
      <c r="R2" s="1129"/>
      <c r="S2" s="1129"/>
      <c r="T2" s="1129"/>
      <c r="U2" s="1129"/>
      <c r="V2" s="1129"/>
      <c r="W2" s="1129"/>
      <c r="X2" s="1129"/>
      <c r="Y2" s="1129"/>
      <c r="Z2" s="1129"/>
      <c r="AA2" s="1129"/>
      <c r="AB2" s="1129"/>
      <c r="AC2" s="1129"/>
      <c r="AI2" s="1129" t="s">
        <v>893</v>
      </c>
      <c r="AJ2" s="1129"/>
      <c r="AK2" s="1129"/>
      <c r="AL2" s="1129"/>
      <c r="AM2" s="1129"/>
      <c r="AN2" s="1129"/>
      <c r="AO2" s="1129"/>
      <c r="AP2" s="1129"/>
      <c r="AQ2" s="1129"/>
      <c r="AR2" s="1129"/>
      <c r="AS2" s="1129"/>
      <c r="AT2" s="1129"/>
      <c r="AU2" s="1129"/>
      <c r="AV2" s="1129"/>
      <c r="AW2" s="1129"/>
      <c r="AX2" s="1129"/>
      <c r="BD2" s="1129" t="s">
        <v>894</v>
      </c>
      <c r="BE2" s="1129"/>
      <c r="BF2" s="1129"/>
      <c r="BG2" s="1129"/>
      <c r="BH2" s="1129"/>
      <c r="BI2" s="1129"/>
      <c r="BJ2" s="1129"/>
      <c r="BK2" s="1129"/>
      <c r="BL2" s="1129"/>
      <c r="BM2" s="1129"/>
      <c r="BN2" s="1129"/>
      <c r="BO2" s="1129"/>
      <c r="BP2" s="1129"/>
      <c r="BQ2" s="1129"/>
      <c r="BR2" s="1129"/>
      <c r="BS2" s="1129"/>
      <c r="BY2" s="1129" t="s">
        <v>895</v>
      </c>
      <c r="BZ2" s="1129"/>
      <c r="CA2" s="1129"/>
      <c r="CB2" s="1129"/>
      <c r="CC2" s="1129"/>
      <c r="CD2" s="1129"/>
      <c r="CE2" s="1129"/>
      <c r="CF2" s="1129"/>
      <c r="CG2" s="1129"/>
      <c r="CH2" s="1129"/>
      <c r="CI2" s="1129"/>
      <c r="CJ2" s="1129"/>
      <c r="CK2" s="1129"/>
      <c r="CL2" s="1129"/>
      <c r="CM2" s="1129"/>
      <c r="CN2" s="1129"/>
    </row>
    <row r="3" spans="1:96">
      <c r="L3" s="584"/>
      <c r="M3" s="584">
        <v>0</v>
      </c>
      <c r="N3" s="584">
        <f>M3+1</f>
        <v>1</v>
      </c>
      <c r="O3" s="584">
        <f t="shared" ref="O3:T3" si="0">N3+1</f>
        <v>2</v>
      </c>
      <c r="P3" s="584">
        <f t="shared" si="0"/>
        <v>3</v>
      </c>
      <c r="Q3" s="584">
        <f t="shared" si="0"/>
        <v>4</v>
      </c>
      <c r="R3" s="584">
        <f t="shared" si="0"/>
        <v>5</v>
      </c>
      <c r="S3" s="584">
        <f t="shared" si="0"/>
        <v>6</v>
      </c>
      <c r="T3" s="584">
        <f t="shared" si="0"/>
        <v>7</v>
      </c>
      <c r="U3" s="584">
        <f t="shared" ref="U3" si="1">T3+1</f>
        <v>8</v>
      </c>
      <c r="V3" s="584">
        <f t="shared" ref="V3" si="2">U3+1</f>
        <v>9</v>
      </c>
      <c r="W3" s="584">
        <f t="shared" ref="W3" si="3">V3+1</f>
        <v>10</v>
      </c>
      <c r="X3" s="584">
        <f t="shared" ref="X3" si="4">W3+1</f>
        <v>11</v>
      </c>
      <c r="Y3" s="584">
        <f t="shared" ref="Y3" si="5">X3+1</f>
        <v>12</v>
      </c>
      <c r="Z3" s="584">
        <f t="shared" ref="Z3" si="6">Y3+1</f>
        <v>13</v>
      </c>
      <c r="AA3" s="584">
        <f t="shared" ref="AA3" si="7">Z3+1</f>
        <v>14</v>
      </c>
      <c r="AB3" s="584">
        <f t="shared" ref="AB3" si="8">AA3+1</f>
        <v>15</v>
      </c>
      <c r="AC3" s="584">
        <f t="shared" ref="AC3" si="9">AB3+1</f>
        <v>16</v>
      </c>
      <c r="AD3" s="584"/>
      <c r="AE3" s="584"/>
      <c r="AF3" s="584"/>
      <c r="AG3" s="584"/>
      <c r="AH3" s="584"/>
      <c r="AI3" s="584"/>
      <c r="AJ3" s="584">
        <v>0</v>
      </c>
      <c r="AK3" s="584">
        <f>AJ3+1</f>
        <v>1</v>
      </c>
      <c r="AL3" s="584">
        <f t="shared" ref="AL3" si="10">AK3+1</f>
        <v>2</v>
      </c>
      <c r="AM3" s="584">
        <f t="shared" ref="AM3" si="11">AL3+1</f>
        <v>3</v>
      </c>
      <c r="AN3" s="584">
        <f t="shared" ref="AN3" si="12">AM3+1</f>
        <v>4</v>
      </c>
      <c r="AO3" s="584">
        <f t="shared" ref="AO3" si="13">AN3+1</f>
        <v>5</v>
      </c>
      <c r="AP3" s="584">
        <f t="shared" ref="AP3" si="14">AO3+1</f>
        <v>6</v>
      </c>
      <c r="AQ3" s="584">
        <f t="shared" ref="AQ3" si="15">AP3+1</f>
        <v>7</v>
      </c>
      <c r="AR3" s="584">
        <f t="shared" ref="AR3" si="16">AQ3+1</f>
        <v>8</v>
      </c>
      <c r="AS3" s="584">
        <f t="shared" ref="AS3" si="17">AR3+1</f>
        <v>9</v>
      </c>
      <c r="AT3" s="584">
        <f t="shared" ref="AT3" si="18">AS3+1</f>
        <v>10</v>
      </c>
      <c r="AU3" s="584">
        <f t="shared" ref="AU3" si="19">AT3+1</f>
        <v>11</v>
      </c>
      <c r="AV3" s="584">
        <f t="shared" ref="AV3" si="20">AU3+1</f>
        <v>12</v>
      </c>
      <c r="AW3" s="584">
        <f>AV3+1</f>
        <v>13</v>
      </c>
      <c r="AX3" s="584">
        <f t="shared" ref="AX3:AZ3" si="21">AW3+1</f>
        <v>14</v>
      </c>
      <c r="AY3" s="584">
        <f t="shared" si="21"/>
        <v>15</v>
      </c>
      <c r="AZ3" s="584">
        <f t="shared" si="21"/>
        <v>16</v>
      </c>
      <c r="BA3" s="584"/>
      <c r="BB3" s="584"/>
      <c r="BC3" s="584"/>
      <c r="BD3" s="584"/>
      <c r="BE3" s="584">
        <v>0</v>
      </c>
      <c r="BF3" s="584">
        <f>BE3+1</f>
        <v>1</v>
      </c>
      <c r="BG3" s="584">
        <f t="shared" ref="BG3" si="22">BF3+1</f>
        <v>2</v>
      </c>
      <c r="BH3" s="584">
        <f t="shared" ref="BH3" si="23">BG3+1</f>
        <v>3</v>
      </c>
      <c r="BI3" s="584">
        <f t="shared" ref="BI3" si="24">BH3+1</f>
        <v>4</v>
      </c>
      <c r="BJ3" s="584">
        <f t="shared" ref="BJ3" si="25">BI3+1</f>
        <v>5</v>
      </c>
      <c r="BK3" s="584">
        <f t="shared" ref="BK3" si="26">BJ3+1</f>
        <v>6</v>
      </c>
      <c r="BL3" s="584">
        <f t="shared" ref="BL3" si="27">BK3+1</f>
        <v>7</v>
      </c>
      <c r="BM3" s="584">
        <f t="shared" ref="BM3" si="28">BL3+1</f>
        <v>8</v>
      </c>
      <c r="BN3" s="584">
        <f t="shared" ref="BN3" si="29">BM3+1</f>
        <v>9</v>
      </c>
      <c r="BO3" s="584">
        <f t="shared" ref="BO3" si="30">BN3+1</f>
        <v>10</v>
      </c>
      <c r="BP3" s="584">
        <f t="shared" ref="BP3" si="31">BO3+1</f>
        <v>11</v>
      </c>
      <c r="BQ3" s="584">
        <f t="shared" ref="BQ3" si="32">BP3+1</f>
        <v>12</v>
      </c>
      <c r="BR3" s="584">
        <f>BQ3+1</f>
        <v>13</v>
      </c>
      <c r="BS3" s="584">
        <f t="shared" ref="BS3:BU3" si="33">BR3+1</f>
        <v>14</v>
      </c>
      <c r="BT3" s="584">
        <f t="shared" si="33"/>
        <v>15</v>
      </c>
      <c r="BU3" s="584">
        <f t="shared" si="33"/>
        <v>16</v>
      </c>
      <c r="BV3" s="584"/>
      <c r="BW3" s="584"/>
      <c r="BX3" s="584"/>
      <c r="BY3" s="584"/>
      <c r="BZ3" s="584">
        <v>0</v>
      </c>
      <c r="CA3" s="584">
        <f>BZ3+1</f>
        <v>1</v>
      </c>
      <c r="CB3" s="584">
        <f t="shared" ref="CB3" si="34">CA3+1</f>
        <v>2</v>
      </c>
      <c r="CC3" s="584">
        <f t="shared" ref="CC3" si="35">CB3+1</f>
        <v>3</v>
      </c>
      <c r="CD3" s="584">
        <f t="shared" ref="CD3" si="36">CC3+1</f>
        <v>4</v>
      </c>
      <c r="CE3" s="584">
        <f t="shared" ref="CE3" si="37">CD3+1</f>
        <v>5</v>
      </c>
      <c r="CF3" s="584">
        <f t="shared" ref="CF3" si="38">CE3+1</f>
        <v>6</v>
      </c>
      <c r="CG3" s="584">
        <f t="shared" ref="CG3" si="39">CF3+1</f>
        <v>7</v>
      </c>
      <c r="CH3" s="584">
        <f t="shared" ref="CH3" si="40">CG3+1</f>
        <v>8</v>
      </c>
      <c r="CI3" s="584">
        <f t="shared" ref="CI3" si="41">CH3+1</f>
        <v>9</v>
      </c>
      <c r="CJ3" s="584">
        <f t="shared" ref="CJ3" si="42">CI3+1</f>
        <v>10</v>
      </c>
      <c r="CK3" s="584">
        <f t="shared" ref="CK3" si="43">CJ3+1</f>
        <v>11</v>
      </c>
      <c r="CL3" s="584">
        <f t="shared" ref="CL3" si="44">CK3+1</f>
        <v>12</v>
      </c>
      <c r="CM3" s="584">
        <f>CL3+1</f>
        <v>13</v>
      </c>
      <c r="CN3" s="584">
        <f t="shared" ref="CN3:CP3" si="45">CM3+1</f>
        <v>14</v>
      </c>
      <c r="CO3" s="584">
        <f t="shared" si="45"/>
        <v>15</v>
      </c>
      <c r="CP3" s="584">
        <f t="shared" si="45"/>
        <v>16</v>
      </c>
    </row>
    <row r="4" spans="1:96" ht="75.75" customHeight="1">
      <c r="B4" s="542" t="s">
        <v>896</v>
      </c>
      <c r="C4" s="543"/>
      <c r="D4" s="543"/>
      <c r="E4" s="543"/>
      <c r="F4" s="543"/>
      <c r="G4" s="544" t="s">
        <v>258</v>
      </c>
      <c r="H4" s="544" t="str">
        <f>+Assumptions!F$26</f>
        <v>I</v>
      </c>
      <c r="I4" s="544" t="str">
        <f>+Assumptions!G$26</f>
        <v>II</v>
      </c>
      <c r="J4" s="544" t="str">
        <f>+Assumptions!H$26</f>
        <v>III</v>
      </c>
      <c r="L4" s="545" t="s">
        <v>254</v>
      </c>
      <c r="M4" s="546" t="str">
        <f t="shared" ref="M4:V4" ca="1" si="46">+OFFSET($B11,M$3,0)</f>
        <v xml:space="preserve">Standard Affordable Residential </v>
      </c>
      <c r="N4" s="546" t="str">
        <f t="shared" ca="1" si="46"/>
        <v xml:space="preserve">Standard Market-Rate Residential </v>
      </c>
      <c r="O4" s="546" t="str">
        <f t="shared" ca="1" si="46"/>
        <v>Affordable Multi-Bedroom Residential</v>
      </c>
      <c r="P4" s="546" t="str">
        <f t="shared" ca="1" si="46"/>
        <v>Market-Rate Multi-Bedroom Residential</v>
      </c>
      <c r="Q4" s="546" t="str">
        <f t="shared" ca="1" si="46"/>
        <v xml:space="preserve">Affordable Senior Living Residential </v>
      </c>
      <c r="R4" s="546" t="str">
        <f t="shared" ca="1" si="46"/>
        <v xml:space="preserve">Market-Rate Senior Living Residential </v>
      </c>
      <c r="S4" s="546" t="str">
        <f t="shared" ca="1" si="46"/>
        <v>Affordable For-Sale Residential</v>
      </c>
      <c r="T4" s="546" t="str">
        <f t="shared" ca="1" si="46"/>
        <v xml:space="preserve">Market-Rate For-Sale Residential </v>
      </c>
      <c r="U4" s="546" t="str">
        <f t="shared" ca="1" si="46"/>
        <v xml:space="preserve">Affordable Student Housing </v>
      </c>
      <c r="V4" s="546" t="str">
        <f t="shared" ca="1" si="46"/>
        <v xml:space="preserve">Market-Rate Student Housing </v>
      </c>
      <c r="W4" s="546" t="str">
        <f>B21</f>
        <v xml:space="preserve">Office </v>
      </c>
      <c r="X4" s="546" t="str">
        <f t="shared" ref="X4:AC4" ca="1" si="47">+OFFSET($B11,X$3,0)</f>
        <v xml:space="preserve">Retail </v>
      </c>
      <c r="Y4" s="546" t="str">
        <f t="shared" ca="1" si="47"/>
        <v xml:space="preserve">Hotel </v>
      </c>
      <c r="Z4" s="546" t="str">
        <f t="shared" ca="1" si="47"/>
        <v xml:space="preserve">Specialty - Data Center </v>
      </c>
      <c r="AA4" s="546" t="str">
        <f t="shared" ca="1" si="47"/>
        <v xml:space="preserve">Community Facility </v>
      </c>
      <c r="AB4" s="546" t="str">
        <f t="shared" ca="1" si="47"/>
        <v xml:space="preserve">Structural Parking </v>
      </c>
      <c r="AC4" s="546" t="str">
        <f t="shared" ca="1" si="47"/>
        <v xml:space="preserve">Surface Parking </v>
      </c>
      <c r="AI4" s="545" t="s">
        <v>254</v>
      </c>
      <c r="AJ4" s="546" t="str">
        <f t="shared" ref="AJ4:AS4" ca="1" si="48">+OFFSET($B11,AJ$3,0)</f>
        <v xml:space="preserve">Standard Affordable Residential </v>
      </c>
      <c r="AK4" s="546" t="str">
        <f t="shared" ca="1" si="48"/>
        <v xml:space="preserve">Standard Market-Rate Residential </v>
      </c>
      <c r="AL4" s="546" t="str">
        <f t="shared" ca="1" si="48"/>
        <v>Affordable Multi-Bedroom Residential</v>
      </c>
      <c r="AM4" s="546" t="str">
        <f t="shared" ca="1" si="48"/>
        <v>Market-Rate Multi-Bedroom Residential</v>
      </c>
      <c r="AN4" s="546" t="str">
        <f t="shared" ca="1" si="48"/>
        <v xml:space="preserve">Affordable Senior Living Residential </v>
      </c>
      <c r="AO4" s="546" t="str">
        <f t="shared" ca="1" si="48"/>
        <v xml:space="preserve">Market-Rate Senior Living Residential </v>
      </c>
      <c r="AP4" s="546" t="str">
        <f t="shared" ca="1" si="48"/>
        <v>Affordable For-Sale Residential</v>
      </c>
      <c r="AQ4" s="546" t="str">
        <f t="shared" ca="1" si="48"/>
        <v xml:space="preserve">Market-Rate For-Sale Residential </v>
      </c>
      <c r="AR4" s="546" t="str">
        <f t="shared" ca="1" si="48"/>
        <v xml:space="preserve">Affordable Student Housing </v>
      </c>
      <c r="AS4" s="546" t="str">
        <f t="shared" ca="1" si="48"/>
        <v xml:space="preserve">Market-Rate Student Housing </v>
      </c>
      <c r="AT4" s="546" t="str">
        <f>B21</f>
        <v xml:space="preserve">Office </v>
      </c>
      <c r="AU4" s="546" t="str">
        <f t="shared" ref="AU4:AZ4" ca="1" si="49">+OFFSET($B11,AU$3,0)</f>
        <v xml:space="preserve">Retail </v>
      </c>
      <c r="AV4" s="546" t="str">
        <f t="shared" ca="1" si="49"/>
        <v xml:space="preserve">Hotel </v>
      </c>
      <c r="AW4" s="546" t="str">
        <f t="shared" ca="1" si="49"/>
        <v xml:space="preserve">Specialty - Data Center </v>
      </c>
      <c r="AX4" s="546" t="str">
        <f t="shared" ca="1" si="49"/>
        <v xml:space="preserve">Community Facility </v>
      </c>
      <c r="AY4" s="546" t="str">
        <f t="shared" ca="1" si="49"/>
        <v xml:space="preserve">Structural Parking </v>
      </c>
      <c r="AZ4" s="546" t="str">
        <f t="shared" ca="1" si="49"/>
        <v xml:space="preserve">Surface Parking </v>
      </c>
      <c r="BD4" s="545" t="s">
        <v>254</v>
      </c>
      <c r="BE4" s="546" t="str">
        <f t="shared" ref="BE4:BN4" ca="1" si="50">+OFFSET($B11,BE$3,0)</f>
        <v xml:space="preserve">Standard Affordable Residential </v>
      </c>
      <c r="BF4" s="546" t="str">
        <f t="shared" ca="1" si="50"/>
        <v xml:space="preserve">Standard Market-Rate Residential </v>
      </c>
      <c r="BG4" s="546" t="str">
        <f t="shared" ca="1" si="50"/>
        <v>Affordable Multi-Bedroom Residential</v>
      </c>
      <c r="BH4" s="546" t="str">
        <f t="shared" ca="1" si="50"/>
        <v>Market-Rate Multi-Bedroom Residential</v>
      </c>
      <c r="BI4" s="546" t="str">
        <f t="shared" ca="1" si="50"/>
        <v xml:space="preserve">Affordable Senior Living Residential </v>
      </c>
      <c r="BJ4" s="546" t="str">
        <f t="shared" ca="1" si="50"/>
        <v xml:space="preserve">Market-Rate Senior Living Residential </v>
      </c>
      <c r="BK4" s="546" t="str">
        <f t="shared" ca="1" si="50"/>
        <v>Affordable For-Sale Residential</v>
      </c>
      <c r="BL4" s="546" t="str">
        <f t="shared" ca="1" si="50"/>
        <v xml:space="preserve">Market-Rate For-Sale Residential </v>
      </c>
      <c r="BM4" s="546" t="str">
        <f t="shared" ca="1" si="50"/>
        <v xml:space="preserve">Affordable Student Housing </v>
      </c>
      <c r="BN4" s="546" t="str">
        <f t="shared" ca="1" si="50"/>
        <v xml:space="preserve">Market-Rate Student Housing </v>
      </c>
      <c r="BO4" s="546" t="str">
        <f>AT4</f>
        <v xml:space="preserve">Office </v>
      </c>
      <c r="BP4" s="546" t="str">
        <f t="shared" ref="BP4:BU4" ca="1" si="51">+OFFSET($B11,BP$3,0)</f>
        <v xml:space="preserve">Retail </v>
      </c>
      <c r="BQ4" s="546" t="str">
        <f t="shared" ca="1" si="51"/>
        <v xml:space="preserve">Hotel </v>
      </c>
      <c r="BR4" s="546" t="str">
        <f t="shared" ca="1" si="51"/>
        <v xml:space="preserve">Specialty - Data Center </v>
      </c>
      <c r="BS4" s="546" t="str">
        <f t="shared" ca="1" si="51"/>
        <v xml:space="preserve">Community Facility </v>
      </c>
      <c r="BT4" s="546" t="str">
        <f t="shared" ca="1" si="51"/>
        <v xml:space="preserve">Structural Parking </v>
      </c>
      <c r="BU4" s="546" t="str">
        <f t="shared" ca="1" si="51"/>
        <v xml:space="preserve">Surface Parking </v>
      </c>
      <c r="BY4" s="545" t="s">
        <v>254</v>
      </c>
      <c r="BZ4" s="546" t="str">
        <f t="shared" ref="BZ4:CI4" ca="1" si="52">+OFFSET($B11,BZ$3,0)</f>
        <v xml:space="preserve">Standard Affordable Residential </v>
      </c>
      <c r="CA4" s="546" t="str">
        <f t="shared" ca="1" si="52"/>
        <v xml:space="preserve">Standard Market-Rate Residential </v>
      </c>
      <c r="CB4" s="546" t="str">
        <f t="shared" ca="1" si="52"/>
        <v>Affordable Multi-Bedroom Residential</v>
      </c>
      <c r="CC4" s="546" t="str">
        <f t="shared" ca="1" si="52"/>
        <v>Market-Rate Multi-Bedroom Residential</v>
      </c>
      <c r="CD4" s="546" t="str">
        <f t="shared" ca="1" si="52"/>
        <v xml:space="preserve">Affordable Senior Living Residential </v>
      </c>
      <c r="CE4" s="546" t="str">
        <f t="shared" ca="1" si="52"/>
        <v xml:space="preserve">Market-Rate Senior Living Residential </v>
      </c>
      <c r="CF4" s="546" t="str">
        <f t="shared" ca="1" si="52"/>
        <v>Affordable For-Sale Residential</v>
      </c>
      <c r="CG4" s="546" t="str">
        <f t="shared" ca="1" si="52"/>
        <v xml:space="preserve">Market-Rate For-Sale Residential </v>
      </c>
      <c r="CH4" s="546" t="str">
        <f t="shared" ca="1" si="52"/>
        <v xml:space="preserve">Affordable Student Housing </v>
      </c>
      <c r="CI4" s="546" t="str">
        <f t="shared" ca="1" si="52"/>
        <v xml:space="preserve">Market-Rate Student Housing </v>
      </c>
      <c r="CJ4" s="546" t="str">
        <f>BO4</f>
        <v xml:space="preserve">Office </v>
      </c>
      <c r="CK4" s="546" t="str">
        <f t="shared" ref="CK4:CP4" ca="1" si="53">+OFFSET($B11,CK$3,0)</f>
        <v xml:space="preserve">Retail </v>
      </c>
      <c r="CL4" s="546" t="str">
        <f t="shared" ca="1" si="53"/>
        <v xml:space="preserve">Hotel </v>
      </c>
      <c r="CM4" s="546" t="str">
        <f t="shared" ca="1" si="53"/>
        <v xml:space="preserve">Specialty - Data Center </v>
      </c>
      <c r="CN4" s="546" t="str">
        <f t="shared" ca="1" si="53"/>
        <v xml:space="preserve">Community Facility </v>
      </c>
      <c r="CO4" s="546" t="str">
        <f t="shared" ca="1" si="53"/>
        <v xml:space="preserve">Structural Parking </v>
      </c>
      <c r="CP4" s="546" t="str">
        <f t="shared" ca="1" si="53"/>
        <v xml:space="preserve">Surface Parking </v>
      </c>
    </row>
    <row r="5" spans="1:96">
      <c r="L5" s="2" t="str">
        <f>+H4</f>
        <v>I</v>
      </c>
      <c r="M5" s="31">
        <f t="shared" ref="M5:V7" ca="1" si="54">+INDEX($H$11:$J$27,MATCH(M$4,$B$11:$B$27,0),MATCH($L5,$H$4:$J$4,0))/INDEX($H$10:$J$10,1,MATCH($L5,$H$4:$J$4,0))</f>
        <v>0.23014588634783803</v>
      </c>
      <c r="N5" s="31">
        <f t="shared" ca="1" si="54"/>
        <v>0.34521882952175703</v>
      </c>
      <c r="O5" s="31">
        <f t="shared" ca="1" si="54"/>
        <v>0</v>
      </c>
      <c r="P5" s="31">
        <f t="shared" ca="1" si="54"/>
        <v>0</v>
      </c>
      <c r="Q5" s="31">
        <f t="shared" ca="1" si="54"/>
        <v>0</v>
      </c>
      <c r="R5" s="31">
        <f t="shared" ca="1" si="54"/>
        <v>0</v>
      </c>
      <c r="S5" s="31">
        <f t="shared" ca="1" si="54"/>
        <v>3.4247899754142573E-2</v>
      </c>
      <c r="T5" s="31">
        <f t="shared" ca="1" si="54"/>
        <v>7.5345379459113626E-2</v>
      </c>
      <c r="U5" s="31">
        <f t="shared" ca="1" si="54"/>
        <v>0</v>
      </c>
      <c r="V5" s="31">
        <f t="shared" ca="1" si="54"/>
        <v>0</v>
      </c>
      <c r="W5" s="31">
        <f t="shared" ref="W5:AC7" ca="1" si="55">+INDEX($H$11:$J$27,MATCH(W$4,$B$11:$B$27,0),MATCH($L5,$H$4:$J$4,0))/INDEX($H$10:$J$10,1,MATCH($L5,$H$4:$J$4,0))</f>
        <v>4.4186671205152551E-2</v>
      </c>
      <c r="X5" s="31">
        <f t="shared" ca="1" si="55"/>
        <v>0.11544739286541818</v>
      </c>
      <c r="Y5" s="31">
        <f t="shared" ca="1" si="55"/>
        <v>0</v>
      </c>
      <c r="Z5" s="31">
        <f t="shared" ca="1" si="55"/>
        <v>0</v>
      </c>
      <c r="AA5" s="31">
        <f t="shared" ca="1" si="55"/>
        <v>0</v>
      </c>
      <c r="AB5" s="31">
        <f t="shared" ca="1" si="55"/>
        <v>0.155407940846578</v>
      </c>
      <c r="AC5" s="31">
        <f t="shared" ca="1" si="55"/>
        <v>0</v>
      </c>
      <c r="AD5" s="643">
        <f ca="1">+SUM(M5:AC5)</f>
        <v>1</v>
      </c>
      <c r="AG5" s="42">
        <f ca="1">+SUM(M5:AC5)</f>
        <v>1</v>
      </c>
      <c r="AI5" s="2" t="str">
        <f>+$H4</f>
        <v>I</v>
      </c>
      <c r="AJ5" s="31">
        <f t="shared" ref="AJ5:AZ5" ca="1" si="56">+INDEX($H$11:$J$28,MATCH(AJ$4,$B$11:$B$27,0),MATCH($L5,$H$4:$J$4,0))/INDEX($H$10:$J$10,1,MATCH($L5,$H$4:$J$4,0))</f>
        <v>0.23014588634783803</v>
      </c>
      <c r="AK5" s="31">
        <f t="shared" ca="1" si="56"/>
        <v>0.34521882952175703</v>
      </c>
      <c r="AL5" s="31">
        <f t="shared" ca="1" si="56"/>
        <v>0</v>
      </c>
      <c r="AM5" s="31">
        <f t="shared" ca="1" si="56"/>
        <v>0</v>
      </c>
      <c r="AN5" s="31">
        <f t="shared" ca="1" si="56"/>
        <v>0</v>
      </c>
      <c r="AO5" s="31">
        <f t="shared" ca="1" si="56"/>
        <v>0</v>
      </c>
      <c r="AP5" s="31">
        <f t="shared" ca="1" si="56"/>
        <v>3.4247899754142573E-2</v>
      </c>
      <c r="AQ5" s="31">
        <f t="shared" ca="1" si="56"/>
        <v>7.5345379459113626E-2</v>
      </c>
      <c r="AR5" s="31">
        <f t="shared" ca="1" si="56"/>
        <v>0</v>
      </c>
      <c r="AS5" s="31">
        <f t="shared" ca="1" si="56"/>
        <v>0</v>
      </c>
      <c r="AT5" s="31">
        <f t="shared" ca="1" si="56"/>
        <v>4.4186671205152551E-2</v>
      </c>
      <c r="AU5" s="31">
        <f t="shared" ca="1" si="56"/>
        <v>0.11544739286541818</v>
      </c>
      <c r="AV5" s="31">
        <f t="shared" ca="1" si="56"/>
        <v>0</v>
      </c>
      <c r="AW5" s="31">
        <f t="shared" ca="1" si="56"/>
        <v>0</v>
      </c>
      <c r="AX5" s="31">
        <f t="shared" ca="1" si="56"/>
        <v>0</v>
      </c>
      <c r="AY5" s="31">
        <f t="shared" ca="1" si="56"/>
        <v>0.155407940846578</v>
      </c>
      <c r="AZ5" s="31">
        <f t="shared" ca="1" si="56"/>
        <v>0</v>
      </c>
      <c r="BA5" s="643">
        <f ca="1">+SUM(AJ5:AZ5)</f>
        <v>1</v>
      </c>
      <c r="BB5" s="42">
        <f ca="1">+SUM(AJ5:AX5)</f>
        <v>0.84459205915342195</v>
      </c>
      <c r="BD5" s="2" t="str">
        <f>+$H4</f>
        <v>I</v>
      </c>
      <c r="BE5" s="31">
        <v>0</v>
      </c>
      <c r="BF5" s="31">
        <v>0</v>
      </c>
      <c r="BG5" s="31">
        <v>0</v>
      </c>
      <c r="BH5" s="31">
        <v>0</v>
      </c>
      <c r="BI5" s="31">
        <v>0</v>
      </c>
      <c r="BJ5" s="31">
        <v>0</v>
      </c>
      <c r="BK5" s="31">
        <v>0</v>
      </c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0</v>
      </c>
      <c r="BR5" s="31">
        <v>0</v>
      </c>
      <c r="BS5" s="31">
        <v>0</v>
      </c>
      <c r="BT5" s="31">
        <v>0</v>
      </c>
      <c r="BU5" s="31">
        <v>0</v>
      </c>
      <c r="BW5" s="42">
        <f>+SUM(BE5:BS5)</f>
        <v>0</v>
      </c>
      <c r="BY5" s="2" t="str">
        <f>+$H4</f>
        <v>I</v>
      </c>
      <c r="BZ5" s="31">
        <v>0</v>
      </c>
      <c r="CA5" s="31">
        <v>0</v>
      </c>
      <c r="CB5" s="31">
        <v>0</v>
      </c>
      <c r="CC5" s="31">
        <v>0</v>
      </c>
      <c r="CD5" s="31">
        <v>0</v>
      </c>
      <c r="CE5" s="31">
        <v>0</v>
      </c>
      <c r="CF5" s="31">
        <v>0</v>
      </c>
      <c r="CG5" s="31">
        <v>0</v>
      </c>
      <c r="CH5" s="31">
        <v>0</v>
      </c>
      <c r="CI5" s="31">
        <v>0</v>
      </c>
      <c r="CJ5" s="31">
        <v>0</v>
      </c>
      <c r="CK5" s="31">
        <v>0</v>
      </c>
      <c r="CL5" s="31">
        <v>0</v>
      </c>
      <c r="CM5" s="31">
        <v>0</v>
      </c>
      <c r="CN5" s="31">
        <v>0</v>
      </c>
      <c r="CO5" s="31">
        <v>0</v>
      </c>
      <c r="CP5" s="31">
        <v>0</v>
      </c>
      <c r="CR5" s="42">
        <f>+SUM(BZ5:CN5)</f>
        <v>0</v>
      </c>
    </row>
    <row r="6" spans="1:96">
      <c r="L6" s="2" t="str">
        <f>+I4</f>
        <v>II</v>
      </c>
      <c r="M6" s="31">
        <f t="shared" ca="1" si="54"/>
        <v>0.20316081321651366</v>
      </c>
      <c r="N6" s="31">
        <f t="shared" ca="1" si="54"/>
        <v>0.30474121982477048</v>
      </c>
      <c r="O6" s="31">
        <f t="shared" ca="1" si="54"/>
        <v>0</v>
      </c>
      <c r="P6" s="31">
        <f t="shared" ca="1" si="54"/>
        <v>0</v>
      </c>
      <c r="Q6" s="31">
        <f t="shared" ca="1" si="54"/>
        <v>0</v>
      </c>
      <c r="R6" s="31">
        <f t="shared" ca="1" si="54"/>
        <v>0</v>
      </c>
      <c r="S6" s="31">
        <f t="shared" ca="1" si="54"/>
        <v>3.0232263871505009E-2</v>
      </c>
      <c r="T6" s="31">
        <f t="shared" ca="1" si="54"/>
        <v>6.6510980517311025E-2</v>
      </c>
      <c r="U6" s="31">
        <f t="shared" ca="1" si="54"/>
        <v>0</v>
      </c>
      <c r="V6" s="31">
        <f t="shared" ca="1" si="54"/>
        <v>0</v>
      </c>
      <c r="W6" s="31">
        <f t="shared" ca="1" si="55"/>
        <v>9.9342016685200235E-2</v>
      </c>
      <c r="X6" s="31">
        <f t="shared" ca="1" si="55"/>
        <v>8.0591112861965616E-2</v>
      </c>
      <c r="Y6" s="31">
        <f t="shared" ca="1" si="55"/>
        <v>0</v>
      </c>
      <c r="Z6" s="31">
        <f t="shared" ca="1" si="55"/>
        <v>0</v>
      </c>
      <c r="AA6" s="31">
        <f t="shared" ca="1" si="55"/>
        <v>0</v>
      </c>
      <c r="AB6" s="31">
        <f t="shared" ca="1" si="55"/>
        <v>0.21542159302273395</v>
      </c>
      <c r="AC6" s="31">
        <f t="shared" ca="1" si="55"/>
        <v>0</v>
      </c>
      <c r="AD6" s="643">
        <f t="shared" ref="AD6:AD7" ca="1" si="57">+SUM(M6:AC6)</f>
        <v>1</v>
      </c>
      <c r="AG6" s="42">
        <f ca="1">+SUM(M6:AC6)</f>
        <v>1</v>
      </c>
      <c r="AI6" s="2" t="str">
        <f>+$I4</f>
        <v>II</v>
      </c>
      <c r="AJ6" s="31">
        <v>0</v>
      </c>
      <c r="AK6" s="31">
        <v>0</v>
      </c>
      <c r="AL6" s="31">
        <v>0</v>
      </c>
      <c r="AM6" s="31">
        <v>0</v>
      </c>
      <c r="AN6" s="31">
        <v>0</v>
      </c>
      <c r="AO6" s="31">
        <v>0</v>
      </c>
      <c r="AP6" s="31">
        <v>0</v>
      </c>
      <c r="AQ6" s="31">
        <v>0</v>
      </c>
      <c r="AR6" s="31">
        <v>0</v>
      </c>
      <c r="AS6" s="31">
        <v>0</v>
      </c>
      <c r="AT6" s="31">
        <v>0</v>
      </c>
      <c r="AU6" s="31">
        <v>0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B6" s="42">
        <f>+SUM(AJ6:AX6)</f>
        <v>0</v>
      </c>
      <c r="BD6" s="2" t="str">
        <f>+$I4</f>
        <v>II</v>
      </c>
      <c r="BE6" s="31">
        <f t="shared" ref="BE6:BU6" ca="1" si="58">+INDEX($H$11:$J$27,MATCH(BE$4,$B$11:$B$27,0),MATCH($L6,$H$4:$J$4,0))/INDEX($H$10:$J$10,1,MATCH($L6,$H$4:$J$4,0))</f>
        <v>0.20316081321651366</v>
      </c>
      <c r="BF6" s="31">
        <f t="shared" ca="1" si="58"/>
        <v>0.30474121982477048</v>
      </c>
      <c r="BG6" s="31">
        <f t="shared" ca="1" si="58"/>
        <v>0</v>
      </c>
      <c r="BH6" s="31">
        <f t="shared" ca="1" si="58"/>
        <v>0</v>
      </c>
      <c r="BI6" s="31">
        <f t="shared" ca="1" si="58"/>
        <v>0</v>
      </c>
      <c r="BJ6" s="31">
        <f t="shared" ca="1" si="58"/>
        <v>0</v>
      </c>
      <c r="BK6" s="31">
        <f t="shared" ca="1" si="58"/>
        <v>3.0232263871505009E-2</v>
      </c>
      <c r="BL6" s="31">
        <f t="shared" ca="1" si="58"/>
        <v>6.6510980517311025E-2</v>
      </c>
      <c r="BM6" s="31">
        <f t="shared" ca="1" si="58"/>
        <v>0</v>
      </c>
      <c r="BN6" s="31">
        <f t="shared" ca="1" si="58"/>
        <v>0</v>
      </c>
      <c r="BO6" s="31">
        <f t="shared" ca="1" si="58"/>
        <v>9.9342016685200235E-2</v>
      </c>
      <c r="BP6" s="31">
        <f t="shared" ca="1" si="58"/>
        <v>8.0591112861965616E-2</v>
      </c>
      <c r="BQ6" s="31">
        <f t="shared" ca="1" si="58"/>
        <v>0</v>
      </c>
      <c r="BR6" s="31">
        <f t="shared" ca="1" si="58"/>
        <v>0</v>
      </c>
      <c r="BS6" s="31">
        <f t="shared" ca="1" si="58"/>
        <v>0</v>
      </c>
      <c r="BT6" s="31">
        <f t="shared" ca="1" si="58"/>
        <v>0.21542159302273395</v>
      </c>
      <c r="BU6" s="31">
        <f t="shared" ca="1" si="58"/>
        <v>0</v>
      </c>
      <c r="BV6" s="42">
        <f ca="1">+SUM(BE6:BU6)</f>
        <v>1</v>
      </c>
      <c r="BW6" s="42">
        <f ca="1">+SUM(BE6:BS6)</f>
        <v>0.784578406977266</v>
      </c>
      <c r="BY6" s="2" t="str">
        <f>+$I4</f>
        <v>II</v>
      </c>
      <c r="BZ6" s="31">
        <v>0</v>
      </c>
      <c r="CA6" s="31">
        <v>0</v>
      </c>
      <c r="CB6" s="31">
        <v>0</v>
      </c>
      <c r="CC6" s="31">
        <v>0</v>
      </c>
      <c r="CD6" s="31">
        <v>0</v>
      </c>
      <c r="CE6" s="31">
        <v>0</v>
      </c>
      <c r="CF6" s="31">
        <v>0</v>
      </c>
      <c r="CG6" s="31">
        <v>0</v>
      </c>
      <c r="CH6" s="31">
        <v>0</v>
      </c>
      <c r="CI6" s="31">
        <v>0</v>
      </c>
      <c r="CJ6" s="31">
        <v>0</v>
      </c>
      <c r="CK6" s="31">
        <v>0</v>
      </c>
      <c r="CL6" s="31">
        <v>0</v>
      </c>
      <c r="CM6" s="31">
        <v>0</v>
      </c>
      <c r="CN6" s="31">
        <v>0</v>
      </c>
      <c r="CO6" s="31">
        <v>0</v>
      </c>
      <c r="CP6" s="31">
        <v>0</v>
      </c>
      <c r="CR6" s="42">
        <f>+SUM(BZ6:CN6)</f>
        <v>0</v>
      </c>
    </row>
    <row r="7" spans="1:96">
      <c r="L7" s="2" t="str">
        <f>+J4</f>
        <v>III</v>
      </c>
      <c r="M7" s="31">
        <f t="shared" ca="1" si="54"/>
        <v>0.12397129344585474</v>
      </c>
      <c r="N7" s="31">
        <f t="shared" ca="1" si="54"/>
        <v>0.18595694016878209</v>
      </c>
      <c r="O7" s="31">
        <f t="shared" ca="1" si="54"/>
        <v>0</v>
      </c>
      <c r="P7" s="31">
        <f t="shared" ca="1" si="54"/>
        <v>0</v>
      </c>
      <c r="Q7" s="31">
        <f t="shared" ca="1" si="54"/>
        <v>0</v>
      </c>
      <c r="R7" s="31">
        <f t="shared" ca="1" si="54"/>
        <v>0</v>
      </c>
      <c r="S7" s="31">
        <f t="shared" ca="1" si="54"/>
        <v>5.1743938424913045E-2</v>
      </c>
      <c r="T7" s="31">
        <f t="shared" ca="1" si="54"/>
        <v>0.10717749867857178</v>
      </c>
      <c r="U7" s="31">
        <f t="shared" ca="1" si="54"/>
        <v>0</v>
      </c>
      <c r="V7" s="31">
        <f t="shared" ca="1" si="54"/>
        <v>0</v>
      </c>
      <c r="W7" s="31">
        <f t="shared" ca="1" si="55"/>
        <v>1.6356576134381969E-2</v>
      </c>
      <c r="X7" s="31">
        <f t="shared" ca="1" si="55"/>
        <v>5.4448392158277271E-2</v>
      </c>
      <c r="Y7" s="31">
        <f t="shared" ca="1" si="55"/>
        <v>0.34797193716522085</v>
      </c>
      <c r="Z7" s="31">
        <f t="shared" ca="1" si="55"/>
        <v>0</v>
      </c>
      <c r="AA7" s="31">
        <f t="shared" ca="1" si="55"/>
        <v>0</v>
      </c>
      <c r="AB7" s="31">
        <f t="shared" ca="1" si="55"/>
        <v>0.11237342382399824</v>
      </c>
      <c r="AC7" s="31">
        <f t="shared" ca="1" si="55"/>
        <v>0</v>
      </c>
      <c r="AD7" s="643">
        <f t="shared" ca="1" si="57"/>
        <v>1</v>
      </c>
      <c r="AG7" s="42">
        <f ca="1">+SUM(M7:AC7)</f>
        <v>1</v>
      </c>
      <c r="AI7" s="2" t="str">
        <f>+$J4</f>
        <v>III</v>
      </c>
      <c r="AJ7" s="31">
        <v>0</v>
      </c>
      <c r="AK7" s="31">
        <v>0</v>
      </c>
      <c r="AL7" s="31">
        <v>0</v>
      </c>
      <c r="AM7" s="31">
        <v>0</v>
      </c>
      <c r="AN7" s="31">
        <v>0</v>
      </c>
      <c r="AO7" s="31">
        <v>0</v>
      </c>
      <c r="AP7" s="31">
        <v>0</v>
      </c>
      <c r="AQ7" s="31">
        <v>0</v>
      </c>
      <c r="AR7" s="31">
        <v>0</v>
      </c>
      <c r="AS7" s="31">
        <v>0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B7" s="42">
        <f>+SUM(AJ7:AX7)</f>
        <v>0</v>
      </c>
      <c r="BD7" s="2" t="str">
        <f>+$J4</f>
        <v>III</v>
      </c>
      <c r="BE7" s="31">
        <v>0</v>
      </c>
      <c r="BF7" s="31">
        <v>0</v>
      </c>
      <c r="BG7" s="31">
        <v>0</v>
      </c>
      <c r="BH7" s="31">
        <v>0</v>
      </c>
      <c r="BI7" s="31">
        <v>0</v>
      </c>
      <c r="BJ7" s="31">
        <v>0</v>
      </c>
      <c r="BK7" s="31">
        <v>0</v>
      </c>
      <c r="BL7" s="31">
        <v>0</v>
      </c>
      <c r="BM7" s="31">
        <v>0</v>
      </c>
      <c r="BN7" s="31">
        <v>0</v>
      </c>
      <c r="BO7" s="31">
        <v>0</v>
      </c>
      <c r="BP7" s="31">
        <v>0</v>
      </c>
      <c r="BQ7" s="31">
        <v>0</v>
      </c>
      <c r="BR7" s="31">
        <v>0</v>
      </c>
      <c r="BS7" s="31">
        <v>0</v>
      </c>
      <c r="BT7" s="31">
        <v>0</v>
      </c>
      <c r="BU7" s="31">
        <v>0</v>
      </c>
      <c r="BW7" s="42">
        <f>+SUM(BE7:BS7)</f>
        <v>0</v>
      </c>
      <c r="BY7" s="2" t="str">
        <f>+$J4</f>
        <v>III</v>
      </c>
      <c r="BZ7" s="31">
        <f t="shared" ref="BZ7:CP7" ca="1" si="59">+INDEX($H$11:$J$27,MATCH(BZ$4,$B$11:$B$27,0),MATCH($L7,$H$4:$J$4,0))/INDEX($H$10:$J$10,1,MATCH($L7,$H$4:$J$4,0))</f>
        <v>0.12397129344585474</v>
      </c>
      <c r="CA7" s="31">
        <f t="shared" ca="1" si="59"/>
        <v>0.18595694016878209</v>
      </c>
      <c r="CB7" s="31">
        <f t="shared" ca="1" si="59"/>
        <v>0</v>
      </c>
      <c r="CC7" s="31">
        <f t="shared" ca="1" si="59"/>
        <v>0</v>
      </c>
      <c r="CD7" s="31">
        <f t="shared" ca="1" si="59"/>
        <v>0</v>
      </c>
      <c r="CE7" s="31">
        <f t="shared" ca="1" si="59"/>
        <v>0</v>
      </c>
      <c r="CF7" s="31">
        <f t="shared" ca="1" si="59"/>
        <v>5.1743938424913045E-2</v>
      </c>
      <c r="CG7" s="31">
        <f t="shared" ca="1" si="59"/>
        <v>0.10717749867857178</v>
      </c>
      <c r="CH7" s="31">
        <f t="shared" ca="1" si="59"/>
        <v>0</v>
      </c>
      <c r="CI7" s="31">
        <f t="shared" ca="1" si="59"/>
        <v>0</v>
      </c>
      <c r="CJ7" s="31">
        <f t="shared" ca="1" si="59"/>
        <v>1.6356576134381969E-2</v>
      </c>
      <c r="CK7" s="31">
        <f t="shared" ca="1" si="59"/>
        <v>5.4448392158277271E-2</v>
      </c>
      <c r="CL7" s="31">
        <f t="shared" ca="1" si="59"/>
        <v>0.34797193716522085</v>
      </c>
      <c r="CM7" s="31">
        <f t="shared" ca="1" si="59"/>
        <v>0</v>
      </c>
      <c r="CN7" s="31">
        <f t="shared" ca="1" si="59"/>
        <v>0</v>
      </c>
      <c r="CO7" s="31">
        <f t="shared" ca="1" si="59"/>
        <v>0.11237342382399824</v>
      </c>
      <c r="CP7" s="31">
        <f t="shared" ca="1" si="59"/>
        <v>0</v>
      </c>
      <c r="CR7" s="42">
        <f ca="1">+SUM(BZ7:CP7)</f>
        <v>1</v>
      </c>
    </row>
    <row r="9" spans="1:96">
      <c r="B9" s="1" t="s">
        <v>897</v>
      </c>
      <c r="G9" s="7">
        <f>+SUM(H9:J9)</f>
        <v>635208</v>
      </c>
      <c r="H9" s="843">
        <f>SUM(Acquisition!E40:E42,Acquisition!E46:E54)</f>
        <v>496337</v>
      </c>
      <c r="I9" s="843">
        <f>SUM(Acquisition!E31:E36,Acquisition!E43:E45)</f>
        <v>48577</v>
      </c>
      <c r="J9" s="843">
        <f>SUM(Acquisition!E20:E30,Acquisition!E55:E56)</f>
        <v>90294</v>
      </c>
    </row>
    <row r="10" spans="1:96">
      <c r="B10" s="2" t="s">
        <v>898</v>
      </c>
      <c r="G10" s="7">
        <f ca="1">+SUM(H10:J10)</f>
        <v>2498321</v>
      </c>
      <c r="H10" s="7">
        <f ca="1">+SUM(H11:H28)</f>
        <v>975362</v>
      </c>
      <c r="I10" s="7">
        <f t="shared" ref="I10:J10" ca="1" si="60">+SUM(I11:I28)</f>
        <v>802148</v>
      </c>
      <c r="J10" s="7">
        <f t="shared" ca="1" si="60"/>
        <v>720811</v>
      </c>
    </row>
    <row r="11" spans="1:96">
      <c r="B11" s="6" t="str">
        <f>+Assumptions!$J27</f>
        <v xml:space="preserve">Standard Affordable Residential </v>
      </c>
      <c r="G11" s="7">
        <f ca="1">+SUM(H11:J11)</f>
        <v>476800.46400000004</v>
      </c>
      <c r="H11" s="25">
        <f ca="1">+Assumptions!N38</f>
        <v>224475.552</v>
      </c>
      <c r="I11" s="25">
        <f ca="1">+Assumptions!O38</f>
        <v>162965.04</v>
      </c>
      <c r="J11" s="25">
        <f ca="1">+Assumptions!P38</f>
        <v>89359.872000000003</v>
      </c>
      <c r="M11" s="8">
        <f ca="1">+$G$11</f>
        <v>476800.46400000004</v>
      </c>
      <c r="N11" s="1">
        <v>0</v>
      </c>
      <c r="O11" s="1">
        <v>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J11" s="8">
        <f ca="1">+$H$11</f>
        <v>224475.552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E11" s="8">
        <f ca="1">+$I$11</f>
        <v>162965.04</v>
      </c>
      <c r="BF11" s="1">
        <v>0</v>
      </c>
      <c r="BG11" s="1">
        <v>0</v>
      </c>
      <c r="BH11" s="1">
        <v>0</v>
      </c>
      <c r="BI11" s="1">
        <v>0</v>
      </c>
      <c r="BJ11" s="1">
        <v>0</v>
      </c>
      <c r="BK11" s="1">
        <v>0</v>
      </c>
      <c r="BL11" s="1">
        <v>0</v>
      </c>
      <c r="BM11" s="1">
        <v>0</v>
      </c>
      <c r="BN11" s="1">
        <v>0</v>
      </c>
      <c r="BO11" s="1">
        <v>0</v>
      </c>
      <c r="BP11" s="1">
        <v>0</v>
      </c>
      <c r="BQ11" s="1">
        <v>0</v>
      </c>
      <c r="BR11" s="1">
        <v>0</v>
      </c>
      <c r="BS11" s="1">
        <v>0</v>
      </c>
      <c r="BT11" s="1">
        <v>0</v>
      </c>
      <c r="BU11" s="1">
        <v>0</v>
      </c>
      <c r="BZ11" s="8">
        <f ca="1">+$J$11</f>
        <v>89359.872000000003</v>
      </c>
      <c r="CA11" s="1">
        <v>0</v>
      </c>
      <c r="CB11" s="1">
        <v>0</v>
      </c>
      <c r="CC11" s="1">
        <v>0</v>
      </c>
      <c r="CD11" s="1">
        <v>0</v>
      </c>
      <c r="CE11" s="1">
        <v>0</v>
      </c>
      <c r="CF11" s="1">
        <v>0</v>
      </c>
      <c r="CG11" s="1">
        <v>0</v>
      </c>
      <c r="CH11" s="1">
        <v>0</v>
      </c>
      <c r="CI11" s="1">
        <v>0</v>
      </c>
      <c r="CJ11" s="1">
        <v>0</v>
      </c>
      <c r="CK11" s="1">
        <v>0</v>
      </c>
      <c r="CL11" s="1">
        <v>0</v>
      </c>
      <c r="CM11" s="1">
        <v>0</v>
      </c>
      <c r="CN11" s="1">
        <v>0</v>
      </c>
      <c r="CO11" s="1">
        <v>0</v>
      </c>
      <c r="CP11" s="1">
        <v>0</v>
      </c>
    </row>
    <row r="12" spans="1:96">
      <c r="B12" s="6" t="str">
        <f>+Assumptions!$J28</f>
        <v xml:space="preserve">Standard Market-Rate Residential </v>
      </c>
      <c r="G12" s="7">
        <f t="shared" ref="G12:G28" ca="1" si="61">+SUM(H12:J12)</f>
        <v>715200.696</v>
      </c>
      <c r="H12" s="25">
        <f ca="1">+Assumptions!N39</f>
        <v>336713.32799999998</v>
      </c>
      <c r="I12" s="25">
        <f ca="1">+Assumptions!O39</f>
        <v>244447.56</v>
      </c>
      <c r="J12" s="25">
        <f ca="1">+Assumptions!P39</f>
        <v>134039.80799999999</v>
      </c>
      <c r="M12" s="1">
        <v>0</v>
      </c>
      <c r="N12" s="8">
        <f ca="1">+$G$12</f>
        <v>715200.696</v>
      </c>
      <c r="O12" s="1">
        <v>0</v>
      </c>
      <c r="P12" s="1">
        <v>0</v>
      </c>
      <c r="Q12" s="1">
        <v>0</v>
      </c>
      <c r="R12" s="1">
        <v>0</v>
      </c>
      <c r="S12" s="1">
        <v>0</v>
      </c>
      <c r="T12" s="1">
        <v>0</v>
      </c>
      <c r="U12" s="1">
        <v>0</v>
      </c>
      <c r="V12" s="1">
        <v>0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J12" s="1">
        <v>0</v>
      </c>
      <c r="AK12" s="8">
        <f ca="1">+$H$12</f>
        <v>336713.32799999998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E12" s="1">
        <v>0</v>
      </c>
      <c r="BF12" s="8">
        <f ca="1">+$I$12</f>
        <v>244447.56</v>
      </c>
      <c r="BG12" s="1">
        <v>0</v>
      </c>
      <c r="BH12" s="1">
        <v>0</v>
      </c>
      <c r="BI12" s="1">
        <v>0</v>
      </c>
      <c r="BJ12" s="1">
        <v>0</v>
      </c>
      <c r="BK12" s="1">
        <v>0</v>
      </c>
      <c r="BL12" s="1">
        <v>0</v>
      </c>
      <c r="BM12" s="1">
        <v>0</v>
      </c>
      <c r="BN12" s="1">
        <v>0</v>
      </c>
      <c r="BO12" s="1">
        <v>0</v>
      </c>
      <c r="BP12" s="1">
        <v>0</v>
      </c>
      <c r="BQ12" s="1">
        <v>0</v>
      </c>
      <c r="BR12" s="1">
        <v>0</v>
      </c>
      <c r="BS12" s="1">
        <v>0</v>
      </c>
      <c r="BT12" s="1">
        <v>0</v>
      </c>
      <c r="BU12" s="1">
        <v>0</v>
      </c>
      <c r="BZ12" s="1">
        <v>0</v>
      </c>
      <c r="CA12" s="8">
        <f ca="1">+$J$12</f>
        <v>134039.80799999999</v>
      </c>
      <c r="CB12" s="1">
        <v>0</v>
      </c>
      <c r="CC12" s="1">
        <v>0</v>
      </c>
      <c r="CD12" s="1">
        <v>0</v>
      </c>
      <c r="CE12" s="1">
        <v>0</v>
      </c>
      <c r="CF12" s="1">
        <v>0</v>
      </c>
      <c r="CG12" s="1">
        <v>0</v>
      </c>
      <c r="CH12" s="1">
        <v>0</v>
      </c>
      <c r="CI12" s="1">
        <v>0</v>
      </c>
      <c r="CJ12" s="1">
        <v>0</v>
      </c>
      <c r="CK12" s="1">
        <v>0</v>
      </c>
      <c r="CL12" s="1">
        <v>0</v>
      </c>
      <c r="CM12" s="1">
        <v>0</v>
      </c>
      <c r="CN12" s="1">
        <v>0</v>
      </c>
      <c r="CO12" s="1">
        <v>0</v>
      </c>
      <c r="CP12" s="1">
        <v>0</v>
      </c>
    </row>
    <row r="13" spans="1:96" hidden="1">
      <c r="B13" s="6" t="str">
        <f>+Assumptions!$AL40</f>
        <v>Affordable Multi-Bedroom Residential</v>
      </c>
      <c r="G13" s="7">
        <f t="shared" ca="1" si="61"/>
        <v>0</v>
      </c>
      <c r="H13" s="25">
        <f ca="1">+Assumptions!AP52</f>
        <v>0</v>
      </c>
      <c r="I13" s="25">
        <f ca="1">+Assumptions!AQ52</f>
        <v>0</v>
      </c>
      <c r="J13" s="25">
        <f ca="1">+Assumptions!AR52</f>
        <v>0</v>
      </c>
      <c r="M13" s="1">
        <v>0</v>
      </c>
      <c r="N13" s="1">
        <v>0</v>
      </c>
      <c r="O13" s="8">
        <f ca="1">+$G$13</f>
        <v>0</v>
      </c>
      <c r="P13" s="1">
        <v>0</v>
      </c>
      <c r="Q13" s="1">
        <v>0</v>
      </c>
      <c r="R13" s="1">
        <v>0</v>
      </c>
      <c r="S13" s="1">
        <v>0</v>
      </c>
      <c r="T13" s="1">
        <v>0</v>
      </c>
      <c r="U13" s="1">
        <v>0</v>
      </c>
      <c r="V13" s="1">
        <v>0</v>
      </c>
      <c r="W13" s="1">
        <v>0</v>
      </c>
      <c r="X13" s="1">
        <v>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J13" s="1">
        <v>0</v>
      </c>
      <c r="AK13" s="1">
        <v>0</v>
      </c>
      <c r="AL13" s="8">
        <f ca="1">+$H$13</f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E13" s="1">
        <v>0</v>
      </c>
      <c r="BF13" s="1">
        <v>0</v>
      </c>
      <c r="BG13" s="8">
        <f ca="1">+$I$13</f>
        <v>0</v>
      </c>
      <c r="BH13" s="1">
        <v>0</v>
      </c>
      <c r="BI13" s="1">
        <v>0</v>
      </c>
      <c r="BJ13" s="1">
        <v>0</v>
      </c>
      <c r="BK13" s="1">
        <v>0</v>
      </c>
      <c r="BL13" s="1">
        <v>0</v>
      </c>
      <c r="BM13" s="1">
        <v>0</v>
      </c>
      <c r="BN13" s="1">
        <v>0</v>
      </c>
      <c r="BO13" s="1">
        <v>0</v>
      </c>
      <c r="BP13" s="1">
        <v>0</v>
      </c>
      <c r="BQ13" s="1">
        <v>0</v>
      </c>
      <c r="BR13" s="1">
        <v>0</v>
      </c>
      <c r="BS13" s="1">
        <v>0</v>
      </c>
      <c r="BT13" s="1">
        <v>0</v>
      </c>
      <c r="BU13" s="1">
        <v>0</v>
      </c>
      <c r="BZ13" s="1">
        <v>0</v>
      </c>
      <c r="CA13" s="1">
        <v>0</v>
      </c>
      <c r="CB13" s="8">
        <f ca="1">+$J$13</f>
        <v>0</v>
      </c>
      <c r="CC13" s="1">
        <v>0</v>
      </c>
      <c r="CD13" s="1">
        <v>0</v>
      </c>
      <c r="CE13" s="1">
        <v>0</v>
      </c>
      <c r="CF13" s="1">
        <v>0</v>
      </c>
      <c r="CG13" s="1">
        <v>0</v>
      </c>
      <c r="CH13" s="1">
        <v>0</v>
      </c>
      <c r="CI13" s="1">
        <v>0</v>
      </c>
      <c r="CJ13" s="1">
        <v>0</v>
      </c>
      <c r="CK13" s="1">
        <v>0</v>
      </c>
      <c r="CL13" s="1">
        <v>0</v>
      </c>
      <c r="CM13" s="1">
        <v>0</v>
      </c>
      <c r="CN13" s="1">
        <v>0</v>
      </c>
      <c r="CO13" s="1">
        <v>0</v>
      </c>
      <c r="CP13" s="1">
        <v>0</v>
      </c>
    </row>
    <row r="14" spans="1:96" ht="0.75" hidden="1" customHeight="1">
      <c r="B14" s="6" t="str">
        <f>+Assumptions!$AL41</f>
        <v>Market-Rate Multi-Bedroom Residential</v>
      </c>
      <c r="G14" s="7">
        <f t="shared" ca="1" si="61"/>
        <v>0</v>
      </c>
      <c r="H14" s="25">
        <f ca="1">+Assumptions!AP53</f>
        <v>0</v>
      </c>
      <c r="I14" s="25">
        <f ca="1">+Assumptions!AQ53</f>
        <v>0</v>
      </c>
      <c r="J14" s="25">
        <f ca="1">+Assumptions!AR53</f>
        <v>0</v>
      </c>
      <c r="M14" s="1">
        <v>0</v>
      </c>
      <c r="N14" s="1">
        <v>0</v>
      </c>
      <c r="O14" s="1">
        <v>0</v>
      </c>
      <c r="P14" s="8">
        <f ca="1">+$G$14</f>
        <v>0</v>
      </c>
      <c r="Q14" s="1">
        <v>0</v>
      </c>
      <c r="R14" s="1">
        <v>0</v>
      </c>
      <c r="S14" s="1">
        <v>0</v>
      </c>
      <c r="T14" s="1">
        <v>0</v>
      </c>
      <c r="U14" s="1">
        <v>0</v>
      </c>
      <c r="V14" s="1">
        <v>0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J14" s="1">
        <v>0</v>
      </c>
      <c r="AK14" s="1">
        <v>0</v>
      </c>
      <c r="AL14" s="1">
        <v>0</v>
      </c>
      <c r="AM14" s="8">
        <f ca="1">+$H$14</f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E14" s="1">
        <v>0</v>
      </c>
      <c r="BF14" s="1">
        <v>0</v>
      </c>
      <c r="BG14" s="1">
        <v>0</v>
      </c>
      <c r="BH14" s="8">
        <f ca="1">+$I$14</f>
        <v>0</v>
      </c>
      <c r="BI14" s="1">
        <v>0</v>
      </c>
      <c r="BJ14" s="1">
        <v>0</v>
      </c>
      <c r="BK14" s="1">
        <v>0</v>
      </c>
      <c r="BL14" s="1">
        <v>0</v>
      </c>
      <c r="BM14" s="1">
        <v>0</v>
      </c>
      <c r="BN14" s="1">
        <v>0</v>
      </c>
      <c r="BO14" s="1">
        <v>0</v>
      </c>
      <c r="BP14" s="1">
        <v>0</v>
      </c>
      <c r="BQ14" s="1">
        <v>0</v>
      </c>
      <c r="BR14" s="1">
        <v>0</v>
      </c>
      <c r="BS14" s="1">
        <v>0</v>
      </c>
      <c r="BT14" s="1">
        <v>0</v>
      </c>
      <c r="BU14" s="1">
        <v>0</v>
      </c>
      <c r="BZ14" s="1">
        <v>0</v>
      </c>
      <c r="CA14" s="1">
        <v>0</v>
      </c>
      <c r="CB14" s="1">
        <v>0</v>
      </c>
      <c r="CC14" s="8">
        <f ca="1">+$J$14</f>
        <v>0</v>
      </c>
      <c r="CD14" s="1">
        <v>0</v>
      </c>
      <c r="CE14" s="1">
        <v>0</v>
      </c>
      <c r="CF14" s="1">
        <v>0</v>
      </c>
      <c r="CG14" s="1">
        <v>0</v>
      </c>
      <c r="CH14" s="1">
        <v>0</v>
      </c>
      <c r="CI14" s="1">
        <v>0</v>
      </c>
      <c r="CJ14" s="1">
        <v>0</v>
      </c>
      <c r="CK14" s="1">
        <v>0</v>
      </c>
      <c r="CL14" s="1">
        <v>0</v>
      </c>
      <c r="CM14" s="1">
        <v>0</v>
      </c>
      <c r="CN14" s="1">
        <v>0</v>
      </c>
      <c r="CO14" s="1">
        <v>0</v>
      </c>
      <c r="CP14" s="1">
        <v>0</v>
      </c>
    </row>
    <row r="15" spans="1:96" hidden="1">
      <c r="B15" s="6" t="str">
        <f>+Assumptions!$AL42</f>
        <v xml:space="preserve">Affordable Senior Living Residential </v>
      </c>
      <c r="G15" s="7">
        <f t="shared" ca="1" si="61"/>
        <v>0</v>
      </c>
      <c r="H15" s="25">
        <f ca="1">+Assumptions!AP54</f>
        <v>0</v>
      </c>
      <c r="I15" s="25">
        <f ca="1">+Assumptions!AQ54</f>
        <v>0</v>
      </c>
      <c r="J15" s="25">
        <f ca="1">+Assumptions!AR54</f>
        <v>0</v>
      </c>
      <c r="M15" s="1">
        <v>0</v>
      </c>
      <c r="N15" s="1">
        <v>0</v>
      </c>
      <c r="O15" s="1">
        <v>0</v>
      </c>
      <c r="P15" s="1">
        <v>0</v>
      </c>
      <c r="Q15" s="8">
        <f ca="1">+$G$15</f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J15" s="1">
        <v>0</v>
      </c>
      <c r="AK15" s="1">
        <v>0</v>
      </c>
      <c r="AL15" s="1">
        <v>0</v>
      </c>
      <c r="AM15" s="1">
        <v>0</v>
      </c>
      <c r="AN15" s="8">
        <f ca="1">+$H$15</f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E15" s="1">
        <v>0</v>
      </c>
      <c r="BF15" s="1">
        <v>0</v>
      </c>
      <c r="BG15" s="1">
        <v>0</v>
      </c>
      <c r="BH15" s="1">
        <v>0</v>
      </c>
      <c r="BI15" s="8">
        <f ca="1">+$I$15</f>
        <v>0</v>
      </c>
      <c r="BJ15" s="1">
        <v>0</v>
      </c>
      <c r="BK15" s="1">
        <v>0</v>
      </c>
      <c r="BL15" s="1">
        <v>0</v>
      </c>
      <c r="BM15" s="1">
        <v>0</v>
      </c>
      <c r="BN15" s="1">
        <v>0</v>
      </c>
      <c r="BO15" s="1">
        <v>0</v>
      </c>
      <c r="BP15" s="1">
        <v>0</v>
      </c>
      <c r="BQ15" s="1">
        <v>0</v>
      </c>
      <c r="BR15" s="1">
        <v>0</v>
      </c>
      <c r="BS15" s="1">
        <v>0</v>
      </c>
      <c r="BT15" s="1">
        <v>0</v>
      </c>
      <c r="BU15" s="1">
        <v>0</v>
      </c>
      <c r="BZ15" s="1">
        <v>0</v>
      </c>
      <c r="CA15" s="1">
        <v>0</v>
      </c>
      <c r="CB15" s="1">
        <v>0</v>
      </c>
      <c r="CC15" s="1">
        <v>0</v>
      </c>
      <c r="CD15" s="8">
        <f ca="1">+$J$15</f>
        <v>0</v>
      </c>
      <c r="CE15" s="1">
        <v>0</v>
      </c>
      <c r="CF15" s="1">
        <v>0</v>
      </c>
      <c r="CG15" s="1">
        <v>0</v>
      </c>
      <c r="CH15" s="1">
        <v>0</v>
      </c>
      <c r="CI15" s="1">
        <v>0</v>
      </c>
      <c r="CJ15" s="1">
        <v>0</v>
      </c>
      <c r="CK15" s="1">
        <v>0</v>
      </c>
      <c r="CL15" s="1">
        <v>0</v>
      </c>
      <c r="CM15" s="1">
        <v>0</v>
      </c>
      <c r="CN15" s="1">
        <v>0</v>
      </c>
      <c r="CO15" s="1">
        <v>0</v>
      </c>
      <c r="CP15" s="1">
        <v>0</v>
      </c>
    </row>
    <row r="16" spans="1:96" hidden="1">
      <c r="B16" s="6" t="str">
        <f>+Assumptions!$AL43</f>
        <v xml:space="preserve">Market-Rate Senior Living Residential </v>
      </c>
      <c r="G16" s="7">
        <f t="shared" ca="1" si="61"/>
        <v>0</v>
      </c>
      <c r="H16" s="25">
        <f ca="1">+Assumptions!AP55</f>
        <v>0</v>
      </c>
      <c r="I16" s="25">
        <f ca="1">+Assumptions!AQ55</f>
        <v>0</v>
      </c>
      <c r="J16" s="25">
        <f ca="1">+Assumptions!AR55</f>
        <v>0</v>
      </c>
      <c r="M16" s="1">
        <v>0</v>
      </c>
      <c r="N16" s="1">
        <v>0</v>
      </c>
      <c r="O16" s="1">
        <v>0</v>
      </c>
      <c r="P16" s="1">
        <v>0</v>
      </c>
      <c r="Q16" s="1">
        <v>0</v>
      </c>
      <c r="R16" s="8">
        <f ca="1">+$G$16</f>
        <v>0</v>
      </c>
      <c r="S16" s="1">
        <v>0</v>
      </c>
      <c r="T16" s="1">
        <v>0</v>
      </c>
      <c r="U16" s="1">
        <v>0</v>
      </c>
      <c r="V16" s="1">
        <v>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8">
        <f ca="1">+$H$16</f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E16" s="1">
        <v>0</v>
      </c>
      <c r="BF16" s="1">
        <v>0</v>
      </c>
      <c r="BG16" s="1">
        <v>0</v>
      </c>
      <c r="BH16" s="1">
        <v>0</v>
      </c>
      <c r="BI16" s="1">
        <v>0</v>
      </c>
      <c r="BJ16" s="8">
        <f ca="1">+$I$16</f>
        <v>0</v>
      </c>
      <c r="BK16" s="1">
        <v>0</v>
      </c>
      <c r="BL16" s="1">
        <v>0</v>
      </c>
      <c r="BM16" s="1">
        <v>0</v>
      </c>
      <c r="BN16" s="1">
        <v>0</v>
      </c>
      <c r="BO16" s="1">
        <v>0</v>
      </c>
      <c r="BP16" s="1">
        <v>0</v>
      </c>
      <c r="BQ16" s="1">
        <v>0</v>
      </c>
      <c r="BR16" s="1">
        <v>0</v>
      </c>
      <c r="BS16" s="1">
        <v>0</v>
      </c>
      <c r="BT16" s="1">
        <v>0</v>
      </c>
      <c r="BU16" s="1">
        <v>0</v>
      </c>
      <c r="BZ16" s="1">
        <v>0</v>
      </c>
      <c r="CA16" s="1">
        <v>0</v>
      </c>
      <c r="CB16" s="1">
        <v>0</v>
      </c>
      <c r="CC16" s="1">
        <v>0</v>
      </c>
      <c r="CD16" s="1">
        <v>0</v>
      </c>
      <c r="CE16" s="8">
        <f ca="1">+$J$16</f>
        <v>0</v>
      </c>
      <c r="CF16" s="1">
        <v>0</v>
      </c>
      <c r="CG16" s="1">
        <v>0</v>
      </c>
      <c r="CH16" s="1">
        <v>0</v>
      </c>
      <c r="CI16" s="1">
        <v>0</v>
      </c>
      <c r="CJ16" s="1">
        <v>0</v>
      </c>
      <c r="CK16" s="1">
        <v>0</v>
      </c>
      <c r="CL16" s="1">
        <v>0</v>
      </c>
      <c r="CM16" s="1">
        <v>0</v>
      </c>
      <c r="CN16" s="1">
        <v>0</v>
      </c>
      <c r="CO16" s="1">
        <v>0</v>
      </c>
      <c r="CP16" s="1">
        <v>0</v>
      </c>
    </row>
    <row r="17" spans="1:95">
      <c r="B17" s="6" t="str">
        <f>+Assumptions!$J29</f>
        <v>Affordable For-Sale Residential</v>
      </c>
      <c r="G17" s="7">
        <f t="shared" ca="1" si="61"/>
        <v>94952.450000000012</v>
      </c>
      <c r="H17" s="25">
        <f ca="1">+Assumptions!N40</f>
        <v>33404.100000000006</v>
      </c>
      <c r="I17" s="25">
        <f ca="1">+Assumptions!O40</f>
        <v>24250.75</v>
      </c>
      <c r="J17" s="25">
        <f ca="1">+Assumptions!P40</f>
        <v>37297.599999999999</v>
      </c>
      <c r="M17" s="1">
        <v>0</v>
      </c>
      <c r="N17" s="1">
        <v>0</v>
      </c>
      <c r="O17" s="1">
        <v>0</v>
      </c>
      <c r="P17" s="1">
        <v>0</v>
      </c>
      <c r="Q17" s="1">
        <v>0</v>
      </c>
      <c r="R17" s="1">
        <v>0</v>
      </c>
      <c r="S17" s="8">
        <f ca="1">+$G$17</f>
        <v>94952.450000000012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8">
        <f ca="1">+$H$17</f>
        <v>33404.100000000006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E17" s="1">
        <v>0</v>
      </c>
      <c r="BF17" s="1">
        <v>0</v>
      </c>
      <c r="BG17" s="1">
        <v>0</v>
      </c>
      <c r="BH17" s="1">
        <v>0</v>
      </c>
      <c r="BI17" s="1">
        <v>0</v>
      </c>
      <c r="BJ17" s="1">
        <v>0</v>
      </c>
      <c r="BK17" s="8">
        <f ca="1">+$I$17</f>
        <v>24250.75</v>
      </c>
      <c r="BL17" s="1">
        <v>0</v>
      </c>
      <c r="BM17" s="1">
        <v>0</v>
      </c>
      <c r="BN17" s="1">
        <v>0</v>
      </c>
      <c r="BO17" s="1">
        <v>0</v>
      </c>
      <c r="BP17" s="1">
        <v>0</v>
      </c>
      <c r="BQ17" s="1">
        <v>0</v>
      </c>
      <c r="BR17" s="1">
        <v>0</v>
      </c>
      <c r="BS17" s="1">
        <v>0</v>
      </c>
      <c r="BT17" s="1">
        <v>0</v>
      </c>
      <c r="BU17" s="1">
        <v>0</v>
      </c>
      <c r="BZ17" s="1">
        <v>0</v>
      </c>
      <c r="CA17" s="1">
        <v>0</v>
      </c>
      <c r="CB17" s="1">
        <v>0</v>
      </c>
      <c r="CC17" s="1">
        <v>0</v>
      </c>
      <c r="CD17" s="1">
        <v>0</v>
      </c>
      <c r="CE17" s="1">
        <v>0</v>
      </c>
      <c r="CF17" s="8">
        <f ca="1">+$J$17</f>
        <v>37297.599999999999</v>
      </c>
      <c r="CG17" s="1">
        <v>0</v>
      </c>
      <c r="CH17" s="1">
        <v>0</v>
      </c>
      <c r="CI17" s="1">
        <v>0</v>
      </c>
      <c r="CJ17" s="1">
        <v>0</v>
      </c>
      <c r="CK17" s="1">
        <v>0</v>
      </c>
      <c r="CL17" s="1">
        <v>0</v>
      </c>
      <c r="CM17" s="1">
        <v>0</v>
      </c>
      <c r="CN17" s="1">
        <v>0</v>
      </c>
      <c r="CO17" s="1">
        <v>0</v>
      </c>
      <c r="CP17" s="1">
        <v>0</v>
      </c>
    </row>
    <row r="18" spans="1:95">
      <c r="B18" s="6" t="str">
        <f>+Assumptions!$J30</f>
        <v xml:space="preserve">Market-Rate For-Sale Residential </v>
      </c>
      <c r="G18" s="7">
        <f t="shared" ca="1" si="61"/>
        <v>204095.38999999998</v>
      </c>
      <c r="H18" s="25">
        <f ca="1">+Assumptions!N41</f>
        <v>73489.01999999999</v>
      </c>
      <c r="I18" s="25">
        <f ca="1">+Assumptions!O41</f>
        <v>53351.65</v>
      </c>
      <c r="J18" s="25">
        <f ca="1">+Assumptions!P41</f>
        <v>77254.720000000001</v>
      </c>
      <c r="M18" s="1">
        <v>0</v>
      </c>
      <c r="N18" s="1">
        <v>0</v>
      </c>
      <c r="O18" s="1">
        <v>0</v>
      </c>
      <c r="P18" s="1">
        <v>0</v>
      </c>
      <c r="Q18" s="1">
        <v>0</v>
      </c>
      <c r="R18" s="1">
        <v>0</v>
      </c>
      <c r="S18" s="1">
        <v>0</v>
      </c>
      <c r="T18" s="8">
        <f ca="1">+$G$18</f>
        <v>204095.38999999998</v>
      </c>
      <c r="U18" s="8">
        <v>0</v>
      </c>
      <c r="V18" s="8">
        <v>0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8">
        <f ca="1">+$H$18</f>
        <v>73489.01999999999</v>
      </c>
      <c r="AR18" s="8">
        <v>0</v>
      </c>
      <c r="AS18" s="8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E18" s="1">
        <v>0</v>
      </c>
      <c r="BF18" s="1">
        <v>0</v>
      </c>
      <c r="BG18" s="1">
        <v>0</v>
      </c>
      <c r="BH18" s="1">
        <v>0</v>
      </c>
      <c r="BI18" s="1">
        <v>0</v>
      </c>
      <c r="BJ18" s="1">
        <v>0</v>
      </c>
      <c r="BK18" s="1">
        <v>0</v>
      </c>
      <c r="BL18" s="8">
        <f ca="1">+$I$18</f>
        <v>53351.65</v>
      </c>
      <c r="BM18" s="8">
        <v>0</v>
      </c>
      <c r="BN18" s="8">
        <v>0</v>
      </c>
      <c r="BO18" s="1">
        <v>0</v>
      </c>
      <c r="BP18" s="1">
        <v>0</v>
      </c>
      <c r="BQ18" s="1">
        <v>0</v>
      </c>
      <c r="BR18" s="1">
        <v>0</v>
      </c>
      <c r="BS18" s="1">
        <v>0</v>
      </c>
      <c r="BT18" s="1">
        <v>0</v>
      </c>
      <c r="BU18" s="1">
        <v>0</v>
      </c>
      <c r="BZ18" s="1">
        <v>0</v>
      </c>
      <c r="CA18" s="1">
        <v>0</v>
      </c>
      <c r="CB18" s="1">
        <v>0</v>
      </c>
      <c r="CC18" s="1">
        <v>0</v>
      </c>
      <c r="CD18" s="1">
        <v>0</v>
      </c>
      <c r="CE18" s="1">
        <v>0</v>
      </c>
      <c r="CF18" s="1">
        <v>0</v>
      </c>
      <c r="CG18" s="8">
        <f ca="1">+$J$18</f>
        <v>77254.720000000001</v>
      </c>
      <c r="CH18" s="8">
        <v>0</v>
      </c>
      <c r="CI18" s="8">
        <v>0</v>
      </c>
      <c r="CJ18" s="1">
        <v>0</v>
      </c>
      <c r="CK18" s="1">
        <v>0</v>
      </c>
      <c r="CL18" s="1">
        <v>0</v>
      </c>
      <c r="CM18" s="1">
        <v>0</v>
      </c>
      <c r="CN18" s="1">
        <v>0</v>
      </c>
      <c r="CO18" s="1">
        <v>0</v>
      </c>
      <c r="CP18" s="1">
        <v>0</v>
      </c>
    </row>
    <row r="19" spans="1:95" hidden="1">
      <c r="B19" s="6" t="str">
        <f>+Assumptions!$AL45</f>
        <v xml:space="preserve">Affordable Student Housing </v>
      </c>
      <c r="G19" s="7">
        <f t="shared" ca="1" si="61"/>
        <v>0</v>
      </c>
      <c r="H19" s="25">
        <f ca="1">+Assumptions!AP57</f>
        <v>0</v>
      </c>
      <c r="I19" s="25">
        <f ca="1">+Assumptions!AQ57</f>
        <v>0</v>
      </c>
      <c r="J19" s="25">
        <f ca="1">+Assumptions!AR57</f>
        <v>0</v>
      </c>
      <c r="M19" s="1">
        <v>0</v>
      </c>
      <c r="N19" s="1">
        <v>0</v>
      </c>
      <c r="O19" s="1">
        <v>0</v>
      </c>
      <c r="P19" s="1">
        <v>0</v>
      </c>
      <c r="Q19" s="1">
        <v>0</v>
      </c>
      <c r="R19" s="1">
        <v>0</v>
      </c>
      <c r="S19" s="1">
        <v>0</v>
      </c>
      <c r="T19" s="1">
        <v>0</v>
      </c>
      <c r="U19" s="8">
        <f ca="1">+$G$19</f>
        <v>0</v>
      </c>
      <c r="V19" s="1">
        <v>0</v>
      </c>
      <c r="W19" s="8">
        <v>0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8">
        <f ca="1">+$H$19</f>
        <v>0</v>
      </c>
      <c r="AS19" s="1">
        <v>0</v>
      </c>
      <c r="AT19" s="8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E19" s="1">
        <v>0</v>
      </c>
      <c r="BF19" s="1">
        <v>0</v>
      </c>
      <c r="BG19" s="1">
        <v>0</v>
      </c>
      <c r="BH19" s="1">
        <v>0</v>
      </c>
      <c r="BI19" s="1">
        <v>0</v>
      </c>
      <c r="BJ19" s="1">
        <v>0</v>
      </c>
      <c r="BK19" s="1">
        <v>0</v>
      </c>
      <c r="BL19" s="1">
        <v>0</v>
      </c>
      <c r="BM19" s="8">
        <f ca="1">+$I$19</f>
        <v>0</v>
      </c>
      <c r="BN19" s="1">
        <v>0</v>
      </c>
      <c r="BO19" s="8">
        <v>0</v>
      </c>
      <c r="BP19" s="1">
        <v>0</v>
      </c>
      <c r="BQ19" s="1">
        <v>0</v>
      </c>
      <c r="BR19" s="1">
        <v>0</v>
      </c>
      <c r="BS19" s="1">
        <v>0</v>
      </c>
      <c r="BT19" s="1">
        <v>0</v>
      </c>
      <c r="BU19" s="1">
        <v>0</v>
      </c>
      <c r="BZ19" s="1">
        <v>0</v>
      </c>
      <c r="CA19" s="1">
        <v>0</v>
      </c>
      <c r="CB19" s="1">
        <v>0</v>
      </c>
      <c r="CC19" s="1">
        <v>0</v>
      </c>
      <c r="CD19" s="1">
        <v>0</v>
      </c>
      <c r="CE19" s="1">
        <v>0</v>
      </c>
      <c r="CF19" s="1">
        <v>0</v>
      </c>
      <c r="CG19" s="1">
        <v>0</v>
      </c>
      <c r="CH19" s="8">
        <f ca="1">+$J$19</f>
        <v>0</v>
      </c>
      <c r="CI19" s="1">
        <v>0</v>
      </c>
      <c r="CJ19" s="8">
        <v>0</v>
      </c>
      <c r="CK19" s="1">
        <v>0</v>
      </c>
      <c r="CL19" s="1">
        <v>0</v>
      </c>
      <c r="CM19" s="1">
        <v>0</v>
      </c>
      <c r="CN19" s="1">
        <v>0</v>
      </c>
      <c r="CO19" s="1">
        <v>0</v>
      </c>
      <c r="CP19" s="1">
        <v>0</v>
      </c>
    </row>
    <row r="20" spans="1:95" hidden="1">
      <c r="B20" s="6" t="str">
        <f>+Assumptions!$AL46</f>
        <v xml:space="preserve">Market-Rate Student Housing </v>
      </c>
      <c r="G20" s="7">
        <f t="shared" ca="1" si="61"/>
        <v>0</v>
      </c>
      <c r="H20" s="25">
        <f ca="1">+Assumptions!AP58</f>
        <v>0</v>
      </c>
      <c r="I20" s="25">
        <f ca="1">+Assumptions!AQ58</f>
        <v>0</v>
      </c>
      <c r="J20" s="25">
        <f ca="1">+Assumptions!AR58</f>
        <v>0</v>
      </c>
      <c r="M20" s="1">
        <v>0</v>
      </c>
      <c r="N20" s="1">
        <v>0</v>
      </c>
      <c r="O20" s="1">
        <v>0</v>
      </c>
      <c r="P20" s="1">
        <v>0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8">
        <f ca="1">+$G$20</f>
        <v>0</v>
      </c>
      <c r="W20" s="1">
        <v>0</v>
      </c>
      <c r="X20" s="8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8">
        <f ca="1">+$H$20</f>
        <v>0</v>
      </c>
      <c r="AT20" s="1">
        <v>0</v>
      </c>
      <c r="AU20" s="8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E20" s="1">
        <v>0</v>
      </c>
      <c r="BF20" s="1">
        <v>0</v>
      </c>
      <c r="BG20" s="1">
        <v>0</v>
      </c>
      <c r="BH20" s="1">
        <v>0</v>
      </c>
      <c r="BI20" s="1">
        <v>0</v>
      </c>
      <c r="BJ20" s="1">
        <v>0</v>
      </c>
      <c r="BK20" s="1">
        <v>0</v>
      </c>
      <c r="BL20" s="1">
        <v>0</v>
      </c>
      <c r="BM20" s="1">
        <v>0</v>
      </c>
      <c r="BN20" s="8">
        <f ca="1">+$I$20</f>
        <v>0</v>
      </c>
      <c r="BO20" s="1">
        <v>0</v>
      </c>
      <c r="BP20" s="8">
        <v>0</v>
      </c>
      <c r="BQ20" s="1">
        <v>0</v>
      </c>
      <c r="BR20" s="1">
        <v>0</v>
      </c>
      <c r="BS20" s="1">
        <v>0</v>
      </c>
      <c r="BT20" s="1">
        <v>0</v>
      </c>
      <c r="BU20" s="1">
        <v>0</v>
      </c>
      <c r="BZ20" s="1">
        <v>0</v>
      </c>
      <c r="CA20" s="1">
        <v>0</v>
      </c>
      <c r="CB20" s="1">
        <v>0</v>
      </c>
      <c r="CC20" s="1">
        <v>0</v>
      </c>
      <c r="CD20" s="1">
        <v>0</v>
      </c>
      <c r="CE20" s="1">
        <v>0</v>
      </c>
      <c r="CF20" s="1">
        <v>0</v>
      </c>
      <c r="CG20" s="1">
        <v>0</v>
      </c>
      <c r="CH20" s="1">
        <v>0</v>
      </c>
      <c r="CI20" s="8">
        <f ca="1">+$J$20</f>
        <v>0</v>
      </c>
      <c r="CJ20" s="1">
        <v>0</v>
      </c>
      <c r="CK20" s="8">
        <v>0</v>
      </c>
      <c r="CL20" s="1">
        <v>0</v>
      </c>
      <c r="CM20" s="1">
        <v>0</v>
      </c>
      <c r="CN20" s="1">
        <v>0</v>
      </c>
      <c r="CO20" s="1">
        <v>0</v>
      </c>
      <c r="CP20" s="1">
        <v>0</v>
      </c>
    </row>
    <row r="21" spans="1:95">
      <c r="B21" s="6" t="str">
        <f>+Assumptions!$J31</f>
        <v xml:space="preserve">Office </v>
      </c>
      <c r="G21" s="7">
        <f t="shared" ca="1" si="61"/>
        <v>134575</v>
      </c>
      <c r="H21" s="25">
        <f ca="1">+Assumptions!N42</f>
        <v>43098</v>
      </c>
      <c r="I21" s="25">
        <f ca="1">+Assumptions!O42</f>
        <v>79687</v>
      </c>
      <c r="J21" s="25">
        <f ca="1">+Assumptions!P42</f>
        <v>11790</v>
      </c>
      <c r="M21" s="1">
        <v>0</v>
      </c>
      <c r="N21" s="1">
        <v>0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8">
        <f ca="1">+$G$21</f>
        <v>134575</v>
      </c>
      <c r="X21" s="1">
        <v>0</v>
      </c>
      <c r="Y21" s="8">
        <v>0</v>
      </c>
      <c r="Z21" s="1">
        <v>0</v>
      </c>
      <c r="AA21" s="1">
        <v>0</v>
      </c>
      <c r="AB21" s="1">
        <v>0</v>
      </c>
      <c r="AC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8">
        <f ca="1">+$H$21</f>
        <v>43098</v>
      </c>
      <c r="AU21" s="1">
        <v>0</v>
      </c>
      <c r="AV21" s="8">
        <v>0</v>
      </c>
      <c r="AW21" s="1">
        <v>0</v>
      </c>
      <c r="AX21" s="1">
        <v>0</v>
      </c>
      <c r="AY21" s="1">
        <v>0</v>
      </c>
      <c r="AZ21" s="1">
        <v>0</v>
      </c>
      <c r="BE21" s="1">
        <v>0</v>
      </c>
      <c r="BF21" s="1">
        <v>0</v>
      </c>
      <c r="BG21" s="1">
        <v>0</v>
      </c>
      <c r="BH21" s="1">
        <v>0</v>
      </c>
      <c r="BI21" s="1">
        <v>0</v>
      </c>
      <c r="BJ21" s="1">
        <v>0</v>
      </c>
      <c r="BK21" s="1">
        <v>0</v>
      </c>
      <c r="BL21" s="1">
        <v>0</v>
      </c>
      <c r="BM21" s="1">
        <v>0</v>
      </c>
      <c r="BN21" s="1">
        <v>0</v>
      </c>
      <c r="BO21" s="8">
        <f ca="1">+$I$21</f>
        <v>79687</v>
      </c>
      <c r="BP21" s="1">
        <v>0</v>
      </c>
      <c r="BQ21" s="8">
        <v>0</v>
      </c>
      <c r="BR21" s="1">
        <v>0</v>
      </c>
      <c r="BS21" s="1">
        <v>0</v>
      </c>
      <c r="BT21" s="1">
        <v>0</v>
      </c>
      <c r="BU21" s="1">
        <v>0</v>
      </c>
      <c r="BZ21" s="1">
        <v>0</v>
      </c>
      <c r="CA21" s="1">
        <v>0</v>
      </c>
      <c r="CB21" s="1">
        <v>0</v>
      </c>
      <c r="CC21" s="1">
        <v>0</v>
      </c>
      <c r="CD21" s="1">
        <v>0</v>
      </c>
      <c r="CE21" s="1">
        <v>0</v>
      </c>
      <c r="CF21" s="1">
        <v>0</v>
      </c>
      <c r="CG21" s="1">
        <v>0</v>
      </c>
      <c r="CH21" s="1">
        <v>0</v>
      </c>
      <c r="CI21" s="1">
        <v>0</v>
      </c>
      <c r="CJ21" s="8">
        <f ca="1">+$J$21</f>
        <v>11790</v>
      </c>
      <c r="CK21" s="1">
        <v>0</v>
      </c>
      <c r="CL21" s="8">
        <v>0</v>
      </c>
      <c r="CM21" s="1">
        <v>0</v>
      </c>
      <c r="CN21" s="1">
        <v>0</v>
      </c>
      <c r="CO21" s="1">
        <v>0</v>
      </c>
      <c r="CP21" s="1">
        <v>0</v>
      </c>
    </row>
    <row r="22" spans="1:95">
      <c r="B22" s="6" t="str">
        <f>+Assumptions!$J32</f>
        <v xml:space="preserve">Retail </v>
      </c>
      <c r="G22" s="7">
        <f t="shared" ca="1" si="61"/>
        <v>216496</v>
      </c>
      <c r="H22" s="25">
        <f ca="1">+Assumptions!N43</f>
        <v>112603</v>
      </c>
      <c r="I22" s="25">
        <f ca="1">+Assumptions!O43</f>
        <v>64646</v>
      </c>
      <c r="J22" s="25">
        <f ca="1">+Assumptions!P43</f>
        <v>39247</v>
      </c>
      <c r="M22" s="1">
        <v>0</v>
      </c>
      <c r="N22" s="1">
        <v>0</v>
      </c>
      <c r="O22" s="1">
        <v>0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0</v>
      </c>
      <c r="W22" s="1">
        <v>0</v>
      </c>
      <c r="X22" s="8">
        <f ca="1">+$G$22</f>
        <v>216496</v>
      </c>
      <c r="Y22" s="1">
        <v>0</v>
      </c>
      <c r="Z22" s="8">
        <v>0</v>
      </c>
      <c r="AA22" s="1">
        <v>0</v>
      </c>
      <c r="AB22" s="1">
        <v>0</v>
      </c>
      <c r="AC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8">
        <f ca="1">+$H$22</f>
        <v>112603</v>
      </c>
      <c r="AV22" s="1">
        <v>0</v>
      </c>
      <c r="AW22" s="8">
        <v>0</v>
      </c>
      <c r="AX22" s="1">
        <v>0</v>
      </c>
      <c r="AY22" s="1">
        <v>0</v>
      </c>
      <c r="AZ22" s="1">
        <v>0</v>
      </c>
      <c r="BE22" s="1">
        <v>0</v>
      </c>
      <c r="BF22" s="1">
        <v>0</v>
      </c>
      <c r="BG22" s="1">
        <v>0</v>
      </c>
      <c r="BH22" s="1">
        <v>0</v>
      </c>
      <c r="BI22" s="1">
        <v>0</v>
      </c>
      <c r="BJ22" s="1">
        <v>0</v>
      </c>
      <c r="BK22" s="1">
        <v>0</v>
      </c>
      <c r="BL22" s="1">
        <v>0</v>
      </c>
      <c r="BM22" s="1">
        <v>0</v>
      </c>
      <c r="BN22" s="1">
        <v>0</v>
      </c>
      <c r="BO22" s="1">
        <v>0</v>
      </c>
      <c r="BP22" s="8">
        <f ca="1">+$I$22</f>
        <v>64646</v>
      </c>
      <c r="BQ22" s="1">
        <v>0</v>
      </c>
      <c r="BR22" s="8">
        <v>0</v>
      </c>
      <c r="BS22" s="1">
        <v>0</v>
      </c>
      <c r="BT22" s="1">
        <v>0</v>
      </c>
      <c r="BU22" s="1">
        <v>0</v>
      </c>
      <c r="BZ22" s="1">
        <v>0</v>
      </c>
      <c r="CA22" s="1">
        <v>0</v>
      </c>
      <c r="CB22" s="1">
        <v>0</v>
      </c>
      <c r="CC22" s="1">
        <v>0</v>
      </c>
      <c r="CD22" s="1">
        <v>0</v>
      </c>
      <c r="CE22" s="1">
        <v>0</v>
      </c>
      <c r="CF22" s="1">
        <v>0</v>
      </c>
      <c r="CG22" s="1">
        <v>0</v>
      </c>
      <c r="CH22" s="1">
        <v>0</v>
      </c>
      <c r="CI22" s="1">
        <v>0</v>
      </c>
      <c r="CJ22" s="1">
        <v>0</v>
      </c>
      <c r="CK22" s="8">
        <f ca="1">+$J$22</f>
        <v>39247</v>
      </c>
      <c r="CL22" s="1">
        <v>0</v>
      </c>
      <c r="CM22" s="8">
        <v>0</v>
      </c>
      <c r="CN22" s="1">
        <v>0</v>
      </c>
      <c r="CO22" s="1">
        <v>0</v>
      </c>
      <c r="CP22" s="1">
        <v>0</v>
      </c>
    </row>
    <row r="23" spans="1:95">
      <c r="B23" s="6" t="str">
        <f>+Assumptions!$J33</f>
        <v xml:space="preserve">Hotel </v>
      </c>
      <c r="G23" s="7">
        <f t="shared" ca="1" si="61"/>
        <v>250822</v>
      </c>
      <c r="H23" s="25">
        <f ca="1">+Assumptions!N44</f>
        <v>0</v>
      </c>
      <c r="I23" s="25">
        <f ca="1">+Assumptions!O44</f>
        <v>0</v>
      </c>
      <c r="J23" s="25">
        <f ca="1">+Assumptions!P44</f>
        <v>250822</v>
      </c>
      <c r="M23" s="1">
        <v>0</v>
      </c>
      <c r="N23" s="1">
        <v>0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0</v>
      </c>
      <c r="Y23" s="8">
        <f ca="1">+$G$23</f>
        <v>250822</v>
      </c>
      <c r="Z23" s="1">
        <v>0</v>
      </c>
      <c r="AA23" s="8">
        <v>0</v>
      </c>
      <c r="AB23" s="8">
        <v>0</v>
      </c>
      <c r="AC23" s="8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8">
        <f ca="1">+$H$23</f>
        <v>0</v>
      </c>
      <c r="AW23" s="1">
        <v>0</v>
      </c>
      <c r="AX23" s="8">
        <v>0</v>
      </c>
      <c r="AY23" s="8">
        <v>0</v>
      </c>
      <c r="AZ23" s="8">
        <v>0</v>
      </c>
      <c r="BE23" s="1">
        <v>0</v>
      </c>
      <c r="BF23" s="1">
        <v>0</v>
      </c>
      <c r="BG23" s="1">
        <v>0</v>
      </c>
      <c r="BH23" s="1">
        <v>0</v>
      </c>
      <c r="BI23" s="1">
        <v>0</v>
      </c>
      <c r="BJ23" s="1">
        <v>0</v>
      </c>
      <c r="BK23" s="1">
        <v>0</v>
      </c>
      <c r="BL23" s="1">
        <v>0</v>
      </c>
      <c r="BM23" s="1">
        <v>0</v>
      </c>
      <c r="BN23" s="1">
        <v>0</v>
      </c>
      <c r="BO23" s="1">
        <v>0</v>
      </c>
      <c r="BP23" s="1">
        <v>0</v>
      </c>
      <c r="BQ23" s="8">
        <f ca="1">+$I$23</f>
        <v>0</v>
      </c>
      <c r="BR23" s="1">
        <v>0</v>
      </c>
      <c r="BS23" s="8">
        <v>0</v>
      </c>
      <c r="BT23" s="8">
        <v>0</v>
      </c>
      <c r="BU23" s="8">
        <v>0</v>
      </c>
      <c r="BZ23" s="1">
        <v>0</v>
      </c>
      <c r="CA23" s="1">
        <v>0</v>
      </c>
      <c r="CB23" s="1">
        <v>0</v>
      </c>
      <c r="CC23" s="1">
        <v>0</v>
      </c>
      <c r="CD23" s="1">
        <v>0</v>
      </c>
      <c r="CE23" s="1">
        <v>0</v>
      </c>
      <c r="CF23" s="1">
        <v>0</v>
      </c>
      <c r="CG23" s="1">
        <v>0</v>
      </c>
      <c r="CH23" s="1">
        <v>0</v>
      </c>
      <c r="CI23" s="1">
        <v>0</v>
      </c>
      <c r="CJ23" s="1">
        <v>0</v>
      </c>
      <c r="CK23" s="1">
        <v>0</v>
      </c>
      <c r="CL23" s="8">
        <f ca="1">+$J$23</f>
        <v>250822</v>
      </c>
      <c r="CM23" s="1">
        <v>0</v>
      </c>
      <c r="CN23" s="8">
        <v>0</v>
      </c>
      <c r="CO23" s="8">
        <v>0</v>
      </c>
      <c r="CP23" s="8">
        <v>0</v>
      </c>
    </row>
    <row r="24" spans="1:95" hidden="1" outlineLevel="1">
      <c r="B24" s="6" t="str">
        <f>+Assumptions!$AM48</f>
        <v xml:space="preserve">Specialty - Data Center </v>
      </c>
      <c r="G24" s="7">
        <f t="shared" ca="1" si="61"/>
        <v>0</v>
      </c>
      <c r="H24" s="25">
        <f ca="1">+Assumptions!AP60</f>
        <v>0</v>
      </c>
      <c r="I24" s="25">
        <f ca="1">+Assumptions!AQ60</f>
        <v>0</v>
      </c>
      <c r="J24" s="25">
        <f ca="1">+Assumptions!AR60</f>
        <v>0</v>
      </c>
      <c r="M24" s="1">
        <v>0</v>
      </c>
      <c r="N24" s="1">
        <v>0</v>
      </c>
      <c r="O24" s="1">
        <v>0</v>
      </c>
      <c r="P24" s="1">
        <v>0</v>
      </c>
      <c r="Q24" s="1">
        <v>0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0</v>
      </c>
      <c r="Z24" s="8">
        <f ca="1">+G24</f>
        <v>0</v>
      </c>
      <c r="AA24" s="1">
        <v>0</v>
      </c>
      <c r="AB24" s="1">
        <v>0</v>
      </c>
      <c r="AC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8">
        <f ca="1">+$H$24</f>
        <v>0</v>
      </c>
      <c r="AX24" s="1">
        <v>0</v>
      </c>
      <c r="AY24" s="1">
        <v>0</v>
      </c>
      <c r="AZ24" s="1">
        <v>0</v>
      </c>
      <c r="BE24" s="1">
        <v>0</v>
      </c>
      <c r="BF24" s="1">
        <v>0</v>
      </c>
      <c r="BG24" s="1">
        <v>0</v>
      </c>
      <c r="BH24" s="1">
        <v>0</v>
      </c>
      <c r="BI24" s="1">
        <v>0</v>
      </c>
      <c r="BJ24" s="1">
        <v>0</v>
      </c>
      <c r="BK24" s="1">
        <v>0</v>
      </c>
      <c r="BL24" s="1">
        <v>0</v>
      </c>
      <c r="BM24" s="1">
        <v>0</v>
      </c>
      <c r="BN24" s="1">
        <v>0</v>
      </c>
      <c r="BO24" s="1">
        <v>0</v>
      </c>
      <c r="BP24" s="1">
        <v>0</v>
      </c>
      <c r="BQ24" s="1">
        <v>0</v>
      </c>
      <c r="BR24" s="8">
        <f ca="1">+$I$24</f>
        <v>0</v>
      </c>
      <c r="BS24" s="1">
        <v>0</v>
      </c>
      <c r="BT24" s="1">
        <v>0</v>
      </c>
      <c r="BU24" s="1">
        <v>0</v>
      </c>
      <c r="BZ24" s="1">
        <v>0</v>
      </c>
      <c r="CA24" s="1">
        <v>0</v>
      </c>
      <c r="CB24" s="1">
        <v>0</v>
      </c>
      <c r="CC24" s="1">
        <v>0</v>
      </c>
      <c r="CD24" s="1">
        <v>0</v>
      </c>
      <c r="CE24" s="1">
        <v>0</v>
      </c>
      <c r="CF24" s="1">
        <v>0</v>
      </c>
      <c r="CG24" s="1">
        <v>0</v>
      </c>
      <c r="CH24" s="1">
        <v>0</v>
      </c>
      <c r="CI24" s="1">
        <v>0</v>
      </c>
      <c r="CJ24" s="1">
        <v>0</v>
      </c>
      <c r="CK24" s="1">
        <v>0</v>
      </c>
      <c r="CL24" s="1">
        <v>0</v>
      </c>
      <c r="CM24" s="8">
        <f ca="1">+$J$24</f>
        <v>0</v>
      </c>
      <c r="CN24" s="1">
        <v>0</v>
      </c>
      <c r="CO24" s="1">
        <v>0</v>
      </c>
      <c r="CP24" s="1">
        <v>0</v>
      </c>
    </row>
    <row r="25" spans="1:95" hidden="1" outlineLevel="1">
      <c r="B25" s="6" t="str">
        <f>+Assumptions!$AM49</f>
        <v xml:space="preserve">Community Facility </v>
      </c>
      <c r="G25" s="7">
        <f t="shared" ca="1" si="61"/>
        <v>0</v>
      </c>
      <c r="H25" s="25">
        <f ca="1">+Assumptions!AP61</f>
        <v>0</v>
      </c>
      <c r="I25" s="25">
        <f ca="1">+Assumptions!AQ61</f>
        <v>0</v>
      </c>
      <c r="J25" s="25">
        <f ca="1">+Assumptions!AR61</f>
        <v>0</v>
      </c>
      <c r="M25" s="1">
        <v>0</v>
      </c>
      <c r="N25" s="1">
        <v>0</v>
      </c>
      <c r="O25" s="1">
        <v>0</v>
      </c>
      <c r="P25" s="1">
        <v>0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0</v>
      </c>
      <c r="X25" s="1">
        <v>0</v>
      </c>
      <c r="Y25" s="1">
        <v>0</v>
      </c>
      <c r="Z25" s="1">
        <v>0</v>
      </c>
      <c r="AA25" s="8">
        <f ca="1">+$G$25</f>
        <v>0</v>
      </c>
      <c r="AB25" s="8">
        <v>0</v>
      </c>
      <c r="AC25" s="8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8">
        <f ca="1">+$H$25</f>
        <v>0</v>
      </c>
      <c r="AY25" s="8">
        <v>0</v>
      </c>
      <c r="AZ25" s="8">
        <v>0</v>
      </c>
      <c r="BE25" s="1">
        <v>0</v>
      </c>
      <c r="BF25" s="1">
        <v>0</v>
      </c>
      <c r="BG25" s="1">
        <v>0</v>
      </c>
      <c r="BH25" s="1">
        <v>0</v>
      </c>
      <c r="BI25" s="1">
        <v>0</v>
      </c>
      <c r="BJ25" s="1">
        <v>0</v>
      </c>
      <c r="BK25" s="1">
        <v>0</v>
      </c>
      <c r="BL25" s="1">
        <v>0</v>
      </c>
      <c r="BM25" s="1">
        <v>0</v>
      </c>
      <c r="BN25" s="1">
        <v>0</v>
      </c>
      <c r="BO25" s="1">
        <v>0</v>
      </c>
      <c r="BP25" s="1">
        <v>0</v>
      </c>
      <c r="BQ25" s="1">
        <v>0</v>
      </c>
      <c r="BR25" s="1">
        <v>0</v>
      </c>
      <c r="BS25" s="8">
        <f ca="1">+$I$25</f>
        <v>0</v>
      </c>
      <c r="BT25" s="8">
        <v>0</v>
      </c>
      <c r="BU25" s="8">
        <v>0</v>
      </c>
      <c r="BZ25" s="1">
        <v>0</v>
      </c>
      <c r="CA25" s="1">
        <v>0</v>
      </c>
      <c r="CB25" s="1">
        <v>0</v>
      </c>
      <c r="CC25" s="1">
        <v>0</v>
      </c>
      <c r="CD25" s="1">
        <v>0</v>
      </c>
      <c r="CE25" s="1">
        <v>0</v>
      </c>
      <c r="CF25" s="1">
        <v>0</v>
      </c>
      <c r="CG25" s="1">
        <v>0</v>
      </c>
      <c r="CH25" s="1">
        <v>0</v>
      </c>
      <c r="CI25" s="1">
        <v>0</v>
      </c>
      <c r="CJ25" s="1">
        <v>0</v>
      </c>
      <c r="CK25" s="1">
        <v>0</v>
      </c>
      <c r="CL25" s="1">
        <v>0</v>
      </c>
      <c r="CM25" s="1">
        <v>0</v>
      </c>
      <c r="CN25" s="8">
        <f ca="1">+$J$25</f>
        <v>0</v>
      </c>
      <c r="CO25" s="8">
        <v>0</v>
      </c>
      <c r="CP25" s="8">
        <v>0</v>
      </c>
    </row>
    <row r="26" spans="1:95" outlineLevel="1">
      <c r="B26" s="6" t="str">
        <f>+Assumptions!$J34</f>
        <v xml:space="preserve">Structural Parking </v>
      </c>
      <c r="G26" s="7">
        <f t="shared" ca="1" si="61"/>
        <v>405379</v>
      </c>
      <c r="H26" s="25">
        <f ca="1">+Assumptions!N$45</f>
        <v>151579</v>
      </c>
      <c r="I26" s="25">
        <f ca="1">+Assumptions!O$45</f>
        <v>172800</v>
      </c>
      <c r="J26" s="25">
        <f ca="1">+Assumptions!P$45</f>
        <v>81000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0</v>
      </c>
      <c r="U26" s="1">
        <v>0</v>
      </c>
      <c r="V26" s="1">
        <v>0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8">
        <f ca="1">+G26</f>
        <v>405379</v>
      </c>
      <c r="AC26" s="1">
        <v>0</v>
      </c>
      <c r="AD26" s="8"/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8">
        <f ca="1">$H$26</f>
        <v>151579</v>
      </c>
      <c r="AZ26" s="1">
        <v>0</v>
      </c>
      <c r="BE26" s="1">
        <v>0</v>
      </c>
      <c r="BF26" s="1">
        <v>0</v>
      </c>
      <c r="BG26" s="1">
        <v>0</v>
      </c>
      <c r="BH26" s="1">
        <v>0</v>
      </c>
      <c r="BI26" s="1">
        <v>0</v>
      </c>
      <c r="BJ26" s="1">
        <v>0</v>
      </c>
      <c r="BK26" s="1">
        <v>0</v>
      </c>
      <c r="BL26" s="1">
        <v>0</v>
      </c>
      <c r="BM26" s="1">
        <v>0</v>
      </c>
      <c r="BN26" s="1">
        <v>0</v>
      </c>
      <c r="BO26" s="1">
        <v>0</v>
      </c>
      <c r="BP26" s="1">
        <v>0</v>
      </c>
      <c r="BQ26" s="1">
        <v>0</v>
      </c>
      <c r="BR26" s="1">
        <v>0</v>
      </c>
      <c r="BS26" s="1">
        <v>0</v>
      </c>
      <c r="BT26" s="8">
        <f ca="1">$I$26</f>
        <v>172800</v>
      </c>
      <c r="BU26" s="1">
        <v>0</v>
      </c>
      <c r="BZ26" s="1">
        <v>0</v>
      </c>
      <c r="CA26" s="1">
        <v>0</v>
      </c>
      <c r="CB26" s="1">
        <v>0</v>
      </c>
      <c r="CC26" s="1">
        <v>0</v>
      </c>
      <c r="CD26" s="1">
        <v>0</v>
      </c>
      <c r="CE26" s="1">
        <v>0</v>
      </c>
      <c r="CF26" s="1">
        <v>0</v>
      </c>
      <c r="CG26" s="1">
        <v>0</v>
      </c>
      <c r="CH26" s="1">
        <v>0</v>
      </c>
      <c r="CI26" s="1">
        <v>0</v>
      </c>
      <c r="CJ26" s="1">
        <v>0</v>
      </c>
      <c r="CK26" s="1">
        <v>0</v>
      </c>
      <c r="CL26" s="1">
        <v>0</v>
      </c>
      <c r="CM26" s="1">
        <v>0</v>
      </c>
      <c r="CN26" s="1">
        <v>0</v>
      </c>
      <c r="CO26" s="8">
        <f ca="1">$J$26</f>
        <v>81000</v>
      </c>
      <c r="CP26" s="1">
        <v>0</v>
      </c>
    </row>
    <row r="27" spans="1:95" hidden="1" outlineLevel="1">
      <c r="B27" s="6" t="str">
        <f>+Assumptions!$AL50</f>
        <v xml:space="preserve">Surface Parking </v>
      </c>
      <c r="G27" s="7">
        <f t="shared" ca="1" si="61"/>
        <v>0</v>
      </c>
      <c r="H27" s="25">
        <f ca="1">+Assumptions!AP$63</f>
        <v>0</v>
      </c>
      <c r="I27" s="25">
        <f ca="1">+Assumptions!AQ$63</f>
        <v>0</v>
      </c>
      <c r="J27" s="25">
        <f ca="1">+Assumptions!AR$63</f>
        <v>0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8">
        <f ca="1">+G27</f>
        <v>0</v>
      </c>
      <c r="AE27" s="8"/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8">
        <f ca="1">$H$27</f>
        <v>0</v>
      </c>
      <c r="BE27" s="1">
        <v>0</v>
      </c>
      <c r="BF27" s="1">
        <v>0</v>
      </c>
      <c r="BG27" s="1">
        <v>0</v>
      </c>
      <c r="BH27" s="1">
        <v>0</v>
      </c>
      <c r="BI27" s="1">
        <v>0</v>
      </c>
      <c r="BJ27" s="1">
        <v>0</v>
      </c>
      <c r="BK27" s="1">
        <v>0</v>
      </c>
      <c r="BL27" s="1">
        <v>0</v>
      </c>
      <c r="BM27" s="1">
        <v>0</v>
      </c>
      <c r="BN27" s="1">
        <v>0</v>
      </c>
      <c r="BO27" s="1">
        <v>0</v>
      </c>
      <c r="BP27" s="1">
        <v>0</v>
      </c>
      <c r="BQ27" s="1">
        <v>0</v>
      </c>
      <c r="BR27" s="1">
        <v>0</v>
      </c>
      <c r="BS27" s="1">
        <v>0</v>
      </c>
      <c r="BT27" s="1">
        <v>0</v>
      </c>
      <c r="BU27" s="8">
        <f ca="1">$I$27</f>
        <v>0</v>
      </c>
      <c r="BZ27" s="1">
        <v>0</v>
      </c>
      <c r="CA27" s="1">
        <v>0</v>
      </c>
      <c r="CB27" s="1">
        <v>0</v>
      </c>
      <c r="CC27" s="1">
        <v>0</v>
      </c>
      <c r="CD27" s="1">
        <v>0</v>
      </c>
      <c r="CE27" s="1">
        <v>0</v>
      </c>
      <c r="CF27" s="1">
        <v>0</v>
      </c>
      <c r="CG27" s="1">
        <v>0</v>
      </c>
      <c r="CH27" s="1">
        <v>0</v>
      </c>
      <c r="CI27" s="1">
        <v>0</v>
      </c>
      <c r="CJ27" s="1">
        <v>0</v>
      </c>
      <c r="CK27" s="1">
        <v>0</v>
      </c>
      <c r="CL27" s="1">
        <v>0</v>
      </c>
      <c r="CM27" s="1">
        <v>0</v>
      </c>
      <c r="CN27" s="1">
        <v>0</v>
      </c>
      <c r="CO27" s="1">
        <v>0</v>
      </c>
      <c r="CP27" s="8">
        <f ca="1">$J$27</f>
        <v>0</v>
      </c>
    </row>
    <row r="28" spans="1:95" hidden="1" outlineLevel="1">
      <c r="B28" s="6"/>
      <c r="G28" s="7">
        <f t="shared" si="61"/>
        <v>0</v>
      </c>
      <c r="H28" s="25"/>
      <c r="I28" s="25"/>
      <c r="J28" s="25"/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F28" s="8"/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8"/>
      <c r="BE28" s="1">
        <v>0</v>
      </c>
      <c r="BF28" s="1">
        <v>0</v>
      </c>
      <c r="BG28" s="1">
        <v>0</v>
      </c>
      <c r="BH28" s="1">
        <v>0</v>
      </c>
      <c r="BI28" s="1">
        <v>0</v>
      </c>
      <c r="BJ28" s="1">
        <v>0</v>
      </c>
      <c r="BK28" s="1">
        <v>0</v>
      </c>
      <c r="BL28" s="1">
        <v>0</v>
      </c>
      <c r="BM28" s="1">
        <v>0</v>
      </c>
      <c r="BN28" s="1">
        <v>0</v>
      </c>
      <c r="BO28" s="1">
        <v>0</v>
      </c>
      <c r="BP28" s="1">
        <v>0</v>
      </c>
      <c r="BQ28" s="1">
        <v>0</v>
      </c>
      <c r="BR28" s="1">
        <v>0</v>
      </c>
      <c r="BS28" s="1">
        <v>0</v>
      </c>
      <c r="BT28" s="1">
        <v>0</v>
      </c>
      <c r="BU28" s="1">
        <v>0</v>
      </c>
      <c r="BV28" s="8"/>
      <c r="BZ28" s="1">
        <v>0</v>
      </c>
      <c r="CA28" s="1">
        <v>0</v>
      </c>
      <c r="CB28" s="1">
        <v>0</v>
      </c>
      <c r="CC28" s="1">
        <v>0</v>
      </c>
      <c r="CD28" s="1">
        <v>0</v>
      </c>
      <c r="CE28" s="1">
        <v>0</v>
      </c>
      <c r="CF28" s="1">
        <v>0</v>
      </c>
      <c r="CG28" s="1">
        <v>0</v>
      </c>
      <c r="CH28" s="1">
        <v>0</v>
      </c>
      <c r="CI28" s="1">
        <v>0</v>
      </c>
      <c r="CJ28" s="1">
        <v>0</v>
      </c>
      <c r="CK28" s="1">
        <v>0</v>
      </c>
      <c r="CL28" s="1">
        <v>0</v>
      </c>
      <c r="CM28" s="1">
        <v>0</v>
      </c>
      <c r="CN28" s="1">
        <v>0</v>
      </c>
      <c r="CO28" s="1">
        <v>0</v>
      </c>
      <c r="CP28" s="1">
        <v>0</v>
      </c>
      <c r="CQ28" s="8"/>
    </row>
    <row r="29" spans="1:95">
      <c r="B29" s="21" t="s">
        <v>899</v>
      </c>
      <c r="G29" s="17"/>
      <c r="H29" s="24">
        <f ca="1">+H$10/$G10</f>
        <v>0.39040699733941314</v>
      </c>
      <c r="I29" s="24">
        <f t="shared" ref="I29:J29" ca="1" si="62">+I$10/$G10</f>
        <v>0.32107483385841934</v>
      </c>
      <c r="J29" s="24">
        <f t="shared" ca="1" si="62"/>
        <v>0.28851816880216752</v>
      </c>
    </row>
    <row r="31" spans="1:95" ht="78.75" customHeight="1">
      <c r="A31" s="1" t="s">
        <v>511</v>
      </c>
      <c r="B31" s="542" t="s">
        <v>900</v>
      </c>
      <c r="C31" s="543"/>
      <c r="D31" s="543"/>
      <c r="E31" s="543"/>
      <c r="F31" s="547" t="s">
        <v>901</v>
      </c>
      <c r="G31" s="544" t="s">
        <v>258</v>
      </c>
      <c r="H31" s="544" t="str">
        <f>+H$4</f>
        <v>I</v>
      </c>
      <c r="I31" s="544" t="str">
        <f t="shared" ref="I31:J31" si="63">+I$4</f>
        <v>II</v>
      </c>
      <c r="J31" s="544" t="str">
        <f t="shared" si="63"/>
        <v>III</v>
      </c>
      <c r="M31" s="546" t="str">
        <f t="shared" ref="M31:AC31" ca="1" si="64">+M4</f>
        <v xml:space="preserve">Standard Affordable Residential </v>
      </c>
      <c r="N31" s="546" t="str">
        <f t="shared" ca="1" si="64"/>
        <v xml:space="preserve">Standard Market-Rate Residential </v>
      </c>
      <c r="O31" s="546" t="str">
        <f t="shared" ca="1" si="64"/>
        <v>Affordable Multi-Bedroom Residential</v>
      </c>
      <c r="P31" s="546" t="str">
        <f t="shared" ca="1" si="64"/>
        <v>Market-Rate Multi-Bedroom Residential</v>
      </c>
      <c r="Q31" s="546" t="str">
        <f t="shared" ca="1" si="64"/>
        <v xml:space="preserve">Affordable Senior Living Residential </v>
      </c>
      <c r="R31" s="546" t="str">
        <f t="shared" ca="1" si="64"/>
        <v xml:space="preserve">Market-Rate Senior Living Residential </v>
      </c>
      <c r="S31" s="546" t="str">
        <f t="shared" ca="1" si="64"/>
        <v>Affordable For-Sale Residential</v>
      </c>
      <c r="T31" s="546" t="str">
        <f t="shared" ca="1" si="64"/>
        <v xml:space="preserve">Market-Rate For-Sale Residential </v>
      </c>
      <c r="U31" s="546" t="str">
        <f t="shared" ca="1" si="64"/>
        <v xml:space="preserve">Affordable Student Housing </v>
      </c>
      <c r="V31" s="546" t="str">
        <f t="shared" ca="1" si="64"/>
        <v xml:space="preserve">Market-Rate Student Housing </v>
      </c>
      <c r="W31" s="546" t="str">
        <f t="shared" si="64"/>
        <v xml:space="preserve">Office </v>
      </c>
      <c r="X31" s="546" t="str">
        <f t="shared" ca="1" si="64"/>
        <v xml:space="preserve">Retail </v>
      </c>
      <c r="Y31" s="546" t="str">
        <f t="shared" ca="1" si="64"/>
        <v xml:space="preserve">Hotel </v>
      </c>
      <c r="Z31" s="546" t="str">
        <f t="shared" ca="1" si="64"/>
        <v xml:space="preserve">Specialty - Data Center </v>
      </c>
      <c r="AA31" s="546" t="str">
        <f t="shared" ca="1" si="64"/>
        <v xml:space="preserve">Community Facility </v>
      </c>
      <c r="AB31" s="546" t="str">
        <f t="shared" ca="1" si="64"/>
        <v xml:space="preserve">Structural Parking </v>
      </c>
      <c r="AC31" s="546" t="str">
        <f t="shared" ca="1" si="64"/>
        <v xml:space="preserve">Surface Parking </v>
      </c>
      <c r="AJ31" s="546" t="str">
        <f t="shared" ref="AJ31:AZ31" ca="1" si="65">+AJ4</f>
        <v xml:space="preserve">Standard Affordable Residential </v>
      </c>
      <c r="AK31" s="546" t="str">
        <f t="shared" ca="1" si="65"/>
        <v xml:space="preserve">Standard Market-Rate Residential </v>
      </c>
      <c r="AL31" s="546" t="str">
        <f t="shared" ca="1" si="65"/>
        <v>Affordable Multi-Bedroom Residential</v>
      </c>
      <c r="AM31" s="546" t="str">
        <f t="shared" ca="1" si="65"/>
        <v>Market-Rate Multi-Bedroom Residential</v>
      </c>
      <c r="AN31" s="546" t="str">
        <f t="shared" ca="1" si="65"/>
        <v xml:space="preserve">Affordable Senior Living Residential </v>
      </c>
      <c r="AO31" s="546" t="str">
        <f t="shared" ca="1" si="65"/>
        <v xml:space="preserve">Market-Rate Senior Living Residential </v>
      </c>
      <c r="AP31" s="546" t="str">
        <f t="shared" ca="1" si="65"/>
        <v>Affordable For-Sale Residential</v>
      </c>
      <c r="AQ31" s="546" t="str">
        <f t="shared" ca="1" si="65"/>
        <v xml:space="preserve">Market-Rate For-Sale Residential </v>
      </c>
      <c r="AR31" s="546" t="str">
        <f t="shared" ca="1" si="65"/>
        <v xml:space="preserve">Affordable Student Housing </v>
      </c>
      <c r="AS31" s="546" t="str">
        <f t="shared" ca="1" si="65"/>
        <v xml:space="preserve">Market-Rate Student Housing </v>
      </c>
      <c r="AT31" s="546" t="str">
        <f t="shared" si="65"/>
        <v xml:space="preserve">Office </v>
      </c>
      <c r="AU31" s="546" t="str">
        <f t="shared" ca="1" si="65"/>
        <v xml:space="preserve">Retail </v>
      </c>
      <c r="AV31" s="546" t="str">
        <f t="shared" ca="1" si="65"/>
        <v xml:space="preserve">Hotel </v>
      </c>
      <c r="AW31" s="546" t="str">
        <f t="shared" ca="1" si="65"/>
        <v xml:space="preserve">Specialty - Data Center </v>
      </c>
      <c r="AX31" s="546" t="str">
        <f t="shared" ca="1" si="65"/>
        <v xml:space="preserve">Community Facility </v>
      </c>
      <c r="AY31" s="546" t="str">
        <f t="shared" ca="1" si="65"/>
        <v xml:space="preserve">Structural Parking </v>
      </c>
      <c r="AZ31" s="546" t="str">
        <f t="shared" ca="1" si="65"/>
        <v xml:space="preserve">Surface Parking </v>
      </c>
      <c r="BE31" s="546" t="str">
        <f t="shared" ref="BE31:BU31" ca="1" si="66">+BE4</f>
        <v xml:space="preserve">Standard Affordable Residential </v>
      </c>
      <c r="BF31" s="546" t="str">
        <f t="shared" ca="1" si="66"/>
        <v xml:space="preserve">Standard Market-Rate Residential </v>
      </c>
      <c r="BG31" s="546" t="str">
        <f t="shared" ca="1" si="66"/>
        <v>Affordable Multi-Bedroom Residential</v>
      </c>
      <c r="BH31" s="546" t="str">
        <f t="shared" ca="1" si="66"/>
        <v>Market-Rate Multi-Bedroom Residential</v>
      </c>
      <c r="BI31" s="546" t="str">
        <f t="shared" ca="1" si="66"/>
        <v xml:space="preserve">Affordable Senior Living Residential </v>
      </c>
      <c r="BJ31" s="546" t="str">
        <f t="shared" ca="1" si="66"/>
        <v xml:space="preserve">Market-Rate Senior Living Residential </v>
      </c>
      <c r="BK31" s="546" t="str">
        <f t="shared" ca="1" si="66"/>
        <v>Affordable For-Sale Residential</v>
      </c>
      <c r="BL31" s="546" t="str">
        <f t="shared" ca="1" si="66"/>
        <v xml:space="preserve">Market-Rate For-Sale Residential </v>
      </c>
      <c r="BM31" s="546" t="str">
        <f t="shared" ca="1" si="66"/>
        <v xml:space="preserve">Affordable Student Housing </v>
      </c>
      <c r="BN31" s="546" t="str">
        <f t="shared" ca="1" si="66"/>
        <v xml:space="preserve">Market-Rate Student Housing </v>
      </c>
      <c r="BO31" s="546" t="str">
        <f t="shared" si="66"/>
        <v xml:space="preserve">Office </v>
      </c>
      <c r="BP31" s="546" t="str">
        <f t="shared" ca="1" si="66"/>
        <v xml:space="preserve">Retail </v>
      </c>
      <c r="BQ31" s="546" t="str">
        <f t="shared" ca="1" si="66"/>
        <v xml:space="preserve">Hotel </v>
      </c>
      <c r="BR31" s="546" t="str">
        <f t="shared" ca="1" si="66"/>
        <v xml:space="preserve">Specialty - Data Center </v>
      </c>
      <c r="BS31" s="546" t="str">
        <f t="shared" ca="1" si="66"/>
        <v xml:space="preserve">Community Facility </v>
      </c>
      <c r="BT31" s="546" t="str">
        <f t="shared" ca="1" si="66"/>
        <v xml:space="preserve">Structural Parking </v>
      </c>
      <c r="BU31" s="546" t="str">
        <f t="shared" ca="1" si="66"/>
        <v xml:space="preserve">Surface Parking </v>
      </c>
      <c r="BZ31" s="546" t="str">
        <f t="shared" ref="BZ31:CP31" ca="1" si="67">+BZ4</f>
        <v xml:space="preserve">Standard Affordable Residential </v>
      </c>
      <c r="CA31" s="546" t="str">
        <f t="shared" ca="1" si="67"/>
        <v xml:space="preserve">Standard Market-Rate Residential </v>
      </c>
      <c r="CB31" s="546" t="str">
        <f t="shared" ca="1" si="67"/>
        <v>Affordable Multi-Bedroom Residential</v>
      </c>
      <c r="CC31" s="546" t="str">
        <f t="shared" ca="1" si="67"/>
        <v>Market-Rate Multi-Bedroom Residential</v>
      </c>
      <c r="CD31" s="546" t="str">
        <f t="shared" ca="1" si="67"/>
        <v xml:space="preserve">Affordable Senior Living Residential </v>
      </c>
      <c r="CE31" s="546" t="str">
        <f t="shared" ca="1" si="67"/>
        <v xml:space="preserve">Market-Rate Senior Living Residential </v>
      </c>
      <c r="CF31" s="546" t="str">
        <f t="shared" ca="1" si="67"/>
        <v>Affordable For-Sale Residential</v>
      </c>
      <c r="CG31" s="546" t="str">
        <f t="shared" ca="1" si="67"/>
        <v xml:space="preserve">Market-Rate For-Sale Residential </v>
      </c>
      <c r="CH31" s="546" t="str">
        <f t="shared" ca="1" si="67"/>
        <v xml:space="preserve">Affordable Student Housing </v>
      </c>
      <c r="CI31" s="546" t="str">
        <f t="shared" ca="1" si="67"/>
        <v xml:space="preserve">Market-Rate Student Housing </v>
      </c>
      <c r="CJ31" s="546" t="str">
        <f t="shared" si="67"/>
        <v xml:space="preserve">Office </v>
      </c>
      <c r="CK31" s="546" t="str">
        <f t="shared" ca="1" si="67"/>
        <v xml:space="preserve">Retail </v>
      </c>
      <c r="CL31" s="546" t="str">
        <f t="shared" ca="1" si="67"/>
        <v xml:space="preserve">Hotel </v>
      </c>
      <c r="CM31" s="546" t="str">
        <f t="shared" ca="1" si="67"/>
        <v xml:space="preserve">Specialty - Data Center </v>
      </c>
      <c r="CN31" s="546" t="str">
        <f t="shared" ca="1" si="67"/>
        <v xml:space="preserve">Community Facility </v>
      </c>
      <c r="CO31" s="546" t="str">
        <f t="shared" ca="1" si="67"/>
        <v xml:space="preserve">Structural Parking </v>
      </c>
      <c r="CP31" s="546" t="str">
        <f t="shared" ca="1" si="67"/>
        <v xml:space="preserve">Surface Parking </v>
      </c>
    </row>
    <row r="32" spans="1:95" ht="15.75" customHeight="1">
      <c r="B32" s="1" t="s">
        <v>902</v>
      </c>
      <c r="F32" s="27">
        <f ca="1">+$G32/$G$10</f>
        <v>28.190021441156695</v>
      </c>
      <c r="G32" s="26">
        <f>SUM(H32:J32)</f>
        <v>70427722.556892037</v>
      </c>
      <c r="H32" s="22">
        <f>+'Parcel Breakdown'!AR44</f>
        <v>57533874.841383234</v>
      </c>
      <c r="I32" s="22">
        <f>+'Parcel Breakdown'!AR45</f>
        <v>4691009.3245623549</v>
      </c>
      <c r="J32" s="22">
        <f>+'Parcel Breakdown'!AR46</f>
        <v>8202838.3909464516</v>
      </c>
      <c r="M32" s="12">
        <f ca="1">+$H32*M$5+$I32*M$6+$J32*M$7</f>
        <v>15211130.374833005</v>
      </c>
      <c r="N32" s="12">
        <f t="shared" ref="N32:AC32" ca="1" si="68">+$H32*N$5+$I32*N$6+$J32*N$7</f>
        <v>22816695.562249504</v>
      </c>
      <c r="O32" s="12">
        <f t="shared" ca="1" si="68"/>
        <v>0</v>
      </c>
      <c r="P32" s="12">
        <f t="shared" ca="1" si="68"/>
        <v>0</v>
      </c>
      <c r="Q32" s="12">
        <f t="shared" ca="1" si="68"/>
        <v>0</v>
      </c>
      <c r="R32" s="12">
        <f t="shared" ca="1" si="68"/>
        <v>0</v>
      </c>
      <c r="S32" s="12">
        <f t="shared" ca="1" si="68"/>
        <v>2536681.374369584</v>
      </c>
      <c r="T32" s="12">
        <f t="shared" ca="1" si="68"/>
        <v>5526074.9622758627</v>
      </c>
      <c r="U32" s="12">
        <f t="shared" ca="1" si="68"/>
        <v>0</v>
      </c>
      <c r="V32" s="12">
        <f t="shared" ca="1" si="68"/>
        <v>0</v>
      </c>
      <c r="W32" s="12">
        <f ca="1">+$H32*W$5+$I32*W$6+$J32*W$7</f>
        <v>3142415.0880252495</v>
      </c>
      <c r="X32" s="12">
        <f t="shared" ca="1" si="68"/>
        <v>7466820.8753165314</v>
      </c>
      <c r="Y32" s="12">
        <f t="shared" ca="1" si="68"/>
        <v>2854357.5651508798</v>
      </c>
      <c r="Z32" s="12">
        <f t="shared" ca="1" si="68"/>
        <v>0</v>
      </c>
      <c r="AA32" s="12">
        <f t="shared" ca="1" si="68"/>
        <v>0</v>
      </c>
      <c r="AB32" s="12">
        <f t="shared" ca="1" si="68"/>
        <v>10873546.754671419</v>
      </c>
      <c r="AC32" s="12">
        <f t="shared" ca="1" si="68"/>
        <v>0</v>
      </c>
      <c r="AJ32" s="12">
        <f ca="1">+$H32*AJ$5+$I32*AJ$6+$J32*AJ$7</f>
        <v>13241184.620395724</v>
      </c>
      <c r="AK32" s="12">
        <f t="shared" ref="AK32:AZ34" ca="1" si="69">+$H32*AK$5+$I32*AK$6+$J32*AK$7</f>
        <v>19861776.930593584</v>
      </c>
      <c r="AL32" s="12">
        <f t="shared" ca="1" si="69"/>
        <v>0</v>
      </c>
      <c r="AM32" s="12">
        <f t="shared" ca="1" si="69"/>
        <v>0</v>
      </c>
      <c r="AN32" s="12">
        <f t="shared" ca="1" si="69"/>
        <v>0</v>
      </c>
      <c r="AO32" s="12">
        <f t="shared" ca="1" si="69"/>
        <v>0</v>
      </c>
      <c r="AP32" s="12">
        <f t="shared" ca="1" si="69"/>
        <v>1970414.3780350785</v>
      </c>
      <c r="AQ32" s="12">
        <f t="shared" ca="1" si="69"/>
        <v>4334911.6316771703</v>
      </c>
      <c r="AR32" s="12">
        <f t="shared" ca="1" si="69"/>
        <v>0</v>
      </c>
      <c r="AS32" s="12">
        <f t="shared" ca="1" si="69"/>
        <v>0</v>
      </c>
      <c r="AT32" s="12">
        <f t="shared" ca="1" si="69"/>
        <v>2542230.4107745993</v>
      </c>
      <c r="AU32" s="12">
        <f t="shared" ca="1" si="69"/>
        <v>6642135.851882969</v>
      </c>
      <c r="AV32" s="12">
        <f t="shared" ca="1" si="69"/>
        <v>0</v>
      </c>
      <c r="AW32" s="12">
        <f t="shared" ca="1" si="69"/>
        <v>0</v>
      </c>
      <c r="AX32" s="12">
        <f t="shared" ca="1" si="69"/>
        <v>0</v>
      </c>
      <c r="AY32" s="12">
        <f t="shared" ca="1" si="69"/>
        <v>8941221.0180241074</v>
      </c>
      <c r="AZ32" s="12">
        <f t="shared" ca="1" si="69"/>
        <v>0</v>
      </c>
      <c r="BE32" s="12">
        <f ca="1">+$H32*BE$5+$I32*BE$6+$J32*BE$7</f>
        <v>953029.26918433653</v>
      </c>
      <c r="BF32" s="12">
        <f t="shared" ref="BF32:BU34" ca="1" si="70">+$H32*BF$5+$I32*BF$6+$J32*BF$7</f>
        <v>1429543.9037765048</v>
      </c>
      <c r="BG32" s="12">
        <f t="shared" ca="1" si="70"/>
        <v>0</v>
      </c>
      <c r="BH32" s="12">
        <f t="shared" ca="1" si="70"/>
        <v>0</v>
      </c>
      <c r="BI32" s="12">
        <f t="shared" ca="1" si="70"/>
        <v>0</v>
      </c>
      <c r="BJ32" s="12">
        <f t="shared" ca="1" si="70"/>
        <v>0</v>
      </c>
      <c r="BK32" s="12">
        <f t="shared" ca="1" si="70"/>
        <v>141819.83172385959</v>
      </c>
      <c r="BL32" s="12">
        <f t="shared" ca="1" si="70"/>
        <v>312003.62979249115</v>
      </c>
      <c r="BM32" s="12">
        <f t="shared" ca="1" si="70"/>
        <v>0</v>
      </c>
      <c r="BN32" s="12">
        <f t="shared" ca="1" si="70"/>
        <v>0</v>
      </c>
      <c r="BO32" s="12">
        <f t="shared" ca="1" si="70"/>
        <v>466014.32659110334</v>
      </c>
      <c r="BP32" s="12">
        <f t="shared" ca="1" si="70"/>
        <v>378053.66191233782</v>
      </c>
      <c r="BQ32" s="12">
        <f t="shared" ca="1" si="70"/>
        <v>0</v>
      </c>
      <c r="BR32" s="12">
        <f t="shared" ca="1" si="70"/>
        <v>0</v>
      </c>
      <c r="BS32" s="12">
        <f t="shared" ca="1" si="70"/>
        <v>0</v>
      </c>
      <c r="BT32" s="12">
        <f t="shared" ca="1" si="70"/>
        <v>1010544.7015817217</v>
      </c>
      <c r="BU32" s="12">
        <f t="shared" ca="1" si="70"/>
        <v>0</v>
      </c>
      <c r="BZ32" s="12">
        <f ca="1">+$H32*BZ$5+$I32*BZ$6+$J32*BZ$7</f>
        <v>1016916.4852529455</v>
      </c>
      <c r="CA32" s="12">
        <f t="shared" ref="CA32:CP34" ca="1" si="71">+$H32*CA$5+$I32*CA$6+$J32*CA$7</f>
        <v>1525374.7278794181</v>
      </c>
      <c r="CB32" s="12">
        <f t="shared" ca="1" si="71"/>
        <v>0</v>
      </c>
      <c r="CC32" s="12">
        <f t="shared" ca="1" si="71"/>
        <v>0</v>
      </c>
      <c r="CD32" s="12">
        <f t="shared" ca="1" si="71"/>
        <v>0</v>
      </c>
      <c r="CE32" s="12">
        <f t="shared" ca="1" si="71"/>
        <v>0</v>
      </c>
      <c r="CF32" s="12">
        <f t="shared" ca="1" si="71"/>
        <v>424447.16461064597</v>
      </c>
      <c r="CG32" s="12">
        <f t="shared" ca="1" si="71"/>
        <v>879159.7008062012</v>
      </c>
      <c r="CH32" s="12">
        <f t="shared" ca="1" si="71"/>
        <v>0</v>
      </c>
      <c r="CI32" s="12">
        <f t="shared" ca="1" si="71"/>
        <v>0</v>
      </c>
      <c r="CJ32" s="12">
        <f t="shared" ca="1" si="71"/>
        <v>134170.35065954691</v>
      </c>
      <c r="CK32" s="12">
        <f t="shared" ca="1" si="71"/>
        <v>446631.36152122455</v>
      </c>
      <c r="CL32" s="12">
        <f t="shared" ca="1" si="71"/>
        <v>2854357.5651508798</v>
      </c>
      <c r="CM32" s="12">
        <f t="shared" ca="1" si="71"/>
        <v>0</v>
      </c>
      <c r="CN32" s="12">
        <f t="shared" ca="1" si="71"/>
        <v>0</v>
      </c>
      <c r="CO32" s="12">
        <f t="shared" ca="1" si="71"/>
        <v>921781.03506558936</v>
      </c>
      <c r="CP32" s="12">
        <f t="shared" ca="1" si="71"/>
        <v>0</v>
      </c>
    </row>
    <row r="33" spans="1:177" hidden="1">
      <c r="B33" s="17" t="s">
        <v>903</v>
      </c>
      <c r="F33" s="27">
        <f t="shared" ref="F33:F35" ca="1" si="72">+$G33/$G$10</f>
        <v>0</v>
      </c>
      <c r="G33" s="26">
        <f t="shared" ref="G33:G34" si="73">SUM(H33:J33)</f>
        <v>0</v>
      </c>
      <c r="H33" s="22">
        <v>0</v>
      </c>
      <c r="I33" s="22">
        <v>0</v>
      </c>
      <c r="J33" s="22">
        <v>0</v>
      </c>
      <c r="M33" s="12">
        <f t="shared" ref="M33:AC34" ca="1" si="74">+$H33*M$5+$I33*M$6+$J33*M$7</f>
        <v>0</v>
      </c>
      <c r="N33" s="12">
        <f t="shared" ca="1" si="74"/>
        <v>0</v>
      </c>
      <c r="O33" s="12">
        <f t="shared" ca="1" si="74"/>
        <v>0</v>
      </c>
      <c r="P33" s="12">
        <f t="shared" ca="1" si="74"/>
        <v>0</v>
      </c>
      <c r="Q33" s="12">
        <f t="shared" ca="1" si="74"/>
        <v>0</v>
      </c>
      <c r="R33" s="12">
        <f t="shared" ca="1" si="74"/>
        <v>0</v>
      </c>
      <c r="S33" s="12">
        <f t="shared" ca="1" si="74"/>
        <v>0</v>
      </c>
      <c r="T33" s="12">
        <f t="shared" ca="1" si="74"/>
        <v>0</v>
      </c>
      <c r="U33" s="12">
        <f t="shared" ca="1" si="74"/>
        <v>0</v>
      </c>
      <c r="V33" s="12">
        <f t="shared" ca="1" si="74"/>
        <v>0</v>
      </c>
      <c r="W33" s="12">
        <f t="shared" ca="1" si="74"/>
        <v>0</v>
      </c>
      <c r="X33" s="12">
        <f t="shared" ca="1" si="74"/>
        <v>0</v>
      </c>
      <c r="Y33" s="12">
        <f t="shared" ca="1" si="74"/>
        <v>0</v>
      </c>
      <c r="Z33" s="12">
        <f t="shared" ca="1" si="74"/>
        <v>0</v>
      </c>
      <c r="AA33" s="12">
        <f t="shared" ca="1" si="74"/>
        <v>0</v>
      </c>
      <c r="AB33" s="12">
        <f t="shared" ca="1" si="74"/>
        <v>0</v>
      </c>
      <c r="AC33" s="12">
        <f t="shared" ca="1" si="74"/>
        <v>0</v>
      </c>
      <c r="AJ33" s="12">
        <f t="shared" ref="AJ33:AY34" ca="1" si="75">+$H33*AJ$5+$I33*AJ$6+$J33*AJ$7</f>
        <v>0</v>
      </c>
      <c r="AK33" s="12">
        <f t="shared" ca="1" si="75"/>
        <v>0</v>
      </c>
      <c r="AL33" s="12">
        <f t="shared" ca="1" si="75"/>
        <v>0</v>
      </c>
      <c r="AM33" s="12">
        <f t="shared" ca="1" si="75"/>
        <v>0</v>
      </c>
      <c r="AN33" s="12">
        <f t="shared" ca="1" si="75"/>
        <v>0</v>
      </c>
      <c r="AO33" s="12">
        <f t="shared" ca="1" si="75"/>
        <v>0</v>
      </c>
      <c r="AP33" s="12">
        <f t="shared" ca="1" si="75"/>
        <v>0</v>
      </c>
      <c r="AQ33" s="12">
        <f t="shared" ca="1" si="75"/>
        <v>0</v>
      </c>
      <c r="AR33" s="12">
        <f t="shared" ca="1" si="75"/>
        <v>0</v>
      </c>
      <c r="AS33" s="12">
        <f t="shared" ca="1" si="75"/>
        <v>0</v>
      </c>
      <c r="AT33" s="12">
        <f t="shared" ca="1" si="75"/>
        <v>0</v>
      </c>
      <c r="AU33" s="12">
        <f t="shared" ca="1" si="75"/>
        <v>0</v>
      </c>
      <c r="AV33" s="12">
        <f t="shared" ca="1" si="75"/>
        <v>0</v>
      </c>
      <c r="AW33" s="12">
        <f t="shared" ca="1" si="75"/>
        <v>0</v>
      </c>
      <c r="AX33" s="12">
        <f t="shared" ca="1" si="75"/>
        <v>0</v>
      </c>
      <c r="AY33" s="12">
        <f t="shared" ca="1" si="75"/>
        <v>0</v>
      </c>
      <c r="AZ33" s="12">
        <f t="shared" ca="1" si="69"/>
        <v>0</v>
      </c>
      <c r="BE33" s="12">
        <f t="shared" ref="BE33:BT34" ca="1" si="76">+$H33*BE$5+$I33*BE$6+$J33*BE$7</f>
        <v>0</v>
      </c>
      <c r="BF33" s="12">
        <f t="shared" ca="1" si="76"/>
        <v>0</v>
      </c>
      <c r="BG33" s="12">
        <f t="shared" ca="1" si="76"/>
        <v>0</v>
      </c>
      <c r="BH33" s="12">
        <f t="shared" ca="1" si="76"/>
        <v>0</v>
      </c>
      <c r="BI33" s="12">
        <f t="shared" ca="1" si="76"/>
        <v>0</v>
      </c>
      <c r="BJ33" s="12">
        <f t="shared" ca="1" si="76"/>
        <v>0</v>
      </c>
      <c r="BK33" s="12">
        <f t="shared" ca="1" si="76"/>
        <v>0</v>
      </c>
      <c r="BL33" s="12">
        <f t="shared" ca="1" si="76"/>
        <v>0</v>
      </c>
      <c r="BM33" s="12">
        <f t="shared" ca="1" si="76"/>
        <v>0</v>
      </c>
      <c r="BN33" s="12">
        <f t="shared" ca="1" si="76"/>
        <v>0</v>
      </c>
      <c r="BO33" s="12">
        <f t="shared" ca="1" si="76"/>
        <v>0</v>
      </c>
      <c r="BP33" s="12">
        <f t="shared" ca="1" si="76"/>
        <v>0</v>
      </c>
      <c r="BQ33" s="12">
        <f t="shared" ca="1" si="76"/>
        <v>0</v>
      </c>
      <c r="BR33" s="12">
        <f t="shared" ca="1" si="76"/>
        <v>0</v>
      </c>
      <c r="BS33" s="12">
        <f t="shared" ca="1" si="76"/>
        <v>0</v>
      </c>
      <c r="BT33" s="12">
        <f t="shared" ca="1" si="76"/>
        <v>0</v>
      </c>
      <c r="BU33" s="12">
        <f t="shared" ca="1" si="70"/>
        <v>0</v>
      </c>
      <c r="BZ33" s="12">
        <f t="shared" ref="BZ33:CO34" ca="1" si="77">+$H33*BZ$5+$I33*BZ$6+$J33*BZ$7</f>
        <v>0</v>
      </c>
      <c r="CA33" s="12">
        <f t="shared" ca="1" si="77"/>
        <v>0</v>
      </c>
      <c r="CB33" s="12">
        <f t="shared" ca="1" si="77"/>
        <v>0</v>
      </c>
      <c r="CC33" s="12">
        <f t="shared" ca="1" si="77"/>
        <v>0</v>
      </c>
      <c r="CD33" s="12">
        <f t="shared" ca="1" si="77"/>
        <v>0</v>
      </c>
      <c r="CE33" s="12">
        <f t="shared" ca="1" si="77"/>
        <v>0</v>
      </c>
      <c r="CF33" s="12">
        <f t="shared" ca="1" si="77"/>
        <v>0</v>
      </c>
      <c r="CG33" s="12">
        <f t="shared" ca="1" si="77"/>
        <v>0</v>
      </c>
      <c r="CH33" s="12">
        <f t="shared" ca="1" si="77"/>
        <v>0</v>
      </c>
      <c r="CI33" s="12">
        <f t="shared" ca="1" si="77"/>
        <v>0</v>
      </c>
      <c r="CJ33" s="12">
        <f t="shared" ca="1" si="77"/>
        <v>0</v>
      </c>
      <c r="CK33" s="12">
        <f t="shared" ca="1" si="77"/>
        <v>0</v>
      </c>
      <c r="CL33" s="12">
        <f t="shared" ca="1" si="77"/>
        <v>0</v>
      </c>
      <c r="CM33" s="12">
        <f t="shared" ca="1" si="77"/>
        <v>0</v>
      </c>
      <c r="CN33" s="12">
        <f t="shared" ca="1" si="77"/>
        <v>0</v>
      </c>
      <c r="CO33" s="12">
        <f t="shared" ca="1" si="77"/>
        <v>0</v>
      </c>
      <c r="CP33" s="12">
        <f t="shared" ca="1" si="71"/>
        <v>0</v>
      </c>
    </row>
    <row r="34" spans="1:177" hidden="1">
      <c r="B34" s="17" t="s">
        <v>903</v>
      </c>
      <c r="F34" s="27">
        <f t="shared" ca="1" si="72"/>
        <v>0</v>
      </c>
      <c r="G34" s="26">
        <f t="shared" si="73"/>
        <v>0</v>
      </c>
      <c r="H34" s="22">
        <v>0</v>
      </c>
      <c r="I34" s="22">
        <v>0</v>
      </c>
      <c r="J34" s="22">
        <v>0</v>
      </c>
      <c r="M34" s="12">
        <f ca="1">+$H34*M$5+$I34*M$6+$J34*M$7</f>
        <v>0</v>
      </c>
      <c r="N34" s="12">
        <f t="shared" ca="1" si="74"/>
        <v>0</v>
      </c>
      <c r="O34" s="12">
        <f t="shared" ca="1" si="74"/>
        <v>0</v>
      </c>
      <c r="P34" s="12">
        <f t="shared" ca="1" si="74"/>
        <v>0</v>
      </c>
      <c r="Q34" s="12">
        <f t="shared" ca="1" si="74"/>
        <v>0</v>
      </c>
      <c r="R34" s="12">
        <f t="shared" ca="1" si="74"/>
        <v>0</v>
      </c>
      <c r="S34" s="12">
        <f t="shared" ca="1" si="74"/>
        <v>0</v>
      </c>
      <c r="T34" s="12">
        <f t="shared" ca="1" si="74"/>
        <v>0</v>
      </c>
      <c r="U34" s="12">
        <f t="shared" ca="1" si="74"/>
        <v>0</v>
      </c>
      <c r="V34" s="12">
        <f t="shared" ca="1" si="74"/>
        <v>0</v>
      </c>
      <c r="W34" s="12">
        <f t="shared" ca="1" si="74"/>
        <v>0</v>
      </c>
      <c r="X34" s="12">
        <f t="shared" ca="1" si="74"/>
        <v>0</v>
      </c>
      <c r="Y34" s="12">
        <f t="shared" ca="1" si="74"/>
        <v>0</v>
      </c>
      <c r="Z34" s="12">
        <f t="shared" ca="1" si="74"/>
        <v>0</v>
      </c>
      <c r="AA34" s="12">
        <f t="shared" ca="1" si="74"/>
        <v>0</v>
      </c>
      <c r="AB34" s="12">
        <f t="shared" ca="1" si="74"/>
        <v>0</v>
      </c>
      <c r="AC34" s="12">
        <f t="shared" ca="1" si="74"/>
        <v>0</v>
      </c>
      <c r="AJ34" s="12">
        <f t="shared" ca="1" si="75"/>
        <v>0</v>
      </c>
      <c r="AK34" s="12">
        <f t="shared" ca="1" si="75"/>
        <v>0</v>
      </c>
      <c r="AL34" s="12">
        <f t="shared" ca="1" si="75"/>
        <v>0</v>
      </c>
      <c r="AM34" s="12">
        <f t="shared" ca="1" si="75"/>
        <v>0</v>
      </c>
      <c r="AN34" s="12">
        <f t="shared" ca="1" si="75"/>
        <v>0</v>
      </c>
      <c r="AO34" s="12">
        <f t="shared" ca="1" si="75"/>
        <v>0</v>
      </c>
      <c r="AP34" s="12">
        <f t="shared" ca="1" si="75"/>
        <v>0</v>
      </c>
      <c r="AQ34" s="12">
        <f t="shared" ca="1" si="75"/>
        <v>0</v>
      </c>
      <c r="AR34" s="12">
        <f t="shared" ca="1" si="75"/>
        <v>0</v>
      </c>
      <c r="AS34" s="12">
        <f t="shared" ca="1" si="75"/>
        <v>0</v>
      </c>
      <c r="AT34" s="12">
        <f t="shared" ca="1" si="75"/>
        <v>0</v>
      </c>
      <c r="AU34" s="12">
        <f t="shared" ca="1" si="75"/>
        <v>0</v>
      </c>
      <c r="AV34" s="12">
        <f t="shared" ca="1" si="75"/>
        <v>0</v>
      </c>
      <c r="AW34" s="12">
        <f t="shared" ca="1" si="75"/>
        <v>0</v>
      </c>
      <c r="AX34" s="12">
        <f t="shared" ca="1" si="75"/>
        <v>0</v>
      </c>
      <c r="AY34" s="12">
        <f t="shared" ca="1" si="69"/>
        <v>0</v>
      </c>
      <c r="AZ34" s="12">
        <f t="shared" ca="1" si="69"/>
        <v>0</v>
      </c>
      <c r="BE34" s="12">
        <f t="shared" ca="1" si="76"/>
        <v>0</v>
      </c>
      <c r="BF34" s="12">
        <f t="shared" ca="1" si="76"/>
        <v>0</v>
      </c>
      <c r="BG34" s="12">
        <f t="shared" ca="1" si="76"/>
        <v>0</v>
      </c>
      <c r="BH34" s="12">
        <f t="shared" ca="1" si="76"/>
        <v>0</v>
      </c>
      <c r="BI34" s="12">
        <f t="shared" ca="1" si="76"/>
        <v>0</v>
      </c>
      <c r="BJ34" s="12">
        <f t="shared" ca="1" si="76"/>
        <v>0</v>
      </c>
      <c r="BK34" s="12">
        <f t="shared" ca="1" si="76"/>
        <v>0</v>
      </c>
      <c r="BL34" s="12">
        <f t="shared" ca="1" si="76"/>
        <v>0</v>
      </c>
      <c r="BM34" s="12">
        <f t="shared" ca="1" si="76"/>
        <v>0</v>
      </c>
      <c r="BN34" s="12">
        <f t="shared" ca="1" si="76"/>
        <v>0</v>
      </c>
      <c r="BO34" s="12">
        <f t="shared" ca="1" si="76"/>
        <v>0</v>
      </c>
      <c r="BP34" s="12">
        <f t="shared" ca="1" si="76"/>
        <v>0</v>
      </c>
      <c r="BQ34" s="12">
        <f t="shared" ca="1" si="76"/>
        <v>0</v>
      </c>
      <c r="BR34" s="12">
        <f t="shared" ca="1" si="76"/>
        <v>0</v>
      </c>
      <c r="BS34" s="12">
        <f t="shared" ca="1" si="76"/>
        <v>0</v>
      </c>
      <c r="BT34" s="12">
        <f t="shared" ca="1" si="70"/>
        <v>0</v>
      </c>
      <c r="BU34" s="12">
        <f t="shared" ca="1" si="70"/>
        <v>0</v>
      </c>
      <c r="BZ34" s="12">
        <f t="shared" ca="1" si="77"/>
        <v>0</v>
      </c>
      <c r="CA34" s="12">
        <f t="shared" ca="1" si="77"/>
        <v>0</v>
      </c>
      <c r="CB34" s="12">
        <f t="shared" ca="1" si="77"/>
        <v>0</v>
      </c>
      <c r="CC34" s="12">
        <f t="shared" ca="1" si="77"/>
        <v>0</v>
      </c>
      <c r="CD34" s="12">
        <f t="shared" ca="1" si="77"/>
        <v>0</v>
      </c>
      <c r="CE34" s="12">
        <f t="shared" ca="1" si="77"/>
        <v>0</v>
      </c>
      <c r="CF34" s="12">
        <f t="shared" ca="1" si="77"/>
        <v>0</v>
      </c>
      <c r="CG34" s="12">
        <f t="shared" ca="1" si="77"/>
        <v>0</v>
      </c>
      <c r="CH34" s="12">
        <f t="shared" ca="1" si="77"/>
        <v>0</v>
      </c>
      <c r="CI34" s="12">
        <f t="shared" ca="1" si="77"/>
        <v>0</v>
      </c>
      <c r="CJ34" s="12">
        <f t="shared" ca="1" si="77"/>
        <v>0</v>
      </c>
      <c r="CK34" s="12">
        <f t="shared" ca="1" si="77"/>
        <v>0</v>
      </c>
      <c r="CL34" s="12">
        <f t="shared" ca="1" si="77"/>
        <v>0</v>
      </c>
      <c r="CM34" s="12">
        <f t="shared" ca="1" si="77"/>
        <v>0</v>
      </c>
      <c r="CN34" s="12">
        <f t="shared" ca="1" si="77"/>
        <v>0</v>
      </c>
      <c r="CO34" s="12">
        <f t="shared" ca="1" si="71"/>
        <v>0</v>
      </c>
      <c r="CP34" s="12">
        <f t="shared" ca="1" si="71"/>
        <v>0</v>
      </c>
    </row>
    <row r="35" spans="1:177">
      <c r="B35" s="3" t="s">
        <v>904</v>
      </c>
      <c r="C35" s="4"/>
      <c r="D35" s="4"/>
      <c r="E35" s="4"/>
      <c r="F35" s="28">
        <f t="shared" ca="1" si="72"/>
        <v>28.190021441156695</v>
      </c>
      <c r="G35" s="23">
        <f>+SUM(G32:G34)</f>
        <v>70427722.556892037</v>
      </c>
      <c r="H35" s="9">
        <f t="shared" ref="H35:J35" si="78">+SUM(H32:H34)</f>
        <v>57533874.841383234</v>
      </c>
      <c r="I35" s="9">
        <f t="shared" si="78"/>
        <v>4691009.3245623549</v>
      </c>
      <c r="J35" s="9">
        <f t="shared" si="78"/>
        <v>8202838.3909464516</v>
      </c>
      <c r="L35" s="16">
        <f ca="1">+SUM(M35:AF35)</f>
        <v>70427722.556892037</v>
      </c>
      <c r="M35" s="32">
        <f ca="1">+SUM(M32:M34)</f>
        <v>15211130.374833005</v>
      </c>
      <c r="N35" s="32">
        <f t="shared" ref="N35:AA35" ca="1" si="79">+SUM(N32:N34)</f>
        <v>22816695.562249504</v>
      </c>
      <c r="O35" s="32">
        <f t="shared" ca="1" si="79"/>
        <v>0</v>
      </c>
      <c r="P35" s="32">
        <f t="shared" ca="1" si="79"/>
        <v>0</v>
      </c>
      <c r="Q35" s="32">
        <f t="shared" ca="1" si="79"/>
        <v>0</v>
      </c>
      <c r="R35" s="32">
        <f t="shared" ca="1" si="79"/>
        <v>0</v>
      </c>
      <c r="S35" s="32">
        <f t="shared" ca="1" si="79"/>
        <v>2536681.374369584</v>
      </c>
      <c r="T35" s="32">
        <f t="shared" ca="1" si="79"/>
        <v>5526074.9622758627</v>
      </c>
      <c r="U35" s="32">
        <f t="shared" ref="U35:V35" ca="1" si="80">+SUM(U32:U34)</f>
        <v>0</v>
      </c>
      <c r="V35" s="32">
        <f t="shared" ca="1" si="80"/>
        <v>0</v>
      </c>
      <c r="W35" s="32">
        <f t="shared" ca="1" si="79"/>
        <v>3142415.0880252495</v>
      </c>
      <c r="X35" s="32">
        <f t="shared" ca="1" si="79"/>
        <v>7466820.8753165314</v>
      </c>
      <c r="Y35" s="32">
        <f t="shared" ca="1" si="79"/>
        <v>2854357.5651508798</v>
      </c>
      <c r="Z35" s="32">
        <f t="shared" ca="1" si="79"/>
        <v>0</v>
      </c>
      <c r="AA35" s="32">
        <f t="shared" ca="1" si="79"/>
        <v>0</v>
      </c>
      <c r="AB35" s="32">
        <f t="shared" ref="AB35:AC35" ca="1" si="81">+SUM(AB32:AB34)</f>
        <v>10873546.754671419</v>
      </c>
      <c r="AC35" s="32">
        <f t="shared" ca="1" si="81"/>
        <v>0</v>
      </c>
      <c r="AI35" s="16">
        <f ca="1">+SUM(AJ35:BA35)</f>
        <v>57533874.841383234</v>
      </c>
      <c r="AJ35" s="32">
        <f ca="1">+SUM(AJ32:AJ34)</f>
        <v>13241184.620395724</v>
      </c>
      <c r="AK35" s="32">
        <f t="shared" ref="AK35:AX35" ca="1" si="82">+SUM(AK32:AK34)</f>
        <v>19861776.930593584</v>
      </c>
      <c r="AL35" s="32">
        <f t="shared" ca="1" si="82"/>
        <v>0</v>
      </c>
      <c r="AM35" s="32">
        <f t="shared" ca="1" si="82"/>
        <v>0</v>
      </c>
      <c r="AN35" s="32">
        <f t="shared" ca="1" si="82"/>
        <v>0</v>
      </c>
      <c r="AO35" s="32">
        <f t="shared" ca="1" si="82"/>
        <v>0</v>
      </c>
      <c r="AP35" s="32">
        <f t="shared" ca="1" si="82"/>
        <v>1970414.3780350785</v>
      </c>
      <c r="AQ35" s="32">
        <f t="shared" ca="1" si="82"/>
        <v>4334911.6316771703</v>
      </c>
      <c r="AR35" s="32">
        <f t="shared" ca="1" si="82"/>
        <v>0</v>
      </c>
      <c r="AS35" s="32">
        <f t="shared" ca="1" si="82"/>
        <v>0</v>
      </c>
      <c r="AT35" s="32">
        <f t="shared" ca="1" si="82"/>
        <v>2542230.4107745993</v>
      </c>
      <c r="AU35" s="32">
        <f t="shared" ca="1" si="82"/>
        <v>6642135.851882969</v>
      </c>
      <c r="AV35" s="32">
        <f t="shared" ca="1" si="82"/>
        <v>0</v>
      </c>
      <c r="AW35" s="32">
        <f t="shared" ca="1" si="82"/>
        <v>0</v>
      </c>
      <c r="AX35" s="32">
        <f t="shared" ca="1" si="82"/>
        <v>0</v>
      </c>
      <c r="AY35" s="32">
        <f t="shared" ref="AY35:AZ35" ca="1" si="83">+SUM(AY32:AY34)</f>
        <v>8941221.0180241074</v>
      </c>
      <c r="AZ35" s="32">
        <f t="shared" ca="1" si="83"/>
        <v>0</v>
      </c>
      <c r="BD35" s="16">
        <f ca="1">+SUM(BE35:BV35)</f>
        <v>4691009.324562354</v>
      </c>
      <c r="BE35" s="32">
        <f ca="1">+SUM(BE32:BE34)</f>
        <v>953029.26918433653</v>
      </c>
      <c r="BF35" s="32">
        <f t="shared" ref="BF35:BS35" ca="1" si="84">+SUM(BF32:BF34)</f>
        <v>1429543.9037765048</v>
      </c>
      <c r="BG35" s="32">
        <f t="shared" ca="1" si="84"/>
        <v>0</v>
      </c>
      <c r="BH35" s="32">
        <f t="shared" ca="1" si="84"/>
        <v>0</v>
      </c>
      <c r="BI35" s="32">
        <f t="shared" ca="1" si="84"/>
        <v>0</v>
      </c>
      <c r="BJ35" s="32">
        <f t="shared" ca="1" si="84"/>
        <v>0</v>
      </c>
      <c r="BK35" s="32">
        <f t="shared" ca="1" si="84"/>
        <v>141819.83172385959</v>
      </c>
      <c r="BL35" s="32">
        <f t="shared" ca="1" si="84"/>
        <v>312003.62979249115</v>
      </c>
      <c r="BM35" s="32">
        <f t="shared" ca="1" si="84"/>
        <v>0</v>
      </c>
      <c r="BN35" s="32">
        <f t="shared" ca="1" si="84"/>
        <v>0</v>
      </c>
      <c r="BO35" s="32">
        <f t="shared" ca="1" si="84"/>
        <v>466014.32659110334</v>
      </c>
      <c r="BP35" s="32">
        <f t="shared" ca="1" si="84"/>
        <v>378053.66191233782</v>
      </c>
      <c r="BQ35" s="32">
        <f t="shared" ca="1" si="84"/>
        <v>0</v>
      </c>
      <c r="BR35" s="32">
        <f t="shared" ca="1" si="84"/>
        <v>0</v>
      </c>
      <c r="BS35" s="32">
        <f t="shared" ca="1" si="84"/>
        <v>0</v>
      </c>
      <c r="BT35" s="32">
        <f t="shared" ref="BT35:BU35" ca="1" si="85">+SUM(BT32:BT34)</f>
        <v>1010544.7015817217</v>
      </c>
      <c r="BU35" s="32">
        <f t="shared" ca="1" si="85"/>
        <v>0</v>
      </c>
      <c r="BY35" s="16">
        <f ca="1">+SUM(BZ35:CQ35)</f>
        <v>8202838.3909464516</v>
      </c>
      <c r="BZ35" s="32">
        <f ca="1">+SUM(BZ32:BZ34)</f>
        <v>1016916.4852529455</v>
      </c>
      <c r="CA35" s="32">
        <f t="shared" ref="CA35:CN35" ca="1" si="86">+SUM(CA32:CA34)</f>
        <v>1525374.7278794181</v>
      </c>
      <c r="CB35" s="32">
        <f t="shared" ca="1" si="86"/>
        <v>0</v>
      </c>
      <c r="CC35" s="32">
        <f t="shared" ca="1" si="86"/>
        <v>0</v>
      </c>
      <c r="CD35" s="32">
        <f t="shared" ca="1" si="86"/>
        <v>0</v>
      </c>
      <c r="CE35" s="32">
        <f t="shared" ca="1" si="86"/>
        <v>0</v>
      </c>
      <c r="CF35" s="32">
        <f t="shared" ca="1" si="86"/>
        <v>424447.16461064597</v>
      </c>
      <c r="CG35" s="32">
        <f t="shared" ca="1" si="86"/>
        <v>879159.7008062012</v>
      </c>
      <c r="CH35" s="32">
        <f t="shared" ca="1" si="86"/>
        <v>0</v>
      </c>
      <c r="CI35" s="32">
        <f t="shared" ca="1" si="86"/>
        <v>0</v>
      </c>
      <c r="CJ35" s="32">
        <f t="shared" ca="1" si="86"/>
        <v>134170.35065954691</v>
      </c>
      <c r="CK35" s="32">
        <f t="shared" ca="1" si="86"/>
        <v>446631.36152122455</v>
      </c>
      <c r="CL35" s="32">
        <f t="shared" ca="1" si="86"/>
        <v>2854357.5651508798</v>
      </c>
      <c r="CM35" s="32">
        <f t="shared" ca="1" si="86"/>
        <v>0</v>
      </c>
      <c r="CN35" s="32">
        <f t="shared" ca="1" si="86"/>
        <v>0</v>
      </c>
      <c r="CO35" s="32">
        <f t="shared" ref="CO35:CP35" ca="1" si="87">+SUM(CO32:CO34)</f>
        <v>921781.03506558936</v>
      </c>
      <c r="CP35" s="32">
        <f t="shared" ca="1" si="87"/>
        <v>0</v>
      </c>
    </row>
    <row r="36" spans="1:177">
      <c r="L36" s="177">
        <f ca="1">L35-G35</f>
        <v>0</v>
      </c>
      <c r="AI36" s="177"/>
      <c r="BD36" s="177"/>
      <c r="BY36" s="177"/>
    </row>
    <row r="37" spans="1:177" ht="69.75" customHeight="1">
      <c r="A37" s="1" t="s">
        <v>511</v>
      </c>
      <c r="B37" s="542" t="s">
        <v>360</v>
      </c>
      <c r="C37" s="543"/>
      <c r="D37" s="543"/>
      <c r="E37" s="543"/>
      <c r="F37" s="547" t="s">
        <v>901</v>
      </c>
      <c r="G37" s="544" t="s">
        <v>258</v>
      </c>
      <c r="H37" s="544" t="str">
        <f>+H$4</f>
        <v>I</v>
      </c>
      <c r="I37" s="544" t="str">
        <f t="shared" ref="I37:J37" si="88">+I$4</f>
        <v>II</v>
      </c>
      <c r="J37" s="544" t="str">
        <f t="shared" si="88"/>
        <v>III</v>
      </c>
      <c r="L37" s="2"/>
      <c r="M37" s="546" t="str">
        <f ca="1">+M$31</f>
        <v xml:space="preserve">Standard Affordable Residential </v>
      </c>
      <c r="N37" s="546" t="str">
        <f t="shared" ref="N37:AC37" ca="1" si="89">+N$31</f>
        <v xml:space="preserve">Standard Market-Rate Residential </v>
      </c>
      <c r="O37" s="546" t="str">
        <f t="shared" ca="1" si="89"/>
        <v>Affordable Multi-Bedroom Residential</v>
      </c>
      <c r="P37" s="546" t="str">
        <f t="shared" ca="1" si="89"/>
        <v>Market-Rate Multi-Bedroom Residential</v>
      </c>
      <c r="Q37" s="546" t="str">
        <f t="shared" ca="1" si="89"/>
        <v xml:space="preserve">Affordable Senior Living Residential </v>
      </c>
      <c r="R37" s="546" t="str">
        <f t="shared" ca="1" si="89"/>
        <v xml:space="preserve">Market-Rate Senior Living Residential </v>
      </c>
      <c r="S37" s="546" t="str">
        <f t="shared" ca="1" si="89"/>
        <v>Affordable For-Sale Residential</v>
      </c>
      <c r="T37" s="546" t="str">
        <f t="shared" ca="1" si="89"/>
        <v xml:space="preserve">Market-Rate For-Sale Residential </v>
      </c>
      <c r="U37" s="546" t="str">
        <f t="shared" ca="1" si="89"/>
        <v xml:space="preserve">Affordable Student Housing </v>
      </c>
      <c r="V37" s="546" t="str">
        <f t="shared" ca="1" si="89"/>
        <v xml:space="preserve">Market-Rate Student Housing </v>
      </c>
      <c r="W37" s="546" t="str">
        <f t="shared" si="89"/>
        <v xml:space="preserve">Office </v>
      </c>
      <c r="X37" s="546" t="str">
        <f t="shared" ca="1" si="89"/>
        <v xml:space="preserve">Retail </v>
      </c>
      <c r="Y37" s="546" t="str">
        <f t="shared" ca="1" si="89"/>
        <v xml:space="preserve">Hotel </v>
      </c>
      <c r="Z37" s="546" t="str">
        <f t="shared" ca="1" si="89"/>
        <v xml:space="preserve">Specialty - Data Center </v>
      </c>
      <c r="AA37" s="546" t="str">
        <f t="shared" ca="1" si="89"/>
        <v xml:space="preserve">Community Facility </v>
      </c>
      <c r="AB37" s="546" t="str">
        <f t="shared" ca="1" si="89"/>
        <v xml:space="preserve">Structural Parking </v>
      </c>
      <c r="AC37" s="546" t="str">
        <f t="shared" ca="1" si="89"/>
        <v xml:space="preserve">Surface Parking </v>
      </c>
      <c r="AI37" s="2"/>
      <c r="AJ37" s="546" t="str">
        <f ca="1">+AJ$31</f>
        <v xml:space="preserve">Standard Affordable Residential </v>
      </c>
      <c r="AK37" s="546" t="str">
        <f t="shared" ref="AK37:AZ37" ca="1" si="90">+AK$31</f>
        <v xml:space="preserve">Standard Market-Rate Residential </v>
      </c>
      <c r="AL37" s="546" t="str">
        <f t="shared" ca="1" si="90"/>
        <v>Affordable Multi-Bedroom Residential</v>
      </c>
      <c r="AM37" s="546" t="str">
        <f t="shared" ca="1" si="90"/>
        <v>Market-Rate Multi-Bedroom Residential</v>
      </c>
      <c r="AN37" s="546" t="str">
        <f t="shared" ca="1" si="90"/>
        <v xml:space="preserve">Affordable Senior Living Residential </v>
      </c>
      <c r="AO37" s="546" t="str">
        <f t="shared" ca="1" si="90"/>
        <v xml:space="preserve">Market-Rate Senior Living Residential </v>
      </c>
      <c r="AP37" s="546" t="str">
        <f t="shared" ca="1" si="90"/>
        <v>Affordable For-Sale Residential</v>
      </c>
      <c r="AQ37" s="546" t="str">
        <f t="shared" ca="1" si="90"/>
        <v xml:space="preserve">Market-Rate For-Sale Residential </v>
      </c>
      <c r="AR37" s="546" t="str">
        <f t="shared" ca="1" si="90"/>
        <v xml:space="preserve">Affordable Student Housing </v>
      </c>
      <c r="AS37" s="546" t="str">
        <f t="shared" ca="1" si="90"/>
        <v xml:space="preserve">Market-Rate Student Housing </v>
      </c>
      <c r="AT37" s="546" t="str">
        <f t="shared" si="90"/>
        <v xml:space="preserve">Office </v>
      </c>
      <c r="AU37" s="546" t="str">
        <f t="shared" ca="1" si="90"/>
        <v xml:space="preserve">Retail </v>
      </c>
      <c r="AV37" s="546" t="str">
        <f t="shared" ca="1" si="90"/>
        <v xml:space="preserve">Hotel </v>
      </c>
      <c r="AW37" s="546" t="str">
        <f t="shared" ca="1" si="90"/>
        <v xml:space="preserve">Specialty - Data Center </v>
      </c>
      <c r="AX37" s="546" t="str">
        <f t="shared" ca="1" si="90"/>
        <v xml:space="preserve">Community Facility </v>
      </c>
      <c r="AY37" s="546" t="str">
        <f t="shared" ca="1" si="90"/>
        <v xml:space="preserve">Structural Parking </v>
      </c>
      <c r="AZ37" s="546" t="str">
        <f t="shared" ca="1" si="90"/>
        <v xml:space="preserve">Surface Parking </v>
      </c>
      <c r="BD37" s="2"/>
      <c r="BE37" s="546" t="str">
        <f ca="1">+BE$31</f>
        <v xml:space="preserve">Standard Affordable Residential </v>
      </c>
      <c r="BF37" s="546" t="str">
        <f t="shared" ref="BF37:BU37" ca="1" si="91">+BF$31</f>
        <v xml:space="preserve">Standard Market-Rate Residential </v>
      </c>
      <c r="BG37" s="546" t="str">
        <f t="shared" ca="1" si="91"/>
        <v>Affordable Multi-Bedroom Residential</v>
      </c>
      <c r="BH37" s="546" t="str">
        <f t="shared" ca="1" si="91"/>
        <v>Market-Rate Multi-Bedroom Residential</v>
      </c>
      <c r="BI37" s="546" t="str">
        <f t="shared" ca="1" si="91"/>
        <v xml:space="preserve">Affordable Senior Living Residential </v>
      </c>
      <c r="BJ37" s="546" t="str">
        <f t="shared" ca="1" si="91"/>
        <v xml:space="preserve">Market-Rate Senior Living Residential </v>
      </c>
      <c r="BK37" s="546" t="str">
        <f t="shared" ca="1" si="91"/>
        <v>Affordable For-Sale Residential</v>
      </c>
      <c r="BL37" s="546" t="str">
        <f t="shared" ca="1" si="91"/>
        <v xml:space="preserve">Market-Rate For-Sale Residential </v>
      </c>
      <c r="BM37" s="546" t="str">
        <f t="shared" ca="1" si="91"/>
        <v xml:space="preserve">Affordable Student Housing </v>
      </c>
      <c r="BN37" s="546" t="str">
        <f t="shared" ca="1" si="91"/>
        <v xml:space="preserve">Market-Rate Student Housing </v>
      </c>
      <c r="BO37" s="546" t="str">
        <f t="shared" si="91"/>
        <v xml:space="preserve">Office </v>
      </c>
      <c r="BP37" s="546" t="str">
        <f t="shared" ca="1" si="91"/>
        <v xml:space="preserve">Retail </v>
      </c>
      <c r="BQ37" s="546" t="str">
        <f t="shared" ca="1" si="91"/>
        <v xml:space="preserve">Hotel </v>
      </c>
      <c r="BR37" s="546" t="str">
        <f t="shared" ca="1" si="91"/>
        <v xml:space="preserve">Specialty - Data Center </v>
      </c>
      <c r="BS37" s="546" t="str">
        <f t="shared" ca="1" si="91"/>
        <v xml:space="preserve">Community Facility </v>
      </c>
      <c r="BT37" s="546" t="str">
        <f t="shared" ca="1" si="91"/>
        <v xml:space="preserve">Structural Parking </v>
      </c>
      <c r="BU37" s="546" t="str">
        <f t="shared" ca="1" si="91"/>
        <v xml:space="preserve">Surface Parking </v>
      </c>
      <c r="BY37" s="2"/>
      <c r="BZ37" s="546" t="str">
        <f ca="1">+BZ$31</f>
        <v xml:space="preserve">Standard Affordable Residential </v>
      </c>
      <c r="CA37" s="546" t="str">
        <f t="shared" ref="CA37:CP37" ca="1" si="92">+CA$31</f>
        <v xml:space="preserve">Standard Market-Rate Residential </v>
      </c>
      <c r="CB37" s="546" t="str">
        <f t="shared" ca="1" si="92"/>
        <v>Affordable Multi-Bedroom Residential</v>
      </c>
      <c r="CC37" s="546" t="str">
        <f t="shared" ca="1" si="92"/>
        <v>Market-Rate Multi-Bedroom Residential</v>
      </c>
      <c r="CD37" s="546" t="str">
        <f t="shared" ca="1" si="92"/>
        <v xml:space="preserve">Affordable Senior Living Residential </v>
      </c>
      <c r="CE37" s="546" t="str">
        <f t="shared" ca="1" si="92"/>
        <v xml:space="preserve">Market-Rate Senior Living Residential </v>
      </c>
      <c r="CF37" s="546" t="str">
        <f t="shared" ca="1" si="92"/>
        <v>Affordable For-Sale Residential</v>
      </c>
      <c r="CG37" s="546" t="str">
        <f t="shared" ca="1" si="92"/>
        <v xml:space="preserve">Market-Rate For-Sale Residential </v>
      </c>
      <c r="CH37" s="546" t="str">
        <f t="shared" ca="1" si="92"/>
        <v xml:space="preserve">Affordable Student Housing </v>
      </c>
      <c r="CI37" s="546" t="str">
        <f t="shared" ca="1" si="92"/>
        <v xml:space="preserve">Market-Rate Student Housing </v>
      </c>
      <c r="CJ37" s="546" t="str">
        <f t="shared" si="92"/>
        <v xml:space="preserve">Office </v>
      </c>
      <c r="CK37" s="546" t="str">
        <f t="shared" ca="1" si="92"/>
        <v xml:space="preserve">Retail </v>
      </c>
      <c r="CL37" s="546" t="str">
        <f t="shared" ca="1" si="92"/>
        <v xml:space="preserve">Hotel </v>
      </c>
      <c r="CM37" s="546" t="str">
        <f t="shared" ca="1" si="92"/>
        <v xml:space="preserve">Specialty - Data Center </v>
      </c>
      <c r="CN37" s="546" t="str">
        <f t="shared" ca="1" si="92"/>
        <v xml:space="preserve">Community Facility </v>
      </c>
      <c r="CO37" s="546" t="str">
        <f t="shared" ca="1" si="92"/>
        <v xml:space="preserve">Structural Parking </v>
      </c>
      <c r="CP37" s="546" t="str">
        <f t="shared" ca="1" si="92"/>
        <v xml:space="preserve">Surface Parking </v>
      </c>
    </row>
    <row r="38" spans="1:177">
      <c r="B38" s="1" t="s">
        <v>238</v>
      </c>
      <c r="F38" s="27">
        <f ca="1">+$G38/$G$10</f>
        <v>3.1090880635434757</v>
      </c>
      <c r="G38" s="26">
        <f t="shared" ref="G38:G41" si="93">SUM(H38:J38)</f>
        <v>7767500</v>
      </c>
      <c r="H38" s="22">
        <f>SUM(Infra!G6:G7)</f>
        <v>6750000</v>
      </c>
      <c r="I38" s="22">
        <f>SUM(Infra!H6:H7)</f>
        <v>0</v>
      </c>
      <c r="J38" s="22">
        <f>SUM(Infra!I6:I7)</f>
        <v>1017500</v>
      </c>
      <c r="L38" s="2"/>
      <c r="M38" s="12">
        <f ca="1">+$H38*M$5+$I38*M$6+$J38*M$7</f>
        <v>1679625.5239290639</v>
      </c>
      <c r="N38" s="12">
        <f t="shared" ref="N38:AC38" ca="1" si="94">+$H38*N$5+$I38*N$6+$J38*N$7</f>
        <v>2519438.2858935958</v>
      </c>
      <c r="O38" s="12">
        <f t="shared" ca="1" si="94"/>
        <v>0</v>
      </c>
      <c r="P38" s="12">
        <f t="shared" ca="1" si="94"/>
        <v>0</v>
      </c>
      <c r="Q38" s="12">
        <f t="shared" ca="1" si="94"/>
        <v>0</v>
      </c>
      <c r="R38" s="12">
        <f t="shared" ca="1" si="94"/>
        <v>0</v>
      </c>
      <c r="S38" s="12">
        <f t="shared" ca="1" si="94"/>
        <v>283822.78068781138</v>
      </c>
      <c r="T38" s="12">
        <f t="shared" ca="1" si="94"/>
        <v>617634.41625446372</v>
      </c>
      <c r="U38" s="12">
        <f t="shared" ca="1" si="94"/>
        <v>0</v>
      </c>
      <c r="V38" s="12">
        <f t="shared" ca="1" si="94"/>
        <v>0</v>
      </c>
      <c r="W38" s="12">
        <f t="shared" ca="1" si="94"/>
        <v>314902.84685151337</v>
      </c>
      <c r="X38" s="12">
        <f t="shared" ca="1" si="94"/>
        <v>834671.14086261985</v>
      </c>
      <c r="Y38" s="12">
        <f t="shared" ca="1" si="94"/>
        <v>354061.4460656122</v>
      </c>
      <c r="Z38" s="12">
        <f t="shared" ca="1" si="94"/>
        <v>0</v>
      </c>
      <c r="AA38" s="12">
        <f t="shared" ca="1" si="94"/>
        <v>0</v>
      </c>
      <c r="AB38" s="12">
        <f t="shared" ca="1" si="94"/>
        <v>1163343.5594553198</v>
      </c>
      <c r="AC38" s="12">
        <f t="shared" ca="1" si="94"/>
        <v>0</v>
      </c>
      <c r="AI38" s="2"/>
      <c r="AJ38" s="12">
        <f ca="1">+$H38*AJ$5+$I38*AJ$6+$J38*AJ$7</f>
        <v>1553484.7328479066</v>
      </c>
      <c r="AK38" s="12">
        <f t="shared" ref="AK38:AZ45" ca="1" si="95">+$H38*AK$5+$I38*AK$6+$J38*AK$7</f>
        <v>2330227.09927186</v>
      </c>
      <c r="AL38" s="12">
        <f t="shared" ca="1" si="95"/>
        <v>0</v>
      </c>
      <c r="AM38" s="12">
        <f t="shared" ca="1" si="95"/>
        <v>0</v>
      </c>
      <c r="AN38" s="12">
        <f t="shared" ca="1" si="95"/>
        <v>0</v>
      </c>
      <c r="AO38" s="12">
        <f t="shared" ca="1" si="95"/>
        <v>0</v>
      </c>
      <c r="AP38" s="12">
        <f t="shared" ca="1" si="95"/>
        <v>231173.32334046238</v>
      </c>
      <c r="AQ38" s="12">
        <f t="shared" ca="1" si="95"/>
        <v>508581.31134901696</v>
      </c>
      <c r="AR38" s="12">
        <f t="shared" ca="1" si="95"/>
        <v>0</v>
      </c>
      <c r="AS38" s="12">
        <f t="shared" ca="1" si="95"/>
        <v>0</v>
      </c>
      <c r="AT38" s="12">
        <f t="shared" ca="1" si="95"/>
        <v>298260.03063477972</v>
      </c>
      <c r="AU38" s="12">
        <f t="shared" ca="1" si="95"/>
        <v>779269.90184157272</v>
      </c>
      <c r="AV38" s="12">
        <f t="shared" ca="1" si="95"/>
        <v>0</v>
      </c>
      <c r="AW38" s="12">
        <f t="shared" ca="1" si="95"/>
        <v>0</v>
      </c>
      <c r="AX38" s="12">
        <f t="shared" ca="1" si="95"/>
        <v>0</v>
      </c>
      <c r="AY38" s="12">
        <f t="shared" ca="1" si="95"/>
        <v>1049003.6007144016</v>
      </c>
      <c r="AZ38" s="12">
        <f t="shared" ca="1" si="95"/>
        <v>0</v>
      </c>
      <c r="BD38" s="2"/>
      <c r="BE38" s="12">
        <f ca="1">+$H38*BE$5+$I38*BE$6+$J38*BE$7</f>
        <v>0</v>
      </c>
      <c r="BF38" s="12">
        <f t="shared" ref="BF38:BU45" ca="1" si="96">+$H38*BF$5+$I38*BF$6+$J38*BF$7</f>
        <v>0</v>
      </c>
      <c r="BG38" s="12">
        <f t="shared" ca="1" si="96"/>
        <v>0</v>
      </c>
      <c r="BH38" s="12">
        <f t="shared" ca="1" si="96"/>
        <v>0</v>
      </c>
      <c r="BI38" s="12">
        <f t="shared" ca="1" si="96"/>
        <v>0</v>
      </c>
      <c r="BJ38" s="12">
        <f t="shared" ca="1" si="96"/>
        <v>0</v>
      </c>
      <c r="BK38" s="12">
        <f t="shared" ca="1" si="96"/>
        <v>0</v>
      </c>
      <c r="BL38" s="12">
        <f t="shared" ca="1" si="96"/>
        <v>0</v>
      </c>
      <c r="BM38" s="12">
        <f t="shared" ca="1" si="96"/>
        <v>0</v>
      </c>
      <c r="BN38" s="12">
        <f t="shared" ca="1" si="96"/>
        <v>0</v>
      </c>
      <c r="BO38" s="12">
        <f t="shared" ca="1" si="96"/>
        <v>0</v>
      </c>
      <c r="BP38" s="12">
        <f t="shared" ca="1" si="96"/>
        <v>0</v>
      </c>
      <c r="BQ38" s="12">
        <f t="shared" ca="1" si="96"/>
        <v>0</v>
      </c>
      <c r="BR38" s="12">
        <f t="shared" ca="1" si="96"/>
        <v>0</v>
      </c>
      <c r="BS38" s="12">
        <f t="shared" ca="1" si="96"/>
        <v>0</v>
      </c>
      <c r="BT38" s="12">
        <f t="shared" ca="1" si="96"/>
        <v>0</v>
      </c>
      <c r="BU38" s="12">
        <f t="shared" ca="1" si="96"/>
        <v>0</v>
      </c>
      <c r="BY38" s="2"/>
      <c r="BZ38" s="12">
        <f ca="1">+$H38*BZ$5+$I38*BZ$6+$J38*BZ$7</f>
        <v>126140.79108115719</v>
      </c>
      <c r="CA38" s="12">
        <f t="shared" ref="CA38:CP45" ca="1" si="97">+$H38*CA$5+$I38*CA$6+$J38*CA$7</f>
        <v>189211.18662173577</v>
      </c>
      <c r="CB38" s="12">
        <f t="shared" ca="1" si="97"/>
        <v>0</v>
      </c>
      <c r="CC38" s="12">
        <f t="shared" ca="1" si="97"/>
        <v>0</v>
      </c>
      <c r="CD38" s="12">
        <f t="shared" ca="1" si="97"/>
        <v>0</v>
      </c>
      <c r="CE38" s="12">
        <f t="shared" ca="1" si="97"/>
        <v>0</v>
      </c>
      <c r="CF38" s="12">
        <f t="shared" ca="1" si="97"/>
        <v>52649.457347349024</v>
      </c>
      <c r="CG38" s="12">
        <f t="shared" ca="1" si="97"/>
        <v>109053.10490544679</v>
      </c>
      <c r="CH38" s="12">
        <f t="shared" ca="1" si="97"/>
        <v>0</v>
      </c>
      <c r="CI38" s="12">
        <f t="shared" ca="1" si="97"/>
        <v>0</v>
      </c>
      <c r="CJ38" s="12">
        <f t="shared" ca="1" si="97"/>
        <v>16642.816216733652</v>
      </c>
      <c r="CK38" s="12">
        <f t="shared" ca="1" si="97"/>
        <v>55401.23902104712</v>
      </c>
      <c r="CL38" s="12">
        <f t="shared" ca="1" si="97"/>
        <v>354061.4460656122</v>
      </c>
      <c r="CM38" s="12">
        <f t="shared" ca="1" si="97"/>
        <v>0</v>
      </c>
      <c r="CN38" s="12">
        <f t="shared" ca="1" si="97"/>
        <v>0</v>
      </c>
      <c r="CO38" s="12">
        <f t="shared" ca="1" si="97"/>
        <v>114339.95874091821</v>
      </c>
      <c r="CP38" s="35">
        <f t="shared" ca="1" si="97"/>
        <v>0</v>
      </c>
    </row>
    <row r="39" spans="1:177">
      <c r="B39" s="1" t="s">
        <v>239</v>
      </c>
      <c r="F39" s="27">
        <f t="shared" ref="F39:F46" ca="1" si="98">+$G39/$G$10</f>
        <v>1.1508529128162475</v>
      </c>
      <c r="G39" s="26">
        <f t="shared" si="93"/>
        <v>2875200</v>
      </c>
      <c r="H39" s="22">
        <f>SUM(Infra!G9:G10)</f>
        <v>978500</v>
      </c>
      <c r="I39" s="22">
        <f>SUM(Infra!H9:H10)</f>
        <v>1004224</v>
      </c>
      <c r="J39" s="22">
        <f>SUM(Infra!I9:I10)</f>
        <v>892476</v>
      </c>
      <c r="L39" s="2"/>
      <c r="M39" s="12">
        <f t="shared" ref="M39:AC45" ca="1" si="99">+$H39*M$5+$I39*M$6+$J39*M$7</f>
        <v>539858.11837228236</v>
      </c>
      <c r="N39" s="12">
        <f t="shared" ca="1" si="99"/>
        <v>809787.17755842349</v>
      </c>
      <c r="O39" s="12">
        <f t="shared" ca="1" si="99"/>
        <v>0</v>
      </c>
      <c r="P39" s="12">
        <f t="shared" ca="1" si="99"/>
        <v>0</v>
      </c>
      <c r="Q39" s="12">
        <f t="shared" ca="1" si="99"/>
        <v>0</v>
      </c>
      <c r="R39" s="12">
        <f t="shared" ca="1" si="99"/>
        <v>0</v>
      </c>
      <c r="S39" s="12">
        <f t="shared" ca="1" si="99"/>
        <v>110051.75805323946</v>
      </c>
      <c r="T39" s="12">
        <f t="shared" ca="1" si="99"/>
        <v>236170.72201041586</v>
      </c>
      <c r="U39" s="12">
        <f t="shared" ca="1" si="99"/>
        <v>0</v>
      </c>
      <c r="V39" s="12">
        <f t="shared" ca="1" si="99"/>
        <v>0</v>
      </c>
      <c r="W39" s="12">
        <f t="shared" ca="1" si="99"/>
        <v>157596.146780029</v>
      </c>
      <c r="X39" s="12">
        <f t="shared" ca="1" si="99"/>
        <v>242490.6868813569</v>
      </c>
      <c r="Y39" s="12">
        <f t="shared" ca="1" si="99"/>
        <v>310556.60259346763</v>
      </c>
      <c r="Z39" s="12">
        <f t="shared" ca="1" si="99"/>
        <v>0</v>
      </c>
      <c r="AA39" s="12">
        <f t="shared" ca="1" si="99"/>
        <v>0</v>
      </c>
      <c r="AB39" s="12">
        <f t="shared" ca="1" si="99"/>
        <v>468688.78775078518</v>
      </c>
      <c r="AC39" s="12">
        <f t="shared" ca="1" si="99"/>
        <v>0</v>
      </c>
      <c r="AI39" s="2"/>
      <c r="AJ39" s="12">
        <f t="shared" ref="AJ39:AY45" ca="1" si="100">+$H39*AJ$5+$I39*AJ$6+$J39*AJ$7</f>
        <v>225197.7497913595</v>
      </c>
      <c r="AK39" s="12">
        <f t="shared" ca="1" si="100"/>
        <v>337796.62468703924</v>
      </c>
      <c r="AL39" s="12">
        <f t="shared" ca="1" si="100"/>
        <v>0</v>
      </c>
      <c r="AM39" s="12">
        <f t="shared" ca="1" si="100"/>
        <v>0</v>
      </c>
      <c r="AN39" s="12">
        <f t="shared" ca="1" si="100"/>
        <v>0</v>
      </c>
      <c r="AO39" s="12">
        <f t="shared" ca="1" si="100"/>
        <v>0</v>
      </c>
      <c r="AP39" s="12">
        <f t="shared" ca="1" si="100"/>
        <v>33511.569909428508</v>
      </c>
      <c r="AQ39" s="12">
        <f t="shared" ca="1" si="100"/>
        <v>73725.453800742689</v>
      </c>
      <c r="AR39" s="12">
        <f t="shared" ca="1" si="100"/>
        <v>0</v>
      </c>
      <c r="AS39" s="12">
        <f t="shared" ca="1" si="100"/>
        <v>0</v>
      </c>
      <c r="AT39" s="12">
        <f t="shared" ca="1" si="100"/>
        <v>43236.657774241772</v>
      </c>
      <c r="AU39" s="12">
        <f t="shared" ca="1" si="100"/>
        <v>112965.27391881168</v>
      </c>
      <c r="AV39" s="12">
        <f t="shared" ca="1" si="100"/>
        <v>0</v>
      </c>
      <c r="AW39" s="12">
        <f t="shared" ca="1" si="100"/>
        <v>0</v>
      </c>
      <c r="AX39" s="12">
        <f t="shared" ca="1" si="100"/>
        <v>0</v>
      </c>
      <c r="AY39" s="12">
        <f t="shared" ca="1" si="100"/>
        <v>152066.67011837658</v>
      </c>
      <c r="AZ39" s="12">
        <f t="shared" ca="1" si="95"/>
        <v>0</v>
      </c>
      <c r="BD39" s="2"/>
      <c r="BE39" s="12">
        <f t="shared" ref="BE39:BT45" ca="1" si="101">+$H39*BE$5+$I39*BE$6+$J39*BE$7</f>
        <v>204018.96449154022</v>
      </c>
      <c r="BF39" s="12">
        <f t="shared" ca="1" si="101"/>
        <v>306028.44673731033</v>
      </c>
      <c r="BG39" s="12">
        <f t="shared" ca="1" si="101"/>
        <v>0</v>
      </c>
      <c r="BH39" s="12">
        <f t="shared" ca="1" si="101"/>
        <v>0</v>
      </c>
      <c r="BI39" s="12">
        <f t="shared" ca="1" si="101"/>
        <v>0</v>
      </c>
      <c r="BJ39" s="12">
        <f t="shared" ca="1" si="101"/>
        <v>0</v>
      </c>
      <c r="BK39" s="12">
        <f t="shared" ca="1" si="101"/>
        <v>30359.964954098246</v>
      </c>
      <c r="BL39" s="12">
        <f t="shared" ca="1" si="101"/>
        <v>66791.92289901615</v>
      </c>
      <c r="BM39" s="12">
        <f t="shared" ca="1" si="101"/>
        <v>0</v>
      </c>
      <c r="BN39" s="12">
        <f t="shared" ca="1" si="101"/>
        <v>0</v>
      </c>
      <c r="BO39" s="12">
        <f t="shared" ca="1" si="101"/>
        <v>99761.637363678514</v>
      </c>
      <c r="BP39" s="12">
        <f t="shared" ca="1" si="101"/>
        <v>80931.529722694555</v>
      </c>
      <c r="BQ39" s="12">
        <f t="shared" ca="1" si="101"/>
        <v>0</v>
      </c>
      <c r="BR39" s="12">
        <f t="shared" ca="1" si="101"/>
        <v>0</v>
      </c>
      <c r="BS39" s="12">
        <f t="shared" ca="1" si="101"/>
        <v>0</v>
      </c>
      <c r="BT39" s="12">
        <f t="shared" ca="1" si="101"/>
        <v>216331.53383166197</v>
      </c>
      <c r="BU39" s="12">
        <f t="shared" ca="1" si="96"/>
        <v>0</v>
      </c>
      <c r="BY39" s="2"/>
      <c r="BZ39" s="12">
        <f t="shared" ref="BZ39:CO45" ca="1" si="102">+$H39*BZ$5+$I39*BZ$6+$J39*BZ$7</f>
        <v>110641.40408938266</v>
      </c>
      <c r="CA39" s="12">
        <f t="shared" ca="1" si="102"/>
        <v>165962.10613407395</v>
      </c>
      <c r="CB39" s="12">
        <f t="shared" ca="1" si="102"/>
        <v>0</v>
      </c>
      <c r="CC39" s="12">
        <f t="shared" ca="1" si="102"/>
        <v>0</v>
      </c>
      <c r="CD39" s="12">
        <f t="shared" ca="1" si="102"/>
        <v>0</v>
      </c>
      <c r="CE39" s="12">
        <f t="shared" ca="1" si="102"/>
        <v>0</v>
      </c>
      <c r="CF39" s="12">
        <f t="shared" ca="1" si="102"/>
        <v>46180.223189712699</v>
      </c>
      <c r="CG39" s="12">
        <f t="shared" ca="1" si="102"/>
        <v>95653.345310657023</v>
      </c>
      <c r="CH39" s="12">
        <f t="shared" ca="1" si="102"/>
        <v>0</v>
      </c>
      <c r="CI39" s="12">
        <f t="shared" ca="1" si="102"/>
        <v>0</v>
      </c>
      <c r="CJ39" s="12">
        <f t="shared" ca="1" si="102"/>
        <v>14597.851642108682</v>
      </c>
      <c r="CK39" s="12">
        <f t="shared" ca="1" si="102"/>
        <v>48593.883239850664</v>
      </c>
      <c r="CL39" s="12">
        <f t="shared" ca="1" si="102"/>
        <v>310556.60259346763</v>
      </c>
      <c r="CM39" s="12">
        <f t="shared" ca="1" si="102"/>
        <v>0</v>
      </c>
      <c r="CN39" s="12">
        <f t="shared" ca="1" si="102"/>
        <v>0</v>
      </c>
      <c r="CO39" s="12">
        <f t="shared" ca="1" si="102"/>
        <v>100290.58380074665</v>
      </c>
      <c r="CP39" s="35">
        <f t="shared" ca="1" si="97"/>
        <v>0</v>
      </c>
    </row>
    <row r="40" spans="1:177">
      <c r="B40" s="1" t="s">
        <v>240</v>
      </c>
      <c r="F40" s="27">
        <f ca="1">+$G40/$G$10</f>
        <v>0.96809016935774062</v>
      </c>
      <c r="G40" s="26">
        <f t="shared" si="93"/>
        <v>2418600</v>
      </c>
      <c r="H40" s="22">
        <f>SUM(Infra!G12:G13)</f>
        <v>617100</v>
      </c>
      <c r="I40" s="22">
        <f>SUM(Infra!H12:H13)</f>
        <v>1026460</v>
      </c>
      <c r="J40" s="22">
        <f>SUM(Infra!I12:I13)</f>
        <v>775040</v>
      </c>
      <c r="L40" s="2"/>
      <c r="M40" s="12">
        <f t="shared" ca="1" si="99"/>
        <v>446642.18607174867</v>
      </c>
      <c r="N40" s="12">
        <f t="shared" ca="1" si="99"/>
        <v>669963.27910762304</v>
      </c>
      <c r="O40" s="12">
        <f t="shared" ca="1" si="99"/>
        <v>0</v>
      </c>
      <c r="P40" s="12">
        <f t="shared" ca="1" si="99"/>
        <v>0</v>
      </c>
      <c r="Q40" s="12">
        <f t="shared" ca="1" si="99"/>
        <v>0</v>
      </c>
      <c r="R40" s="12">
        <f t="shared" ca="1" si="99"/>
        <v>0</v>
      </c>
      <c r="S40" s="12">
        <f t="shared" ca="1" si="99"/>
        <v>92270.210548671021</v>
      </c>
      <c r="T40" s="12">
        <f t="shared" ca="1" si="99"/>
        <v>197833.34330185837</v>
      </c>
      <c r="U40" s="12">
        <f t="shared" ca="1" si="99"/>
        <v>0</v>
      </c>
      <c r="V40" s="12">
        <f t="shared" ca="1" si="99"/>
        <v>0</v>
      </c>
      <c r="W40" s="12">
        <f t="shared" ca="1" si="99"/>
        <v>141915.20201458168</v>
      </c>
      <c r="X40" s="12">
        <f t="shared" ca="1" si="99"/>
        <v>196165.82170389401</v>
      </c>
      <c r="Y40" s="12">
        <f t="shared" ca="1" si="99"/>
        <v>269692.17018053279</v>
      </c>
      <c r="Z40" s="12">
        <f t="shared" ca="1" si="99"/>
        <v>0</v>
      </c>
      <c r="AA40" s="12">
        <f t="shared" ca="1" si="99"/>
        <v>0</v>
      </c>
      <c r="AB40" s="12">
        <f t="shared" ca="1" si="99"/>
        <v>404117.78707109037</v>
      </c>
      <c r="AC40" s="12">
        <f t="shared" ca="1" si="99"/>
        <v>0</v>
      </c>
      <c r="AI40" s="2"/>
      <c r="AJ40" s="12">
        <f t="shared" ca="1" si="100"/>
        <v>142023.02646525085</v>
      </c>
      <c r="AK40" s="12">
        <f t="shared" ca="1" si="100"/>
        <v>213034.53969787626</v>
      </c>
      <c r="AL40" s="12">
        <f t="shared" ca="1" si="100"/>
        <v>0</v>
      </c>
      <c r="AM40" s="12">
        <f t="shared" ca="1" si="100"/>
        <v>0</v>
      </c>
      <c r="AN40" s="12">
        <f t="shared" ca="1" si="100"/>
        <v>0</v>
      </c>
      <c r="AO40" s="12">
        <f t="shared" ca="1" si="100"/>
        <v>0</v>
      </c>
      <c r="AP40" s="12">
        <f t="shared" ca="1" si="100"/>
        <v>21134.378938281381</v>
      </c>
      <c r="AQ40" s="12">
        <f t="shared" ca="1" si="100"/>
        <v>46495.633664219022</v>
      </c>
      <c r="AR40" s="12">
        <f t="shared" ca="1" si="100"/>
        <v>0</v>
      </c>
      <c r="AS40" s="12">
        <f t="shared" ca="1" si="100"/>
        <v>0</v>
      </c>
      <c r="AT40" s="12">
        <f t="shared" ca="1" si="100"/>
        <v>27267.59480069964</v>
      </c>
      <c r="AU40" s="12">
        <f t="shared" ca="1" si="100"/>
        <v>71242.586137249556</v>
      </c>
      <c r="AV40" s="12">
        <f t="shared" ca="1" si="100"/>
        <v>0</v>
      </c>
      <c r="AW40" s="12">
        <f t="shared" ca="1" si="100"/>
        <v>0</v>
      </c>
      <c r="AX40" s="12">
        <f t="shared" ca="1" si="100"/>
        <v>0</v>
      </c>
      <c r="AY40" s="12">
        <f t="shared" ca="1" si="95"/>
        <v>95902.240296423275</v>
      </c>
      <c r="AZ40" s="12">
        <f t="shared" ca="1" si="95"/>
        <v>0</v>
      </c>
      <c r="BD40" s="2"/>
      <c r="BE40" s="12">
        <f t="shared" ca="1" si="101"/>
        <v>208536.4483342226</v>
      </c>
      <c r="BF40" s="12">
        <f t="shared" ca="1" si="101"/>
        <v>312804.67250133393</v>
      </c>
      <c r="BG40" s="12">
        <f t="shared" ca="1" si="101"/>
        <v>0</v>
      </c>
      <c r="BH40" s="12">
        <f t="shared" ca="1" si="101"/>
        <v>0</v>
      </c>
      <c r="BI40" s="12">
        <f t="shared" ca="1" si="101"/>
        <v>0</v>
      </c>
      <c r="BJ40" s="12">
        <f t="shared" ca="1" si="101"/>
        <v>0</v>
      </c>
      <c r="BK40" s="12">
        <f t="shared" ca="1" si="101"/>
        <v>31032.209573545031</v>
      </c>
      <c r="BL40" s="12">
        <f t="shared" ca="1" si="101"/>
        <v>68270.861061799078</v>
      </c>
      <c r="BM40" s="12">
        <f t="shared" ca="1" si="101"/>
        <v>0</v>
      </c>
      <c r="BN40" s="12">
        <f t="shared" ca="1" si="101"/>
        <v>0</v>
      </c>
      <c r="BO40" s="12">
        <f t="shared" ca="1" si="101"/>
        <v>101970.60644669064</v>
      </c>
      <c r="BP40" s="12">
        <f t="shared" ca="1" si="101"/>
        <v>82723.553708293228</v>
      </c>
      <c r="BQ40" s="12">
        <f t="shared" ca="1" si="101"/>
        <v>0</v>
      </c>
      <c r="BR40" s="12">
        <f t="shared" ca="1" si="101"/>
        <v>0</v>
      </c>
      <c r="BS40" s="12">
        <f t="shared" ca="1" si="101"/>
        <v>0</v>
      </c>
      <c r="BT40" s="12">
        <f t="shared" ca="1" si="96"/>
        <v>221121.6483741155</v>
      </c>
      <c r="BU40" s="12">
        <f t="shared" ca="1" si="96"/>
        <v>0</v>
      </c>
      <c r="BY40" s="2"/>
      <c r="BZ40" s="12">
        <f t="shared" ca="1" si="102"/>
        <v>96082.71127227525</v>
      </c>
      <c r="CA40" s="12">
        <f t="shared" ca="1" si="102"/>
        <v>144124.06690841287</v>
      </c>
      <c r="CB40" s="12">
        <f t="shared" ca="1" si="102"/>
        <v>0</v>
      </c>
      <c r="CC40" s="12">
        <f t="shared" ca="1" si="102"/>
        <v>0</v>
      </c>
      <c r="CD40" s="12">
        <f t="shared" ca="1" si="102"/>
        <v>0</v>
      </c>
      <c r="CE40" s="12">
        <f t="shared" ca="1" si="102"/>
        <v>0</v>
      </c>
      <c r="CF40" s="12">
        <f t="shared" ca="1" si="102"/>
        <v>40103.622036844608</v>
      </c>
      <c r="CG40" s="12">
        <f t="shared" ca="1" si="102"/>
        <v>83066.848575840268</v>
      </c>
      <c r="CH40" s="12">
        <f t="shared" ca="1" si="102"/>
        <v>0</v>
      </c>
      <c r="CI40" s="12">
        <f t="shared" ca="1" si="102"/>
        <v>0</v>
      </c>
      <c r="CJ40" s="12">
        <f t="shared" ca="1" si="102"/>
        <v>12677.000767191401</v>
      </c>
      <c r="CK40" s="12">
        <f t="shared" ca="1" si="102"/>
        <v>42199.681858351214</v>
      </c>
      <c r="CL40" s="12">
        <f t="shared" ca="1" si="102"/>
        <v>269692.17018053279</v>
      </c>
      <c r="CM40" s="12">
        <f t="shared" ca="1" si="102"/>
        <v>0</v>
      </c>
      <c r="CN40" s="12">
        <f t="shared" ca="1" si="102"/>
        <v>0</v>
      </c>
      <c r="CO40" s="12">
        <f t="shared" ca="1" si="97"/>
        <v>87093.898400551596</v>
      </c>
      <c r="CP40" s="35">
        <f t="shared" ca="1" si="97"/>
        <v>0</v>
      </c>
    </row>
    <row r="41" spans="1:177">
      <c r="B41" s="1" t="s">
        <v>242</v>
      </c>
      <c r="F41" s="27">
        <f t="shared" ca="1" si="98"/>
        <v>9.0738359882497086</v>
      </c>
      <c r="G41" s="26">
        <f t="shared" si="93"/>
        <v>22669355</v>
      </c>
      <c r="H41" s="22">
        <f>SUM(Infra!G15:G17)</f>
        <v>11848835</v>
      </c>
      <c r="I41" s="22">
        <f>SUM(Infra!H15:H17)</f>
        <v>0</v>
      </c>
      <c r="J41" s="22">
        <f>SUM(Infra!I15:I17)</f>
        <v>10820520</v>
      </c>
      <c r="L41" s="2"/>
      <c r="M41" s="12">
        <f t="shared" ca="1" si="99"/>
        <v>4068394.4934210256</v>
      </c>
      <c r="N41" s="12">
        <f t="shared" ca="1" si="99"/>
        <v>6102591.7401315374</v>
      </c>
      <c r="O41" s="12">
        <f t="shared" ca="1" si="99"/>
        <v>0</v>
      </c>
      <c r="P41" s="12">
        <f t="shared" ca="1" si="99"/>
        <v>0</v>
      </c>
      <c r="Q41" s="12">
        <f t="shared" ca="1" si="99"/>
        <v>0</v>
      </c>
      <c r="R41" s="12">
        <f t="shared" ca="1" si="99"/>
        <v>0</v>
      </c>
      <c r="S41" s="12">
        <f t="shared" ca="1" si="99"/>
        <v>965694.03388891602</v>
      </c>
      <c r="T41" s="12">
        <f t="shared" ca="1" si="99"/>
        <v>2052471.2372248862</v>
      </c>
      <c r="U41" s="12">
        <f t="shared" ca="1" si="99"/>
        <v>0</v>
      </c>
      <c r="V41" s="12">
        <f t="shared" ca="1" si="99"/>
        <v>0</v>
      </c>
      <c r="W41" s="12">
        <f t="shared" ca="1" si="99"/>
        <v>700547.23550270649</v>
      </c>
      <c r="X41" s="12">
        <f t="shared" ca="1" si="99"/>
        <v>1957077.0255589997</v>
      </c>
      <c r="Y41" s="12">
        <f t="shared" ca="1" si="99"/>
        <v>3765237.3055350157</v>
      </c>
      <c r="Z41" s="12">
        <f t="shared" ca="1" si="99"/>
        <v>0</v>
      </c>
      <c r="AA41" s="12">
        <f t="shared" ca="1" si="99"/>
        <v>0</v>
      </c>
      <c r="AB41" s="12">
        <f t="shared" ca="1" si="99"/>
        <v>3057341.9287369121</v>
      </c>
      <c r="AC41" s="12">
        <f t="shared" ca="1" si="99"/>
        <v>0</v>
      </c>
      <c r="AI41" s="2"/>
      <c r="AJ41" s="12">
        <f t="shared" ca="1" si="100"/>
        <v>2726960.6332642855</v>
      </c>
      <c r="AK41" s="12">
        <f t="shared" ca="1" si="100"/>
        <v>4090440.9498964278</v>
      </c>
      <c r="AL41" s="12">
        <f t="shared" ca="1" si="100"/>
        <v>0</v>
      </c>
      <c r="AM41" s="12">
        <f t="shared" ca="1" si="100"/>
        <v>0</v>
      </c>
      <c r="AN41" s="12">
        <f t="shared" ca="1" si="100"/>
        <v>0</v>
      </c>
      <c r="AO41" s="12">
        <f t="shared" ca="1" si="100"/>
        <v>0</v>
      </c>
      <c r="AP41" s="12">
        <f t="shared" ca="1" si="100"/>
        <v>405797.7132833759</v>
      </c>
      <c r="AQ41" s="12">
        <f t="shared" ca="1" si="100"/>
        <v>892754.96922342665</v>
      </c>
      <c r="AR41" s="12">
        <f t="shared" ca="1" si="100"/>
        <v>0</v>
      </c>
      <c r="AS41" s="12">
        <f t="shared" ca="1" si="100"/>
        <v>0</v>
      </c>
      <c r="AT41" s="12">
        <f t="shared" ca="1" si="100"/>
        <v>523560.57630910375</v>
      </c>
      <c r="AU41" s="12">
        <f t="shared" ca="1" si="100"/>
        <v>1367917.1092425173</v>
      </c>
      <c r="AV41" s="12">
        <f t="shared" ca="1" si="100"/>
        <v>0</v>
      </c>
      <c r="AW41" s="12">
        <f t="shared" ca="1" si="100"/>
        <v>0</v>
      </c>
      <c r="AX41" s="12">
        <f t="shared" ca="1" si="100"/>
        <v>0</v>
      </c>
      <c r="AY41" s="12">
        <f t="shared" ca="1" si="95"/>
        <v>1841403.0487808629</v>
      </c>
      <c r="AZ41" s="12">
        <f t="shared" ca="1" si="95"/>
        <v>0</v>
      </c>
      <c r="BD41" s="2"/>
      <c r="BE41" s="12">
        <f t="shared" ca="1" si="101"/>
        <v>0</v>
      </c>
      <c r="BF41" s="12">
        <f t="shared" ca="1" si="101"/>
        <v>0</v>
      </c>
      <c r="BG41" s="12">
        <f t="shared" ca="1" si="101"/>
        <v>0</v>
      </c>
      <c r="BH41" s="12">
        <f t="shared" ca="1" si="101"/>
        <v>0</v>
      </c>
      <c r="BI41" s="12">
        <f t="shared" ca="1" si="101"/>
        <v>0</v>
      </c>
      <c r="BJ41" s="12">
        <f t="shared" ca="1" si="101"/>
        <v>0</v>
      </c>
      <c r="BK41" s="12">
        <f t="shared" ca="1" si="101"/>
        <v>0</v>
      </c>
      <c r="BL41" s="12">
        <f t="shared" ca="1" si="101"/>
        <v>0</v>
      </c>
      <c r="BM41" s="12">
        <f t="shared" ca="1" si="101"/>
        <v>0</v>
      </c>
      <c r="BN41" s="12">
        <f t="shared" ca="1" si="101"/>
        <v>0</v>
      </c>
      <c r="BO41" s="12">
        <f t="shared" ca="1" si="101"/>
        <v>0</v>
      </c>
      <c r="BP41" s="12">
        <f t="shared" ca="1" si="101"/>
        <v>0</v>
      </c>
      <c r="BQ41" s="12">
        <f t="shared" ca="1" si="101"/>
        <v>0</v>
      </c>
      <c r="BR41" s="12">
        <f t="shared" ca="1" si="101"/>
        <v>0</v>
      </c>
      <c r="BS41" s="12">
        <f t="shared" ca="1" si="101"/>
        <v>0</v>
      </c>
      <c r="BT41" s="12">
        <f t="shared" ca="1" si="96"/>
        <v>0</v>
      </c>
      <c r="BU41" s="12">
        <f t="shared" ca="1" si="96"/>
        <v>0</v>
      </c>
      <c r="BY41" s="2"/>
      <c r="BZ41" s="12">
        <f t="shared" ca="1" si="102"/>
        <v>1341433.8601567401</v>
      </c>
      <c r="CA41" s="12">
        <f t="shared" ca="1" si="102"/>
        <v>2012150.7902351099</v>
      </c>
      <c r="CB41" s="12">
        <f t="shared" ca="1" si="102"/>
        <v>0</v>
      </c>
      <c r="CC41" s="12">
        <f t="shared" ca="1" si="102"/>
        <v>0</v>
      </c>
      <c r="CD41" s="12">
        <f t="shared" ca="1" si="102"/>
        <v>0</v>
      </c>
      <c r="CE41" s="12">
        <f t="shared" ca="1" si="102"/>
        <v>0</v>
      </c>
      <c r="CF41" s="12">
        <f t="shared" ca="1" si="102"/>
        <v>559896.32060554007</v>
      </c>
      <c r="CG41" s="12">
        <f t="shared" ca="1" si="102"/>
        <v>1159716.2680014595</v>
      </c>
      <c r="CH41" s="12">
        <f t="shared" ca="1" si="102"/>
        <v>0</v>
      </c>
      <c r="CI41" s="12">
        <f t="shared" ca="1" si="102"/>
        <v>0</v>
      </c>
      <c r="CJ41" s="12">
        <f t="shared" ca="1" si="102"/>
        <v>176986.65919360277</v>
      </c>
      <c r="CK41" s="12">
        <f t="shared" ca="1" si="102"/>
        <v>589159.91631648235</v>
      </c>
      <c r="CL41" s="12">
        <f t="shared" ca="1" si="102"/>
        <v>3765237.3055350157</v>
      </c>
      <c r="CM41" s="12">
        <f t="shared" ca="1" si="102"/>
        <v>0</v>
      </c>
      <c r="CN41" s="12">
        <f t="shared" ca="1" si="102"/>
        <v>0</v>
      </c>
      <c r="CO41" s="12">
        <f t="shared" ca="1" si="97"/>
        <v>1215938.8799560494</v>
      </c>
      <c r="CP41" s="35">
        <f t="shared" ca="1" si="97"/>
        <v>0</v>
      </c>
      <c r="FU41" s="1" t="s">
        <v>881</v>
      </c>
    </row>
    <row r="42" spans="1:177" hidden="1" outlineLevel="1">
      <c r="B42" s="17" t="s">
        <v>903</v>
      </c>
      <c r="F42" s="27">
        <f t="shared" ca="1" si="98"/>
        <v>0</v>
      </c>
      <c r="G42" s="26">
        <f t="shared" ref="G42:G43" si="103">SUM(H42:J42)</f>
        <v>0</v>
      </c>
      <c r="H42" s="22">
        <v>0</v>
      </c>
      <c r="I42" s="22">
        <v>0</v>
      </c>
      <c r="J42" s="22">
        <v>0</v>
      </c>
      <c r="L42" s="2"/>
      <c r="M42" s="12">
        <f t="shared" ca="1" si="99"/>
        <v>0</v>
      </c>
      <c r="N42" s="12">
        <f t="shared" ca="1" si="99"/>
        <v>0</v>
      </c>
      <c r="O42" s="12">
        <f t="shared" ca="1" si="99"/>
        <v>0</v>
      </c>
      <c r="P42" s="12">
        <f t="shared" ca="1" si="99"/>
        <v>0</v>
      </c>
      <c r="Q42" s="12">
        <f t="shared" ca="1" si="99"/>
        <v>0</v>
      </c>
      <c r="R42" s="12">
        <f t="shared" ca="1" si="99"/>
        <v>0</v>
      </c>
      <c r="S42" s="12">
        <f t="shared" ca="1" si="99"/>
        <v>0</v>
      </c>
      <c r="T42" s="12">
        <f t="shared" ca="1" si="99"/>
        <v>0</v>
      </c>
      <c r="U42" s="12">
        <f t="shared" ca="1" si="99"/>
        <v>0</v>
      </c>
      <c r="V42" s="12">
        <f t="shared" ca="1" si="99"/>
        <v>0</v>
      </c>
      <c r="W42" s="12">
        <f t="shared" ca="1" si="99"/>
        <v>0</v>
      </c>
      <c r="X42" s="12">
        <f t="shared" ca="1" si="99"/>
        <v>0</v>
      </c>
      <c r="Y42" s="12">
        <f t="shared" ca="1" si="99"/>
        <v>0</v>
      </c>
      <c r="Z42" s="12">
        <f t="shared" ca="1" si="99"/>
        <v>0</v>
      </c>
      <c r="AA42" s="12">
        <f t="shared" ca="1" si="99"/>
        <v>0</v>
      </c>
      <c r="AB42" s="12">
        <f t="shared" ca="1" si="99"/>
        <v>0</v>
      </c>
      <c r="AC42" s="12">
        <f t="shared" ca="1" si="99"/>
        <v>0</v>
      </c>
      <c r="AI42" s="2"/>
      <c r="AJ42" s="12">
        <f t="shared" ca="1" si="100"/>
        <v>0</v>
      </c>
      <c r="AK42" s="12">
        <f t="shared" ca="1" si="100"/>
        <v>0</v>
      </c>
      <c r="AL42" s="12">
        <f t="shared" ca="1" si="100"/>
        <v>0</v>
      </c>
      <c r="AM42" s="12">
        <f t="shared" ca="1" si="100"/>
        <v>0</v>
      </c>
      <c r="AN42" s="12">
        <f t="shared" ca="1" si="100"/>
        <v>0</v>
      </c>
      <c r="AO42" s="12">
        <f t="shared" ca="1" si="100"/>
        <v>0</v>
      </c>
      <c r="AP42" s="12">
        <f t="shared" ca="1" si="100"/>
        <v>0</v>
      </c>
      <c r="AQ42" s="12">
        <f t="shared" ca="1" si="100"/>
        <v>0</v>
      </c>
      <c r="AR42" s="12">
        <f t="shared" ca="1" si="100"/>
        <v>0</v>
      </c>
      <c r="AS42" s="12">
        <f t="shared" ca="1" si="100"/>
        <v>0</v>
      </c>
      <c r="AT42" s="12">
        <f t="shared" ca="1" si="100"/>
        <v>0</v>
      </c>
      <c r="AU42" s="12">
        <f t="shared" ca="1" si="100"/>
        <v>0</v>
      </c>
      <c r="AV42" s="12">
        <f t="shared" ca="1" si="100"/>
        <v>0</v>
      </c>
      <c r="AW42" s="12">
        <f t="shared" ca="1" si="100"/>
        <v>0</v>
      </c>
      <c r="AX42" s="12">
        <f t="shared" ca="1" si="100"/>
        <v>0</v>
      </c>
      <c r="AY42" s="12">
        <f t="shared" ca="1" si="95"/>
        <v>0</v>
      </c>
      <c r="AZ42" s="12">
        <f t="shared" ca="1" si="95"/>
        <v>0</v>
      </c>
      <c r="BD42" s="2"/>
      <c r="BE42" s="12">
        <f t="shared" ca="1" si="101"/>
        <v>0</v>
      </c>
      <c r="BF42" s="12">
        <f t="shared" ca="1" si="101"/>
        <v>0</v>
      </c>
      <c r="BG42" s="12">
        <f t="shared" ca="1" si="101"/>
        <v>0</v>
      </c>
      <c r="BH42" s="12">
        <f t="shared" ca="1" si="101"/>
        <v>0</v>
      </c>
      <c r="BI42" s="12">
        <f t="shared" ca="1" si="101"/>
        <v>0</v>
      </c>
      <c r="BJ42" s="12">
        <f t="shared" ca="1" si="101"/>
        <v>0</v>
      </c>
      <c r="BK42" s="12">
        <f t="shared" ca="1" si="101"/>
        <v>0</v>
      </c>
      <c r="BL42" s="12">
        <f t="shared" ca="1" si="101"/>
        <v>0</v>
      </c>
      <c r="BM42" s="12">
        <f t="shared" ca="1" si="101"/>
        <v>0</v>
      </c>
      <c r="BN42" s="12">
        <f t="shared" ca="1" si="101"/>
        <v>0</v>
      </c>
      <c r="BO42" s="12">
        <f t="shared" ca="1" si="101"/>
        <v>0</v>
      </c>
      <c r="BP42" s="12">
        <f t="shared" ca="1" si="101"/>
        <v>0</v>
      </c>
      <c r="BQ42" s="12">
        <f t="shared" ca="1" si="101"/>
        <v>0</v>
      </c>
      <c r="BR42" s="12">
        <f t="shared" ca="1" si="101"/>
        <v>0</v>
      </c>
      <c r="BS42" s="12">
        <f t="shared" ca="1" si="101"/>
        <v>0</v>
      </c>
      <c r="BT42" s="12">
        <f t="shared" ca="1" si="96"/>
        <v>0</v>
      </c>
      <c r="BU42" s="12">
        <f t="shared" ca="1" si="96"/>
        <v>0</v>
      </c>
      <c r="BY42" s="2"/>
      <c r="BZ42" s="12">
        <f t="shared" ca="1" si="102"/>
        <v>0</v>
      </c>
      <c r="CA42" s="12">
        <f t="shared" ca="1" si="102"/>
        <v>0</v>
      </c>
      <c r="CB42" s="12">
        <f t="shared" ca="1" si="102"/>
        <v>0</v>
      </c>
      <c r="CC42" s="12">
        <f t="shared" ca="1" si="102"/>
        <v>0</v>
      </c>
      <c r="CD42" s="12">
        <f t="shared" ca="1" si="102"/>
        <v>0</v>
      </c>
      <c r="CE42" s="12">
        <f t="shared" ca="1" si="102"/>
        <v>0</v>
      </c>
      <c r="CF42" s="12">
        <f t="shared" ca="1" si="102"/>
        <v>0</v>
      </c>
      <c r="CG42" s="12">
        <f t="shared" ca="1" si="102"/>
        <v>0</v>
      </c>
      <c r="CH42" s="12">
        <f t="shared" ca="1" si="102"/>
        <v>0</v>
      </c>
      <c r="CI42" s="12">
        <f t="shared" ca="1" si="102"/>
        <v>0</v>
      </c>
      <c r="CJ42" s="12">
        <f t="shared" ca="1" si="102"/>
        <v>0</v>
      </c>
      <c r="CK42" s="12">
        <f t="shared" ca="1" si="102"/>
        <v>0</v>
      </c>
      <c r="CL42" s="12">
        <f t="shared" ca="1" si="102"/>
        <v>0</v>
      </c>
      <c r="CM42" s="12">
        <f t="shared" ca="1" si="102"/>
        <v>0</v>
      </c>
      <c r="CN42" s="12">
        <f t="shared" ca="1" si="102"/>
        <v>0</v>
      </c>
      <c r="CO42" s="12">
        <f t="shared" ca="1" si="97"/>
        <v>0</v>
      </c>
      <c r="CP42" s="35">
        <f t="shared" ca="1" si="97"/>
        <v>0</v>
      </c>
    </row>
    <row r="43" spans="1:177" hidden="1" outlineLevel="1">
      <c r="B43" s="17" t="s">
        <v>903</v>
      </c>
      <c r="F43" s="27">
        <f t="shared" ca="1" si="98"/>
        <v>0</v>
      </c>
      <c r="G43" s="26">
        <f t="shared" si="103"/>
        <v>0</v>
      </c>
      <c r="H43" s="22">
        <v>0</v>
      </c>
      <c r="I43" s="22">
        <v>0</v>
      </c>
      <c r="J43" s="22">
        <v>0</v>
      </c>
      <c r="L43" s="2"/>
      <c r="M43" s="12">
        <f t="shared" ca="1" si="99"/>
        <v>0</v>
      </c>
      <c r="N43" s="12">
        <f t="shared" ca="1" si="99"/>
        <v>0</v>
      </c>
      <c r="O43" s="12">
        <f t="shared" ca="1" si="99"/>
        <v>0</v>
      </c>
      <c r="P43" s="12">
        <f t="shared" ca="1" si="99"/>
        <v>0</v>
      </c>
      <c r="Q43" s="12">
        <f t="shared" ca="1" si="99"/>
        <v>0</v>
      </c>
      <c r="R43" s="12">
        <f t="shared" ca="1" si="99"/>
        <v>0</v>
      </c>
      <c r="S43" s="12">
        <f t="shared" ca="1" si="99"/>
        <v>0</v>
      </c>
      <c r="T43" s="12">
        <f t="shared" ca="1" si="99"/>
        <v>0</v>
      </c>
      <c r="U43" s="12">
        <f t="shared" ca="1" si="99"/>
        <v>0</v>
      </c>
      <c r="V43" s="12">
        <f t="shared" ca="1" si="99"/>
        <v>0</v>
      </c>
      <c r="W43" s="12">
        <f t="shared" ca="1" si="99"/>
        <v>0</v>
      </c>
      <c r="X43" s="12">
        <f t="shared" ca="1" si="99"/>
        <v>0</v>
      </c>
      <c r="Y43" s="12">
        <f t="shared" ca="1" si="99"/>
        <v>0</v>
      </c>
      <c r="Z43" s="12">
        <f t="shared" ca="1" si="99"/>
        <v>0</v>
      </c>
      <c r="AA43" s="12">
        <f t="shared" ca="1" si="99"/>
        <v>0</v>
      </c>
      <c r="AB43" s="12">
        <f t="shared" ca="1" si="99"/>
        <v>0</v>
      </c>
      <c r="AC43" s="12">
        <f t="shared" ca="1" si="99"/>
        <v>0</v>
      </c>
      <c r="AI43" s="2"/>
      <c r="AJ43" s="12">
        <f t="shared" ca="1" si="100"/>
        <v>0</v>
      </c>
      <c r="AK43" s="12">
        <f t="shared" ca="1" si="100"/>
        <v>0</v>
      </c>
      <c r="AL43" s="12">
        <f t="shared" ca="1" si="100"/>
        <v>0</v>
      </c>
      <c r="AM43" s="12">
        <f t="shared" ca="1" si="100"/>
        <v>0</v>
      </c>
      <c r="AN43" s="12">
        <f t="shared" ca="1" si="100"/>
        <v>0</v>
      </c>
      <c r="AO43" s="12">
        <f t="shared" ca="1" si="100"/>
        <v>0</v>
      </c>
      <c r="AP43" s="12">
        <f t="shared" ca="1" si="100"/>
        <v>0</v>
      </c>
      <c r="AQ43" s="12">
        <f t="shared" ca="1" si="100"/>
        <v>0</v>
      </c>
      <c r="AR43" s="12">
        <f t="shared" ca="1" si="100"/>
        <v>0</v>
      </c>
      <c r="AS43" s="12">
        <f t="shared" ca="1" si="100"/>
        <v>0</v>
      </c>
      <c r="AT43" s="12">
        <f t="shared" ca="1" si="100"/>
        <v>0</v>
      </c>
      <c r="AU43" s="12">
        <f t="shared" ca="1" si="100"/>
        <v>0</v>
      </c>
      <c r="AV43" s="12">
        <f t="shared" ca="1" si="100"/>
        <v>0</v>
      </c>
      <c r="AW43" s="12">
        <f t="shared" ca="1" si="100"/>
        <v>0</v>
      </c>
      <c r="AX43" s="12">
        <f t="shared" ca="1" si="100"/>
        <v>0</v>
      </c>
      <c r="AY43" s="12">
        <f t="shared" ca="1" si="95"/>
        <v>0</v>
      </c>
      <c r="AZ43" s="12">
        <f t="shared" ca="1" si="95"/>
        <v>0</v>
      </c>
      <c r="BD43" s="2"/>
      <c r="BE43" s="12">
        <f t="shared" ca="1" si="101"/>
        <v>0</v>
      </c>
      <c r="BF43" s="12">
        <f t="shared" ca="1" si="101"/>
        <v>0</v>
      </c>
      <c r="BG43" s="12">
        <f t="shared" ca="1" si="101"/>
        <v>0</v>
      </c>
      <c r="BH43" s="12">
        <f t="shared" ca="1" si="101"/>
        <v>0</v>
      </c>
      <c r="BI43" s="12">
        <f t="shared" ca="1" si="101"/>
        <v>0</v>
      </c>
      <c r="BJ43" s="12">
        <f t="shared" ca="1" si="101"/>
        <v>0</v>
      </c>
      <c r="BK43" s="12">
        <f t="shared" ca="1" si="101"/>
        <v>0</v>
      </c>
      <c r="BL43" s="12">
        <f t="shared" ca="1" si="101"/>
        <v>0</v>
      </c>
      <c r="BM43" s="12">
        <f t="shared" ca="1" si="101"/>
        <v>0</v>
      </c>
      <c r="BN43" s="12">
        <f t="shared" ca="1" si="101"/>
        <v>0</v>
      </c>
      <c r="BO43" s="12">
        <f t="shared" ca="1" si="101"/>
        <v>0</v>
      </c>
      <c r="BP43" s="12">
        <f t="shared" ca="1" si="101"/>
        <v>0</v>
      </c>
      <c r="BQ43" s="12">
        <f t="shared" ca="1" si="101"/>
        <v>0</v>
      </c>
      <c r="BR43" s="12">
        <f t="shared" ca="1" si="101"/>
        <v>0</v>
      </c>
      <c r="BS43" s="12">
        <f t="shared" ca="1" si="101"/>
        <v>0</v>
      </c>
      <c r="BT43" s="12">
        <f t="shared" ca="1" si="96"/>
        <v>0</v>
      </c>
      <c r="BU43" s="12">
        <f t="shared" ca="1" si="96"/>
        <v>0</v>
      </c>
      <c r="BY43" s="2"/>
      <c r="BZ43" s="12">
        <f t="shared" ca="1" si="102"/>
        <v>0</v>
      </c>
      <c r="CA43" s="12">
        <f t="shared" ca="1" si="102"/>
        <v>0</v>
      </c>
      <c r="CB43" s="12">
        <f t="shared" ca="1" si="102"/>
        <v>0</v>
      </c>
      <c r="CC43" s="12">
        <f t="shared" ca="1" si="102"/>
        <v>0</v>
      </c>
      <c r="CD43" s="12">
        <f t="shared" ca="1" si="102"/>
        <v>0</v>
      </c>
      <c r="CE43" s="12">
        <f t="shared" ca="1" si="102"/>
        <v>0</v>
      </c>
      <c r="CF43" s="12">
        <f t="shared" ca="1" si="102"/>
        <v>0</v>
      </c>
      <c r="CG43" s="12">
        <f t="shared" ca="1" si="102"/>
        <v>0</v>
      </c>
      <c r="CH43" s="12">
        <f t="shared" ca="1" si="102"/>
        <v>0</v>
      </c>
      <c r="CI43" s="12">
        <f t="shared" ca="1" si="102"/>
        <v>0</v>
      </c>
      <c r="CJ43" s="12">
        <f t="shared" ca="1" si="102"/>
        <v>0</v>
      </c>
      <c r="CK43" s="12">
        <f t="shared" ca="1" si="102"/>
        <v>0</v>
      </c>
      <c r="CL43" s="12">
        <f t="shared" ca="1" si="102"/>
        <v>0</v>
      </c>
      <c r="CM43" s="12">
        <f t="shared" ca="1" si="102"/>
        <v>0</v>
      </c>
      <c r="CN43" s="12">
        <f t="shared" ca="1" si="102"/>
        <v>0</v>
      </c>
      <c r="CO43" s="12">
        <f t="shared" ca="1" si="97"/>
        <v>0</v>
      </c>
      <c r="CP43" s="35">
        <f t="shared" ca="1" si="97"/>
        <v>0</v>
      </c>
    </row>
    <row r="44" spans="1:177" hidden="1" outlineLevel="1">
      <c r="B44" s="17" t="s">
        <v>903</v>
      </c>
      <c r="F44" s="27">
        <f ca="1">+$G44/$G$10</f>
        <v>0</v>
      </c>
      <c r="G44" s="26">
        <f t="shared" ref="G44:G46" si="104">SUM(H44:J44)</f>
        <v>0</v>
      </c>
      <c r="H44" s="22">
        <v>0</v>
      </c>
      <c r="I44" s="22">
        <v>0</v>
      </c>
      <c r="J44" s="22">
        <v>0</v>
      </c>
      <c r="L44" s="2"/>
      <c r="M44" s="12">
        <f t="shared" ca="1" si="99"/>
        <v>0</v>
      </c>
      <c r="N44" s="12">
        <f t="shared" ca="1" si="99"/>
        <v>0</v>
      </c>
      <c r="O44" s="12">
        <f t="shared" ca="1" si="99"/>
        <v>0</v>
      </c>
      <c r="P44" s="12">
        <f t="shared" ca="1" si="99"/>
        <v>0</v>
      </c>
      <c r="Q44" s="12">
        <f t="shared" ca="1" si="99"/>
        <v>0</v>
      </c>
      <c r="R44" s="12">
        <f t="shared" ca="1" si="99"/>
        <v>0</v>
      </c>
      <c r="S44" s="12">
        <f t="shared" ca="1" si="99"/>
        <v>0</v>
      </c>
      <c r="T44" s="12">
        <f t="shared" ca="1" si="99"/>
        <v>0</v>
      </c>
      <c r="U44" s="12">
        <f t="shared" ca="1" si="99"/>
        <v>0</v>
      </c>
      <c r="V44" s="12">
        <f t="shared" ca="1" si="99"/>
        <v>0</v>
      </c>
      <c r="W44" s="12">
        <f t="shared" ca="1" si="99"/>
        <v>0</v>
      </c>
      <c r="X44" s="12">
        <f t="shared" ca="1" si="99"/>
        <v>0</v>
      </c>
      <c r="Y44" s="12">
        <f t="shared" ca="1" si="99"/>
        <v>0</v>
      </c>
      <c r="Z44" s="12">
        <f t="shared" ca="1" si="99"/>
        <v>0</v>
      </c>
      <c r="AA44" s="12">
        <f t="shared" ca="1" si="99"/>
        <v>0</v>
      </c>
      <c r="AB44" s="12">
        <f t="shared" ca="1" si="99"/>
        <v>0</v>
      </c>
      <c r="AC44" s="12">
        <f t="shared" ca="1" si="99"/>
        <v>0</v>
      </c>
      <c r="AI44" s="2"/>
      <c r="AJ44" s="12">
        <f t="shared" ca="1" si="100"/>
        <v>0</v>
      </c>
      <c r="AK44" s="12">
        <f t="shared" ca="1" si="100"/>
        <v>0</v>
      </c>
      <c r="AL44" s="12">
        <f t="shared" ca="1" si="100"/>
        <v>0</v>
      </c>
      <c r="AM44" s="12">
        <f t="shared" ca="1" si="100"/>
        <v>0</v>
      </c>
      <c r="AN44" s="12">
        <f t="shared" ca="1" si="100"/>
        <v>0</v>
      </c>
      <c r="AO44" s="12">
        <f t="shared" ca="1" si="100"/>
        <v>0</v>
      </c>
      <c r="AP44" s="12">
        <f t="shared" ca="1" si="100"/>
        <v>0</v>
      </c>
      <c r="AQ44" s="12">
        <f t="shared" ca="1" si="100"/>
        <v>0</v>
      </c>
      <c r="AR44" s="12">
        <f t="shared" ca="1" si="100"/>
        <v>0</v>
      </c>
      <c r="AS44" s="12">
        <f t="shared" ca="1" si="100"/>
        <v>0</v>
      </c>
      <c r="AT44" s="12">
        <f t="shared" ca="1" si="100"/>
        <v>0</v>
      </c>
      <c r="AU44" s="12">
        <f t="shared" ca="1" si="100"/>
        <v>0</v>
      </c>
      <c r="AV44" s="12">
        <f t="shared" ca="1" si="100"/>
        <v>0</v>
      </c>
      <c r="AW44" s="12">
        <f t="shared" ca="1" si="100"/>
        <v>0</v>
      </c>
      <c r="AX44" s="12">
        <f t="shared" ca="1" si="100"/>
        <v>0</v>
      </c>
      <c r="AY44" s="12">
        <f t="shared" ca="1" si="95"/>
        <v>0</v>
      </c>
      <c r="AZ44" s="12">
        <f t="shared" ca="1" si="95"/>
        <v>0</v>
      </c>
      <c r="BD44" s="2"/>
      <c r="BE44" s="12">
        <f t="shared" ca="1" si="101"/>
        <v>0</v>
      </c>
      <c r="BF44" s="12">
        <f t="shared" ca="1" si="101"/>
        <v>0</v>
      </c>
      <c r="BG44" s="12">
        <f t="shared" ca="1" si="101"/>
        <v>0</v>
      </c>
      <c r="BH44" s="12">
        <f t="shared" ca="1" si="101"/>
        <v>0</v>
      </c>
      <c r="BI44" s="12">
        <f t="shared" ca="1" si="101"/>
        <v>0</v>
      </c>
      <c r="BJ44" s="12">
        <f t="shared" ca="1" si="101"/>
        <v>0</v>
      </c>
      <c r="BK44" s="12">
        <f t="shared" ca="1" si="101"/>
        <v>0</v>
      </c>
      <c r="BL44" s="12">
        <f t="shared" ca="1" si="101"/>
        <v>0</v>
      </c>
      <c r="BM44" s="12">
        <f t="shared" ca="1" si="101"/>
        <v>0</v>
      </c>
      <c r="BN44" s="12">
        <f t="shared" ca="1" si="101"/>
        <v>0</v>
      </c>
      <c r="BO44" s="12">
        <f t="shared" ca="1" si="101"/>
        <v>0</v>
      </c>
      <c r="BP44" s="12">
        <f t="shared" ca="1" si="101"/>
        <v>0</v>
      </c>
      <c r="BQ44" s="12">
        <f t="shared" ca="1" si="101"/>
        <v>0</v>
      </c>
      <c r="BR44" s="12">
        <f t="shared" ca="1" si="101"/>
        <v>0</v>
      </c>
      <c r="BS44" s="12">
        <f t="shared" ca="1" si="101"/>
        <v>0</v>
      </c>
      <c r="BT44" s="12">
        <f t="shared" ca="1" si="96"/>
        <v>0</v>
      </c>
      <c r="BU44" s="12">
        <f t="shared" ca="1" si="96"/>
        <v>0</v>
      </c>
      <c r="BY44" s="2"/>
      <c r="BZ44" s="12">
        <f t="shared" ca="1" si="102"/>
        <v>0</v>
      </c>
      <c r="CA44" s="12">
        <f t="shared" ca="1" si="102"/>
        <v>0</v>
      </c>
      <c r="CB44" s="12">
        <f t="shared" ca="1" si="102"/>
        <v>0</v>
      </c>
      <c r="CC44" s="12">
        <f t="shared" ca="1" si="102"/>
        <v>0</v>
      </c>
      <c r="CD44" s="12">
        <f t="shared" ca="1" si="102"/>
        <v>0</v>
      </c>
      <c r="CE44" s="12">
        <f t="shared" ca="1" si="102"/>
        <v>0</v>
      </c>
      <c r="CF44" s="12">
        <f t="shared" ca="1" si="102"/>
        <v>0</v>
      </c>
      <c r="CG44" s="12">
        <f t="shared" ca="1" si="102"/>
        <v>0</v>
      </c>
      <c r="CH44" s="12">
        <f t="shared" ca="1" si="102"/>
        <v>0</v>
      </c>
      <c r="CI44" s="12">
        <f t="shared" ca="1" si="102"/>
        <v>0</v>
      </c>
      <c r="CJ44" s="12">
        <f t="shared" ca="1" si="102"/>
        <v>0</v>
      </c>
      <c r="CK44" s="12">
        <f t="shared" ca="1" si="102"/>
        <v>0</v>
      </c>
      <c r="CL44" s="12">
        <f t="shared" ca="1" si="102"/>
        <v>0</v>
      </c>
      <c r="CM44" s="12">
        <f t="shared" ca="1" si="102"/>
        <v>0</v>
      </c>
      <c r="CN44" s="12">
        <f t="shared" ca="1" si="102"/>
        <v>0</v>
      </c>
      <c r="CO44" s="12">
        <f t="shared" ca="1" si="97"/>
        <v>0</v>
      </c>
      <c r="CP44" s="35">
        <f t="shared" ca="1" si="97"/>
        <v>0</v>
      </c>
    </row>
    <row r="45" spans="1:177" hidden="1" outlineLevel="1">
      <c r="B45" s="17" t="s">
        <v>903</v>
      </c>
      <c r="F45" s="27">
        <f t="shared" ca="1" si="98"/>
        <v>0</v>
      </c>
      <c r="G45" s="26">
        <f t="shared" si="104"/>
        <v>0</v>
      </c>
      <c r="H45" s="22">
        <v>0</v>
      </c>
      <c r="I45" s="22">
        <v>0</v>
      </c>
      <c r="J45" s="22">
        <v>0</v>
      </c>
      <c r="L45" s="2"/>
      <c r="M45" s="12">
        <f t="shared" ca="1" si="99"/>
        <v>0</v>
      </c>
      <c r="N45" s="12">
        <f t="shared" ca="1" si="99"/>
        <v>0</v>
      </c>
      <c r="O45" s="12">
        <f t="shared" ca="1" si="99"/>
        <v>0</v>
      </c>
      <c r="P45" s="12">
        <f t="shared" ca="1" si="99"/>
        <v>0</v>
      </c>
      <c r="Q45" s="12">
        <f t="shared" ca="1" si="99"/>
        <v>0</v>
      </c>
      <c r="R45" s="12">
        <f t="shared" ca="1" si="99"/>
        <v>0</v>
      </c>
      <c r="S45" s="12">
        <f t="shared" ca="1" si="99"/>
        <v>0</v>
      </c>
      <c r="T45" s="12">
        <f t="shared" ca="1" si="99"/>
        <v>0</v>
      </c>
      <c r="U45" s="12">
        <f t="shared" ca="1" si="99"/>
        <v>0</v>
      </c>
      <c r="V45" s="12">
        <f t="shared" ca="1" si="99"/>
        <v>0</v>
      </c>
      <c r="W45" s="12">
        <f t="shared" ca="1" si="99"/>
        <v>0</v>
      </c>
      <c r="X45" s="12">
        <f t="shared" ca="1" si="99"/>
        <v>0</v>
      </c>
      <c r="Y45" s="12">
        <f t="shared" ca="1" si="99"/>
        <v>0</v>
      </c>
      <c r="Z45" s="12">
        <f t="shared" ca="1" si="99"/>
        <v>0</v>
      </c>
      <c r="AA45" s="12">
        <f t="shared" ca="1" si="99"/>
        <v>0</v>
      </c>
      <c r="AB45" s="12">
        <f t="shared" ca="1" si="99"/>
        <v>0</v>
      </c>
      <c r="AC45" s="12">
        <f t="shared" ca="1" si="99"/>
        <v>0</v>
      </c>
      <c r="AI45" s="2"/>
      <c r="AJ45" s="12">
        <f t="shared" ca="1" si="100"/>
        <v>0</v>
      </c>
      <c r="AK45" s="12">
        <f t="shared" ca="1" si="100"/>
        <v>0</v>
      </c>
      <c r="AL45" s="12">
        <f t="shared" ca="1" si="100"/>
        <v>0</v>
      </c>
      <c r="AM45" s="12">
        <f t="shared" ca="1" si="100"/>
        <v>0</v>
      </c>
      <c r="AN45" s="12">
        <f t="shared" ca="1" si="100"/>
        <v>0</v>
      </c>
      <c r="AO45" s="12">
        <f t="shared" ca="1" si="100"/>
        <v>0</v>
      </c>
      <c r="AP45" s="12">
        <f t="shared" ca="1" si="100"/>
        <v>0</v>
      </c>
      <c r="AQ45" s="12">
        <f t="shared" ca="1" si="100"/>
        <v>0</v>
      </c>
      <c r="AR45" s="12">
        <f t="shared" ca="1" si="100"/>
        <v>0</v>
      </c>
      <c r="AS45" s="12">
        <f t="shared" ca="1" si="100"/>
        <v>0</v>
      </c>
      <c r="AT45" s="12">
        <f t="shared" ca="1" si="100"/>
        <v>0</v>
      </c>
      <c r="AU45" s="12">
        <f t="shared" ca="1" si="100"/>
        <v>0</v>
      </c>
      <c r="AV45" s="12">
        <f t="shared" ca="1" si="100"/>
        <v>0</v>
      </c>
      <c r="AW45" s="12">
        <f t="shared" ca="1" si="100"/>
        <v>0</v>
      </c>
      <c r="AX45" s="12">
        <f t="shared" ca="1" si="100"/>
        <v>0</v>
      </c>
      <c r="AY45" s="12">
        <f t="shared" ca="1" si="95"/>
        <v>0</v>
      </c>
      <c r="AZ45" s="12">
        <f t="shared" ca="1" si="95"/>
        <v>0</v>
      </c>
      <c r="BD45" s="2"/>
      <c r="BE45" s="12">
        <f t="shared" ca="1" si="101"/>
        <v>0</v>
      </c>
      <c r="BF45" s="12">
        <f t="shared" ca="1" si="101"/>
        <v>0</v>
      </c>
      <c r="BG45" s="12">
        <f t="shared" ca="1" si="101"/>
        <v>0</v>
      </c>
      <c r="BH45" s="12">
        <f t="shared" ca="1" si="101"/>
        <v>0</v>
      </c>
      <c r="BI45" s="12">
        <f t="shared" ca="1" si="101"/>
        <v>0</v>
      </c>
      <c r="BJ45" s="12">
        <f t="shared" ca="1" si="101"/>
        <v>0</v>
      </c>
      <c r="BK45" s="12">
        <f t="shared" ca="1" si="101"/>
        <v>0</v>
      </c>
      <c r="BL45" s="12">
        <f t="shared" ca="1" si="101"/>
        <v>0</v>
      </c>
      <c r="BM45" s="12">
        <f t="shared" ca="1" si="101"/>
        <v>0</v>
      </c>
      <c r="BN45" s="12">
        <f t="shared" ca="1" si="101"/>
        <v>0</v>
      </c>
      <c r="BO45" s="12">
        <f t="shared" ca="1" si="101"/>
        <v>0</v>
      </c>
      <c r="BP45" s="12">
        <f t="shared" ca="1" si="101"/>
        <v>0</v>
      </c>
      <c r="BQ45" s="12">
        <f t="shared" ca="1" si="101"/>
        <v>0</v>
      </c>
      <c r="BR45" s="12">
        <f t="shared" ca="1" si="101"/>
        <v>0</v>
      </c>
      <c r="BS45" s="12">
        <f t="shared" ca="1" si="101"/>
        <v>0</v>
      </c>
      <c r="BT45" s="12">
        <f t="shared" ca="1" si="96"/>
        <v>0</v>
      </c>
      <c r="BU45" s="12">
        <f t="shared" ca="1" si="96"/>
        <v>0</v>
      </c>
      <c r="BY45" s="2"/>
      <c r="BZ45" s="12">
        <f t="shared" ca="1" si="102"/>
        <v>0</v>
      </c>
      <c r="CA45" s="12">
        <f t="shared" ca="1" si="102"/>
        <v>0</v>
      </c>
      <c r="CB45" s="12">
        <f t="shared" ca="1" si="102"/>
        <v>0</v>
      </c>
      <c r="CC45" s="12">
        <f t="shared" ca="1" si="102"/>
        <v>0</v>
      </c>
      <c r="CD45" s="12">
        <f t="shared" ca="1" si="102"/>
        <v>0</v>
      </c>
      <c r="CE45" s="12">
        <f t="shared" ca="1" si="102"/>
        <v>0</v>
      </c>
      <c r="CF45" s="12">
        <f t="shared" ca="1" si="102"/>
        <v>0</v>
      </c>
      <c r="CG45" s="12">
        <f t="shared" ca="1" si="102"/>
        <v>0</v>
      </c>
      <c r="CH45" s="12">
        <f t="shared" ca="1" si="102"/>
        <v>0</v>
      </c>
      <c r="CI45" s="12">
        <f t="shared" ca="1" si="102"/>
        <v>0</v>
      </c>
      <c r="CJ45" s="12">
        <f t="shared" ca="1" si="102"/>
        <v>0</v>
      </c>
      <c r="CK45" s="12">
        <f t="shared" ca="1" si="102"/>
        <v>0</v>
      </c>
      <c r="CL45" s="12">
        <f t="shared" ca="1" si="102"/>
        <v>0</v>
      </c>
      <c r="CM45" s="12">
        <f t="shared" ca="1" si="102"/>
        <v>0</v>
      </c>
      <c r="CN45" s="12">
        <f t="shared" ca="1" si="102"/>
        <v>0</v>
      </c>
      <c r="CO45" s="12">
        <f t="shared" ca="1" si="97"/>
        <v>0</v>
      </c>
      <c r="CP45" s="35">
        <f t="shared" ca="1" si="97"/>
        <v>0</v>
      </c>
    </row>
    <row r="46" spans="1:177" collapsed="1">
      <c r="B46" s="3" t="s">
        <v>905</v>
      </c>
      <c r="C46" s="4"/>
      <c r="D46" s="4"/>
      <c r="E46" s="4"/>
      <c r="F46" s="28">
        <f t="shared" ca="1" si="98"/>
        <v>14.301867133967173</v>
      </c>
      <c r="G46" s="23">
        <f t="shared" si="104"/>
        <v>35730655</v>
      </c>
      <c r="H46" s="9">
        <f>SUM(H38:H45)</f>
        <v>20194435</v>
      </c>
      <c r="I46" s="9">
        <f t="shared" ref="I46:J46" si="105">SUM(I38:I45)</f>
        <v>2030684</v>
      </c>
      <c r="J46" s="9">
        <f t="shared" si="105"/>
        <v>13505536</v>
      </c>
      <c r="L46" s="16">
        <f ca="1">+SUM(M46:AF46)</f>
        <v>35730654.999999993</v>
      </c>
      <c r="M46" s="32">
        <f ca="1">+SUM(M38:M45)</f>
        <v>6734520.3217941206</v>
      </c>
      <c r="N46" s="32">
        <f t="shared" ref="N46:AA46" ca="1" si="106">+SUM(N38:N45)</f>
        <v>10101780.48269118</v>
      </c>
      <c r="O46" s="32">
        <f t="shared" ca="1" si="106"/>
        <v>0</v>
      </c>
      <c r="P46" s="32">
        <f t="shared" ca="1" si="106"/>
        <v>0</v>
      </c>
      <c r="Q46" s="32">
        <f t="shared" ca="1" si="106"/>
        <v>0</v>
      </c>
      <c r="R46" s="32">
        <f t="shared" ca="1" si="106"/>
        <v>0</v>
      </c>
      <c r="S46" s="32">
        <f t="shared" ca="1" si="106"/>
        <v>1451838.783178638</v>
      </c>
      <c r="T46" s="32">
        <f t="shared" ca="1" si="106"/>
        <v>3104109.7187916241</v>
      </c>
      <c r="U46" s="32">
        <f t="shared" ref="U46:V46" ca="1" si="107">+SUM(U38:U45)</f>
        <v>0</v>
      </c>
      <c r="V46" s="32">
        <f t="shared" ca="1" si="107"/>
        <v>0</v>
      </c>
      <c r="W46" s="32">
        <f t="shared" ca="1" si="106"/>
        <v>1314961.4311488306</v>
      </c>
      <c r="X46" s="32">
        <f t="shared" ca="1" si="106"/>
        <v>3230404.6750068706</v>
      </c>
      <c r="Y46" s="32">
        <f t="shared" ca="1" si="106"/>
        <v>4699547.5243746284</v>
      </c>
      <c r="Z46" s="32">
        <f t="shared" ca="1" si="106"/>
        <v>0</v>
      </c>
      <c r="AA46" s="32">
        <f t="shared" ca="1" si="106"/>
        <v>0</v>
      </c>
      <c r="AB46" s="32">
        <f t="shared" ref="AB46:AC46" ca="1" si="108">+SUM(AB38:AB45)</f>
        <v>5093492.0630141078</v>
      </c>
      <c r="AC46" s="32">
        <f t="shared" ca="1" si="108"/>
        <v>0</v>
      </c>
      <c r="AI46" s="16">
        <f ca="1">+SUM(AJ46:BA46)</f>
        <v>20194435</v>
      </c>
      <c r="AJ46" s="32">
        <f ca="1">+SUM(AJ38:AJ45)</f>
        <v>4647666.1423688028</v>
      </c>
      <c r="AK46" s="32">
        <f t="shared" ref="AK46:AX46" ca="1" si="109">+SUM(AK38:AK45)</f>
        <v>6971499.2135532033</v>
      </c>
      <c r="AL46" s="32">
        <f t="shared" ca="1" si="109"/>
        <v>0</v>
      </c>
      <c r="AM46" s="32">
        <f t="shared" ca="1" si="109"/>
        <v>0</v>
      </c>
      <c r="AN46" s="32">
        <f t="shared" ca="1" si="109"/>
        <v>0</v>
      </c>
      <c r="AO46" s="32">
        <f t="shared" ca="1" si="109"/>
        <v>0</v>
      </c>
      <c r="AP46" s="32">
        <f t="shared" ca="1" si="109"/>
        <v>691616.98547154816</v>
      </c>
      <c r="AQ46" s="32">
        <f t="shared" ca="1" si="109"/>
        <v>1521557.3680374054</v>
      </c>
      <c r="AR46" s="32">
        <f t="shared" ca="1" si="109"/>
        <v>0</v>
      </c>
      <c r="AS46" s="32">
        <f t="shared" ca="1" si="109"/>
        <v>0</v>
      </c>
      <c r="AT46" s="32">
        <f t="shared" ca="1" si="109"/>
        <v>892324.85951882484</v>
      </c>
      <c r="AU46" s="32">
        <f t="shared" ca="1" si="109"/>
        <v>2331394.8711401513</v>
      </c>
      <c r="AV46" s="32">
        <f t="shared" ca="1" si="109"/>
        <v>0</v>
      </c>
      <c r="AW46" s="32">
        <f t="shared" ca="1" si="109"/>
        <v>0</v>
      </c>
      <c r="AX46" s="32">
        <f t="shared" ca="1" si="109"/>
        <v>0</v>
      </c>
      <c r="AY46" s="32">
        <f t="shared" ref="AY46:AZ46" ca="1" si="110">+SUM(AY38:AY45)</f>
        <v>3138375.5599100646</v>
      </c>
      <c r="AZ46" s="32">
        <f t="shared" ca="1" si="110"/>
        <v>0</v>
      </c>
      <c r="BD46" s="16">
        <f ca="1">+SUM(BE46:BV46)</f>
        <v>2030684</v>
      </c>
      <c r="BE46" s="32">
        <f ca="1">+SUM(BE38:BE45)</f>
        <v>412555.41282576282</v>
      </c>
      <c r="BF46" s="32">
        <f t="shared" ref="BF46:BS46" ca="1" si="111">+SUM(BF38:BF45)</f>
        <v>618833.11923864426</v>
      </c>
      <c r="BG46" s="32">
        <f t="shared" ca="1" si="111"/>
        <v>0</v>
      </c>
      <c r="BH46" s="32">
        <f t="shared" ca="1" si="111"/>
        <v>0</v>
      </c>
      <c r="BI46" s="32">
        <f t="shared" ca="1" si="111"/>
        <v>0</v>
      </c>
      <c r="BJ46" s="32">
        <f t="shared" ca="1" si="111"/>
        <v>0</v>
      </c>
      <c r="BK46" s="32">
        <f t="shared" ca="1" si="111"/>
        <v>61392.174527643278</v>
      </c>
      <c r="BL46" s="32">
        <f t="shared" ca="1" si="111"/>
        <v>135062.78396081523</v>
      </c>
      <c r="BM46" s="32">
        <f t="shared" ca="1" si="111"/>
        <v>0</v>
      </c>
      <c r="BN46" s="32">
        <f t="shared" ca="1" si="111"/>
        <v>0</v>
      </c>
      <c r="BO46" s="32">
        <f t="shared" ca="1" si="111"/>
        <v>201732.24381036917</v>
      </c>
      <c r="BP46" s="32">
        <f t="shared" ca="1" si="111"/>
        <v>163655.08343098778</v>
      </c>
      <c r="BQ46" s="32">
        <f t="shared" ca="1" si="111"/>
        <v>0</v>
      </c>
      <c r="BR46" s="32">
        <f t="shared" ca="1" si="111"/>
        <v>0</v>
      </c>
      <c r="BS46" s="32">
        <f t="shared" ca="1" si="111"/>
        <v>0</v>
      </c>
      <c r="BT46" s="32">
        <f t="shared" ref="BT46:BU46" ca="1" si="112">+SUM(BT38:BT45)</f>
        <v>437453.1822057775</v>
      </c>
      <c r="BU46" s="32">
        <f t="shared" ca="1" si="112"/>
        <v>0</v>
      </c>
      <c r="BY46" s="16">
        <f ca="1">+SUM(BZ46:CQ46)</f>
        <v>13505535.999999998</v>
      </c>
      <c r="BZ46" s="32">
        <f ca="1">+SUM(BZ38:BZ45)</f>
        <v>1674298.766599555</v>
      </c>
      <c r="CA46" s="32">
        <f t="shared" ref="CA46:CN46" ca="1" si="113">+SUM(CA38:CA45)</f>
        <v>2511448.1498993323</v>
      </c>
      <c r="CB46" s="32">
        <f t="shared" ca="1" si="113"/>
        <v>0</v>
      </c>
      <c r="CC46" s="32">
        <f t="shared" ca="1" si="113"/>
        <v>0</v>
      </c>
      <c r="CD46" s="32">
        <f t="shared" ca="1" si="113"/>
        <v>0</v>
      </c>
      <c r="CE46" s="32">
        <f t="shared" ca="1" si="113"/>
        <v>0</v>
      </c>
      <c r="CF46" s="32">
        <f t="shared" ca="1" si="113"/>
        <v>698829.62317944644</v>
      </c>
      <c r="CG46" s="32">
        <f t="shared" ca="1" si="113"/>
        <v>1447489.5667934036</v>
      </c>
      <c r="CH46" s="32">
        <f t="shared" ca="1" si="113"/>
        <v>0</v>
      </c>
      <c r="CI46" s="32">
        <f t="shared" ca="1" si="113"/>
        <v>0</v>
      </c>
      <c r="CJ46" s="32">
        <f t="shared" ca="1" si="113"/>
        <v>220904.3278196365</v>
      </c>
      <c r="CK46" s="32">
        <f t="shared" ca="1" si="113"/>
        <v>735354.72043573135</v>
      </c>
      <c r="CL46" s="32">
        <f t="shared" ca="1" si="113"/>
        <v>4699547.5243746284</v>
      </c>
      <c r="CM46" s="32">
        <f t="shared" ca="1" si="113"/>
        <v>0</v>
      </c>
      <c r="CN46" s="32">
        <f t="shared" ca="1" si="113"/>
        <v>0</v>
      </c>
      <c r="CO46" s="32">
        <f t="shared" ref="CO46:CP46" ca="1" si="114">+SUM(CO38:CO45)</f>
        <v>1517663.3208982658</v>
      </c>
      <c r="CP46" s="877">
        <f t="shared" ca="1" si="114"/>
        <v>0</v>
      </c>
    </row>
    <row r="47" spans="1:177">
      <c r="L47" s="177">
        <f ca="1">L46-G46</f>
        <v>0</v>
      </c>
      <c r="AI47" s="177"/>
      <c r="BD47" s="177"/>
      <c r="BY47" s="177"/>
      <c r="CP47" s="709"/>
    </row>
    <row r="48" spans="1:177" ht="68.25" customHeight="1">
      <c r="A48" s="584"/>
      <c r="B48" s="548" t="s">
        <v>177</v>
      </c>
      <c r="C48" s="549"/>
      <c r="D48" s="544" t="s">
        <v>906</v>
      </c>
      <c r="E48" s="550"/>
      <c r="F48" s="547" t="s">
        <v>901</v>
      </c>
      <c r="G48" s="544" t="s">
        <v>258</v>
      </c>
      <c r="H48" s="544" t="str">
        <f>+H$4</f>
        <v>I</v>
      </c>
      <c r="I48" s="544" t="str">
        <f t="shared" ref="I48:J48" si="115">+I$4</f>
        <v>II</v>
      </c>
      <c r="J48" s="544" t="str">
        <f t="shared" si="115"/>
        <v>III</v>
      </c>
      <c r="L48" s="2"/>
      <c r="M48" s="546" t="str">
        <f ca="1">+M$37</f>
        <v xml:space="preserve">Standard Affordable Residential </v>
      </c>
      <c r="N48" s="546" t="str">
        <f t="shared" ref="N48:AC48" ca="1" si="116">+N$37</f>
        <v xml:space="preserve">Standard Market-Rate Residential </v>
      </c>
      <c r="O48" s="546" t="str">
        <f t="shared" ca="1" si="116"/>
        <v>Affordable Multi-Bedroom Residential</v>
      </c>
      <c r="P48" s="546" t="str">
        <f t="shared" ca="1" si="116"/>
        <v>Market-Rate Multi-Bedroom Residential</v>
      </c>
      <c r="Q48" s="546" t="str">
        <f t="shared" ca="1" si="116"/>
        <v xml:space="preserve">Affordable Senior Living Residential </v>
      </c>
      <c r="R48" s="546" t="str">
        <f t="shared" ca="1" si="116"/>
        <v xml:space="preserve">Market-Rate Senior Living Residential </v>
      </c>
      <c r="S48" s="546" t="str">
        <f t="shared" ca="1" si="116"/>
        <v>Affordable For-Sale Residential</v>
      </c>
      <c r="T48" s="546" t="str">
        <f t="shared" ca="1" si="116"/>
        <v xml:space="preserve">Market-Rate For-Sale Residential </v>
      </c>
      <c r="U48" s="546" t="str">
        <f t="shared" ca="1" si="116"/>
        <v xml:space="preserve">Affordable Student Housing </v>
      </c>
      <c r="V48" s="546" t="str">
        <f t="shared" ca="1" si="116"/>
        <v xml:space="preserve">Market-Rate Student Housing </v>
      </c>
      <c r="W48" s="546" t="str">
        <f t="shared" si="116"/>
        <v xml:space="preserve">Office </v>
      </c>
      <c r="X48" s="546" t="str">
        <f t="shared" ca="1" si="116"/>
        <v xml:space="preserve">Retail </v>
      </c>
      <c r="Y48" s="546" t="str">
        <f t="shared" ca="1" si="116"/>
        <v xml:space="preserve">Hotel </v>
      </c>
      <c r="Z48" s="546" t="str">
        <f t="shared" ca="1" si="116"/>
        <v xml:space="preserve">Specialty - Data Center </v>
      </c>
      <c r="AA48" s="546" t="str">
        <f t="shared" ca="1" si="116"/>
        <v xml:space="preserve">Community Facility </v>
      </c>
      <c r="AB48" s="546" t="str">
        <f t="shared" ca="1" si="116"/>
        <v xml:space="preserve">Structural Parking </v>
      </c>
      <c r="AC48" s="546" t="str">
        <f t="shared" ca="1" si="116"/>
        <v xml:space="preserve">Surface Parking </v>
      </c>
      <c r="AI48" s="2"/>
      <c r="AJ48" s="546" t="str">
        <f ca="1">+AJ$37</f>
        <v xml:space="preserve">Standard Affordable Residential </v>
      </c>
      <c r="AK48" s="546" t="str">
        <f t="shared" ref="AK48:AZ48" ca="1" si="117">+AK$37</f>
        <v xml:space="preserve">Standard Market-Rate Residential </v>
      </c>
      <c r="AL48" s="546" t="str">
        <f t="shared" ca="1" si="117"/>
        <v>Affordable Multi-Bedroom Residential</v>
      </c>
      <c r="AM48" s="546" t="str">
        <f t="shared" ca="1" si="117"/>
        <v>Market-Rate Multi-Bedroom Residential</v>
      </c>
      <c r="AN48" s="546" t="str">
        <f t="shared" ca="1" si="117"/>
        <v xml:space="preserve">Affordable Senior Living Residential </v>
      </c>
      <c r="AO48" s="546" t="str">
        <f t="shared" ca="1" si="117"/>
        <v xml:space="preserve">Market-Rate Senior Living Residential </v>
      </c>
      <c r="AP48" s="546" t="str">
        <f t="shared" ca="1" si="117"/>
        <v>Affordable For-Sale Residential</v>
      </c>
      <c r="AQ48" s="546" t="str">
        <f t="shared" ca="1" si="117"/>
        <v xml:space="preserve">Market-Rate For-Sale Residential </v>
      </c>
      <c r="AR48" s="546" t="str">
        <f t="shared" ca="1" si="117"/>
        <v xml:space="preserve">Affordable Student Housing </v>
      </c>
      <c r="AS48" s="546" t="str">
        <f t="shared" ca="1" si="117"/>
        <v xml:space="preserve">Market-Rate Student Housing </v>
      </c>
      <c r="AT48" s="546" t="str">
        <f t="shared" si="117"/>
        <v xml:space="preserve">Office </v>
      </c>
      <c r="AU48" s="546" t="str">
        <f t="shared" ca="1" si="117"/>
        <v xml:space="preserve">Retail </v>
      </c>
      <c r="AV48" s="546" t="str">
        <f t="shared" ca="1" si="117"/>
        <v xml:space="preserve">Hotel </v>
      </c>
      <c r="AW48" s="546" t="str">
        <f t="shared" ca="1" si="117"/>
        <v xml:space="preserve">Specialty - Data Center </v>
      </c>
      <c r="AX48" s="546" t="str">
        <f t="shared" ca="1" si="117"/>
        <v xml:space="preserve">Community Facility </v>
      </c>
      <c r="AY48" s="546" t="str">
        <f t="shared" ca="1" si="117"/>
        <v xml:space="preserve">Structural Parking </v>
      </c>
      <c r="AZ48" s="546" t="str">
        <f t="shared" ca="1" si="117"/>
        <v xml:space="preserve">Surface Parking </v>
      </c>
      <c r="BD48" s="2"/>
      <c r="BE48" s="546" t="str">
        <f ca="1">+BE$37</f>
        <v xml:space="preserve">Standard Affordable Residential </v>
      </c>
      <c r="BF48" s="546" t="str">
        <f t="shared" ref="BF48:BU48" ca="1" si="118">+BF$37</f>
        <v xml:space="preserve">Standard Market-Rate Residential </v>
      </c>
      <c r="BG48" s="546" t="str">
        <f t="shared" ca="1" si="118"/>
        <v>Affordable Multi-Bedroom Residential</v>
      </c>
      <c r="BH48" s="546" t="str">
        <f t="shared" ca="1" si="118"/>
        <v>Market-Rate Multi-Bedroom Residential</v>
      </c>
      <c r="BI48" s="546" t="str">
        <f t="shared" ca="1" si="118"/>
        <v xml:space="preserve">Affordable Senior Living Residential </v>
      </c>
      <c r="BJ48" s="546" t="str">
        <f t="shared" ca="1" si="118"/>
        <v xml:space="preserve">Market-Rate Senior Living Residential </v>
      </c>
      <c r="BK48" s="546" t="str">
        <f t="shared" ca="1" si="118"/>
        <v>Affordable For-Sale Residential</v>
      </c>
      <c r="BL48" s="546" t="str">
        <f t="shared" ca="1" si="118"/>
        <v xml:space="preserve">Market-Rate For-Sale Residential </v>
      </c>
      <c r="BM48" s="546" t="str">
        <f t="shared" ca="1" si="118"/>
        <v xml:space="preserve">Affordable Student Housing </v>
      </c>
      <c r="BN48" s="546" t="str">
        <f t="shared" ca="1" si="118"/>
        <v xml:space="preserve">Market-Rate Student Housing </v>
      </c>
      <c r="BO48" s="546" t="str">
        <f t="shared" si="118"/>
        <v xml:space="preserve">Office </v>
      </c>
      <c r="BP48" s="546" t="str">
        <f t="shared" ca="1" si="118"/>
        <v xml:space="preserve">Retail </v>
      </c>
      <c r="BQ48" s="546" t="str">
        <f t="shared" ca="1" si="118"/>
        <v xml:space="preserve">Hotel </v>
      </c>
      <c r="BR48" s="546" t="str">
        <f t="shared" ca="1" si="118"/>
        <v xml:space="preserve">Specialty - Data Center </v>
      </c>
      <c r="BS48" s="546" t="str">
        <f t="shared" ca="1" si="118"/>
        <v xml:space="preserve">Community Facility </v>
      </c>
      <c r="BT48" s="546" t="str">
        <f t="shared" ca="1" si="118"/>
        <v xml:space="preserve">Structural Parking </v>
      </c>
      <c r="BU48" s="546" t="str">
        <f t="shared" ca="1" si="118"/>
        <v xml:space="preserve">Surface Parking </v>
      </c>
      <c r="BY48" s="2"/>
      <c r="BZ48" s="546" t="str">
        <f ca="1">+BZ$37</f>
        <v xml:space="preserve">Standard Affordable Residential </v>
      </c>
      <c r="CA48" s="546" t="str">
        <f t="shared" ref="CA48:CP48" ca="1" si="119">+CA$37</f>
        <v xml:space="preserve">Standard Market-Rate Residential </v>
      </c>
      <c r="CB48" s="546" t="str">
        <f t="shared" ca="1" si="119"/>
        <v>Affordable Multi-Bedroom Residential</v>
      </c>
      <c r="CC48" s="546" t="str">
        <f t="shared" ca="1" si="119"/>
        <v>Market-Rate Multi-Bedroom Residential</v>
      </c>
      <c r="CD48" s="546" t="str">
        <f t="shared" ca="1" si="119"/>
        <v xml:space="preserve">Affordable Senior Living Residential </v>
      </c>
      <c r="CE48" s="546" t="str">
        <f t="shared" ca="1" si="119"/>
        <v xml:space="preserve">Market-Rate Senior Living Residential </v>
      </c>
      <c r="CF48" s="546" t="str">
        <f t="shared" ca="1" si="119"/>
        <v>Affordable For-Sale Residential</v>
      </c>
      <c r="CG48" s="546" t="str">
        <f t="shared" ca="1" si="119"/>
        <v xml:space="preserve">Market-Rate For-Sale Residential </v>
      </c>
      <c r="CH48" s="546" t="str">
        <f t="shared" ca="1" si="119"/>
        <v xml:space="preserve">Affordable Student Housing </v>
      </c>
      <c r="CI48" s="546" t="str">
        <f t="shared" ca="1" si="119"/>
        <v xml:space="preserve">Market-Rate Student Housing </v>
      </c>
      <c r="CJ48" s="546" t="str">
        <f t="shared" si="119"/>
        <v xml:space="preserve">Office </v>
      </c>
      <c r="CK48" s="546" t="str">
        <f t="shared" ca="1" si="119"/>
        <v xml:space="preserve">Retail </v>
      </c>
      <c r="CL48" s="546" t="str">
        <f t="shared" ca="1" si="119"/>
        <v xml:space="preserve">Hotel </v>
      </c>
      <c r="CM48" s="546" t="str">
        <f t="shared" ca="1" si="119"/>
        <v xml:space="preserve">Specialty - Data Center </v>
      </c>
      <c r="CN48" s="546" t="str">
        <f t="shared" ca="1" si="119"/>
        <v xml:space="preserve">Community Facility </v>
      </c>
      <c r="CO48" s="546" t="str">
        <f t="shared" ca="1" si="119"/>
        <v xml:space="preserve">Structural Parking </v>
      </c>
      <c r="CP48" s="546" t="str">
        <f t="shared" ca="1" si="119"/>
        <v xml:space="preserve">Surface Parking </v>
      </c>
    </row>
    <row r="49" spans="1:94">
      <c r="A49" s="584"/>
      <c r="B49" s="1" t="s">
        <v>907</v>
      </c>
      <c r="D49" s="780">
        <v>8</v>
      </c>
      <c r="F49" s="27">
        <f ca="1">+$G49/$G$10</f>
        <v>2.0945071277673097</v>
      </c>
      <c r="G49" s="26">
        <f>+SUM(H49:J49)</f>
        <v>5232751.1419507535</v>
      </c>
      <c r="H49" s="22">
        <f>+$D49*H9</f>
        <v>3970696</v>
      </c>
      <c r="I49" s="22">
        <f>+$D49*I9*(1+Assumptions!$F$39)^Assumptions!$G$36</f>
        <v>424651.195832</v>
      </c>
      <c r="J49" s="22">
        <f>+$D49*J9*(1+Assumptions!$F$39)^Assumptions!$H$36</f>
        <v>837403.94611875352</v>
      </c>
      <c r="L49" s="2"/>
      <c r="M49" s="12">
        <f t="shared" ref="M49:AA49" ca="1" si="120">+$H49*M$5+$I49*M$6+$J49*M$7</f>
        <v>1103925.882953414</v>
      </c>
      <c r="N49" s="12">
        <f t="shared" ca="1" si="120"/>
        <v>1655888.8244301206</v>
      </c>
      <c r="O49" s="12">
        <f t="shared" ca="1" si="120"/>
        <v>0</v>
      </c>
      <c r="P49" s="12">
        <f t="shared" ca="1" si="120"/>
        <v>0</v>
      </c>
      <c r="Q49" s="12">
        <f t="shared" ca="1" si="120"/>
        <v>0</v>
      </c>
      <c r="R49" s="12">
        <f t="shared" ca="1" si="120"/>
        <v>0</v>
      </c>
      <c r="S49" s="12">
        <f t="shared" ca="1" si="120"/>
        <v>192156.74379266606</v>
      </c>
      <c r="T49" s="12">
        <f t="shared" ca="1" si="120"/>
        <v>417168.42457799311</v>
      </c>
      <c r="U49" s="12">
        <f t="shared" ref="U49:V49" ca="1" si="121">+$H49*U$5+$I49*U$6+$J49*U$7</f>
        <v>0</v>
      </c>
      <c r="V49" s="12">
        <f t="shared" ca="1" si="121"/>
        <v>0</v>
      </c>
      <c r="W49" s="12">
        <f t="shared" ca="1" si="120"/>
        <v>231334.6061892705</v>
      </c>
      <c r="X49" s="12">
        <f t="shared" ca="1" si="120"/>
        <v>538224.91196457273</v>
      </c>
      <c r="Y49" s="12">
        <f t="shared" ca="1" si="120"/>
        <v>291393.07332074287</v>
      </c>
      <c r="Z49" s="12">
        <f t="shared" ca="1" si="120"/>
        <v>0</v>
      </c>
      <c r="AA49" s="12">
        <f t="shared" ca="1" si="120"/>
        <v>0</v>
      </c>
      <c r="AB49" s="12">
        <f t="shared" ref="AB49:AC49" ca="1" si="122">+$H49*AB$5+$I49*AB$6+$J49*AB$7</f>
        <v>802658.67472197348</v>
      </c>
      <c r="AC49" s="12">
        <f t="shared" ca="1" si="122"/>
        <v>0</v>
      </c>
      <c r="AI49" s="2"/>
      <c r="AJ49" s="12">
        <f t="shared" ref="AJ49:AX49" ca="1" si="123">+$H49*AJ$5+$I49*AJ$6+$J49*AJ$7</f>
        <v>913839.35033781512</v>
      </c>
      <c r="AK49" s="12">
        <f t="shared" ca="1" si="123"/>
        <v>1370759.0255067225</v>
      </c>
      <c r="AL49" s="12">
        <f t="shared" ca="1" si="123"/>
        <v>0</v>
      </c>
      <c r="AM49" s="12">
        <f t="shared" ca="1" si="123"/>
        <v>0</v>
      </c>
      <c r="AN49" s="12">
        <f t="shared" ca="1" si="123"/>
        <v>0</v>
      </c>
      <c r="AO49" s="12">
        <f t="shared" ca="1" si="123"/>
        <v>0</v>
      </c>
      <c r="AP49" s="12">
        <f t="shared" ca="1" si="123"/>
        <v>135987.99856217491</v>
      </c>
      <c r="AQ49" s="12">
        <f t="shared" ca="1" si="123"/>
        <v>299173.59683678462</v>
      </c>
      <c r="AR49" s="12">
        <f t="shared" ca="1" si="123"/>
        <v>0</v>
      </c>
      <c r="AS49" s="12">
        <f t="shared" ca="1" si="123"/>
        <v>0</v>
      </c>
      <c r="AT49" s="12">
        <f t="shared" ca="1" si="123"/>
        <v>175451.83860761442</v>
      </c>
      <c r="AU49" s="12">
        <f t="shared" ca="1" si="123"/>
        <v>458406.50106114452</v>
      </c>
      <c r="AV49" s="12">
        <f t="shared" ca="1" si="123"/>
        <v>0</v>
      </c>
      <c r="AW49" s="12">
        <f t="shared" ca="1" si="123"/>
        <v>0</v>
      </c>
      <c r="AX49" s="12">
        <f t="shared" ca="1" si="123"/>
        <v>0</v>
      </c>
      <c r="AY49" s="12">
        <f t="shared" ref="AY49:AZ49" ca="1" si="124">+$H49*AY$5+$I49*AY$6+$J49*AY$7</f>
        <v>617077.68908774387</v>
      </c>
      <c r="AZ49" s="12">
        <f t="shared" ca="1" si="124"/>
        <v>0</v>
      </c>
      <c r="BD49" s="2"/>
      <c r="BE49" s="12">
        <f t="shared" ref="BE49:BS49" ca="1" si="125">+$H49*BE$5+$I49*BE$6+$J49*BE$7</f>
        <v>86272.482278594121</v>
      </c>
      <c r="BF49" s="12">
        <f t="shared" ca="1" si="125"/>
        <v>129408.72341789117</v>
      </c>
      <c r="BG49" s="12">
        <f t="shared" ca="1" si="125"/>
        <v>0</v>
      </c>
      <c r="BH49" s="12">
        <f t="shared" ca="1" si="125"/>
        <v>0</v>
      </c>
      <c r="BI49" s="12">
        <f t="shared" ca="1" si="125"/>
        <v>0</v>
      </c>
      <c r="BJ49" s="12">
        <f t="shared" ca="1" si="125"/>
        <v>0</v>
      </c>
      <c r="BK49" s="12">
        <f t="shared" ca="1" si="125"/>
        <v>12838.167005743173</v>
      </c>
      <c r="BL49" s="12">
        <f t="shared" ca="1" si="125"/>
        <v>28243.967412634982</v>
      </c>
      <c r="BM49" s="12">
        <f t="shared" ca="1" si="125"/>
        <v>0</v>
      </c>
      <c r="BN49" s="12">
        <f t="shared" ca="1" si="125"/>
        <v>0</v>
      </c>
      <c r="BO49" s="12">
        <f t="shared" ca="1" si="125"/>
        <v>42185.706181732778</v>
      </c>
      <c r="BP49" s="12">
        <f t="shared" ca="1" si="125"/>
        <v>34223.112450265377</v>
      </c>
      <c r="BQ49" s="12">
        <f t="shared" ca="1" si="125"/>
        <v>0</v>
      </c>
      <c r="BR49" s="12">
        <f t="shared" ca="1" si="125"/>
        <v>0</v>
      </c>
      <c r="BS49" s="12">
        <f t="shared" ca="1" si="125"/>
        <v>0</v>
      </c>
      <c r="BT49" s="12">
        <f t="shared" ref="BT49:BU49" ca="1" si="126">+$H49*BT$5+$I49*BT$6+$J49*BT$7</f>
        <v>91479.037085138392</v>
      </c>
      <c r="BU49" s="12">
        <f t="shared" ca="1" si="126"/>
        <v>0</v>
      </c>
      <c r="BY49" s="2"/>
      <c r="BZ49" s="12">
        <f t="shared" ref="BZ49:CN49" ca="1" si="127">+$H49*BZ$5+$I49*BZ$6+$J49*BZ$7</f>
        <v>103814.05033700472</v>
      </c>
      <c r="CA49" s="12">
        <f t="shared" ca="1" si="127"/>
        <v>155721.07550550706</v>
      </c>
      <c r="CB49" s="12">
        <f t="shared" ca="1" si="127"/>
        <v>0</v>
      </c>
      <c r="CC49" s="12">
        <f t="shared" ca="1" si="127"/>
        <v>0</v>
      </c>
      <c r="CD49" s="12">
        <f t="shared" ca="1" si="127"/>
        <v>0</v>
      </c>
      <c r="CE49" s="12">
        <f t="shared" ca="1" si="127"/>
        <v>0</v>
      </c>
      <c r="CF49" s="12">
        <f t="shared" ca="1" si="127"/>
        <v>43330.578224747987</v>
      </c>
      <c r="CG49" s="12">
        <f t="shared" ca="1" si="127"/>
        <v>89750.860328573501</v>
      </c>
      <c r="CH49" s="12">
        <f t="shared" ca="1" si="127"/>
        <v>0</v>
      </c>
      <c r="CI49" s="12">
        <f t="shared" ca="1" si="127"/>
        <v>0</v>
      </c>
      <c r="CJ49" s="12">
        <f t="shared" ca="1" si="127"/>
        <v>13697.061399923288</v>
      </c>
      <c r="CK49" s="12">
        <f t="shared" ca="1" si="127"/>
        <v>45595.298453162781</v>
      </c>
      <c r="CL49" s="12">
        <f t="shared" ca="1" si="127"/>
        <v>291393.07332074287</v>
      </c>
      <c r="CM49" s="12">
        <f t="shared" ca="1" si="127"/>
        <v>0</v>
      </c>
      <c r="CN49" s="12">
        <f t="shared" ca="1" si="127"/>
        <v>0</v>
      </c>
      <c r="CO49" s="12">
        <f t="shared" ref="CO49:CP49" ca="1" si="128">+$H49*CO$5+$I49*CO$6+$J49*CO$7</f>
        <v>94101.948549091278</v>
      </c>
      <c r="CP49" s="12">
        <f t="shared" ca="1" si="128"/>
        <v>0</v>
      </c>
    </row>
    <row r="50" spans="1:94">
      <c r="A50" s="584">
        <v>0</v>
      </c>
      <c r="B50" s="1" t="str">
        <f>+Assumptions!J27</f>
        <v xml:space="preserve">Standard Affordable Residential </v>
      </c>
      <c r="D50" s="780">
        <v>335</v>
      </c>
      <c r="F50" s="27">
        <f t="shared" ref="F50:F69" ca="1" si="129">+$G50/$G$10</f>
        <v>67.868934953678718</v>
      </c>
      <c r="G50" s="26">
        <f t="shared" ref="G50:G68" ca="1" si="130">+SUM(H50:J50)</f>
        <v>169558385.44240957</v>
      </c>
      <c r="H50" s="22">
        <f t="shared" ref="H50:H59" ca="1" si="131">+$D50*H11</f>
        <v>75199309.920000002</v>
      </c>
      <c r="I50" s="22">
        <f ca="1">+$D50*I11*(1+Assumptions!$F$39)^Assumptions!$G$36</f>
        <v>59655560.253466807</v>
      </c>
      <c r="J50" s="22">
        <f ca="1">+$D50*J11*(1+Assumptions!$F$39)^Assumptions!$H$36</f>
        <v>34703515.268942773</v>
      </c>
      <c r="L50" s="2"/>
      <c r="M50" s="12">
        <f ca="1">+$G$50</f>
        <v>169558385.44240957</v>
      </c>
      <c r="N50" s="12">
        <v>0</v>
      </c>
      <c r="O50" s="12">
        <v>0</v>
      </c>
      <c r="P50" s="12">
        <v>0</v>
      </c>
      <c r="Q50" s="12">
        <v>0</v>
      </c>
      <c r="R50" s="12">
        <v>0</v>
      </c>
      <c r="S50" s="12">
        <v>0</v>
      </c>
      <c r="T50" s="12">
        <v>0</v>
      </c>
      <c r="U50" s="12">
        <v>0</v>
      </c>
      <c r="V50" s="12">
        <v>0</v>
      </c>
      <c r="W50" s="12">
        <v>0</v>
      </c>
      <c r="X50" s="12">
        <v>0</v>
      </c>
      <c r="Y50" s="12">
        <v>0</v>
      </c>
      <c r="Z50" s="12">
        <v>0</v>
      </c>
      <c r="AA50" s="12">
        <v>0</v>
      </c>
      <c r="AB50" s="12">
        <v>0</v>
      </c>
      <c r="AC50" s="12">
        <v>0</v>
      </c>
      <c r="AI50" s="2"/>
      <c r="AJ50" s="12">
        <f ca="1">+$H$50</f>
        <v>75199309.920000002</v>
      </c>
      <c r="AK50" s="12">
        <v>0</v>
      </c>
      <c r="AL50" s="12">
        <v>0</v>
      </c>
      <c r="AM50" s="12">
        <v>0</v>
      </c>
      <c r="AN50" s="12">
        <v>0</v>
      </c>
      <c r="AO50" s="12">
        <v>0</v>
      </c>
      <c r="AP50" s="12">
        <v>0</v>
      </c>
      <c r="AQ50" s="12">
        <v>0</v>
      </c>
      <c r="AR50" s="12">
        <v>0</v>
      </c>
      <c r="AS50" s="12">
        <v>0</v>
      </c>
      <c r="AT50" s="12">
        <v>0</v>
      </c>
      <c r="AU50" s="12">
        <v>0</v>
      </c>
      <c r="AV50" s="12">
        <v>0</v>
      </c>
      <c r="AW50" s="12">
        <v>0</v>
      </c>
      <c r="AX50" s="12">
        <v>0</v>
      </c>
      <c r="AY50" s="12">
        <v>0</v>
      </c>
      <c r="AZ50" s="12">
        <v>0</v>
      </c>
      <c r="BD50" s="2"/>
      <c r="BE50" s="12">
        <f ca="1">+$I$50</f>
        <v>59655560.253466807</v>
      </c>
      <c r="BF50" s="12">
        <v>0</v>
      </c>
      <c r="BG50" s="12">
        <v>0</v>
      </c>
      <c r="BH50" s="12">
        <v>0</v>
      </c>
      <c r="BI50" s="12">
        <v>0</v>
      </c>
      <c r="BJ50" s="12">
        <v>0</v>
      </c>
      <c r="BK50" s="12">
        <v>0</v>
      </c>
      <c r="BL50" s="12">
        <v>0</v>
      </c>
      <c r="BM50" s="12">
        <v>0</v>
      </c>
      <c r="BN50" s="12">
        <v>0</v>
      </c>
      <c r="BO50" s="12">
        <v>0</v>
      </c>
      <c r="BP50" s="12">
        <v>0</v>
      </c>
      <c r="BQ50" s="12">
        <v>0</v>
      </c>
      <c r="BR50" s="12">
        <v>0</v>
      </c>
      <c r="BS50" s="12">
        <v>0</v>
      </c>
      <c r="BT50" s="12">
        <v>0</v>
      </c>
      <c r="BU50" s="12">
        <v>0</v>
      </c>
      <c r="BY50" s="2"/>
      <c r="BZ50" s="12">
        <f ca="1">+$J$50</f>
        <v>34703515.268942773</v>
      </c>
      <c r="CA50" s="12">
        <v>0</v>
      </c>
      <c r="CB50" s="12">
        <v>0</v>
      </c>
      <c r="CC50" s="12">
        <v>0</v>
      </c>
      <c r="CD50" s="12">
        <v>0</v>
      </c>
      <c r="CE50" s="12">
        <v>0</v>
      </c>
      <c r="CF50" s="12">
        <v>0</v>
      </c>
      <c r="CG50" s="12">
        <v>0</v>
      </c>
      <c r="CH50" s="12">
        <v>0</v>
      </c>
      <c r="CI50" s="12">
        <v>0</v>
      </c>
      <c r="CJ50" s="12">
        <v>0</v>
      </c>
      <c r="CK50" s="12">
        <v>0</v>
      </c>
      <c r="CL50" s="12">
        <v>0</v>
      </c>
      <c r="CM50" s="12">
        <v>0</v>
      </c>
      <c r="CN50" s="12">
        <v>0</v>
      </c>
      <c r="CO50" s="12">
        <v>0</v>
      </c>
      <c r="CP50" s="12">
        <v>0</v>
      </c>
    </row>
    <row r="51" spans="1:94">
      <c r="A51" s="584">
        <f>A50+1</f>
        <v>1</v>
      </c>
      <c r="B51" s="1" t="str">
        <f>+Assumptions!J28</f>
        <v xml:space="preserve">Standard Market-Rate Residential </v>
      </c>
      <c r="D51" s="780">
        <v>345</v>
      </c>
      <c r="F51" s="27">
        <f t="shared" ca="1" si="129"/>
        <v>104.84230996575742</v>
      </c>
      <c r="G51" s="26">
        <f t="shared" ca="1" si="130"/>
        <v>261929744.67596105</v>
      </c>
      <c r="H51" s="22">
        <f t="shared" ca="1" si="131"/>
        <v>116166098.16</v>
      </c>
      <c r="I51" s="22">
        <f ca="1">+$D51*I12*(1+Assumptions!$F$39)^Assumptions!$G$36</f>
        <v>92154484.869161397</v>
      </c>
      <c r="J51" s="22">
        <f ca="1">+$D51*J12*(1+Assumptions!$F$39)^Assumptions!$H$36</f>
        <v>53609161.646799646</v>
      </c>
      <c r="L51" s="2"/>
      <c r="M51" s="12">
        <v>0</v>
      </c>
      <c r="N51" s="12">
        <f ca="1">+$G$51</f>
        <v>261929744.67596105</v>
      </c>
      <c r="O51" s="12">
        <v>0</v>
      </c>
      <c r="P51" s="12">
        <v>0</v>
      </c>
      <c r="Q51" s="12">
        <v>0</v>
      </c>
      <c r="R51" s="12">
        <v>0</v>
      </c>
      <c r="S51" s="12">
        <v>0</v>
      </c>
      <c r="T51" s="12">
        <v>0</v>
      </c>
      <c r="U51" s="12">
        <v>0</v>
      </c>
      <c r="V51" s="12">
        <v>0</v>
      </c>
      <c r="W51" s="12">
        <v>0</v>
      </c>
      <c r="X51" s="12">
        <v>0</v>
      </c>
      <c r="Y51" s="12">
        <v>0</v>
      </c>
      <c r="Z51" s="12">
        <v>0</v>
      </c>
      <c r="AA51" s="12">
        <v>0</v>
      </c>
      <c r="AB51" s="12">
        <v>0</v>
      </c>
      <c r="AC51" s="12">
        <v>0</v>
      </c>
      <c r="AI51" s="2"/>
      <c r="AJ51" s="12">
        <v>0</v>
      </c>
      <c r="AK51" s="12">
        <f ca="1">+$H$51</f>
        <v>116166098.16</v>
      </c>
      <c r="AL51" s="12">
        <v>0</v>
      </c>
      <c r="AM51" s="12">
        <v>0</v>
      </c>
      <c r="AN51" s="12">
        <v>0</v>
      </c>
      <c r="AO51" s="12">
        <v>0</v>
      </c>
      <c r="AP51" s="12">
        <v>0</v>
      </c>
      <c r="AQ51" s="12">
        <v>0</v>
      </c>
      <c r="AR51" s="12">
        <v>0</v>
      </c>
      <c r="AS51" s="12">
        <v>0</v>
      </c>
      <c r="AT51" s="12">
        <v>0</v>
      </c>
      <c r="AU51" s="12">
        <v>0</v>
      </c>
      <c r="AV51" s="12">
        <v>0</v>
      </c>
      <c r="AW51" s="12">
        <v>0</v>
      </c>
      <c r="AX51" s="12">
        <v>0</v>
      </c>
      <c r="AY51" s="12">
        <v>0</v>
      </c>
      <c r="AZ51" s="12">
        <v>0</v>
      </c>
      <c r="BD51" s="2"/>
      <c r="BE51" s="12">
        <v>0</v>
      </c>
      <c r="BF51" s="12">
        <f ca="1">+$I$51</f>
        <v>92154484.869161397</v>
      </c>
      <c r="BG51" s="12">
        <v>0</v>
      </c>
      <c r="BH51" s="12">
        <v>0</v>
      </c>
      <c r="BI51" s="12">
        <v>0</v>
      </c>
      <c r="BJ51" s="12">
        <v>0</v>
      </c>
      <c r="BK51" s="12">
        <v>0</v>
      </c>
      <c r="BL51" s="12">
        <v>0</v>
      </c>
      <c r="BM51" s="12">
        <v>0</v>
      </c>
      <c r="BN51" s="12">
        <v>0</v>
      </c>
      <c r="BO51" s="12">
        <v>0</v>
      </c>
      <c r="BP51" s="12">
        <v>0</v>
      </c>
      <c r="BQ51" s="12">
        <v>0</v>
      </c>
      <c r="BR51" s="12">
        <v>0</v>
      </c>
      <c r="BS51" s="12">
        <v>0</v>
      </c>
      <c r="BT51" s="12">
        <v>0</v>
      </c>
      <c r="BU51" s="12">
        <v>0</v>
      </c>
      <c r="BY51" s="2"/>
      <c r="BZ51" s="12">
        <v>0</v>
      </c>
      <c r="CA51" s="12">
        <f ca="1">+$J$51</f>
        <v>53609161.646799646</v>
      </c>
      <c r="CB51" s="12">
        <v>0</v>
      </c>
      <c r="CC51" s="12">
        <v>0</v>
      </c>
      <c r="CD51" s="12">
        <v>0</v>
      </c>
      <c r="CE51" s="12">
        <v>0</v>
      </c>
      <c r="CF51" s="12">
        <v>0</v>
      </c>
      <c r="CG51" s="12">
        <v>0</v>
      </c>
      <c r="CH51" s="12">
        <v>0</v>
      </c>
      <c r="CI51" s="12">
        <v>0</v>
      </c>
      <c r="CJ51" s="12">
        <v>0</v>
      </c>
      <c r="CK51" s="12">
        <v>0</v>
      </c>
      <c r="CL51" s="12">
        <v>0</v>
      </c>
      <c r="CM51" s="12">
        <v>0</v>
      </c>
      <c r="CN51" s="12">
        <v>0</v>
      </c>
      <c r="CO51" s="12">
        <v>0</v>
      </c>
      <c r="CP51" s="12">
        <v>0</v>
      </c>
    </row>
    <row r="52" spans="1:94" hidden="1">
      <c r="A52" s="584">
        <f t="shared" ref="A52:A66" si="132">A51+1</f>
        <v>2</v>
      </c>
      <c r="B52" s="1" t="str">
        <f>+Assumptions!AL40</f>
        <v>Affordable Multi-Bedroom Residential</v>
      </c>
      <c r="D52" s="583">
        <v>191</v>
      </c>
      <c r="E52" s="584"/>
      <c r="F52" s="723">
        <f t="shared" ca="1" si="129"/>
        <v>0</v>
      </c>
      <c r="G52" s="724">
        <f t="shared" ca="1" si="130"/>
        <v>0</v>
      </c>
      <c r="H52" s="725">
        <f t="shared" ca="1" si="131"/>
        <v>0</v>
      </c>
      <c r="I52" s="725">
        <f ca="1">+$D52*I13*(1+Assumptions!$F$39)^Assumptions!$G$36</f>
        <v>0</v>
      </c>
      <c r="J52" s="725">
        <f ca="1">+$D52*J13*(1+Assumptions!$F$39)^Assumptions!$H$36</f>
        <v>0</v>
      </c>
      <c r="L52" s="2"/>
      <c r="M52" s="12">
        <v>0</v>
      </c>
      <c r="N52" s="12">
        <v>0</v>
      </c>
      <c r="O52" s="12">
        <f ca="1">+$G$52</f>
        <v>0</v>
      </c>
      <c r="P52" s="12">
        <v>0</v>
      </c>
      <c r="Q52" s="12">
        <v>0</v>
      </c>
      <c r="R52" s="12">
        <v>0</v>
      </c>
      <c r="S52" s="12">
        <v>0</v>
      </c>
      <c r="T52" s="12">
        <v>0</v>
      </c>
      <c r="U52" s="12">
        <v>0</v>
      </c>
      <c r="V52" s="12">
        <v>0</v>
      </c>
      <c r="W52" s="12">
        <v>0</v>
      </c>
      <c r="X52" s="12">
        <v>0</v>
      </c>
      <c r="Y52" s="12">
        <v>0</v>
      </c>
      <c r="Z52" s="12">
        <v>0</v>
      </c>
      <c r="AA52" s="12">
        <v>0</v>
      </c>
      <c r="AB52" s="12">
        <v>0</v>
      </c>
      <c r="AC52" s="12">
        <v>0</v>
      </c>
      <c r="AI52" s="2"/>
      <c r="AJ52" s="12">
        <v>0</v>
      </c>
      <c r="AK52" s="12">
        <v>0</v>
      </c>
      <c r="AL52" s="12">
        <f ca="1">+$H$52</f>
        <v>0</v>
      </c>
      <c r="AM52" s="12">
        <v>0</v>
      </c>
      <c r="AN52" s="12">
        <v>0</v>
      </c>
      <c r="AO52" s="12">
        <v>0</v>
      </c>
      <c r="AP52" s="12">
        <v>0</v>
      </c>
      <c r="AQ52" s="12">
        <v>0</v>
      </c>
      <c r="AR52" s="12">
        <v>0</v>
      </c>
      <c r="AS52" s="12">
        <v>0</v>
      </c>
      <c r="AT52" s="12">
        <v>0</v>
      </c>
      <c r="AU52" s="12">
        <v>0</v>
      </c>
      <c r="AV52" s="12">
        <v>0</v>
      </c>
      <c r="AW52" s="12">
        <v>0</v>
      </c>
      <c r="AX52" s="12">
        <v>0</v>
      </c>
      <c r="AY52" s="12">
        <v>0</v>
      </c>
      <c r="AZ52" s="12">
        <v>0</v>
      </c>
      <c r="BD52" s="2"/>
      <c r="BE52" s="12">
        <v>0</v>
      </c>
      <c r="BF52" s="12">
        <v>0</v>
      </c>
      <c r="BG52" s="12">
        <f ca="1">+$I$52</f>
        <v>0</v>
      </c>
      <c r="BH52" s="12">
        <v>0</v>
      </c>
      <c r="BI52" s="12">
        <v>0</v>
      </c>
      <c r="BJ52" s="12">
        <v>0</v>
      </c>
      <c r="BK52" s="12">
        <v>0</v>
      </c>
      <c r="BL52" s="12">
        <v>0</v>
      </c>
      <c r="BM52" s="12">
        <v>0</v>
      </c>
      <c r="BN52" s="12">
        <v>0</v>
      </c>
      <c r="BO52" s="12">
        <v>0</v>
      </c>
      <c r="BP52" s="12">
        <v>0</v>
      </c>
      <c r="BQ52" s="12">
        <v>0</v>
      </c>
      <c r="BR52" s="12">
        <v>0</v>
      </c>
      <c r="BS52" s="12">
        <v>0</v>
      </c>
      <c r="BT52" s="12">
        <v>0</v>
      </c>
      <c r="BU52" s="12">
        <v>0</v>
      </c>
      <c r="BY52" s="2"/>
      <c r="BZ52" s="12">
        <v>0</v>
      </c>
      <c r="CA52" s="12">
        <v>0</v>
      </c>
      <c r="CB52" s="12">
        <f ca="1">+$J$52</f>
        <v>0</v>
      </c>
      <c r="CC52" s="12">
        <v>0</v>
      </c>
      <c r="CD52" s="12">
        <v>0</v>
      </c>
      <c r="CE52" s="12">
        <v>0</v>
      </c>
      <c r="CF52" s="12">
        <v>0</v>
      </c>
      <c r="CG52" s="12">
        <v>0</v>
      </c>
      <c r="CH52" s="12">
        <v>0</v>
      </c>
      <c r="CI52" s="12">
        <v>0</v>
      </c>
      <c r="CJ52" s="12">
        <v>0</v>
      </c>
      <c r="CK52" s="12">
        <v>0</v>
      </c>
      <c r="CL52" s="12">
        <v>0</v>
      </c>
      <c r="CM52" s="12">
        <v>0</v>
      </c>
      <c r="CN52" s="12">
        <v>0</v>
      </c>
      <c r="CO52" s="12">
        <v>0</v>
      </c>
      <c r="CP52" s="12">
        <v>0</v>
      </c>
    </row>
    <row r="53" spans="1:94" hidden="1">
      <c r="A53" s="584">
        <f t="shared" si="132"/>
        <v>3</v>
      </c>
      <c r="B53" s="1" t="str">
        <f>+Assumptions!AL41</f>
        <v>Market-Rate Multi-Bedroom Residential</v>
      </c>
      <c r="D53" s="583">
        <v>191</v>
      </c>
      <c r="E53" s="584"/>
      <c r="F53" s="723">
        <f t="shared" ca="1" si="129"/>
        <v>0</v>
      </c>
      <c r="G53" s="724">
        <f t="shared" ca="1" si="130"/>
        <v>0</v>
      </c>
      <c r="H53" s="725">
        <f t="shared" ca="1" si="131"/>
        <v>0</v>
      </c>
      <c r="I53" s="725">
        <f ca="1">+$D53*I14*(1+Assumptions!$F$39)^Assumptions!$G$36</f>
        <v>0</v>
      </c>
      <c r="J53" s="725">
        <f ca="1">+$D53*J14*(1+Assumptions!$F$39)^Assumptions!$H$36</f>
        <v>0</v>
      </c>
      <c r="L53" s="2"/>
      <c r="M53" s="12">
        <v>0</v>
      </c>
      <c r="N53" s="12">
        <v>0</v>
      </c>
      <c r="O53" s="12">
        <v>0</v>
      </c>
      <c r="P53" s="12">
        <f ca="1">+$G$53</f>
        <v>0</v>
      </c>
      <c r="Q53" s="12">
        <v>0</v>
      </c>
      <c r="R53" s="12">
        <v>0</v>
      </c>
      <c r="S53" s="12">
        <v>0</v>
      </c>
      <c r="T53" s="12">
        <v>0</v>
      </c>
      <c r="U53" s="12">
        <v>0</v>
      </c>
      <c r="V53" s="12">
        <v>0</v>
      </c>
      <c r="W53" s="12">
        <v>0</v>
      </c>
      <c r="X53" s="12">
        <v>0</v>
      </c>
      <c r="Y53" s="12">
        <v>0</v>
      </c>
      <c r="Z53" s="12">
        <v>0</v>
      </c>
      <c r="AA53" s="12">
        <v>0</v>
      </c>
      <c r="AB53" s="12">
        <v>0</v>
      </c>
      <c r="AC53" s="12">
        <v>0</v>
      </c>
      <c r="AI53" s="2"/>
      <c r="AJ53" s="12">
        <v>0</v>
      </c>
      <c r="AK53" s="12">
        <v>0</v>
      </c>
      <c r="AL53" s="12">
        <v>0</v>
      </c>
      <c r="AM53" s="12">
        <f ca="1">+$H$53</f>
        <v>0</v>
      </c>
      <c r="AN53" s="12">
        <v>0</v>
      </c>
      <c r="AO53" s="12">
        <v>0</v>
      </c>
      <c r="AP53" s="12">
        <v>0</v>
      </c>
      <c r="AQ53" s="12">
        <v>0</v>
      </c>
      <c r="AR53" s="12">
        <v>0</v>
      </c>
      <c r="AS53" s="12">
        <v>0</v>
      </c>
      <c r="AT53" s="12">
        <v>0</v>
      </c>
      <c r="AU53" s="12">
        <v>0</v>
      </c>
      <c r="AV53" s="12">
        <v>0</v>
      </c>
      <c r="AW53" s="12">
        <v>0</v>
      </c>
      <c r="AX53" s="12">
        <v>0</v>
      </c>
      <c r="AY53" s="12">
        <v>0</v>
      </c>
      <c r="AZ53" s="12">
        <v>0</v>
      </c>
      <c r="BD53" s="2"/>
      <c r="BE53" s="12">
        <v>0</v>
      </c>
      <c r="BF53" s="12">
        <v>0</v>
      </c>
      <c r="BG53" s="12">
        <v>0</v>
      </c>
      <c r="BH53" s="12">
        <f ca="1">+$I$53</f>
        <v>0</v>
      </c>
      <c r="BI53" s="12">
        <v>0</v>
      </c>
      <c r="BJ53" s="12">
        <v>0</v>
      </c>
      <c r="BK53" s="12">
        <v>0</v>
      </c>
      <c r="BL53" s="12">
        <v>0</v>
      </c>
      <c r="BM53" s="12">
        <v>0</v>
      </c>
      <c r="BN53" s="12">
        <v>0</v>
      </c>
      <c r="BO53" s="12">
        <v>0</v>
      </c>
      <c r="BP53" s="12">
        <v>0</v>
      </c>
      <c r="BQ53" s="12">
        <v>0</v>
      </c>
      <c r="BR53" s="12">
        <v>0</v>
      </c>
      <c r="BS53" s="12">
        <v>0</v>
      </c>
      <c r="BT53" s="12">
        <v>0</v>
      </c>
      <c r="BU53" s="12">
        <v>0</v>
      </c>
      <c r="BY53" s="2"/>
      <c r="BZ53" s="12">
        <v>0</v>
      </c>
      <c r="CA53" s="12">
        <v>0</v>
      </c>
      <c r="CB53" s="12">
        <v>0</v>
      </c>
      <c r="CC53" s="12">
        <f ca="1">+$J$53</f>
        <v>0</v>
      </c>
      <c r="CD53" s="12">
        <v>0</v>
      </c>
      <c r="CE53" s="12">
        <v>0</v>
      </c>
      <c r="CF53" s="12">
        <v>0</v>
      </c>
      <c r="CG53" s="12">
        <v>0</v>
      </c>
      <c r="CH53" s="12">
        <v>0</v>
      </c>
      <c r="CI53" s="12">
        <v>0</v>
      </c>
      <c r="CJ53" s="12">
        <v>0</v>
      </c>
      <c r="CK53" s="12">
        <v>0</v>
      </c>
      <c r="CL53" s="12">
        <v>0</v>
      </c>
      <c r="CM53" s="12">
        <v>0</v>
      </c>
      <c r="CN53" s="12">
        <v>0</v>
      </c>
      <c r="CO53" s="12">
        <v>0</v>
      </c>
      <c r="CP53" s="12">
        <v>0</v>
      </c>
    </row>
    <row r="54" spans="1:94" hidden="1">
      <c r="A54" s="584">
        <f t="shared" si="132"/>
        <v>4</v>
      </c>
      <c r="B54" s="1" t="str">
        <f>+Assumptions!AL42</f>
        <v xml:space="preserve">Affordable Senior Living Residential </v>
      </c>
      <c r="D54" s="583">
        <v>0</v>
      </c>
      <c r="E54" s="584"/>
      <c r="F54" s="723">
        <f t="shared" ca="1" si="129"/>
        <v>0</v>
      </c>
      <c r="G54" s="724">
        <f t="shared" ca="1" si="130"/>
        <v>0</v>
      </c>
      <c r="H54" s="725">
        <f t="shared" ca="1" si="131"/>
        <v>0</v>
      </c>
      <c r="I54" s="725">
        <f ca="1">+$D54*I15*(1+Assumptions!$F$39)^Assumptions!$G$36</f>
        <v>0</v>
      </c>
      <c r="J54" s="725">
        <f ca="1">+$D54*J15*(1+Assumptions!$F$39)^Assumptions!$H$36</f>
        <v>0</v>
      </c>
      <c r="L54" s="2"/>
      <c r="M54" s="12">
        <v>0</v>
      </c>
      <c r="N54" s="12">
        <v>0</v>
      </c>
      <c r="O54" s="12">
        <v>0</v>
      </c>
      <c r="P54" s="12">
        <v>0</v>
      </c>
      <c r="Q54" s="12">
        <f ca="1">+$G$54</f>
        <v>0</v>
      </c>
      <c r="R54" s="12">
        <v>0</v>
      </c>
      <c r="S54" s="12">
        <v>0</v>
      </c>
      <c r="T54" s="12">
        <v>0</v>
      </c>
      <c r="U54" s="12">
        <v>0</v>
      </c>
      <c r="V54" s="12">
        <v>0</v>
      </c>
      <c r="W54" s="12">
        <v>0</v>
      </c>
      <c r="X54" s="12">
        <v>0</v>
      </c>
      <c r="Y54" s="12">
        <v>0</v>
      </c>
      <c r="Z54" s="12">
        <v>0</v>
      </c>
      <c r="AA54" s="12">
        <v>0</v>
      </c>
      <c r="AB54" s="12">
        <v>0</v>
      </c>
      <c r="AC54" s="12">
        <v>0</v>
      </c>
      <c r="AI54" s="2"/>
      <c r="AJ54" s="12">
        <v>0</v>
      </c>
      <c r="AK54" s="12">
        <v>0</v>
      </c>
      <c r="AL54" s="12">
        <v>0</v>
      </c>
      <c r="AM54" s="12">
        <v>0</v>
      </c>
      <c r="AN54" s="12">
        <f ca="1">+$H$54</f>
        <v>0</v>
      </c>
      <c r="AO54" s="12">
        <v>0</v>
      </c>
      <c r="AP54" s="12">
        <v>0</v>
      </c>
      <c r="AQ54" s="12">
        <v>0</v>
      </c>
      <c r="AR54" s="12">
        <v>0</v>
      </c>
      <c r="AS54" s="12">
        <v>0</v>
      </c>
      <c r="AT54" s="12">
        <v>0</v>
      </c>
      <c r="AU54" s="12">
        <v>0</v>
      </c>
      <c r="AV54" s="12">
        <v>0</v>
      </c>
      <c r="AW54" s="12">
        <v>0</v>
      </c>
      <c r="AX54" s="12">
        <v>0</v>
      </c>
      <c r="AY54" s="12">
        <v>0</v>
      </c>
      <c r="AZ54" s="12">
        <v>0</v>
      </c>
      <c r="BD54" s="2"/>
      <c r="BE54" s="12">
        <v>0</v>
      </c>
      <c r="BF54" s="12">
        <v>0</v>
      </c>
      <c r="BG54" s="12">
        <v>0</v>
      </c>
      <c r="BH54" s="12">
        <v>0</v>
      </c>
      <c r="BI54" s="12">
        <f ca="1">+$I$54</f>
        <v>0</v>
      </c>
      <c r="BJ54" s="12">
        <v>0</v>
      </c>
      <c r="BK54" s="12">
        <v>0</v>
      </c>
      <c r="BL54" s="12">
        <v>0</v>
      </c>
      <c r="BM54" s="12">
        <v>0</v>
      </c>
      <c r="BN54" s="12">
        <v>0</v>
      </c>
      <c r="BO54" s="12">
        <v>0</v>
      </c>
      <c r="BP54" s="12">
        <v>0</v>
      </c>
      <c r="BQ54" s="12">
        <v>0</v>
      </c>
      <c r="BR54" s="12">
        <v>0</v>
      </c>
      <c r="BS54" s="12">
        <v>0</v>
      </c>
      <c r="BT54" s="12">
        <v>0</v>
      </c>
      <c r="BU54" s="12">
        <v>0</v>
      </c>
      <c r="BY54" s="2"/>
      <c r="BZ54" s="12">
        <v>0</v>
      </c>
      <c r="CA54" s="12">
        <v>0</v>
      </c>
      <c r="CB54" s="12">
        <v>0</v>
      </c>
      <c r="CC54" s="12">
        <v>0</v>
      </c>
      <c r="CD54" s="12">
        <f ca="1">+$J$54</f>
        <v>0</v>
      </c>
      <c r="CE54" s="12">
        <v>0</v>
      </c>
      <c r="CF54" s="12">
        <v>0</v>
      </c>
      <c r="CG54" s="12">
        <v>0</v>
      </c>
      <c r="CH54" s="12">
        <v>0</v>
      </c>
      <c r="CI54" s="12">
        <v>0</v>
      </c>
      <c r="CJ54" s="12">
        <v>0</v>
      </c>
      <c r="CK54" s="12">
        <v>0</v>
      </c>
      <c r="CL54" s="12">
        <v>0</v>
      </c>
      <c r="CM54" s="12">
        <v>0</v>
      </c>
      <c r="CN54" s="12">
        <v>0</v>
      </c>
      <c r="CO54" s="12">
        <v>0</v>
      </c>
      <c r="CP54" s="12">
        <v>0</v>
      </c>
    </row>
    <row r="55" spans="1:94" hidden="1">
      <c r="A55" s="584">
        <f t="shared" si="132"/>
        <v>5</v>
      </c>
      <c r="B55" s="1" t="str">
        <f>+Assumptions!AL43</f>
        <v xml:space="preserve">Market-Rate Senior Living Residential </v>
      </c>
      <c r="D55" s="583">
        <v>0</v>
      </c>
      <c r="E55" s="584"/>
      <c r="F55" s="723">
        <f t="shared" ca="1" si="129"/>
        <v>0</v>
      </c>
      <c r="G55" s="724">
        <f t="shared" ca="1" si="130"/>
        <v>0</v>
      </c>
      <c r="H55" s="725">
        <f t="shared" ca="1" si="131"/>
        <v>0</v>
      </c>
      <c r="I55" s="725">
        <f ca="1">+$D55*I16*(1+Assumptions!$F$39)^Assumptions!$G$36</f>
        <v>0</v>
      </c>
      <c r="J55" s="725">
        <f ca="1">+$D55*J16*(1+Assumptions!$F$39)^Assumptions!$H$36</f>
        <v>0</v>
      </c>
      <c r="L55" s="2"/>
      <c r="M55" s="12">
        <v>0</v>
      </c>
      <c r="N55" s="12">
        <v>0</v>
      </c>
      <c r="O55" s="12">
        <v>0</v>
      </c>
      <c r="P55" s="12">
        <v>0</v>
      </c>
      <c r="Q55" s="12">
        <v>0</v>
      </c>
      <c r="R55" s="12">
        <f ca="1">+$G$55</f>
        <v>0</v>
      </c>
      <c r="S55" s="12">
        <v>0</v>
      </c>
      <c r="T55" s="12">
        <v>0</v>
      </c>
      <c r="U55" s="12">
        <v>0</v>
      </c>
      <c r="V55" s="12">
        <v>0</v>
      </c>
      <c r="W55" s="12">
        <v>0</v>
      </c>
      <c r="X55" s="12">
        <v>0</v>
      </c>
      <c r="Y55" s="12">
        <v>0</v>
      </c>
      <c r="Z55" s="12">
        <v>0</v>
      </c>
      <c r="AA55" s="12">
        <v>0</v>
      </c>
      <c r="AB55" s="12">
        <v>0</v>
      </c>
      <c r="AC55" s="12">
        <v>0</v>
      </c>
      <c r="AI55" s="2"/>
      <c r="AJ55" s="12">
        <v>0</v>
      </c>
      <c r="AK55" s="12">
        <v>0</v>
      </c>
      <c r="AL55" s="12">
        <v>0</v>
      </c>
      <c r="AM55" s="12">
        <v>0</v>
      </c>
      <c r="AN55" s="12">
        <v>0</v>
      </c>
      <c r="AO55" s="12">
        <f ca="1">+$H$55</f>
        <v>0</v>
      </c>
      <c r="AP55" s="12">
        <v>0</v>
      </c>
      <c r="AQ55" s="12">
        <v>0</v>
      </c>
      <c r="AR55" s="12">
        <v>0</v>
      </c>
      <c r="AS55" s="12">
        <v>0</v>
      </c>
      <c r="AT55" s="12">
        <v>0</v>
      </c>
      <c r="AU55" s="12">
        <v>0</v>
      </c>
      <c r="AV55" s="12">
        <v>0</v>
      </c>
      <c r="AW55" s="12">
        <v>0</v>
      </c>
      <c r="AX55" s="12">
        <v>0</v>
      </c>
      <c r="AY55" s="12">
        <v>0</v>
      </c>
      <c r="AZ55" s="12">
        <v>0</v>
      </c>
      <c r="BD55" s="2"/>
      <c r="BE55" s="12">
        <v>0</v>
      </c>
      <c r="BF55" s="12">
        <v>0</v>
      </c>
      <c r="BG55" s="12">
        <v>0</v>
      </c>
      <c r="BH55" s="12">
        <v>0</v>
      </c>
      <c r="BI55" s="12">
        <v>0</v>
      </c>
      <c r="BJ55" s="12">
        <f ca="1">+$I$55</f>
        <v>0</v>
      </c>
      <c r="BK55" s="12">
        <v>0</v>
      </c>
      <c r="BL55" s="12">
        <v>0</v>
      </c>
      <c r="BM55" s="12">
        <v>0</v>
      </c>
      <c r="BN55" s="12">
        <v>0</v>
      </c>
      <c r="BO55" s="12">
        <v>0</v>
      </c>
      <c r="BP55" s="12">
        <v>0</v>
      </c>
      <c r="BQ55" s="12">
        <v>0</v>
      </c>
      <c r="BR55" s="12">
        <v>0</v>
      </c>
      <c r="BS55" s="12">
        <v>0</v>
      </c>
      <c r="BT55" s="12">
        <v>0</v>
      </c>
      <c r="BU55" s="12">
        <v>0</v>
      </c>
      <c r="BY55" s="2"/>
      <c r="BZ55" s="12">
        <v>0</v>
      </c>
      <c r="CA55" s="12">
        <v>0</v>
      </c>
      <c r="CB55" s="12">
        <v>0</v>
      </c>
      <c r="CC55" s="12">
        <v>0</v>
      </c>
      <c r="CD55" s="12">
        <v>0</v>
      </c>
      <c r="CE55" s="12">
        <f ca="1">+$J$55</f>
        <v>0</v>
      </c>
      <c r="CF55" s="12">
        <v>0</v>
      </c>
      <c r="CG55" s="12">
        <v>0</v>
      </c>
      <c r="CH55" s="12">
        <v>0</v>
      </c>
      <c r="CI55" s="12">
        <v>0</v>
      </c>
      <c r="CJ55" s="12">
        <v>0</v>
      </c>
      <c r="CK55" s="12">
        <v>0</v>
      </c>
      <c r="CL55" s="12">
        <v>0</v>
      </c>
      <c r="CM55" s="12">
        <v>0</v>
      </c>
      <c r="CN55" s="12">
        <v>0</v>
      </c>
      <c r="CO55" s="12">
        <v>0</v>
      </c>
      <c r="CP55" s="12">
        <v>0</v>
      </c>
    </row>
    <row r="56" spans="1:94">
      <c r="A56" s="584">
        <f t="shared" si="132"/>
        <v>6</v>
      </c>
      <c r="B56" s="1" t="str">
        <f>+Assumptions!J29</f>
        <v>Affordable For-Sale Residential</v>
      </c>
      <c r="D56" s="780">
        <v>310</v>
      </c>
      <c r="E56" s="47"/>
      <c r="F56" s="878">
        <f t="shared" ca="1" si="129"/>
        <v>12.798164808584293</v>
      </c>
      <c r="G56" s="879">
        <f t="shared" ca="1" si="130"/>
        <v>31973923.902747117</v>
      </c>
      <c r="H56" s="880">
        <f t="shared" ca="1" si="131"/>
        <v>10355271.000000002</v>
      </c>
      <c r="I56" s="880">
        <f ca="1">+$D56*I17*(1+Assumptions!$F$39)^Assumptions!$G$36</f>
        <v>8214829.2815274997</v>
      </c>
      <c r="J56" s="880">
        <f ca="1">+$D56*J17*(1+Assumptions!$F$39)^Assumptions!$H$36</f>
        <v>13403823.621219618</v>
      </c>
      <c r="L56" s="2"/>
      <c r="M56" s="12">
        <v>0</v>
      </c>
      <c r="N56" s="12">
        <v>0</v>
      </c>
      <c r="O56" s="12">
        <v>0</v>
      </c>
      <c r="P56" s="12">
        <v>0</v>
      </c>
      <c r="Q56" s="12">
        <v>0</v>
      </c>
      <c r="R56" s="12">
        <v>0</v>
      </c>
      <c r="S56" s="12">
        <f ca="1">+$G$56</f>
        <v>31973923.902747117</v>
      </c>
      <c r="T56" s="12">
        <v>0</v>
      </c>
      <c r="U56" s="12">
        <v>0</v>
      </c>
      <c r="V56" s="12">
        <v>0</v>
      </c>
      <c r="W56" s="12">
        <v>0</v>
      </c>
      <c r="X56" s="12">
        <v>0</v>
      </c>
      <c r="Y56" s="12">
        <v>0</v>
      </c>
      <c r="Z56" s="12">
        <v>0</v>
      </c>
      <c r="AA56" s="12">
        <v>0</v>
      </c>
      <c r="AB56" s="12">
        <v>0</v>
      </c>
      <c r="AC56" s="12">
        <v>0</v>
      </c>
      <c r="AI56" s="2"/>
      <c r="AJ56" s="12">
        <v>0</v>
      </c>
      <c r="AK56" s="12">
        <v>0</v>
      </c>
      <c r="AL56" s="12">
        <v>0</v>
      </c>
      <c r="AM56" s="12">
        <v>0</v>
      </c>
      <c r="AN56" s="12">
        <v>0</v>
      </c>
      <c r="AO56" s="12">
        <v>0</v>
      </c>
      <c r="AP56" s="12">
        <f ca="1">+$H$56</f>
        <v>10355271.000000002</v>
      </c>
      <c r="AQ56" s="12">
        <v>0</v>
      </c>
      <c r="AR56" s="12">
        <v>0</v>
      </c>
      <c r="AS56" s="12">
        <v>0</v>
      </c>
      <c r="AT56" s="12">
        <v>0</v>
      </c>
      <c r="AU56" s="12">
        <v>0</v>
      </c>
      <c r="AV56" s="12">
        <v>0</v>
      </c>
      <c r="AW56" s="12">
        <v>0</v>
      </c>
      <c r="AX56" s="12">
        <v>0</v>
      </c>
      <c r="AY56" s="12">
        <v>0</v>
      </c>
      <c r="AZ56" s="12">
        <v>0</v>
      </c>
      <c r="BD56" s="2"/>
      <c r="BE56" s="12">
        <v>0</v>
      </c>
      <c r="BF56" s="12">
        <v>0</v>
      </c>
      <c r="BG56" s="12">
        <v>0</v>
      </c>
      <c r="BH56" s="12">
        <v>0</v>
      </c>
      <c r="BI56" s="12">
        <v>0</v>
      </c>
      <c r="BJ56" s="12">
        <v>0</v>
      </c>
      <c r="BK56" s="12">
        <f ca="1">+$I$56</f>
        <v>8214829.2815274997</v>
      </c>
      <c r="BL56" s="12">
        <v>0</v>
      </c>
      <c r="BM56" s="12">
        <v>0</v>
      </c>
      <c r="BN56" s="12">
        <v>0</v>
      </c>
      <c r="BO56" s="12">
        <v>0</v>
      </c>
      <c r="BP56" s="12">
        <v>0</v>
      </c>
      <c r="BQ56" s="12">
        <v>0</v>
      </c>
      <c r="BR56" s="12">
        <v>0</v>
      </c>
      <c r="BS56" s="12">
        <v>0</v>
      </c>
      <c r="BT56" s="12">
        <v>0</v>
      </c>
      <c r="BU56" s="12">
        <v>0</v>
      </c>
      <c r="BY56" s="2"/>
      <c r="BZ56" s="12">
        <v>0</v>
      </c>
      <c r="CA56" s="12">
        <v>0</v>
      </c>
      <c r="CB56" s="12">
        <v>0</v>
      </c>
      <c r="CC56" s="12">
        <v>0</v>
      </c>
      <c r="CD56" s="12">
        <v>0</v>
      </c>
      <c r="CE56" s="12">
        <v>0</v>
      </c>
      <c r="CF56" s="12">
        <f ca="1">+$J$56</f>
        <v>13403823.621219618</v>
      </c>
      <c r="CG56" s="12">
        <v>0</v>
      </c>
      <c r="CH56" s="12">
        <v>0</v>
      </c>
      <c r="CI56" s="12">
        <v>0</v>
      </c>
      <c r="CJ56" s="12">
        <v>0</v>
      </c>
      <c r="CK56" s="12">
        <v>0</v>
      </c>
      <c r="CL56" s="12">
        <v>0</v>
      </c>
      <c r="CM56" s="12">
        <v>0</v>
      </c>
      <c r="CN56" s="12">
        <v>0</v>
      </c>
      <c r="CO56" s="12">
        <v>0</v>
      </c>
      <c r="CP56" s="12">
        <v>0</v>
      </c>
    </row>
    <row r="57" spans="1:94">
      <c r="A57" s="584">
        <f t="shared" si="132"/>
        <v>7</v>
      </c>
      <c r="B57" s="1" t="str">
        <f>+Assumptions!J30</f>
        <v xml:space="preserve">Market-Rate For-Sale Residential </v>
      </c>
      <c r="D57" s="780">
        <v>325</v>
      </c>
      <c r="E57" s="47"/>
      <c r="F57" s="878">
        <f t="shared" ca="1" si="129"/>
        <v>28.79447468937262</v>
      </c>
      <c r="G57" s="879">
        <f t="shared" ca="1" si="130"/>
        <v>71937840.800428092</v>
      </c>
      <c r="H57" s="880">
        <f t="shared" ca="1" si="131"/>
        <v>23883931.499999996</v>
      </c>
      <c r="I57" s="880">
        <f ca="1">+$D57*I18*(1+Assumptions!$F$39)^Assumptions!$G$36</f>
        <v>18947106.246103749</v>
      </c>
      <c r="J57" s="880">
        <f ca="1">+$D57*J18*(1+Assumptions!$F$39)^Assumptions!$H$36</f>
        <v>29106803.054324348</v>
      </c>
      <c r="L57" s="2"/>
      <c r="M57" s="12">
        <v>0</v>
      </c>
      <c r="N57" s="12">
        <v>0</v>
      </c>
      <c r="O57" s="12">
        <v>0</v>
      </c>
      <c r="P57" s="12">
        <v>0</v>
      </c>
      <c r="Q57" s="12">
        <v>0</v>
      </c>
      <c r="R57" s="12">
        <v>0</v>
      </c>
      <c r="S57" s="12">
        <v>0</v>
      </c>
      <c r="T57" s="12">
        <f ca="1">+$G$57</f>
        <v>71937840.800428092</v>
      </c>
      <c r="U57" s="12">
        <v>0</v>
      </c>
      <c r="V57" s="12">
        <v>0</v>
      </c>
      <c r="W57" s="12">
        <v>0</v>
      </c>
      <c r="X57" s="12">
        <v>0</v>
      </c>
      <c r="Y57" s="12">
        <v>0</v>
      </c>
      <c r="Z57" s="12">
        <v>0</v>
      </c>
      <c r="AA57" s="12">
        <v>0</v>
      </c>
      <c r="AB57" s="12">
        <v>0</v>
      </c>
      <c r="AC57" s="12">
        <v>0</v>
      </c>
      <c r="AI57" s="2"/>
      <c r="AJ57" s="12">
        <v>0</v>
      </c>
      <c r="AK57" s="12">
        <v>0</v>
      </c>
      <c r="AL57" s="12">
        <v>0</v>
      </c>
      <c r="AM57" s="12">
        <v>0</v>
      </c>
      <c r="AN57" s="12">
        <v>0</v>
      </c>
      <c r="AO57" s="12">
        <v>0</v>
      </c>
      <c r="AP57" s="12">
        <v>0</v>
      </c>
      <c r="AQ57" s="12">
        <f ca="1">+$H$57</f>
        <v>23883931.499999996</v>
      </c>
      <c r="AR57" s="12">
        <v>0</v>
      </c>
      <c r="AS57" s="12">
        <v>0</v>
      </c>
      <c r="AT57" s="12">
        <v>0</v>
      </c>
      <c r="AU57" s="12">
        <v>0</v>
      </c>
      <c r="AV57" s="12">
        <v>0</v>
      </c>
      <c r="AW57" s="12">
        <v>0</v>
      </c>
      <c r="AX57" s="12">
        <v>0</v>
      </c>
      <c r="AY57" s="12">
        <v>0</v>
      </c>
      <c r="AZ57" s="12">
        <v>0</v>
      </c>
      <c r="BD57" s="2"/>
      <c r="BE57" s="12">
        <v>0</v>
      </c>
      <c r="BF57" s="12">
        <v>0</v>
      </c>
      <c r="BG57" s="12">
        <v>0</v>
      </c>
      <c r="BH57" s="12">
        <v>0</v>
      </c>
      <c r="BI57" s="12">
        <v>0</v>
      </c>
      <c r="BJ57" s="12">
        <v>0</v>
      </c>
      <c r="BK57" s="12">
        <v>0</v>
      </c>
      <c r="BL57" s="12">
        <f ca="1">+$I$57</f>
        <v>18947106.246103749</v>
      </c>
      <c r="BM57" s="12">
        <v>0</v>
      </c>
      <c r="BN57" s="12">
        <v>0</v>
      </c>
      <c r="BO57" s="12">
        <v>0</v>
      </c>
      <c r="BP57" s="12">
        <v>0</v>
      </c>
      <c r="BQ57" s="12">
        <v>0</v>
      </c>
      <c r="BR57" s="12">
        <v>0</v>
      </c>
      <c r="BS57" s="12">
        <v>0</v>
      </c>
      <c r="BT57" s="12">
        <v>0</v>
      </c>
      <c r="BU57" s="12">
        <v>0</v>
      </c>
      <c r="BY57" s="2"/>
      <c r="BZ57" s="12">
        <v>0</v>
      </c>
      <c r="CA57" s="12">
        <v>0</v>
      </c>
      <c r="CB57" s="12">
        <v>0</v>
      </c>
      <c r="CC57" s="12">
        <v>0</v>
      </c>
      <c r="CD57" s="12">
        <v>0</v>
      </c>
      <c r="CE57" s="12">
        <v>0</v>
      </c>
      <c r="CF57" s="12">
        <v>0</v>
      </c>
      <c r="CG57" s="12">
        <f ca="1">+$J$57</f>
        <v>29106803.054324348</v>
      </c>
      <c r="CH57" s="12">
        <v>0</v>
      </c>
      <c r="CI57" s="12">
        <v>0</v>
      </c>
      <c r="CJ57" s="12">
        <v>0</v>
      </c>
      <c r="CK57" s="12">
        <v>0</v>
      </c>
      <c r="CL57" s="12">
        <v>0</v>
      </c>
      <c r="CM57" s="12">
        <v>0</v>
      </c>
      <c r="CN57" s="12">
        <v>0</v>
      </c>
      <c r="CO57" s="12">
        <v>0</v>
      </c>
      <c r="CP57" s="12">
        <v>0</v>
      </c>
    </row>
    <row r="58" spans="1:94" hidden="1">
      <c r="A58" s="584">
        <f t="shared" si="132"/>
        <v>8</v>
      </c>
      <c r="B58" s="1" t="str">
        <f>+Assumptions!AL45</f>
        <v xml:space="preserve">Affordable Student Housing </v>
      </c>
      <c r="D58" s="583">
        <v>0</v>
      </c>
      <c r="E58" s="584"/>
      <c r="F58" s="723">
        <f t="shared" ca="1" si="129"/>
        <v>0</v>
      </c>
      <c r="G58" s="724">
        <f t="shared" ca="1" si="130"/>
        <v>0</v>
      </c>
      <c r="H58" s="725">
        <f ca="1">+$D58*H19</f>
        <v>0</v>
      </c>
      <c r="I58" s="725">
        <f ca="1">+$D58*I19*(1+Assumptions!$F$39)^Assumptions!$G$36</f>
        <v>0</v>
      </c>
      <c r="J58" s="725">
        <f ca="1">+$D58*J19*(1+Assumptions!$F$39)^Assumptions!$H$36</f>
        <v>0</v>
      </c>
      <c r="L58" s="2"/>
      <c r="M58" s="12">
        <v>0</v>
      </c>
      <c r="N58" s="12">
        <v>0</v>
      </c>
      <c r="O58" s="12">
        <v>0</v>
      </c>
      <c r="P58" s="12">
        <v>0</v>
      </c>
      <c r="Q58" s="12">
        <v>0</v>
      </c>
      <c r="R58" s="12">
        <v>0</v>
      </c>
      <c r="S58" s="12">
        <v>0</v>
      </c>
      <c r="T58" s="12">
        <v>0</v>
      </c>
      <c r="U58" s="12">
        <f ca="1">+$G$58</f>
        <v>0</v>
      </c>
      <c r="V58" s="12">
        <v>0</v>
      </c>
      <c r="W58" s="12">
        <v>0</v>
      </c>
      <c r="X58" s="12">
        <v>0</v>
      </c>
      <c r="Y58" s="12">
        <v>0</v>
      </c>
      <c r="Z58" s="12">
        <v>0</v>
      </c>
      <c r="AA58" s="12">
        <v>0</v>
      </c>
      <c r="AB58" s="12">
        <v>0</v>
      </c>
      <c r="AC58" s="12">
        <v>0</v>
      </c>
      <c r="AI58" s="2"/>
      <c r="AJ58" s="12">
        <v>0</v>
      </c>
      <c r="AK58" s="12">
        <v>0</v>
      </c>
      <c r="AL58" s="12">
        <v>0</v>
      </c>
      <c r="AM58" s="12">
        <v>0</v>
      </c>
      <c r="AN58" s="12">
        <v>0</v>
      </c>
      <c r="AO58" s="12">
        <v>0</v>
      </c>
      <c r="AP58" s="12">
        <v>0</v>
      </c>
      <c r="AQ58" s="12">
        <v>0</v>
      </c>
      <c r="AR58" s="12">
        <f ca="1">+$H$58</f>
        <v>0</v>
      </c>
      <c r="AS58" s="12">
        <v>0</v>
      </c>
      <c r="AT58" s="12">
        <v>0</v>
      </c>
      <c r="AU58" s="12">
        <v>0</v>
      </c>
      <c r="AV58" s="12">
        <v>0</v>
      </c>
      <c r="AW58" s="12">
        <v>0</v>
      </c>
      <c r="AX58" s="12">
        <v>0</v>
      </c>
      <c r="AY58" s="12">
        <v>0</v>
      </c>
      <c r="AZ58" s="12">
        <v>0</v>
      </c>
      <c r="BD58" s="2"/>
      <c r="BE58" s="12">
        <v>0</v>
      </c>
      <c r="BF58" s="12">
        <v>0</v>
      </c>
      <c r="BG58" s="12">
        <v>0</v>
      </c>
      <c r="BH58" s="12">
        <v>0</v>
      </c>
      <c r="BI58" s="12">
        <v>0</v>
      </c>
      <c r="BJ58" s="12">
        <v>0</v>
      </c>
      <c r="BK58" s="12">
        <v>0</v>
      </c>
      <c r="BL58" s="12">
        <v>0</v>
      </c>
      <c r="BM58" s="12">
        <f ca="1">+$I$58</f>
        <v>0</v>
      </c>
      <c r="BN58" s="12">
        <v>0</v>
      </c>
      <c r="BO58" s="12">
        <v>0</v>
      </c>
      <c r="BP58" s="12">
        <v>0</v>
      </c>
      <c r="BQ58" s="12">
        <v>0</v>
      </c>
      <c r="BR58" s="12">
        <v>0</v>
      </c>
      <c r="BS58" s="12">
        <v>0</v>
      </c>
      <c r="BT58" s="12">
        <v>0</v>
      </c>
      <c r="BU58" s="12">
        <v>0</v>
      </c>
      <c r="BY58" s="2"/>
      <c r="BZ58" s="12">
        <v>0</v>
      </c>
      <c r="CA58" s="12">
        <v>0</v>
      </c>
      <c r="CB58" s="12">
        <v>0</v>
      </c>
      <c r="CC58" s="12">
        <v>0</v>
      </c>
      <c r="CD58" s="12">
        <v>0</v>
      </c>
      <c r="CE58" s="12">
        <v>0</v>
      </c>
      <c r="CF58" s="12">
        <v>0</v>
      </c>
      <c r="CG58" s="12">
        <v>0</v>
      </c>
      <c r="CH58" s="12">
        <f ca="1">+$J$58</f>
        <v>0</v>
      </c>
      <c r="CI58" s="12">
        <v>0</v>
      </c>
      <c r="CJ58" s="12">
        <v>0</v>
      </c>
      <c r="CK58" s="12">
        <v>0</v>
      </c>
      <c r="CL58" s="12">
        <v>0</v>
      </c>
      <c r="CM58" s="12">
        <v>0</v>
      </c>
      <c r="CN58" s="12">
        <v>0</v>
      </c>
      <c r="CO58" s="12">
        <v>0</v>
      </c>
      <c r="CP58" s="12">
        <v>0</v>
      </c>
    </row>
    <row r="59" spans="1:94" ht="0.75" customHeight="1">
      <c r="A59" s="584">
        <f t="shared" si="132"/>
        <v>9</v>
      </c>
      <c r="B59" s="1" t="str">
        <f>+Assumptions!AL46</f>
        <v xml:space="preserve">Market-Rate Student Housing </v>
      </c>
      <c r="D59" s="583">
        <v>0</v>
      </c>
      <c r="E59" s="584"/>
      <c r="F59" s="723">
        <f t="shared" ca="1" si="129"/>
        <v>0</v>
      </c>
      <c r="G59" s="724">
        <f t="shared" ca="1" si="130"/>
        <v>0</v>
      </c>
      <c r="H59" s="725">
        <f t="shared" ca="1" si="131"/>
        <v>0</v>
      </c>
      <c r="I59" s="725">
        <f ca="1">+$D59*I20*(1+Assumptions!$F$39)^Assumptions!$G$36</f>
        <v>0</v>
      </c>
      <c r="J59" s="725">
        <f ca="1">+$D59*J20*(1+Assumptions!$F$39)^Assumptions!$H$36</f>
        <v>0</v>
      </c>
      <c r="L59" s="2"/>
      <c r="M59" s="12">
        <v>0</v>
      </c>
      <c r="N59" s="12">
        <v>0</v>
      </c>
      <c r="O59" s="12">
        <v>0</v>
      </c>
      <c r="P59" s="12">
        <v>0</v>
      </c>
      <c r="Q59" s="12">
        <v>0</v>
      </c>
      <c r="R59" s="12">
        <v>0</v>
      </c>
      <c r="S59" s="12">
        <v>0</v>
      </c>
      <c r="T59" s="12">
        <v>0</v>
      </c>
      <c r="U59" s="12">
        <v>0</v>
      </c>
      <c r="V59" s="12">
        <f ca="1">+$G$59</f>
        <v>0</v>
      </c>
      <c r="W59" s="12">
        <v>0</v>
      </c>
      <c r="X59" s="12">
        <v>0</v>
      </c>
      <c r="Y59" s="12">
        <v>0</v>
      </c>
      <c r="Z59" s="12">
        <v>0</v>
      </c>
      <c r="AA59" s="12">
        <v>0</v>
      </c>
      <c r="AB59" s="12">
        <v>0</v>
      </c>
      <c r="AC59" s="12">
        <v>0</v>
      </c>
      <c r="AI59" s="2"/>
      <c r="AJ59" s="12">
        <v>0</v>
      </c>
      <c r="AK59" s="12">
        <v>0</v>
      </c>
      <c r="AL59" s="12">
        <v>0</v>
      </c>
      <c r="AM59" s="12">
        <v>0</v>
      </c>
      <c r="AN59" s="12">
        <v>0</v>
      </c>
      <c r="AO59" s="12">
        <v>0</v>
      </c>
      <c r="AP59" s="12">
        <v>0</v>
      </c>
      <c r="AQ59" s="12">
        <v>0</v>
      </c>
      <c r="AR59" s="12">
        <v>0</v>
      </c>
      <c r="AS59" s="12">
        <f ca="1">+$H$59</f>
        <v>0</v>
      </c>
      <c r="AT59" s="12">
        <v>0</v>
      </c>
      <c r="AU59" s="12">
        <v>0</v>
      </c>
      <c r="AV59" s="12">
        <v>0</v>
      </c>
      <c r="AW59" s="12">
        <v>0</v>
      </c>
      <c r="AX59" s="12">
        <v>0</v>
      </c>
      <c r="AY59" s="12">
        <v>0</v>
      </c>
      <c r="AZ59" s="12">
        <v>0</v>
      </c>
      <c r="BD59" s="2"/>
      <c r="BE59" s="12">
        <v>0</v>
      </c>
      <c r="BF59" s="12">
        <v>0</v>
      </c>
      <c r="BG59" s="12">
        <v>0</v>
      </c>
      <c r="BH59" s="12">
        <v>0</v>
      </c>
      <c r="BI59" s="12">
        <v>0</v>
      </c>
      <c r="BJ59" s="12">
        <v>0</v>
      </c>
      <c r="BK59" s="12">
        <v>0</v>
      </c>
      <c r="BL59" s="12">
        <v>0</v>
      </c>
      <c r="BM59" s="12">
        <v>0</v>
      </c>
      <c r="BN59" s="12">
        <f ca="1">+$I$59</f>
        <v>0</v>
      </c>
      <c r="BO59" s="12">
        <v>0</v>
      </c>
      <c r="BP59" s="12">
        <v>0</v>
      </c>
      <c r="BQ59" s="12">
        <v>0</v>
      </c>
      <c r="BR59" s="12">
        <v>0</v>
      </c>
      <c r="BS59" s="12">
        <v>0</v>
      </c>
      <c r="BT59" s="12">
        <v>0</v>
      </c>
      <c r="BU59" s="12">
        <v>0</v>
      </c>
      <c r="BY59" s="2"/>
      <c r="BZ59" s="12">
        <v>0</v>
      </c>
      <c r="CA59" s="12">
        <v>0</v>
      </c>
      <c r="CB59" s="12">
        <v>0</v>
      </c>
      <c r="CC59" s="12">
        <v>0</v>
      </c>
      <c r="CD59" s="12">
        <v>0</v>
      </c>
      <c r="CE59" s="12">
        <v>0</v>
      </c>
      <c r="CF59" s="12">
        <v>0</v>
      </c>
      <c r="CG59" s="12">
        <v>0</v>
      </c>
      <c r="CH59" s="12">
        <v>0</v>
      </c>
      <c r="CI59" s="12">
        <f ca="1">+$J$59</f>
        <v>0</v>
      </c>
      <c r="CJ59" s="12">
        <v>0</v>
      </c>
      <c r="CK59" s="12">
        <v>0</v>
      </c>
      <c r="CL59" s="12">
        <v>0</v>
      </c>
      <c r="CM59" s="12">
        <v>0</v>
      </c>
      <c r="CN59" s="12">
        <v>0</v>
      </c>
      <c r="CO59" s="12">
        <v>0</v>
      </c>
      <c r="CP59" s="12">
        <v>0</v>
      </c>
    </row>
    <row r="60" spans="1:94">
      <c r="A60" s="584">
        <f>A59+1</f>
        <v>10</v>
      </c>
      <c r="B60" s="1" t="str">
        <f>+Assumptions!J31</f>
        <v xml:space="preserve">Office </v>
      </c>
      <c r="D60" s="780">
        <v>465</v>
      </c>
      <c r="F60" s="27">
        <f t="shared" ca="1" si="129"/>
        <v>26.772588338337471</v>
      </c>
      <c r="G60" s="26">
        <f t="shared" ca="1" si="130"/>
        <v>66886519.670023605</v>
      </c>
      <c r="H60" s="22">
        <f ca="1">+$D60*H21</f>
        <v>20040570</v>
      </c>
      <c r="I60" s="22">
        <f ca="1">+$D60*I21*(1+Assumptions!$F$39)^Assumptions!$G$36</f>
        <v>40490403.448785</v>
      </c>
      <c r="J60" s="22">
        <f ca="1">+$D60*J21*(1+Assumptions!$F$39)^Assumptions!$H$36</f>
        <v>6355546.2212386038</v>
      </c>
      <c r="L60" s="2"/>
      <c r="M60" s="12">
        <v>0</v>
      </c>
      <c r="N60" s="12">
        <v>0</v>
      </c>
      <c r="O60" s="12">
        <v>0</v>
      </c>
      <c r="P60" s="12">
        <v>0</v>
      </c>
      <c r="Q60" s="12">
        <v>0</v>
      </c>
      <c r="R60" s="12">
        <v>0</v>
      </c>
      <c r="S60" s="12">
        <v>0</v>
      </c>
      <c r="T60" s="12">
        <v>0</v>
      </c>
      <c r="U60" s="12">
        <v>0</v>
      </c>
      <c r="V60" s="12">
        <v>0</v>
      </c>
      <c r="W60" s="12">
        <f ca="1">+$G$60</f>
        <v>66886519.670023605</v>
      </c>
      <c r="X60" s="12">
        <v>0</v>
      </c>
      <c r="Y60" s="12">
        <v>0</v>
      </c>
      <c r="Z60" s="12">
        <v>0</v>
      </c>
      <c r="AA60" s="12">
        <v>0</v>
      </c>
      <c r="AB60" s="12">
        <v>0</v>
      </c>
      <c r="AC60" s="12">
        <v>0</v>
      </c>
      <c r="AI60" s="2"/>
      <c r="AJ60" s="12">
        <v>0</v>
      </c>
      <c r="AK60" s="12">
        <v>0</v>
      </c>
      <c r="AL60" s="12">
        <v>0</v>
      </c>
      <c r="AM60" s="12">
        <v>0</v>
      </c>
      <c r="AN60" s="12">
        <v>0</v>
      </c>
      <c r="AO60" s="12">
        <v>0</v>
      </c>
      <c r="AP60" s="12">
        <v>0</v>
      </c>
      <c r="AQ60" s="12">
        <v>0</v>
      </c>
      <c r="AR60" s="12">
        <v>0</v>
      </c>
      <c r="AS60" s="12">
        <v>0</v>
      </c>
      <c r="AT60" s="12">
        <f ca="1">+$H$60</f>
        <v>20040570</v>
      </c>
      <c r="AU60" s="12">
        <v>0</v>
      </c>
      <c r="AV60" s="12">
        <v>0</v>
      </c>
      <c r="AW60" s="12">
        <v>0</v>
      </c>
      <c r="AX60" s="12">
        <v>0</v>
      </c>
      <c r="AY60" s="12">
        <v>0</v>
      </c>
      <c r="AZ60" s="12">
        <v>0</v>
      </c>
      <c r="BD60" s="2"/>
      <c r="BE60" s="12">
        <v>0</v>
      </c>
      <c r="BF60" s="12">
        <v>0</v>
      </c>
      <c r="BG60" s="12">
        <v>0</v>
      </c>
      <c r="BH60" s="12">
        <v>0</v>
      </c>
      <c r="BI60" s="12">
        <v>0</v>
      </c>
      <c r="BJ60" s="12">
        <v>0</v>
      </c>
      <c r="BK60" s="12">
        <v>0</v>
      </c>
      <c r="BL60" s="12">
        <v>0</v>
      </c>
      <c r="BM60" s="12">
        <v>0</v>
      </c>
      <c r="BN60" s="12">
        <v>0</v>
      </c>
      <c r="BO60" s="12">
        <f ca="1">+$I$60</f>
        <v>40490403.448785</v>
      </c>
      <c r="BP60" s="12">
        <v>0</v>
      </c>
      <c r="BQ60" s="12">
        <v>0</v>
      </c>
      <c r="BR60" s="12">
        <v>0</v>
      </c>
      <c r="BS60" s="12">
        <v>0</v>
      </c>
      <c r="BT60" s="12">
        <v>0</v>
      </c>
      <c r="BU60" s="12">
        <v>0</v>
      </c>
      <c r="BY60" s="2"/>
      <c r="BZ60" s="12">
        <v>0</v>
      </c>
      <c r="CA60" s="12">
        <v>0</v>
      </c>
      <c r="CB60" s="12">
        <v>0</v>
      </c>
      <c r="CC60" s="12">
        <v>0</v>
      </c>
      <c r="CD60" s="12">
        <v>0</v>
      </c>
      <c r="CE60" s="12">
        <v>0</v>
      </c>
      <c r="CF60" s="12">
        <v>0</v>
      </c>
      <c r="CG60" s="12">
        <v>0</v>
      </c>
      <c r="CH60" s="12">
        <v>0</v>
      </c>
      <c r="CI60" s="12">
        <v>0</v>
      </c>
      <c r="CJ60" s="12">
        <f ca="1">+$J$60</f>
        <v>6355546.2212386038</v>
      </c>
      <c r="CK60" s="12">
        <v>0</v>
      </c>
      <c r="CL60" s="12">
        <v>0</v>
      </c>
      <c r="CM60" s="12">
        <v>0</v>
      </c>
      <c r="CN60" s="12">
        <v>0</v>
      </c>
      <c r="CO60" s="12">
        <v>0</v>
      </c>
      <c r="CP60" s="12">
        <v>0</v>
      </c>
    </row>
    <row r="61" spans="1:94">
      <c r="A61" s="584">
        <f t="shared" si="132"/>
        <v>11</v>
      </c>
      <c r="B61" s="1" t="str">
        <f>+Assumptions!J32</f>
        <v xml:space="preserve">Retail </v>
      </c>
      <c r="D61" s="780">
        <v>180</v>
      </c>
      <c r="F61" s="27">
        <f t="shared" ca="1" si="129"/>
        <v>16.480453337457188</v>
      </c>
      <c r="G61" s="26">
        <f t="shared" ca="1" si="130"/>
        <v>41173462.662489377</v>
      </c>
      <c r="H61" s="22">
        <f t="shared" ref="H61:H67" ca="1" si="133">+$D61*H22</f>
        <v>20268540</v>
      </c>
      <c r="I61" s="22">
        <f ca="1">+$D61*I22*(1+Assumptions!$F$39)^Assumptions!$G$36</f>
        <v>12715277.33556</v>
      </c>
      <c r="J61" s="22">
        <f ca="1">+$D61*J22*(1+Assumptions!$F$39)^Assumptions!$H$36</f>
        <v>8189645.3269293765</v>
      </c>
      <c r="L61" s="2"/>
      <c r="M61" s="12">
        <v>0</v>
      </c>
      <c r="N61" s="12">
        <v>0</v>
      </c>
      <c r="O61" s="12">
        <v>0</v>
      </c>
      <c r="P61" s="12">
        <v>0</v>
      </c>
      <c r="Q61" s="12">
        <v>0</v>
      </c>
      <c r="R61" s="12">
        <v>0</v>
      </c>
      <c r="S61" s="12">
        <v>0</v>
      </c>
      <c r="T61" s="12">
        <v>0</v>
      </c>
      <c r="U61" s="12">
        <v>0</v>
      </c>
      <c r="V61" s="12">
        <v>0</v>
      </c>
      <c r="W61" s="12">
        <v>0</v>
      </c>
      <c r="X61" s="12">
        <f ca="1">+$G$61</f>
        <v>41173462.662489377</v>
      </c>
      <c r="Y61" s="12">
        <v>0</v>
      </c>
      <c r="Z61" s="12">
        <v>0</v>
      </c>
      <c r="AA61" s="12">
        <v>0</v>
      </c>
      <c r="AB61" s="12">
        <v>0</v>
      </c>
      <c r="AC61" s="12">
        <v>0</v>
      </c>
      <c r="AI61" s="2"/>
      <c r="AJ61" s="12">
        <v>0</v>
      </c>
      <c r="AK61" s="12">
        <v>0</v>
      </c>
      <c r="AL61" s="12">
        <v>0</v>
      </c>
      <c r="AM61" s="12">
        <v>0</v>
      </c>
      <c r="AN61" s="12">
        <v>0</v>
      </c>
      <c r="AO61" s="12">
        <v>0</v>
      </c>
      <c r="AP61" s="12">
        <v>0</v>
      </c>
      <c r="AQ61" s="12">
        <v>0</v>
      </c>
      <c r="AR61" s="12">
        <v>0</v>
      </c>
      <c r="AS61" s="12">
        <v>0</v>
      </c>
      <c r="AT61" s="12">
        <v>0</v>
      </c>
      <c r="AU61" s="12">
        <f ca="1">+$H$61</f>
        <v>20268540</v>
      </c>
      <c r="AV61" s="12">
        <v>0</v>
      </c>
      <c r="AW61" s="12">
        <v>0</v>
      </c>
      <c r="AX61" s="12">
        <v>0</v>
      </c>
      <c r="AY61" s="12">
        <v>0</v>
      </c>
      <c r="AZ61" s="12">
        <v>0</v>
      </c>
      <c r="BD61" s="2"/>
      <c r="BE61" s="12">
        <v>0</v>
      </c>
      <c r="BF61" s="12">
        <v>0</v>
      </c>
      <c r="BG61" s="12">
        <v>0</v>
      </c>
      <c r="BH61" s="12">
        <v>0</v>
      </c>
      <c r="BI61" s="12">
        <v>0</v>
      </c>
      <c r="BJ61" s="12">
        <v>0</v>
      </c>
      <c r="BK61" s="12">
        <v>0</v>
      </c>
      <c r="BL61" s="12">
        <v>0</v>
      </c>
      <c r="BM61" s="12">
        <v>0</v>
      </c>
      <c r="BN61" s="12">
        <v>0</v>
      </c>
      <c r="BO61" s="12">
        <v>0</v>
      </c>
      <c r="BP61" s="12">
        <f ca="1">+$I$61</f>
        <v>12715277.33556</v>
      </c>
      <c r="BQ61" s="12">
        <v>0</v>
      </c>
      <c r="BR61" s="12">
        <v>0</v>
      </c>
      <c r="BS61" s="12">
        <v>0</v>
      </c>
      <c r="BT61" s="12">
        <v>0</v>
      </c>
      <c r="BU61" s="12">
        <v>0</v>
      </c>
      <c r="BY61" s="2"/>
      <c r="BZ61" s="12">
        <v>0</v>
      </c>
      <c r="CA61" s="12">
        <v>0</v>
      </c>
      <c r="CB61" s="12">
        <v>0</v>
      </c>
      <c r="CC61" s="12">
        <v>0</v>
      </c>
      <c r="CD61" s="12">
        <v>0</v>
      </c>
      <c r="CE61" s="12">
        <v>0</v>
      </c>
      <c r="CF61" s="12">
        <v>0</v>
      </c>
      <c r="CG61" s="12">
        <v>0</v>
      </c>
      <c r="CH61" s="12">
        <v>0</v>
      </c>
      <c r="CI61" s="12">
        <v>0</v>
      </c>
      <c r="CJ61" s="12">
        <v>0</v>
      </c>
      <c r="CK61" s="12">
        <f ca="1">+$J$61</f>
        <v>8189645.3269293765</v>
      </c>
      <c r="CL61" s="12">
        <v>0</v>
      </c>
      <c r="CM61" s="12">
        <v>0</v>
      </c>
      <c r="CN61" s="12">
        <v>0</v>
      </c>
      <c r="CO61" s="12">
        <v>0</v>
      </c>
      <c r="CP61" s="12">
        <v>0</v>
      </c>
    </row>
    <row r="62" spans="1:94">
      <c r="A62" s="584">
        <f t="shared" si="132"/>
        <v>12</v>
      </c>
      <c r="B62" s="1" t="str">
        <f>+Assumptions!J33</f>
        <v xml:space="preserve">Hotel </v>
      </c>
      <c r="D62" s="780">
        <v>310</v>
      </c>
      <c r="F62" s="27">
        <f t="shared" ca="1" si="129"/>
        <v>36.07989004529967</v>
      </c>
      <c r="G62" s="26">
        <f t="shared" ca="1" si="130"/>
        <v>90139146.977863118</v>
      </c>
      <c r="H62" s="22">
        <f t="shared" ca="1" si="133"/>
        <v>0</v>
      </c>
      <c r="I62" s="22">
        <f ca="1">+$D62*I23*(1+Assumptions!$F$39)^Assumptions!$G$36</f>
        <v>0</v>
      </c>
      <c r="J62" s="22">
        <f ca="1">+$D62*J23*(1+Assumptions!$F$39)^Assumptions!$H$36</f>
        <v>90139146.977863118</v>
      </c>
      <c r="L62" s="2"/>
      <c r="M62" s="12">
        <v>0</v>
      </c>
      <c r="N62" s="12">
        <v>0</v>
      </c>
      <c r="O62" s="12">
        <v>0</v>
      </c>
      <c r="P62" s="12">
        <v>0</v>
      </c>
      <c r="Q62" s="12">
        <v>0</v>
      </c>
      <c r="R62" s="12">
        <v>0</v>
      </c>
      <c r="S62" s="12">
        <v>0</v>
      </c>
      <c r="T62" s="12">
        <v>0</v>
      </c>
      <c r="U62" s="12">
        <v>0</v>
      </c>
      <c r="V62" s="12">
        <v>0</v>
      </c>
      <c r="W62" s="12">
        <v>0</v>
      </c>
      <c r="X62" s="12">
        <v>0</v>
      </c>
      <c r="Y62" s="12">
        <f ca="1">+$G$62</f>
        <v>90139146.977863118</v>
      </c>
      <c r="Z62" s="12">
        <v>0</v>
      </c>
      <c r="AA62" s="12">
        <v>0</v>
      </c>
      <c r="AB62" s="12">
        <v>0</v>
      </c>
      <c r="AC62" s="12">
        <v>0</v>
      </c>
      <c r="AI62" s="2"/>
      <c r="AJ62" s="12">
        <v>0</v>
      </c>
      <c r="AK62" s="12">
        <v>0</v>
      </c>
      <c r="AL62" s="12">
        <v>0</v>
      </c>
      <c r="AM62" s="12">
        <v>0</v>
      </c>
      <c r="AN62" s="12">
        <v>0</v>
      </c>
      <c r="AO62" s="12">
        <v>0</v>
      </c>
      <c r="AP62" s="12">
        <v>0</v>
      </c>
      <c r="AQ62" s="12">
        <v>0</v>
      </c>
      <c r="AR62" s="12">
        <v>0</v>
      </c>
      <c r="AS62" s="12">
        <v>0</v>
      </c>
      <c r="AT62" s="12">
        <v>0</v>
      </c>
      <c r="AU62" s="12">
        <v>0</v>
      </c>
      <c r="AV62" s="12">
        <f ca="1">+$H$62</f>
        <v>0</v>
      </c>
      <c r="AW62" s="12">
        <v>0</v>
      </c>
      <c r="AX62" s="12">
        <v>0</v>
      </c>
      <c r="AY62" s="12">
        <v>0</v>
      </c>
      <c r="AZ62" s="12">
        <v>0</v>
      </c>
      <c r="BD62" s="2"/>
      <c r="BE62" s="12">
        <v>0</v>
      </c>
      <c r="BF62" s="12">
        <v>0</v>
      </c>
      <c r="BG62" s="12">
        <v>0</v>
      </c>
      <c r="BH62" s="12">
        <v>0</v>
      </c>
      <c r="BI62" s="12">
        <v>0</v>
      </c>
      <c r="BJ62" s="12">
        <v>0</v>
      </c>
      <c r="BK62" s="12">
        <v>0</v>
      </c>
      <c r="BL62" s="12">
        <v>0</v>
      </c>
      <c r="BM62" s="12">
        <v>0</v>
      </c>
      <c r="BN62" s="12">
        <v>0</v>
      </c>
      <c r="BO62" s="12">
        <v>0</v>
      </c>
      <c r="BP62" s="12">
        <v>0</v>
      </c>
      <c r="BQ62" s="12">
        <f ca="1">+$I$62</f>
        <v>0</v>
      </c>
      <c r="BR62" s="12">
        <v>0</v>
      </c>
      <c r="BS62" s="12">
        <v>0</v>
      </c>
      <c r="BT62" s="12">
        <v>0</v>
      </c>
      <c r="BU62" s="12">
        <v>0</v>
      </c>
      <c r="BY62" s="2"/>
      <c r="BZ62" s="12">
        <v>0</v>
      </c>
      <c r="CA62" s="12">
        <v>0</v>
      </c>
      <c r="CB62" s="12">
        <v>0</v>
      </c>
      <c r="CC62" s="12">
        <v>0</v>
      </c>
      <c r="CD62" s="12">
        <v>0</v>
      </c>
      <c r="CE62" s="12">
        <v>0</v>
      </c>
      <c r="CF62" s="12">
        <v>0</v>
      </c>
      <c r="CG62" s="12">
        <v>0</v>
      </c>
      <c r="CH62" s="12">
        <v>0</v>
      </c>
      <c r="CI62" s="12">
        <v>0</v>
      </c>
      <c r="CJ62" s="12">
        <v>0</v>
      </c>
      <c r="CK62" s="12">
        <v>0</v>
      </c>
      <c r="CL62" s="12">
        <f ca="1">+$J$62</f>
        <v>90139146.977863118</v>
      </c>
      <c r="CM62" s="12">
        <v>0</v>
      </c>
      <c r="CN62" s="12">
        <v>0</v>
      </c>
      <c r="CO62" s="12">
        <v>0</v>
      </c>
      <c r="CP62" s="12">
        <v>0</v>
      </c>
    </row>
    <row r="63" spans="1:94" hidden="1" outlineLevel="1">
      <c r="A63" s="584">
        <f t="shared" si="132"/>
        <v>13</v>
      </c>
      <c r="B63" s="1" t="str">
        <f>+Assumptions!AM48</f>
        <v xml:space="preserve">Specialty - Data Center </v>
      </c>
      <c r="D63" s="583">
        <v>1750</v>
      </c>
      <c r="E63" s="584"/>
      <c r="F63" s="723">
        <f t="shared" ca="1" si="129"/>
        <v>0</v>
      </c>
      <c r="G63" s="724">
        <f t="shared" ca="1" si="130"/>
        <v>0</v>
      </c>
      <c r="H63" s="725">
        <f t="shared" ca="1" si="133"/>
        <v>0</v>
      </c>
      <c r="I63" s="725">
        <f ca="1">+$D63*I24*(1+Assumptions!$F$39)^Assumptions!$G$36</f>
        <v>0</v>
      </c>
      <c r="J63" s="725">
        <f ca="1">+$D63*J24*(1+Assumptions!$F$39)^Assumptions!$H$36</f>
        <v>0</v>
      </c>
      <c r="L63" s="2"/>
      <c r="M63" s="12">
        <v>0</v>
      </c>
      <c r="N63" s="12">
        <v>0</v>
      </c>
      <c r="O63" s="12">
        <v>0</v>
      </c>
      <c r="P63" s="12">
        <v>0</v>
      </c>
      <c r="Q63" s="12">
        <v>0</v>
      </c>
      <c r="R63" s="12">
        <v>0</v>
      </c>
      <c r="S63" s="12">
        <v>0</v>
      </c>
      <c r="T63" s="12">
        <v>0</v>
      </c>
      <c r="U63" s="12">
        <v>0</v>
      </c>
      <c r="V63" s="12">
        <v>0</v>
      </c>
      <c r="W63" s="12">
        <v>0</v>
      </c>
      <c r="X63" s="12">
        <v>0</v>
      </c>
      <c r="Y63" s="12">
        <v>0</v>
      </c>
      <c r="Z63" s="12">
        <f ca="1">+$G$63</f>
        <v>0</v>
      </c>
      <c r="AA63" s="12">
        <v>0</v>
      </c>
      <c r="AB63" s="12">
        <v>0</v>
      </c>
      <c r="AC63" s="12">
        <v>0</v>
      </c>
      <c r="AI63" s="2"/>
      <c r="AJ63" s="12">
        <v>0</v>
      </c>
      <c r="AK63" s="12">
        <v>0</v>
      </c>
      <c r="AL63" s="12">
        <v>0</v>
      </c>
      <c r="AM63" s="12">
        <v>0</v>
      </c>
      <c r="AN63" s="12">
        <v>0</v>
      </c>
      <c r="AO63" s="12">
        <v>0</v>
      </c>
      <c r="AP63" s="12">
        <v>0</v>
      </c>
      <c r="AQ63" s="12">
        <v>0</v>
      </c>
      <c r="AR63" s="12">
        <v>0</v>
      </c>
      <c r="AS63" s="12">
        <v>0</v>
      </c>
      <c r="AT63" s="12">
        <v>0</v>
      </c>
      <c r="AU63" s="12">
        <v>0</v>
      </c>
      <c r="AV63" s="12">
        <v>0</v>
      </c>
      <c r="AW63" s="12">
        <f ca="1">+$H$63</f>
        <v>0</v>
      </c>
      <c r="AX63" s="12">
        <v>0</v>
      </c>
      <c r="AY63" s="12">
        <v>0</v>
      </c>
      <c r="AZ63" s="12">
        <v>0</v>
      </c>
      <c r="BD63" s="2"/>
      <c r="BE63" s="12">
        <v>0</v>
      </c>
      <c r="BF63" s="12">
        <v>0</v>
      </c>
      <c r="BG63" s="12">
        <v>0</v>
      </c>
      <c r="BH63" s="12">
        <v>0</v>
      </c>
      <c r="BI63" s="12">
        <v>0</v>
      </c>
      <c r="BJ63" s="12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0</v>
      </c>
      <c r="BP63" s="12">
        <v>0</v>
      </c>
      <c r="BQ63" s="12">
        <v>0</v>
      </c>
      <c r="BR63" s="12">
        <f ca="1">+$I$63</f>
        <v>0</v>
      </c>
      <c r="BS63" s="12">
        <v>0</v>
      </c>
      <c r="BT63" s="12">
        <v>0</v>
      </c>
      <c r="BU63" s="12">
        <v>0</v>
      </c>
      <c r="BY63" s="2"/>
      <c r="BZ63" s="12">
        <v>0</v>
      </c>
      <c r="CA63" s="12">
        <v>0</v>
      </c>
      <c r="CB63" s="12">
        <v>0</v>
      </c>
      <c r="CC63" s="12">
        <v>0</v>
      </c>
      <c r="CD63" s="12">
        <v>0</v>
      </c>
      <c r="CE63" s="12">
        <v>0</v>
      </c>
      <c r="CF63" s="12">
        <v>0</v>
      </c>
      <c r="CG63" s="12">
        <v>0</v>
      </c>
      <c r="CH63" s="12">
        <v>0</v>
      </c>
      <c r="CI63" s="12">
        <v>0</v>
      </c>
      <c r="CJ63" s="12">
        <v>0</v>
      </c>
      <c r="CK63" s="12">
        <v>0</v>
      </c>
      <c r="CL63" s="12">
        <v>0</v>
      </c>
      <c r="CM63" s="12">
        <f ca="1">+$J$63</f>
        <v>0</v>
      </c>
      <c r="CN63" s="12">
        <v>0</v>
      </c>
      <c r="CO63" s="12">
        <v>0</v>
      </c>
      <c r="CP63" s="12">
        <v>0</v>
      </c>
    </row>
    <row r="64" spans="1:94" hidden="1" outlineLevel="1">
      <c r="A64" s="584">
        <f t="shared" si="132"/>
        <v>14</v>
      </c>
      <c r="B64" s="1" t="str">
        <f>+Assumptions!AM49</f>
        <v xml:space="preserve">Community Facility </v>
      </c>
      <c r="D64" s="583">
        <v>165</v>
      </c>
      <c r="E64" s="584"/>
      <c r="F64" s="723">
        <f t="shared" ca="1" si="129"/>
        <v>0</v>
      </c>
      <c r="G64" s="724">
        <f t="shared" ca="1" si="130"/>
        <v>0</v>
      </c>
      <c r="H64" s="725">
        <f t="shared" ca="1" si="133"/>
        <v>0</v>
      </c>
      <c r="I64" s="725">
        <f ca="1">+$D64*I25*(1+Assumptions!$F$39)^Assumptions!$G$36</f>
        <v>0</v>
      </c>
      <c r="J64" s="725">
        <f ca="1">+$D64*J25*(1+Assumptions!$F$39)^Assumptions!$H$36</f>
        <v>0</v>
      </c>
      <c r="K64" s="584"/>
      <c r="L64" s="2"/>
      <c r="M64" s="12">
        <v>0</v>
      </c>
      <c r="N64" s="12">
        <v>0</v>
      </c>
      <c r="O64" s="12">
        <v>0</v>
      </c>
      <c r="P64" s="12">
        <v>0</v>
      </c>
      <c r="Q64" s="12">
        <v>0</v>
      </c>
      <c r="R64" s="12">
        <v>0</v>
      </c>
      <c r="S64" s="12">
        <v>0</v>
      </c>
      <c r="T64" s="12">
        <v>0</v>
      </c>
      <c r="U64" s="12">
        <v>0</v>
      </c>
      <c r="V64" s="12">
        <v>0</v>
      </c>
      <c r="W64" s="12">
        <v>0</v>
      </c>
      <c r="X64" s="12">
        <v>0</v>
      </c>
      <c r="Y64" s="12">
        <v>0</v>
      </c>
      <c r="Z64" s="12">
        <v>0</v>
      </c>
      <c r="AA64" s="12">
        <f ca="1">+$G$64</f>
        <v>0</v>
      </c>
      <c r="AB64" s="12">
        <v>0</v>
      </c>
      <c r="AC64" s="12">
        <v>0</v>
      </c>
      <c r="AI64" s="2"/>
      <c r="AJ64" s="12">
        <v>0</v>
      </c>
      <c r="AK64" s="12">
        <v>0</v>
      </c>
      <c r="AL64" s="12">
        <v>0</v>
      </c>
      <c r="AM64" s="12">
        <v>0</v>
      </c>
      <c r="AN64" s="12">
        <v>0</v>
      </c>
      <c r="AO64" s="12">
        <v>0</v>
      </c>
      <c r="AP64" s="12">
        <v>0</v>
      </c>
      <c r="AQ64" s="12">
        <v>0</v>
      </c>
      <c r="AR64" s="12">
        <v>0</v>
      </c>
      <c r="AS64" s="12">
        <v>0</v>
      </c>
      <c r="AT64" s="12">
        <v>0</v>
      </c>
      <c r="AU64" s="12">
        <v>0</v>
      </c>
      <c r="AV64" s="12">
        <v>0</v>
      </c>
      <c r="AW64" s="12">
        <v>0</v>
      </c>
      <c r="AX64" s="12">
        <f ca="1">+$H$64</f>
        <v>0</v>
      </c>
      <c r="AY64" s="12">
        <v>0</v>
      </c>
      <c r="AZ64" s="12">
        <v>0</v>
      </c>
      <c r="BD64" s="2"/>
      <c r="BE64" s="12">
        <v>0</v>
      </c>
      <c r="BF64" s="12">
        <v>0</v>
      </c>
      <c r="BG64" s="12">
        <v>0</v>
      </c>
      <c r="BH64" s="12">
        <v>0</v>
      </c>
      <c r="BI64" s="12">
        <v>0</v>
      </c>
      <c r="BJ64" s="12">
        <v>0</v>
      </c>
      <c r="BK64" s="12">
        <v>0</v>
      </c>
      <c r="BL64" s="12">
        <v>0</v>
      </c>
      <c r="BM64" s="12">
        <v>0</v>
      </c>
      <c r="BN64" s="12">
        <v>0</v>
      </c>
      <c r="BO64" s="12">
        <v>0</v>
      </c>
      <c r="BP64" s="12">
        <v>0</v>
      </c>
      <c r="BQ64" s="12">
        <v>0</v>
      </c>
      <c r="BR64" s="12">
        <v>0</v>
      </c>
      <c r="BS64" s="12">
        <f ca="1">+$I$64</f>
        <v>0</v>
      </c>
      <c r="BT64" s="12">
        <v>0</v>
      </c>
      <c r="BU64" s="12">
        <v>0</v>
      </c>
      <c r="BY64" s="2"/>
      <c r="BZ64" s="12">
        <v>0</v>
      </c>
      <c r="CA64" s="12">
        <v>0</v>
      </c>
      <c r="CB64" s="12">
        <v>0</v>
      </c>
      <c r="CC64" s="12">
        <v>0</v>
      </c>
      <c r="CD64" s="12">
        <v>0</v>
      </c>
      <c r="CE64" s="12">
        <v>0</v>
      </c>
      <c r="CF64" s="12">
        <v>0</v>
      </c>
      <c r="CG64" s="12">
        <v>0</v>
      </c>
      <c r="CH64" s="12">
        <v>0</v>
      </c>
      <c r="CI64" s="12">
        <v>0</v>
      </c>
      <c r="CJ64" s="12">
        <v>0</v>
      </c>
      <c r="CK64" s="12">
        <v>0</v>
      </c>
      <c r="CL64" s="12">
        <v>0</v>
      </c>
      <c r="CM64" s="12">
        <v>0</v>
      </c>
      <c r="CN64" s="12">
        <f ca="1">+$J$64</f>
        <v>0</v>
      </c>
      <c r="CO64" s="12">
        <v>0</v>
      </c>
      <c r="CP64" s="12">
        <v>0</v>
      </c>
    </row>
    <row r="65" spans="1:94" outlineLevel="1">
      <c r="A65" s="584">
        <f t="shared" si="132"/>
        <v>15</v>
      </c>
      <c r="B65" s="1" t="str">
        <f>+Assumptions!J34</f>
        <v xml:space="preserve">Structural Parking </v>
      </c>
      <c r="D65" s="780">
        <v>119</v>
      </c>
      <c r="F65" s="27">
        <f t="shared" ca="1" si="129"/>
        <v>20.686736271511027</v>
      </c>
      <c r="G65" s="26">
        <f t="shared" ref="G65:G66" ca="1" si="134">+SUM(H65:J65)</f>
        <v>51682107.648577698</v>
      </c>
      <c r="H65" s="22">
        <f t="shared" ca="1" si="133"/>
        <v>18037901</v>
      </c>
      <c r="I65" s="22">
        <f ca="1">+$D65*I26*(1+Assumptions!$F$39)^Assumptions!$G$36</f>
        <v>22469963.8464</v>
      </c>
      <c r="J65" s="22">
        <f ca="1">+$D65*J26*(1+Assumptions!$F$39)^Assumptions!$H$36</f>
        <v>11174242.802177699</v>
      </c>
      <c r="L65" s="2"/>
      <c r="M65" s="12">
        <v>0</v>
      </c>
      <c r="N65" s="12">
        <v>0</v>
      </c>
      <c r="O65" s="12">
        <v>0</v>
      </c>
      <c r="P65" s="12">
        <v>0</v>
      </c>
      <c r="Q65" s="12">
        <v>0</v>
      </c>
      <c r="R65" s="12">
        <v>0</v>
      </c>
      <c r="S65" s="12">
        <v>0</v>
      </c>
      <c r="T65" s="12">
        <v>0</v>
      </c>
      <c r="U65" s="12">
        <v>0</v>
      </c>
      <c r="V65" s="12">
        <v>0</v>
      </c>
      <c r="W65" s="12">
        <v>0</v>
      </c>
      <c r="X65" s="12">
        <v>0</v>
      </c>
      <c r="Y65" s="12">
        <v>0</v>
      </c>
      <c r="Z65" s="12">
        <v>0</v>
      </c>
      <c r="AA65" s="12">
        <v>0</v>
      </c>
      <c r="AB65" s="12">
        <f ca="1">+$G$65</f>
        <v>51682107.648577698</v>
      </c>
      <c r="AC65" s="12">
        <v>0</v>
      </c>
      <c r="AI65" s="2"/>
      <c r="AJ65" s="12">
        <v>0</v>
      </c>
      <c r="AK65" s="12">
        <v>0</v>
      </c>
      <c r="AL65" s="12">
        <v>0</v>
      </c>
      <c r="AM65" s="12">
        <v>0</v>
      </c>
      <c r="AN65" s="12">
        <v>0</v>
      </c>
      <c r="AO65" s="12">
        <v>0</v>
      </c>
      <c r="AP65" s="12">
        <v>0</v>
      </c>
      <c r="AQ65" s="12">
        <v>0</v>
      </c>
      <c r="AR65" s="12">
        <v>0</v>
      </c>
      <c r="AS65" s="12">
        <v>0</v>
      </c>
      <c r="AT65" s="12">
        <v>0</v>
      </c>
      <c r="AU65" s="12">
        <v>0</v>
      </c>
      <c r="AV65" s="12">
        <v>0</v>
      </c>
      <c r="AW65" s="12">
        <v>0</v>
      </c>
      <c r="AX65" s="12">
        <v>0</v>
      </c>
      <c r="AY65" s="12">
        <f ca="1">+$H$65</f>
        <v>18037901</v>
      </c>
      <c r="AZ65" s="12">
        <v>0</v>
      </c>
      <c r="BD65" s="2"/>
      <c r="BE65" s="12">
        <v>0</v>
      </c>
      <c r="BF65" s="12">
        <v>0</v>
      </c>
      <c r="BG65" s="12">
        <v>0</v>
      </c>
      <c r="BH65" s="12">
        <v>0</v>
      </c>
      <c r="BI65" s="12">
        <v>0</v>
      </c>
      <c r="BJ65" s="12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12">
        <v>0</v>
      </c>
      <c r="BQ65" s="12">
        <v>0</v>
      </c>
      <c r="BR65" s="12">
        <v>0</v>
      </c>
      <c r="BS65" s="12">
        <v>0</v>
      </c>
      <c r="BT65" s="12">
        <f ca="1">+$I$65</f>
        <v>22469963.8464</v>
      </c>
      <c r="BU65" s="12">
        <v>0</v>
      </c>
      <c r="BY65" s="2"/>
      <c r="BZ65" s="12">
        <v>0</v>
      </c>
      <c r="CA65" s="12">
        <v>0</v>
      </c>
      <c r="CB65" s="12">
        <v>0</v>
      </c>
      <c r="CC65" s="12">
        <v>0</v>
      </c>
      <c r="CD65" s="12">
        <v>0</v>
      </c>
      <c r="CE65" s="12">
        <v>0</v>
      </c>
      <c r="CF65" s="12">
        <v>0</v>
      </c>
      <c r="CG65" s="12">
        <v>0</v>
      </c>
      <c r="CH65" s="12">
        <v>0</v>
      </c>
      <c r="CI65" s="12">
        <v>0</v>
      </c>
      <c r="CJ65" s="12">
        <v>0</v>
      </c>
      <c r="CK65" s="12">
        <v>0</v>
      </c>
      <c r="CL65" s="12">
        <v>0</v>
      </c>
      <c r="CM65" s="12">
        <v>0</v>
      </c>
      <c r="CN65" s="12">
        <v>0</v>
      </c>
      <c r="CO65" s="12">
        <f ca="1">+$J$65</f>
        <v>11174242.802177699</v>
      </c>
      <c r="CP65" s="12">
        <v>0</v>
      </c>
    </row>
    <row r="66" spans="1:94" hidden="1" outlineLevel="1">
      <c r="A66" s="584">
        <f t="shared" si="132"/>
        <v>16</v>
      </c>
      <c r="B66" s="1" t="str">
        <f>+Assumptions!AL50</f>
        <v xml:space="preserve">Surface Parking </v>
      </c>
      <c r="D66" s="583">
        <v>10</v>
      </c>
      <c r="E66" s="584"/>
      <c r="F66" s="723">
        <f t="shared" ca="1" si="129"/>
        <v>0</v>
      </c>
      <c r="G66" s="724">
        <f t="shared" ca="1" si="134"/>
        <v>0</v>
      </c>
      <c r="H66" s="725">
        <f t="shared" ca="1" si="133"/>
        <v>0</v>
      </c>
      <c r="I66" s="725">
        <f ca="1">+$D66*I27*(1+Assumptions!$F$39)^Assumptions!$G$36</f>
        <v>0</v>
      </c>
      <c r="J66" s="725">
        <f ca="1">+$D66*J27*(1+Assumptions!$F$39)^Assumptions!$H$36</f>
        <v>0</v>
      </c>
      <c r="L66" s="2"/>
      <c r="M66" s="12">
        <v>0</v>
      </c>
      <c r="N66" s="12">
        <v>0</v>
      </c>
      <c r="O66" s="12">
        <v>0</v>
      </c>
      <c r="P66" s="12">
        <v>0</v>
      </c>
      <c r="Q66" s="12">
        <v>0</v>
      </c>
      <c r="R66" s="12">
        <v>0</v>
      </c>
      <c r="S66" s="12">
        <v>0</v>
      </c>
      <c r="T66" s="12">
        <v>0</v>
      </c>
      <c r="U66" s="12">
        <v>0</v>
      </c>
      <c r="V66" s="12">
        <v>0</v>
      </c>
      <c r="W66" s="12">
        <v>0</v>
      </c>
      <c r="X66" s="12">
        <v>0</v>
      </c>
      <c r="Y66" s="12">
        <v>0</v>
      </c>
      <c r="Z66" s="12">
        <v>0</v>
      </c>
      <c r="AA66" s="12">
        <v>0</v>
      </c>
      <c r="AB66" s="12">
        <v>0</v>
      </c>
      <c r="AC66" s="12">
        <f ca="1">+$G$66</f>
        <v>0</v>
      </c>
      <c r="AI66" s="2"/>
      <c r="AJ66" s="12">
        <v>0</v>
      </c>
      <c r="AK66" s="12">
        <v>0</v>
      </c>
      <c r="AL66" s="12">
        <v>0</v>
      </c>
      <c r="AM66" s="12">
        <v>0</v>
      </c>
      <c r="AN66" s="12">
        <v>0</v>
      </c>
      <c r="AO66" s="12">
        <v>0</v>
      </c>
      <c r="AP66" s="12">
        <v>0</v>
      </c>
      <c r="AQ66" s="12">
        <v>0</v>
      </c>
      <c r="AR66" s="12">
        <v>0</v>
      </c>
      <c r="AS66" s="12">
        <v>0</v>
      </c>
      <c r="AT66" s="12">
        <v>0</v>
      </c>
      <c r="AU66" s="12">
        <v>0</v>
      </c>
      <c r="AV66" s="12">
        <v>0</v>
      </c>
      <c r="AW66" s="12">
        <v>0</v>
      </c>
      <c r="AX66" s="12">
        <v>0</v>
      </c>
      <c r="AY66" s="12">
        <v>0</v>
      </c>
      <c r="AZ66" s="12">
        <f ca="1">+$H$66</f>
        <v>0</v>
      </c>
      <c r="BD66" s="2"/>
      <c r="BE66" s="12">
        <v>0</v>
      </c>
      <c r="BF66" s="12">
        <v>0</v>
      </c>
      <c r="BG66" s="12">
        <v>0</v>
      </c>
      <c r="BH66" s="12">
        <v>0</v>
      </c>
      <c r="BI66" s="12">
        <v>0</v>
      </c>
      <c r="BJ66" s="12">
        <v>0</v>
      </c>
      <c r="BK66" s="12">
        <v>0</v>
      </c>
      <c r="BL66" s="12">
        <v>0</v>
      </c>
      <c r="BM66" s="12">
        <v>0</v>
      </c>
      <c r="BN66" s="12">
        <v>0</v>
      </c>
      <c r="BO66" s="12">
        <v>0</v>
      </c>
      <c r="BP66" s="12">
        <v>0</v>
      </c>
      <c r="BQ66" s="12">
        <v>0</v>
      </c>
      <c r="BR66" s="12">
        <v>0</v>
      </c>
      <c r="BS66" s="12">
        <v>0</v>
      </c>
      <c r="BT66" s="12">
        <v>0</v>
      </c>
      <c r="BU66" s="12">
        <f ca="1">+$I$66</f>
        <v>0</v>
      </c>
      <c r="BY66" s="2"/>
      <c r="BZ66" s="12">
        <v>0</v>
      </c>
      <c r="CA66" s="12">
        <v>0</v>
      </c>
      <c r="CB66" s="12">
        <v>0</v>
      </c>
      <c r="CC66" s="12">
        <v>0</v>
      </c>
      <c r="CD66" s="12">
        <v>0</v>
      </c>
      <c r="CE66" s="12">
        <v>0</v>
      </c>
      <c r="CF66" s="12">
        <v>0</v>
      </c>
      <c r="CG66" s="12">
        <v>0</v>
      </c>
      <c r="CH66" s="12">
        <v>0</v>
      </c>
      <c r="CI66" s="12">
        <v>0</v>
      </c>
      <c r="CJ66" s="12">
        <v>0</v>
      </c>
      <c r="CK66" s="12">
        <v>0</v>
      </c>
      <c r="CL66" s="12">
        <v>0</v>
      </c>
      <c r="CM66" s="12">
        <v>0</v>
      </c>
      <c r="CN66" s="12">
        <v>0</v>
      </c>
      <c r="CO66" s="12">
        <v>0</v>
      </c>
      <c r="CP66" s="12">
        <f ca="1">+$J$66</f>
        <v>0</v>
      </c>
    </row>
    <row r="67" spans="1:94" hidden="1" outlineLevel="1">
      <c r="A67" s="584"/>
      <c r="B67" s="1" t="e">
        <f>+Assumptions!#REF!</f>
        <v>#REF!</v>
      </c>
      <c r="D67" s="780">
        <v>0</v>
      </c>
      <c r="F67" s="27">
        <f t="shared" ca="1" si="129"/>
        <v>0</v>
      </c>
      <c r="G67" s="26">
        <f>+SUM(H67:J67)</f>
        <v>0</v>
      </c>
      <c r="H67" s="22">
        <f t="shared" si="133"/>
        <v>0</v>
      </c>
      <c r="I67" s="22">
        <f>+$D67*I28*(1+Assumptions!$F$39)^Assumptions!$G$36</f>
        <v>0</v>
      </c>
      <c r="J67" s="22">
        <f>+$D67*J28*(1+Assumptions!$F$39)^Assumptions!$H$36</f>
        <v>0</v>
      </c>
      <c r="L67" s="2"/>
      <c r="M67" s="12">
        <v>0</v>
      </c>
      <c r="N67" s="12">
        <v>0</v>
      </c>
      <c r="O67" s="12">
        <v>0</v>
      </c>
      <c r="P67" s="12">
        <v>0</v>
      </c>
      <c r="Q67" s="12">
        <v>0</v>
      </c>
      <c r="R67" s="12">
        <v>0</v>
      </c>
      <c r="S67" s="12">
        <v>0</v>
      </c>
      <c r="T67" s="12">
        <v>0</v>
      </c>
      <c r="U67" s="12">
        <v>0</v>
      </c>
      <c r="V67" s="12">
        <v>0</v>
      </c>
      <c r="W67" s="12">
        <v>0</v>
      </c>
      <c r="X67" s="12">
        <v>0</v>
      </c>
      <c r="Y67" s="12">
        <v>0</v>
      </c>
      <c r="Z67" s="12">
        <v>0</v>
      </c>
      <c r="AA67" s="12">
        <v>0</v>
      </c>
      <c r="AB67" s="12">
        <v>0</v>
      </c>
      <c r="AC67" s="12">
        <v>0</v>
      </c>
      <c r="AI67" s="2"/>
      <c r="AJ67" s="12">
        <v>0</v>
      </c>
      <c r="AK67" s="12">
        <v>0</v>
      </c>
      <c r="AL67" s="12">
        <v>0</v>
      </c>
      <c r="AM67" s="12">
        <v>0</v>
      </c>
      <c r="AN67" s="12">
        <v>0</v>
      </c>
      <c r="AO67" s="12">
        <v>0</v>
      </c>
      <c r="AP67" s="12">
        <v>0</v>
      </c>
      <c r="AQ67" s="12">
        <v>0</v>
      </c>
      <c r="AR67" s="12">
        <v>0</v>
      </c>
      <c r="AS67" s="12">
        <v>0</v>
      </c>
      <c r="AT67" s="12">
        <v>0</v>
      </c>
      <c r="AU67" s="12">
        <v>0</v>
      </c>
      <c r="AV67" s="12">
        <v>0</v>
      </c>
      <c r="AW67" s="12">
        <v>0</v>
      </c>
      <c r="AX67" s="12">
        <v>0</v>
      </c>
      <c r="AY67" s="12">
        <v>0</v>
      </c>
      <c r="AZ67" s="12">
        <v>0</v>
      </c>
      <c r="BD67" s="2"/>
      <c r="BE67" s="12">
        <v>0</v>
      </c>
      <c r="BF67" s="12">
        <v>0</v>
      </c>
      <c r="BG67" s="12">
        <v>0</v>
      </c>
      <c r="BH67" s="12">
        <v>0</v>
      </c>
      <c r="BI67" s="12">
        <v>0</v>
      </c>
      <c r="BJ67" s="12">
        <v>0</v>
      </c>
      <c r="BK67" s="12">
        <v>0</v>
      </c>
      <c r="BL67" s="12">
        <v>0</v>
      </c>
      <c r="BM67" s="12">
        <v>0</v>
      </c>
      <c r="BN67" s="12">
        <v>0</v>
      </c>
      <c r="BO67" s="12">
        <v>0</v>
      </c>
      <c r="BP67" s="12">
        <v>0</v>
      </c>
      <c r="BQ67" s="12">
        <v>0</v>
      </c>
      <c r="BR67" s="12">
        <v>0</v>
      </c>
      <c r="BS67" s="12">
        <v>0</v>
      </c>
      <c r="BT67" s="12">
        <v>0</v>
      </c>
      <c r="BU67" s="12">
        <v>0</v>
      </c>
      <c r="BY67" s="2"/>
      <c r="BZ67" s="12">
        <v>0</v>
      </c>
      <c r="CA67" s="12">
        <v>0</v>
      </c>
      <c r="CB67" s="12">
        <v>0</v>
      </c>
      <c r="CC67" s="12">
        <v>0</v>
      </c>
      <c r="CD67" s="12">
        <v>0</v>
      </c>
      <c r="CE67" s="12">
        <v>0</v>
      </c>
      <c r="CF67" s="12">
        <v>0</v>
      </c>
      <c r="CG67" s="12">
        <v>0</v>
      </c>
      <c r="CH67" s="12">
        <v>0</v>
      </c>
      <c r="CI67" s="12">
        <v>0</v>
      </c>
      <c r="CJ67" s="12">
        <v>0</v>
      </c>
      <c r="CK67" s="12">
        <v>0</v>
      </c>
      <c r="CL67" s="12">
        <v>0</v>
      </c>
      <c r="CM67" s="12">
        <v>0</v>
      </c>
      <c r="CN67" s="12">
        <v>0</v>
      </c>
      <c r="CO67" s="12">
        <v>0</v>
      </c>
      <c r="CP67" s="12">
        <v>0</v>
      </c>
    </row>
    <row r="68" spans="1:94">
      <c r="A68" s="584"/>
      <c r="B68" s="1" t="s">
        <v>908</v>
      </c>
      <c r="D68" s="844">
        <v>0.05</v>
      </c>
      <c r="F68" s="27">
        <f t="shared" ca="1" si="129"/>
        <v>15.716177620499922</v>
      </c>
      <c r="G68" s="26">
        <f t="shared" ca="1" si="130"/>
        <v>39264056.589024983</v>
      </c>
      <c r="H68" s="22">
        <f ca="1">+SUM(H50:H67)*$D$68</f>
        <v>14197581.079</v>
      </c>
      <c r="I68" s="22">
        <f ca="1">+SUM(I50:I67)*$D$68</f>
        <v>12732381.264050223</v>
      </c>
      <c r="J68" s="22">
        <f ca="1">+SUM(J50:J67)*$D$68</f>
        <v>12334094.245974761</v>
      </c>
      <c r="L68" s="2"/>
      <c r="M68" s="12">
        <f ca="1">$D$68*SUM(M50:M67)</f>
        <v>8477919.2721204795</v>
      </c>
      <c r="N68" s="12">
        <f t="shared" ref="N68:AC68" ca="1" si="135">$D$68*SUM(N50:N67)</f>
        <v>13096487.233798053</v>
      </c>
      <c r="O68" s="12">
        <f t="shared" ca="1" si="135"/>
        <v>0</v>
      </c>
      <c r="P68" s="12">
        <f t="shared" ca="1" si="135"/>
        <v>0</v>
      </c>
      <c r="Q68" s="12">
        <f t="shared" ca="1" si="135"/>
        <v>0</v>
      </c>
      <c r="R68" s="12">
        <f t="shared" ca="1" si="135"/>
        <v>0</v>
      </c>
      <c r="S68" s="12">
        <f t="shared" ca="1" si="135"/>
        <v>1598696.1951373559</v>
      </c>
      <c r="T68" s="12">
        <f t="shared" ca="1" si="135"/>
        <v>3596892.0400214046</v>
      </c>
      <c r="U68" s="12">
        <f t="shared" ca="1" si="135"/>
        <v>0</v>
      </c>
      <c r="V68" s="12">
        <f t="shared" ca="1" si="135"/>
        <v>0</v>
      </c>
      <c r="W68" s="12">
        <f t="shared" ca="1" si="135"/>
        <v>3344325.9835011805</v>
      </c>
      <c r="X68" s="12">
        <f t="shared" ca="1" si="135"/>
        <v>2058673.1331244688</v>
      </c>
      <c r="Y68" s="12">
        <f t="shared" ca="1" si="135"/>
        <v>4506957.3488931563</v>
      </c>
      <c r="Z68" s="12">
        <f t="shared" ca="1" si="135"/>
        <v>0</v>
      </c>
      <c r="AA68" s="12">
        <f t="shared" ca="1" si="135"/>
        <v>0</v>
      </c>
      <c r="AB68" s="12">
        <f t="shared" ca="1" si="135"/>
        <v>2584105.382428885</v>
      </c>
      <c r="AC68" s="12">
        <f t="shared" ca="1" si="135"/>
        <v>0</v>
      </c>
      <c r="AI68" s="2"/>
      <c r="AJ68" s="12">
        <f ca="1">+$D$68*SUM(AJ50:AJ67)</f>
        <v>3759965.4960000003</v>
      </c>
      <c r="AK68" s="12">
        <f t="shared" ref="AK68:AZ68" ca="1" si="136">+$D$68*SUM(AK50:AK67)</f>
        <v>5808304.9079999998</v>
      </c>
      <c r="AL68" s="12">
        <f t="shared" ca="1" si="136"/>
        <v>0</v>
      </c>
      <c r="AM68" s="12">
        <f t="shared" ca="1" si="136"/>
        <v>0</v>
      </c>
      <c r="AN68" s="12">
        <f t="shared" ca="1" si="136"/>
        <v>0</v>
      </c>
      <c r="AO68" s="12">
        <f t="shared" ca="1" si="136"/>
        <v>0</v>
      </c>
      <c r="AP68" s="12">
        <f t="shared" ca="1" si="136"/>
        <v>517763.5500000001</v>
      </c>
      <c r="AQ68" s="12">
        <f t="shared" ca="1" si="136"/>
        <v>1194196.575</v>
      </c>
      <c r="AR68" s="12">
        <f t="shared" ca="1" si="136"/>
        <v>0</v>
      </c>
      <c r="AS68" s="12">
        <f t="shared" ca="1" si="136"/>
        <v>0</v>
      </c>
      <c r="AT68" s="12">
        <f t="shared" ca="1" si="136"/>
        <v>1002028.5</v>
      </c>
      <c r="AU68" s="12">
        <f t="shared" ca="1" si="136"/>
        <v>1013427</v>
      </c>
      <c r="AV68" s="12">
        <f t="shared" ca="1" si="136"/>
        <v>0</v>
      </c>
      <c r="AW68" s="12">
        <f t="shared" ca="1" si="136"/>
        <v>0</v>
      </c>
      <c r="AX68" s="12">
        <f t="shared" ca="1" si="136"/>
        <v>0</v>
      </c>
      <c r="AY68" s="12">
        <f t="shared" ca="1" si="136"/>
        <v>901895.05</v>
      </c>
      <c r="AZ68" s="12">
        <f t="shared" ca="1" si="136"/>
        <v>0</v>
      </c>
      <c r="BD68" s="2"/>
      <c r="BE68" s="12">
        <f ca="1">+$D$68*SUM(BE50:BE67)</f>
        <v>2982778.0126733407</v>
      </c>
      <c r="BF68" s="12">
        <f t="shared" ref="BF68:BU68" ca="1" si="137">+$D$68*SUM(BF50:BF67)</f>
        <v>4607724.2434580699</v>
      </c>
      <c r="BG68" s="12">
        <f t="shared" ca="1" si="137"/>
        <v>0</v>
      </c>
      <c r="BH68" s="12">
        <f t="shared" ca="1" si="137"/>
        <v>0</v>
      </c>
      <c r="BI68" s="12">
        <f t="shared" ca="1" si="137"/>
        <v>0</v>
      </c>
      <c r="BJ68" s="12">
        <f t="shared" ca="1" si="137"/>
        <v>0</v>
      </c>
      <c r="BK68" s="12">
        <f t="shared" ca="1" si="137"/>
        <v>410741.46407637501</v>
      </c>
      <c r="BL68" s="12">
        <f t="shared" ca="1" si="137"/>
        <v>947355.31230518746</v>
      </c>
      <c r="BM68" s="12">
        <f t="shared" ca="1" si="137"/>
        <v>0</v>
      </c>
      <c r="BN68" s="12">
        <f t="shared" ca="1" si="137"/>
        <v>0</v>
      </c>
      <c r="BO68" s="12">
        <f t="shared" ca="1" si="137"/>
        <v>2024520.1724392502</v>
      </c>
      <c r="BP68" s="12">
        <f t="shared" ca="1" si="137"/>
        <v>635763.86677800003</v>
      </c>
      <c r="BQ68" s="12">
        <f t="shared" ca="1" si="137"/>
        <v>0</v>
      </c>
      <c r="BR68" s="12">
        <f t="shared" ca="1" si="137"/>
        <v>0</v>
      </c>
      <c r="BS68" s="12">
        <f t="shared" ca="1" si="137"/>
        <v>0</v>
      </c>
      <c r="BT68" s="12">
        <f t="shared" ca="1" si="137"/>
        <v>1123498.1923200001</v>
      </c>
      <c r="BU68" s="12">
        <f t="shared" ca="1" si="137"/>
        <v>0</v>
      </c>
      <c r="BY68" s="2"/>
      <c r="BZ68" s="12">
        <f ca="1">+$D$68*SUM(BZ50:BZ67)</f>
        <v>1735175.7634471387</v>
      </c>
      <c r="CA68" s="12">
        <f t="shared" ref="CA68:CP68" ca="1" si="138">+$D$68*SUM(CA50:CA67)</f>
        <v>2680458.0823399825</v>
      </c>
      <c r="CB68" s="12">
        <f t="shared" ca="1" si="138"/>
        <v>0</v>
      </c>
      <c r="CC68" s="12">
        <f t="shared" ca="1" si="138"/>
        <v>0</v>
      </c>
      <c r="CD68" s="12">
        <f t="shared" ca="1" si="138"/>
        <v>0</v>
      </c>
      <c r="CE68" s="12">
        <f t="shared" ca="1" si="138"/>
        <v>0</v>
      </c>
      <c r="CF68" s="12">
        <f t="shared" ca="1" si="138"/>
        <v>670191.18106098101</v>
      </c>
      <c r="CG68" s="12">
        <f t="shared" ca="1" si="138"/>
        <v>1455340.1527162176</v>
      </c>
      <c r="CH68" s="12">
        <f t="shared" ca="1" si="138"/>
        <v>0</v>
      </c>
      <c r="CI68" s="12">
        <f t="shared" ca="1" si="138"/>
        <v>0</v>
      </c>
      <c r="CJ68" s="12">
        <f t="shared" ca="1" si="138"/>
        <v>317777.3110619302</v>
      </c>
      <c r="CK68" s="12">
        <f t="shared" ca="1" si="138"/>
        <v>409482.26634646882</v>
      </c>
      <c r="CL68" s="12">
        <f t="shared" ca="1" si="138"/>
        <v>4506957.3488931563</v>
      </c>
      <c r="CM68" s="12">
        <f t="shared" ca="1" si="138"/>
        <v>0</v>
      </c>
      <c r="CN68" s="12">
        <f t="shared" ca="1" si="138"/>
        <v>0</v>
      </c>
      <c r="CO68" s="12">
        <f t="shared" ca="1" si="138"/>
        <v>558712.14010888501</v>
      </c>
      <c r="CP68" s="12">
        <f t="shared" ca="1" si="138"/>
        <v>0</v>
      </c>
    </row>
    <row r="69" spans="1:94">
      <c r="A69" s="584"/>
      <c r="B69" s="3" t="s">
        <v>909</v>
      </c>
      <c r="C69" s="4"/>
      <c r="D69" s="4"/>
      <c r="E69" s="4"/>
      <c r="F69" s="28">
        <f t="shared" ca="1" si="129"/>
        <v>332.13423715826565</v>
      </c>
      <c r="G69" s="23">
        <f ca="1">+SUM(G49:G68)</f>
        <v>829777939.51147532</v>
      </c>
      <c r="H69" s="9">
        <f ca="1">+SUM(H49:H68)</f>
        <v>302119898.65899998</v>
      </c>
      <c r="I69" s="9">
        <f ca="1">+SUM(I49:I68)</f>
        <v>267804657.74088666</v>
      </c>
      <c r="J69" s="9">
        <f ca="1">+SUM(J49:J68)</f>
        <v>259853383.11158872</v>
      </c>
      <c r="L69" s="16">
        <f ca="1">+SUM(M69:AF69)</f>
        <v>829777939.51147521</v>
      </c>
      <c r="M69" s="32">
        <f t="shared" ref="M69:T69" ca="1" si="139">+SUM(M49:M68)</f>
        <v>179140230.59748346</v>
      </c>
      <c r="N69" s="32">
        <f t="shared" ca="1" si="139"/>
        <v>276682120.73418921</v>
      </c>
      <c r="O69" s="32">
        <f t="shared" ca="1" si="139"/>
        <v>0</v>
      </c>
      <c r="P69" s="32">
        <f t="shared" ca="1" si="139"/>
        <v>0</v>
      </c>
      <c r="Q69" s="32">
        <f t="shared" ca="1" si="139"/>
        <v>0</v>
      </c>
      <c r="R69" s="32">
        <f t="shared" ca="1" si="139"/>
        <v>0</v>
      </c>
      <c r="S69" s="32">
        <f t="shared" ca="1" si="139"/>
        <v>33764776.841677137</v>
      </c>
      <c r="T69" s="32">
        <f t="shared" ca="1" si="139"/>
        <v>75951901.265027493</v>
      </c>
      <c r="U69" s="32">
        <f t="shared" ref="U69:V69" ca="1" si="140">+SUM(U49:U68)</f>
        <v>0</v>
      </c>
      <c r="V69" s="32">
        <f t="shared" ca="1" si="140"/>
        <v>0</v>
      </c>
      <c r="W69" s="32">
        <f ca="1">+SUM(W49:W68)</f>
        <v>70462180.259714052</v>
      </c>
      <c r="X69" s="32">
        <f ca="1">+SUM(X49:X68)</f>
        <v>43770360.707578421</v>
      </c>
      <c r="Y69" s="32">
        <f ca="1">+SUM(Y49:Y68)</f>
        <v>94937497.400077015</v>
      </c>
      <c r="Z69" s="32">
        <f ca="1">+SUM(Z49:Z68)</f>
        <v>0</v>
      </c>
      <c r="AA69" s="32">
        <f ca="1">+SUM(AA49:AA68)</f>
        <v>0</v>
      </c>
      <c r="AB69" s="32">
        <f t="shared" ref="AB69:AC69" ca="1" si="141">+SUM(AB49:AB68)</f>
        <v>55068871.705728553</v>
      </c>
      <c r="AC69" s="32">
        <f t="shared" ca="1" si="141"/>
        <v>0</v>
      </c>
      <c r="AI69" s="16">
        <f ca="1">+SUM(AJ69:BA69)</f>
        <v>302119898.65900004</v>
      </c>
      <c r="AJ69" s="32">
        <f t="shared" ref="AJ69:AX69" ca="1" si="142">+SUM(AJ49:AJ68)</f>
        <v>79873114.766337827</v>
      </c>
      <c r="AK69" s="32">
        <f t="shared" ca="1" si="142"/>
        <v>123345162.09350672</v>
      </c>
      <c r="AL69" s="32">
        <f t="shared" ca="1" si="142"/>
        <v>0</v>
      </c>
      <c r="AM69" s="32">
        <f t="shared" ca="1" si="142"/>
        <v>0</v>
      </c>
      <c r="AN69" s="32">
        <f t="shared" ca="1" si="142"/>
        <v>0</v>
      </c>
      <c r="AO69" s="32">
        <f t="shared" ca="1" si="142"/>
        <v>0</v>
      </c>
      <c r="AP69" s="32">
        <f t="shared" ca="1" si="142"/>
        <v>11009022.548562178</v>
      </c>
      <c r="AQ69" s="32">
        <f t="shared" ca="1" si="142"/>
        <v>25377301.671836779</v>
      </c>
      <c r="AR69" s="32">
        <f t="shared" ca="1" si="142"/>
        <v>0</v>
      </c>
      <c r="AS69" s="32">
        <f t="shared" ca="1" si="142"/>
        <v>0</v>
      </c>
      <c r="AT69" s="32">
        <f t="shared" ca="1" si="142"/>
        <v>21218050.338607613</v>
      </c>
      <c r="AU69" s="32">
        <f t="shared" ca="1" si="142"/>
        <v>21740373.501061145</v>
      </c>
      <c r="AV69" s="32">
        <f t="shared" ca="1" si="142"/>
        <v>0</v>
      </c>
      <c r="AW69" s="32">
        <f t="shared" ca="1" si="142"/>
        <v>0</v>
      </c>
      <c r="AX69" s="32">
        <f t="shared" ca="1" si="142"/>
        <v>0</v>
      </c>
      <c r="AY69" s="32">
        <f t="shared" ref="AY69:AZ69" ca="1" si="143">+SUM(AY49:AY68)</f>
        <v>19556873.739087746</v>
      </c>
      <c r="AZ69" s="32">
        <f t="shared" ca="1" si="143"/>
        <v>0</v>
      </c>
      <c r="BD69" s="16">
        <f ca="1">+SUM(BE69:BV69)</f>
        <v>267804657.74088666</v>
      </c>
      <c r="BE69" s="32">
        <f t="shared" ref="BE69:BS69" ca="1" si="144">+SUM(BE49:BE68)</f>
        <v>62724610.748418741</v>
      </c>
      <c r="BF69" s="32">
        <f t="shared" ca="1" si="144"/>
        <v>96891617.836037368</v>
      </c>
      <c r="BG69" s="32">
        <f t="shared" ca="1" si="144"/>
        <v>0</v>
      </c>
      <c r="BH69" s="32">
        <f t="shared" ca="1" si="144"/>
        <v>0</v>
      </c>
      <c r="BI69" s="32">
        <f t="shared" ca="1" si="144"/>
        <v>0</v>
      </c>
      <c r="BJ69" s="32">
        <f t="shared" ca="1" si="144"/>
        <v>0</v>
      </c>
      <c r="BK69" s="32">
        <f t="shared" ca="1" si="144"/>
        <v>8638408.9126096182</v>
      </c>
      <c r="BL69" s="32">
        <f t="shared" ca="1" si="144"/>
        <v>19922705.52582157</v>
      </c>
      <c r="BM69" s="32">
        <f t="shared" ca="1" si="144"/>
        <v>0</v>
      </c>
      <c r="BN69" s="32">
        <f t="shared" ca="1" si="144"/>
        <v>0</v>
      </c>
      <c r="BO69" s="32">
        <f t="shared" ca="1" si="144"/>
        <v>42557109.327405982</v>
      </c>
      <c r="BP69" s="32">
        <f t="shared" ca="1" si="144"/>
        <v>13385264.314788265</v>
      </c>
      <c r="BQ69" s="32">
        <f t="shared" ca="1" si="144"/>
        <v>0</v>
      </c>
      <c r="BR69" s="32">
        <f t="shared" ca="1" si="144"/>
        <v>0</v>
      </c>
      <c r="BS69" s="32">
        <f t="shared" ca="1" si="144"/>
        <v>0</v>
      </c>
      <c r="BT69" s="32">
        <f t="shared" ref="BT69:BU69" ca="1" si="145">+SUM(BT49:BT68)</f>
        <v>23684941.075805139</v>
      </c>
      <c r="BU69" s="32">
        <f t="shared" ca="1" si="145"/>
        <v>0</v>
      </c>
      <c r="BY69" s="16">
        <f ca="1">+SUM(BZ69:CQ69)</f>
        <v>259853383.11158869</v>
      </c>
      <c r="BZ69" s="32">
        <f t="shared" ref="BZ69:CN69" ca="1" si="146">+SUM(BZ49:BZ68)</f>
        <v>36542505.082726911</v>
      </c>
      <c r="CA69" s="32">
        <f t="shared" ca="1" si="146"/>
        <v>56445340.804645136</v>
      </c>
      <c r="CB69" s="32">
        <f t="shared" ca="1" si="146"/>
        <v>0</v>
      </c>
      <c r="CC69" s="32">
        <f t="shared" ca="1" si="146"/>
        <v>0</v>
      </c>
      <c r="CD69" s="32">
        <f t="shared" ca="1" si="146"/>
        <v>0</v>
      </c>
      <c r="CE69" s="32">
        <f t="shared" ca="1" si="146"/>
        <v>0</v>
      </c>
      <c r="CF69" s="32">
        <f t="shared" ca="1" si="146"/>
        <v>14117345.380505348</v>
      </c>
      <c r="CG69" s="32">
        <f t="shared" ca="1" si="146"/>
        <v>30651894.067369141</v>
      </c>
      <c r="CH69" s="32">
        <f t="shared" ca="1" si="146"/>
        <v>0</v>
      </c>
      <c r="CI69" s="32">
        <f t="shared" ca="1" si="146"/>
        <v>0</v>
      </c>
      <c r="CJ69" s="32">
        <f t="shared" ca="1" si="146"/>
        <v>6687020.5937004574</v>
      </c>
      <c r="CK69" s="32">
        <f t="shared" ca="1" si="146"/>
        <v>8644722.8917290084</v>
      </c>
      <c r="CL69" s="32">
        <f t="shared" ca="1" si="146"/>
        <v>94937497.400077015</v>
      </c>
      <c r="CM69" s="32">
        <f t="shared" ca="1" si="146"/>
        <v>0</v>
      </c>
      <c r="CN69" s="32">
        <f t="shared" ca="1" si="146"/>
        <v>0</v>
      </c>
      <c r="CO69" s="32">
        <f t="shared" ref="CO69:CP69" ca="1" si="147">+SUM(CO49:CO68)</f>
        <v>11827056.890835676</v>
      </c>
      <c r="CP69" s="32">
        <f t="shared" ca="1" si="147"/>
        <v>0</v>
      </c>
    </row>
    <row r="70" spans="1:94">
      <c r="A70" s="584"/>
      <c r="L70" s="177">
        <f ca="1">L69-G69</f>
        <v>0</v>
      </c>
      <c r="AI70" s="177"/>
      <c r="BD70" s="177"/>
      <c r="BY70" s="177"/>
    </row>
    <row r="71" spans="1:94">
      <c r="A71" s="584"/>
      <c r="L71" s="2"/>
      <c r="AI71" s="2"/>
      <c r="BD71" s="2"/>
      <c r="BY71" s="2"/>
    </row>
    <row r="72" spans="1:94" ht="73.5" customHeight="1">
      <c r="A72" s="584"/>
      <c r="B72" s="548" t="s">
        <v>361</v>
      </c>
      <c r="C72" s="549"/>
      <c r="D72" s="544" t="s">
        <v>906</v>
      </c>
      <c r="E72" s="550"/>
      <c r="F72" s="547" t="s">
        <v>901</v>
      </c>
      <c r="G72" s="544" t="s">
        <v>258</v>
      </c>
      <c r="H72" s="544" t="str">
        <f>+H$4</f>
        <v>I</v>
      </c>
      <c r="I72" s="544" t="str">
        <f t="shared" ref="I72:J72" si="148">+I$4</f>
        <v>II</v>
      </c>
      <c r="J72" s="544" t="str">
        <f t="shared" si="148"/>
        <v>III</v>
      </c>
      <c r="L72" s="2"/>
      <c r="M72" s="546" t="str">
        <f ca="1">+M$48</f>
        <v xml:space="preserve">Standard Affordable Residential </v>
      </c>
      <c r="N72" s="546" t="str">
        <f t="shared" ref="N72:AC72" ca="1" si="149">+N$48</f>
        <v xml:space="preserve">Standard Market-Rate Residential </v>
      </c>
      <c r="O72" s="546" t="str">
        <f t="shared" ca="1" si="149"/>
        <v>Affordable Multi-Bedroom Residential</v>
      </c>
      <c r="P72" s="546" t="str">
        <f t="shared" ca="1" si="149"/>
        <v>Market-Rate Multi-Bedroom Residential</v>
      </c>
      <c r="Q72" s="546" t="str">
        <f t="shared" ca="1" si="149"/>
        <v xml:space="preserve">Affordable Senior Living Residential </v>
      </c>
      <c r="R72" s="546" t="str">
        <f t="shared" ca="1" si="149"/>
        <v xml:space="preserve">Market-Rate Senior Living Residential </v>
      </c>
      <c r="S72" s="546" t="str">
        <f t="shared" ca="1" si="149"/>
        <v>Affordable For-Sale Residential</v>
      </c>
      <c r="T72" s="546" t="str">
        <f t="shared" ca="1" si="149"/>
        <v xml:space="preserve">Market-Rate For-Sale Residential </v>
      </c>
      <c r="U72" s="546" t="str">
        <f t="shared" ca="1" si="149"/>
        <v xml:space="preserve">Affordable Student Housing </v>
      </c>
      <c r="V72" s="546" t="str">
        <f t="shared" ca="1" si="149"/>
        <v xml:space="preserve">Market-Rate Student Housing </v>
      </c>
      <c r="W72" s="546" t="str">
        <f t="shared" si="149"/>
        <v xml:space="preserve">Office </v>
      </c>
      <c r="X72" s="546" t="str">
        <f t="shared" ca="1" si="149"/>
        <v xml:space="preserve">Retail </v>
      </c>
      <c r="Y72" s="546" t="str">
        <f t="shared" ca="1" si="149"/>
        <v xml:space="preserve">Hotel </v>
      </c>
      <c r="Z72" s="546" t="str">
        <f t="shared" ca="1" si="149"/>
        <v xml:space="preserve">Specialty - Data Center </v>
      </c>
      <c r="AA72" s="546" t="str">
        <f t="shared" ca="1" si="149"/>
        <v xml:space="preserve">Community Facility </v>
      </c>
      <c r="AB72" s="546" t="str">
        <f t="shared" ca="1" si="149"/>
        <v xml:space="preserve">Structural Parking </v>
      </c>
      <c r="AC72" s="546" t="str">
        <f t="shared" ca="1" si="149"/>
        <v xml:space="preserve">Surface Parking </v>
      </c>
      <c r="AI72" s="2"/>
      <c r="AJ72" s="546" t="str">
        <f ca="1">+AJ$48</f>
        <v xml:space="preserve">Standard Affordable Residential </v>
      </c>
      <c r="AK72" s="546" t="str">
        <f t="shared" ref="AK72:AZ72" ca="1" si="150">+AK$48</f>
        <v xml:space="preserve">Standard Market-Rate Residential </v>
      </c>
      <c r="AL72" s="546" t="str">
        <f t="shared" ca="1" si="150"/>
        <v>Affordable Multi-Bedroom Residential</v>
      </c>
      <c r="AM72" s="546" t="str">
        <f t="shared" ca="1" si="150"/>
        <v>Market-Rate Multi-Bedroom Residential</v>
      </c>
      <c r="AN72" s="546" t="str">
        <f t="shared" ca="1" si="150"/>
        <v xml:space="preserve">Affordable Senior Living Residential </v>
      </c>
      <c r="AO72" s="546" t="str">
        <f t="shared" ca="1" si="150"/>
        <v xml:space="preserve">Market-Rate Senior Living Residential </v>
      </c>
      <c r="AP72" s="546" t="str">
        <f t="shared" ca="1" si="150"/>
        <v>Affordable For-Sale Residential</v>
      </c>
      <c r="AQ72" s="546" t="str">
        <f t="shared" ca="1" si="150"/>
        <v xml:space="preserve">Market-Rate For-Sale Residential </v>
      </c>
      <c r="AR72" s="546" t="str">
        <f t="shared" ca="1" si="150"/>
        <v xml:space="preserve">Affordable Student Housing </v>
      </c>
      <c r="AS72" s="546" t="str">
        <f t="shared" ca="1" si="150"/>
        <v xml:space="preserve">Market-Rate Student Housing </v>
      </c>
      <c r="AT72" s="546" t="str">
        <f t="shared" si="150"/>
        <v xml:space="preserve">Office </v>
      </c>
      <c r="AU72" s="546" t="str">
        <f t="shared" ca="1" si="150"/>
        <v xml:space="preserve">Retail </v>
      </c>
      <c r="AV72" s="546" t="str">
        <f t="shared" ca="1" si="150"/>
        <v xml:space="preserve">Hotel </v>
      </c>
      <c r="AW72" s="546" t="str">
        <f t="shared" ca="1" si="150"/>
        <v xml:space="preserve">Specialty - Data Center </v>
      </c>
      <c r="AX72" s="546" t="str">
        <f t="shared" ca="1" si="150"/>
        <v xml:space="preserve">Community Facility </v>
      </c>
      <c r="AY72" s="546" t="str">
        <f t="shared" ca="1" si="150"/>
        <v xml:space="preserve">Structural Parking </v>
      </c>
      <c r="AZ72" s="546" t="str">
        <f t="shared" ca="1" si="150"/>
        <v xml:space="preserve">Surface Parking </v>
      </c>
      <c r="BD72" s="2"/>
      <c r="BE72" s="546" t="str">
        <f ca="1">+BE$48</f>
        <v xml:space="preserve">Standard Affordable Residential </v>
      </c>
      <c r="BF72" s="546" t="str">
        <f t="shared" ref="BF72:BU72" ca="1" si="151">+BF$48</f>
        <v xml:space="preserve">Standard Market-Rate Residential </v>
      </c>
      <c r="BG72" s="546" t="str">
        <f t="shared" ca="1" si="151"/>
        <v>Affordable Multi-Bedroom Residential</v>
      </c>
      <c r="BH72" s="546" t="str">
        <f t="shared" ca="1" si="151"/>
        <v>Market-Rate Multi-Bedroom Residential</v>
      </c>
      <c r="BI72" s="546" t="str">
        <f t="shared" ca="1" si="151"/>
        <v xml:space="preserve">Affordable Senior Living Residential </v>
      </c>
      <c r="BJ72" s="546" t="str">
        <f t="shared" ca="1" si="151"/>
        <v xml:space="preserve">Market-Rate Senior Living Residential </v>
      </c>
      <c r="BK72" s="546" t="str">
        <f t="shared" ca="1" si="151"/>
        <v>Affordable For-Sale Residential</v>
      </c>
      <c r="BL72" s="546" t="str">
        <f t="shared" ca="1" si="151"/>
        <v xml:space="preserve">Market-Rate For-Sale Residential </v>
      </c>
      <c r="BM72" s="546" t="str">
        <f t="shared" ca="1" si="151"/>
        <v xml:space="preserve">Affordable Student Housing </v>
      </c>
      <c r="BN72" s="546" t="str">
        <f t="shared" ca="1" si="151"/>
        <v xml:space="preserve">Market-Rate Student Housing </v>
      </c>
      <c r="BO72" s="546" t="str">
        <f t="shared" si="151"/>
        <v xml:space="preserve">Office </v>
      </c>
      <c r="BP72" s="546" t="str">
        <f t="shared" ca="1" si="151"/>
        <v xml:space="preserve">Retail </v>
      </c>
      <c r="BQ72" s="546" t="str">
        <f t="shared" ca="1" si="151"/>
        <v xml:space="preserve">Hotel </v>
      </c>
      <c r="BR72" s="546" t="str">
        <f t="shared" ca="1" si="151"/>
        <v xml:space="preserve">Specialty - Data Center </v>
      </c>
      <c r="BS72" s="546" t="str">
        <f t="shared" ca="1" si="151"/>
        <v xml:space="preserve">Community Facility </v>
      </c>
      <c r="BT72" s="546" t="str">
        <f t="shared" ca="1" si="151"/>
        <v xml:space="preserve">Structural Parking </v>
      </c>
      <c r="BU72" s="546" t="str">
        <f t="shared" ca="1" si="151"/>
        <v xml:space="preserve">Surface Parking </v>
      </c>
      <c r="BY72" s="2"/>
      <c r="BZ72" s="546" t="str">
        <f ca="1">+BZ$48</f>
        <v xml:space="preserve">Standard Affordable Residential </v>
      </c>
      <c r="CA72" s="546" t="str">
        <f t="shared" ref="CA72:CP72" ca="1" si="152">+CA$48</f>
        <v xml:space="preserve">Standard Market-Rate Residential </v>
      </c>
      <c r="CB72" s="546" t="str">
        <f t="shared" ca="1" si="152"/>
        <v>Affordable Multi-Bedroom Residential</v>
      </c>
      <c r="CC72" s="546" t="str">
        <f t="shared" ca="1" si="152"/>
        <v>Market-Rate Multi-Bedroom Residential</v>
      </c>
      <c r="CD72" s="546" t="str">
        <f t="shared" ca="1" si="152"/>
        <v xml:space="preserve">Affordable Senior Living Residential </v>
      </c>
      <c r="CE72" s="546" t="str">
        <f t="shared" ca="1" si="152"/>
        <v xml:space="preserve">Market-Rate Senior Living Residential </v>
      </c>
      <c r="CF72" s="546" t="str">
        <f t="shared" ca="1" si="152"/>
        <v>Affordable For-Sale Residential</v>
      </c>
      <c r="CG72" s="546" t="str">
        <f t="shared" ca="1" si="152"/>
        <v xml:space="preserve">Market-Rate For-Sale Residential </v>
      </c>
      <c r="CH72" s="546" t="str">
        <f t="shared" ca="1" si="152"/>
        <v xml:space="preserve">Affordable Student Housing </v>
      </c>
      <c r="CI72" s="546" t="str">
        <f t="shared" ca="1" si="152"/>
        <v xml:space="preserve">Market-Rate Student Housing </v>
      </c>
      <c r="CJ72" s="546" t="str">
        <f t="shared" si="152"/>
        <v xml:space="preserve">Office </v>
      </c>
      <c r="CK72" s="546" t="str">
        <f t="shared" ca="1" si="152"/>
        <v xml:space="preserve">Retail </v>
      </c>
      <c r="CL72" s="546" t="str">
        <f t="shared" ca="1" si="152"/>
        <v xml:space="preserve">Hotel </v>
      </c>
      <c r="CM72" s="546" t="str">
        <f t="shared" ca="1" si="152"/>
        <v xml:space="preserve">Specialty - Data Center </v>
      </c>
      <c r="CN72" s="546" t="str">
        <f t="shared" ca="1" si="152"/>
        <v xml:space="preserve">Community Facility </v>
      </c>
      <c r="CO72" s="546" t="str">
        <f t="shared" ca="1" si="152"/>
        <v xml:space="preserve">Structural Parking </v>
      </c>
      <c r="CP72" s="546" t="str">
        <f t="shared" ca="1" si="152"/>
        <v xml:space="preserve">Surface Parking </v>
      </c>
    </row>
    <row r="73" spans="1:94">
      <c r="B73" s="699" t="str">
        <f>+Assumptions!B54</f>
        <v xml:space="preserve">Architecture &amp; Engineering Fees </v>
      </c>
      <c r="D73" s="34">
        <v>0.185</v>
      </c>
      <c r="F73" s="27">
        <f t="shared" ref="F73:F83" ca="1" si="153">+$G73/$G$10</f>
        <v>54.322810985620158</v>
      </c>
      <c r="G73" s="26">
        <f ca="1">$D73*SUM(G50:G62)</f>
        <v>135715819.46440554</v>
      </c>
      <c r="H73" s="22">
        <f ca="1">+$G73*H$29</f>
        <v>52984405.56855645</v>
      </c>
      <c r="I73" s="22">
        <f ca="1">+$G73*I$29</f>
        <v>43574934.18649324</v>
      </c>
      <c r="J73" s="22">
        <f t="shared" ref="I73:J74" ca="1" si="154">+$G73*J$29</f>
        <v>39156479.709355846</v>
      </c>
      <c r="L73" s="2"/>
      <c r="M73" s="12">
        <f ca="1">+$H73*M$5+$I73*M$6+$J73*M$7</f>
        <v>25901141.483727992</v>
      </c>
      <c r="N73" s="12">
        <f t="shared" ref="N73:AC73" ca="1" si="155">+$H73*N$5+$I73*N$6+$J73*N$7</f>
        <v>38851712.22559198</v>
      </c>
      <c r="O73" s="12">
        <f t="shared" ca="1" si="155"/>
        <v>0</v>
      </c>
      <c r="P73" s="12">
        <f t="shared" ca="1" si="155"/>
        <v>0</v>
      </c>
      <c r="Q73" s="12">
        <f t="shared" ca="1" si="155"/>
        <v>0</v>
      </c>
      <c r="R73" s="12">
        <f t="shared" ca="1" si="155"/>
        <v>0</v>
      </c>
      <c r="S73" s="12">
        <f t="shared" ca="1" si="155"/>
        <v>5158083.993971549</v>
      </c>
      <c r="T73" s="12">
        <f t="shared" ca="1" si="155"/>
        <v>11087035.29400643</v>
      </c>
      <c r="U73" s="12">
        <f t="shared" ca="1" si="155"/>
        <v>0</v>
      </c>
      <c r="V73" s="12">
        <f t="shared" ca="1" si="155"/>
        <v>0</v>
      </c>
      <c r="W73" s="12">
        <f t="shared" ca="1" si="155"/>
        <v>7310492.2883898327</v>
      </c>
      <c r="X73" s="12">
        <f t="shared" ca="1" si="155"/>
        <v>11760671.287142821</v>
      </c>
      <c r="Y73" s="12">
        <f t="shared" ca="1" si="155"/>
        <v>13625356.097035218</v>
      </c>
      <c r="Z73" s="12">
        <f t="shared" ca="1" si="155"/>
        <v>0</v>
      </c>
      <c r="AA73" s="12">
        <f t="shared" ca="1" si="155"/>
        <v>0</v>
      </c>
      <c r="AB73" s="12">
        <f t="shared" ca="1" si="155"/>
        <v>22021326.794539712</v>
      </c>
      <c r="AC73" s="12">
        <f t="shared" ca="1" si="155"/>
        <v>0</v>
      </c>
      <c r="AI73" s="2"/>
      <c r="AJ73" s="12">
        <f ca="1">+$H73*AJ$5+$I73*AJ$6+$J73*AJ$7</f>
        <v>12194142.98218875</v>
      </c>
      <c r="AK73" s="12">
        <f t="shared" ref="AK73:AZ83" ca="1" si="156">+$H73*AK$5+$I73*AK$6+$J73*AK$7</f>
        <v>18291214.473283123</v>
      </c>
      <c r="AL73" s="12">
        <f t="shared" ca="1" si="156"/>
        <v>0</v>
      </c>
      <c r="AM73" s="12">
        <f t="shared" ca="1" si="156"/>
        <v>0</v>
      </c>
      <c r="AN73" s="12">
        <f t="shared" ca="1" si="156"/>
        <v>0</v>
      </c>
      <c r="AO73" s="12">
        <f t="shared" ca="1" si="156"/>
        <v>0</v>
      </c>
      <c r="AP73" s="12">
        <f t="shared" ca="1" si="156"/>
        <v>1814604.6104447548</v>
      </c>
      <c r="AQ73" s="12">
        <f t="shared" ca="1" si="156"/>
        <v>3992130.1429784587</v>
      </c>
      <c r="AR73" s="12">
        <f t="shared" ca="1" si="156"/>
        <v>0</v>
      </c>
      <c r="AS73" s="12">
        <f t="shared" ca="1" si="156"/>
        <v>0</v>
      </c>
      <c r="AT73" s="12">
        <f t="shared" ca="1" si="156"/>
        <v>2341204.5078582577</v>
      </c>
      <c r="AU73" s="12">
        <f t="shared" ca="1" si="156"/>
        <v>6116911.485413787</v>
      </c>
      <c r="AV73" s="12">
        <f t="shared" ca="1" si="156"/>
        <v>0</v>
      </c>
      <c r="AW73" s="12">
        <f t="shared" ca="1" si="156"/>
        <v>0</v>
      </c>
      <c r="AX73" s="12">
        <f t="shared" ca="1" si="156"/>
        <v>0</v>
      </c>
      <c r="AY73" s="12">
        <f t="shared" ca="1" si="156"/>
        <v>8234197.3663893184</v>
      </c>
      <c r="AZ73" s="12">
        <f t="shared" ca="1" si="156"/>
        <v>0</v>
      </c>
      <c r="BD73" s="2"/>
      <c r="BE73" s="12">
        <f ca="1">+$H73*BE$5+$I73*BE$6+$J73*BE$7</f>
        <v>8852719.0651840288</v>
      </c>
      <c r="BF73" s="12">
        <f t="shared" ref="BF73:BU83" ca="1" si="157">+$H73*BF$5+$I73*BF$6+$J73*BF$7</f>
        <v>13279078.597776042</v>
      </c>
      <c r="BG73" s="12">
        <f t="shared" ca="1" si="157"/>
        <v>0</v>
      </c>
      <c r="BH73" s="12">
        <f t="shared" ca="1" si="157"/>
        <v>0</v>
      </c>
      <c r="BI73" s="12">
        <f t="shared" ca="1" si="157"/>
        <v>0</v>
      </c>
      <c r="BJ73" s="12">
        <f t="shared" ca="1" si="157"/>
        <v>0</v>
      </c>
      <c r="BK73" s="12">
        <f t="shared" ca="1" si="157"/>
        <v>1317368.908509528</v>
      </c>
      <c r="BL73" s="12">
        <f t="shared" ca="1" si="157"/>
        <v>2898211.5987209622</v>
      </c>
      <c r="BM73" s="12">
        <f t="shared" ca="1" si="157"/>
        <v>0</v>
      </c>
      <c r="BN73" s="12">
        <f t="shared" ca="1" si="157"/>
        <v>0</v>
      </c>
      <c r="BO73" s="12">
        <f t="shared" ca="1" si="157"/>
        <v>4328821.8390111132</v>
      </c>
      <c r="BP73" s="12">
        <f t="shared" ca="1" si="157"/>
        <v>3511752.4389764005</v>
      </c>
      <c r="BQ73" s="12">
        <f t="shared" ca="1" si="157"/>
        <v>0</v>
      </c>
      <c r="BR73" s="12">
        <f t="shared" ca="1" si="157"/>
        <v>0</v>
      </c>
      <c r="BS73" s="12">
        <f t="shared" ca="1" si="157"/>
        <v>0</v>
      </c>
      <c r="BT73" s="12">
        <f t="shared" ca="1" si="157"/>
        <v>9386981.7383151632</v>
      </c>
      <c r="BU73" s="12">
        <f t="shared" ca="1" si="157"/>
        <v>0</v>
      </c>
      <c r="BY73" s="2"/>
      <c r="BZ73" s="12">
        <f ca="1">+$H73*BZ$5+$I73*BZ$6+$J73*BZ$7</f>
        <v>4854279.4363552108</v>
      </c>
      <c r="CA73" s="12">
        <f t="shared" ref="CA73:CP83" ca="1" si="158">+$H73*CA$5+$I73*CA$6+$J73*CA$7</f>
        <v>7281419.1545328144</v>
      </c>
      <c r="CB73" s="12">
        <f t="shared" ca="1" si="158"/>
        <v>0</v>
      </c>
      <c r="CC73" s="12">
        <f t="shared" ca="1" si="158"/>
        <v>0</v>
      </c>
      <c r="CD73" s="12">
        <f t="shared" ca="1" si="158"/>
        <v>0</v>
      </c>
      <c r="CE73" s="12">
        <f t="shared" ca="1" si="158"/>
        <v>0</v>
      </c>
      <c r="CF73" s="12">
        <f t="shared" ca="1" si="158"/>
        <v>2026110.4750172659</v>
      </c>
      <c r="CG73" s="12">
        <f t="shared" ca="1" si="158"/>
        <v>4196693.5523070088</v>
      </c>
      <c r="CH73" s="12">
        <f t="shared" ca="1" si="158"/>
        <v>0</v>
      </c>
      <c r="CI73" s="12">
        <f t="shared" ca="1" si="158"/>
        <v>0</v>
      </c>
      <c r="CJ73" s="12">
        <f t="shared" ca="1" si="158"/>
        <v>640465.94152046158</v>
      </c>
      <c r="CK73" s="12">
        <f t="shared" ca="1" si="158"/>
        <v>2132007.3627526341</v>
      </c>
      <c r="CL73" s="12">
        <f t="shared" ca="1" si="158"/>
        <v>13625356.097035218</v>
      </c>
      <c r="CM73" s="12">
        <f t="shared" ca="1" si="158"/>
        <v>0</v>
      </c>
      <c r="CN73" s="12">
        <f t="shared" ca="1" si="158"/>
        <v>0</v>
      </c>
      <c r="CO73" s="12">
        <f t="shared" ca="1" si="158"/>
        <v>4400147.6898352318</v>
      </c>
      <c r="CP73" s="12">
        <f t="shared" ca="1" si="158"/>
        <v>0</v>
      </c>
    </row>
    <row r="74" spans="1:94">
      <c r="B74" s="699" t="str">
        <f>+Assumptions!B55</f>
        <v>Contractor Fees</v>
      </c>
      <c r="D74" s="34">
        <v>3.5000000000000003E-2</v>
      </c>
      <c r="F74" s="27">
        <f t="shared" ca="1" si="153"/>
        <v>10.277288564847058</v>
      </c>
      <c r="G74" s="26">
        <f ca="1">$D74*SUM(G50:G62)</f>
        <v>25675965.84461727</v>
      </c>
      <c r="H74" s="22">
        <f ca="1">+$G74*H$29</f>
        <v>10024076.729186358</v>
      </c>
      <c r="I74" s="22">
        <f t="shared" ca="1" si="154"/>
        <v>8243906.4677149393</v>
      </c>
      <c r="J74" s="22">
        <f t="shared" ca="1" si="154"/>
        <v>7407982.6477159727</v>
      </c>
      <c r="L74" s="2"/>
      <c r="M74" s="12">
        <f t="shared" ref="M74:AC83" ca="1" si="159">+$H74*M$5+$I74*M$6+$J74*M$7</f>
        <v>4900215.9563809726</v>
      </c>
      <c r="N74" s="12">
        <f t="shared" ca="1" si="159"/>
        <v>7350323.934571458</v>
      </c>
      <c r="O74" s="12">
        <f t="shared" ca="1" si="159"/>
        <v>0</v>
      </c>
      <c r="P74" s="12">
        <f t="shared" ca="1" si="159"/>
        <v>0</v>
      </c>
      <c r="Q74" s="12">
        <f t="shared" ca="1" si="159"/>
        <v>0</v>
      </c>
      <c r="R74" s="12">
        <f t="shared" ca="1" si="159"/>
        <v>0</v>
      </c>
      <c r="S74" s="12">
        <f t="shared" ca="1" si="159"/>
        <v>975853.72858921217</v>
      </c>
      <c r="T74" s="12">
        <f t="shared" ca="1" si="159"/>
        <v>2097547.2177850008</v>
      </c>
      <c r="U74" s="12">
        <f t="shared" ca="1" si="159"/>
        <v>0</v>
      </c>
      <c r="V74" s="12">
        <f t="shared" ca="1" si="159"/>
        <v>0</v>
      </c>
      <c r="W74" s="12">
        <f t="shared" ca="1" si="159"/>
        <v>1383066.1086142929</v>
      </c>
      <c r="X74" s="12">
        <f t="shared" ca="1" si="159"/>
        <v>2224991.8651351286</v>
      </c>
      <c r="Y74" s="12">
        <f t="shared" ca="1" si="159"/>
        <v>2577770.072412069</v>
      </c>
      <c r="Z74" s="12">
        <f t="shared" ca="1" si="159"/>
        <v>0</v>
      </c>
      <c r="AA74" s="12">
        <f t="shared" ca="1" si="159"/>
        <v>0</v>
      </c>
      <c r="AB74" s="12">
        <f t="shared" ca="1" si="159"/>
        <v>4166196.9611291364</v>
      </c>
      <c r="AC74" s="12">
        <f t="shared" ca="1" si="159"/>
        <v>0</v>
      </c>
      <c r="AI74" s="2"/>
      <c r="AJ74" s="12">
        <f t="shared" ref="AJ74:AY83" ca="1" si="160">+$H74*AJ$5+$I74*AJ$6+$J74*AJ$7</f>
        <v>2307000.0236573317</v>
      </c>
      <c r="AK74" s="12">
        <f t="shared" ca="1" si="160"/>
        <v>3460500.0354859973</v>
      </c>
      <c r="AL74" s="12">
        <f t="shared" ca="1" si="160"/>
        <v>0</v>
      </c>
      <c r="AM74" s="12">
        <f t="shared" ca="1" si="160"/>
        <v>0</v>
      </c>
      <c r="AN74" s="12">
        <f t="shared" ca="1" si="160"/>
        <v>0</v>
      </c>
      <c r="AO74" s="12">
        <f t="shared" ca="1" si="160"/>
        <v>0</v>
      </c>
      <c r="AP74" s="12">
        <f t="shared" ca="1" si="160"/>
        <v>343303.57494900777</v>
      </c>
      <c r="AQ74" s="12">
        <f t="shared" ca="1" si="160"/>
        <v>755267.86488781672</v>
      </c>
      <c r="AR74" s="12">
        <f t="shared" ca="1" si="160"/>
        <v>0</v>
      </c>
      <c r="AS74" s="12">
        <f t="shared" ca="1" si="160"/>
        <v>0</v>
      </c>
      <c r="AT74" s="12">
        <f t="shared" ca="1" si="160"/>
        <v>442930.58256777859</v>
      </c>
      <c r="AU74" s="12">
        <f t="shared" ca="1" si="160"/>
        <v>1157253.5242674735</v>
      </c>
      <c r="AV74" s="12">
        <f t="shared" ca="1" si="160"/>
        <v>0</v>
      </c>
      <c r="AW74" s="12">
        <f t="shared" ca="1" si="160"/>
        <v>0</v>
      </c>
      <c r="AX74" s="12">
        <f t="shared" ca="1" si="160"/>
        <v>0</v>
      </c>
      <c r="AY74" s="12">
        <f t="shared" ca="1" si="160"/>
        <v>1557821.1233709527</v>
      </c>
      <c r="AZ74" s="12">
        <f t="shared" ca="1" si="156"/>
        <v>0</v>
      </c>
      <c r="BD74" s="2"/>
      <c r="BE74" s="12">
        <f t="shared" ref="BE74:BT83" ca="1" si="161">+$H74*BE$5+$I74*BE$6+$J74*BE$7</f>
        <v>1674838.7420618436</v>
      </c>
      <c r="BF74" s="12">
        <f t="shared" ca="1" si="161"/>
        <v>2512258.1130927657</v>
      </c>
      <c r="BG74" s="12">
        <f t="shared" ca="1" si="161"/>
        <v>0</v>
      </c>
      <c r="BH74" s="12">
        <f t="shared" ca="1" si="161"/>
        <v>0</v>
      </c>
      <c r="BI74" s="12">
        <f t="shared" ca="1" si="161"/>
        <v>0</v>
      </c>
      <c r="BJ74" s="12">
        <f t="shared" ca="1" si="161"/>
        <v>0</v>
      </c>
      <c r="BK74" s="12">
        <f t="shared" ca="1" si="161"/>
        <v>249231.95566396482</v>
      </c>
      <c r="BL74" s="12">
        <f t="shared" ca="1" si="161"/>
        <v>548310.30246072263</v>
      </c>
      <c r="BM74" s="12">
        <f t="shared" ca="1" si="161"/>
        <v>0</v>
      </c>
      <c r="BN74" s="12">
        <f t="shared" ca="1" si="161"/>
        <v>0</v>
      </c>
      <c r="BO74" s="12">
        <f t="shared" ca="1" si="161"/>
        <v>818966.29386696767</v>
      </c>
      <c r="BP74" s="12">
        <f t="shared" ca="1" si="161"/>
        <v>664385.59656310303</v>
      </c>
      <c r="BQ74" s="12">
        <f t="shared" ca="1" si="161"/>
        <v>0</v>
      </c>
      <c r="BR74" s="12">
        <f t="shared" ca="1" si="161"/>
        <v>0</v>
      </c>
      <c r="BS74" s="12">
        <f t="shared" ca="1" si="161"/>
        <v>0</v>
      </c>
      <c r="BT74" s="12">
        <f t="shared" ca="1" si="161"/>
        <v>1775915.4640055718</v>
      </c>
      <c r="BU74" s="12">
        <f t="shared" ca="1" si="157"/>
        <v>0</v>
      </c>
      <c r="BY74" s="2"/>
      <c r="BZ74" s="12">
        <f t="shared" ref="BZ74:CO83" ca="1" si="162">+$H74*BZ$5+$I74*BZ$6+$J74*BZ$7</f>
        <v>918377.19066179683</v>
      </c>
      <c r="CA74" s="12">
        <f t="shared" ca="1" si="162"/>
        <v>1377565.785992695</v>
      </c>
      <c r="CB74" s="12">
        <f t="shared" ca="1" si="162"/>
        <v>0</v>
      </c>
      <c r="CC74" s="12">
        <f t="shared" ca="1" si="162"/>
        <v>0</v>
      </c>
      <c r="CD74" s="12">
        <f t="shared" ca="1" si="162"/>
        <v>0</v>
      </c>
      <c r="CE74" s="12">
        <f t="shared" ca="1" si="162"/>
        <v>0</v>
      </c>
      <c r="CF74" s="12">
        <f t="shared" ca="1" si="162"/>
        <v>383318.19797623961</v>
      </c>
      <c r="CG74" s="12">
        <f t="shared" ca="1" si="162"/>
        <v>793969.05043646134</v>
      </c>
      <c r="CH74" s="12">
        <f t="shared" ca="1" si="162"/>
        <v>0</v>
      </c>
      <c r="CI74" s="12">
        <f t="shared" ca="1" si="162"/>
        <v>0</v>
      </c>
      <c r="CJ74" s="12">
        <f t="shared" ca="1" si="162"/>
        <v>121169.23217954683</v>
      </c>
      <c r="CK74" s="12">
        <f t="shared" ca="1" si="162"/>
        <v>403352.74430455244</v>
      </c>
      <c r="CL74" s="12">
        <f t="shared" ca="1" si="162"/>
        <v>2577770.072412069</v>
      </c>
      <c r="CM74" s="12">
        <f t="shared" ca="1" si="162"/>
        <v>0</v>
      </c>
      <c r="CN74" s="12">
        <f t="shared" ca="1" si="162"/>
        <v>0</v>
      </c>
      <c r="CO74" s="12">
        <f t="shared" ca="1" si="162"/>
        <v>832460.37375261169</v>
      </c>
      <c r="CP74" s="12">
        <f t="shared" ca="1" si="158"/>
        <v>0</v>
      </c>
    </row>
    <row r="75" spans="1:94">
      <c r="B75" s="699" t="s">
        <v>548</v>
      </c>
      <c r="D75" s="845">
        <v>1.4999999999999999E-2</v>
      </c>
      <c r="F75" s="27">
        <f t="shared" ca="1" si="153"/>
        <v>4.40455224207731</v>
      </c>
      <c r="G75" s="26">
        <f ca="1">$D75*SUM(G50:G62)</f>
        <v>11003985.361978827</v>
      </c>
      <c r="H75" s="22">
        <f t="shared" ref="H75:J76" ca="1" si="163">+$G75*H$29</f>
        <v>4296032.8839370087</v>
      </c>
      <c r="I75" s="22">
        <f t="shared" ca="1" si="163"/>
        <v>3533102.7718778304</v>
      </c>
      <c r="J75" s="22">
        <f t="shared" ca="1" si="163"/>
        <v>3174849.7061639875</v>
      </c>
      <c r="L75" s="2"/>
      <c r="M75" s="12">
        <f t="shared" ca="1" si="159"/>
        <v>2100092.5527347019</v>
      </c>
      <c r="N75" s="12">
        <f t="shared" ca="1" si="159"/>
        <v>3150138.8291020524</v>
      </c>
      <c r="O75" s="12">
        <f t="shared" ca="1" si="159"/>
        <v>0</v>
      </c>
      <c r="P75" s="12">
        <f t="shared" ca="1" si="159"/>
        <v>0</v>
      </c>
      <c r="Q75" s="12">
        <f t="shared" ca="1" si="159"/>
        <v>0</v>
      </c>
      <c r="R75" s="12">
        <f t="shared" ca="1" si="159"/>
        <v>0</v>
      </c>
      <c r="S75" s="12">
        <f t="shared" ca="1" si="159"/>
        <v>418223.02653823362</v>
      </c>
      <c r="T75" s="12">
        <f t="shared" ca="1" si="159"/>
        <v>898948.80762214283</v>
      </c>
      <c r="U75" s="12">
        <f t="shared" ca="1" si="159"/>
        <v>0</v>
      </c>
      <c r="V75" s="12">
        <f t="shared" ca="1" si="159"/>
        <v>0</v>
      </c>
      <c r="W75" s="12">
        <f t="shared" ca="1" si="159"/>
        <v>592742.61797755398</v>
      </c>
      <c r="X75" s="12">
        <f t="shared" ca="1" si="159"/>
        <v>953567.9422007692</v>
      </c>
      <c r="Y75" s="12">
        <f t="shared" ca="1" si="159"/>
        <v>1104758.602462315</v>
      </c>
      <c r="Z75" s="12">
        <f t="shared" ca="1" si="159"/>
        <v>0</v>
      </c>
      <c r="AA75" s="12">
        <f t="shared" ca="1" si="159"/>
        <v>0</v>
      </c>
      <c r="AB75" s="12">
        <f t="shared" ca="1" si="159"/>
        <v>1785512.9833410578</v>
      </c>
      <c r="AC75" s="12">
        <f t="shared" ca="1" si="159"/>
        <v>0</v>
      </c>
      <c r="AI75" s="2"/>
      <c r="AJ75" s="12">
        <f t="shared" ca="1" si="160"/>
        <v>988714.2958531417</v>
      </c>
      <c r="AK75" s="12">
        <f t="shared" ca="1" si="160"/>
        <v>1483071.4437797123</v>
      </c>
      <c r="AL75" s="12">
        <f t="shared" ca="1" si="160"/>
        <v>0</v>
      </c>
      <c r="AM75" s="12">
        <f t="shared" ca="1" si="160"/>
        <v>0</v>
      </c>
      <c r="AN75" s="12">
        <f t="shared" ca="1" si="160"/>
        <v>0</v>
      </c>
      <c r="AO75" s="12">
        <f t="shared" ca="1" si="160"/>
        <v>0</v>
      </c>
      <c r="AP75" s="12">
        <f t="shared" ca="1" si="160"/>
        <v>147130.10354957468</v>
      </c>
      <c r="AQ75" s="12">
        <f t="shared" ca="1" si="160"/>
        <v>323686.22780906415</v>
      </c>
      <c r="AR75" s="12">
        <f t="shared" ca="1" si="160"/>
        <v>0</v>
      </c>
      <c r="AS75" s="12">
        <f t="shared" ca="1" si="160"/>
        <v>0</v>
      </c>
      <c r="AT75" s="12">
        <f t="shared" ca="1" si="160"/>
        <v>189827.39252904788</v>
      </c>
      <c r="AU75" s="12">
        <f t="shared" ca="1" si="160"/>
        <v>495965.79611463129</v>
      </c>
      <c r="AV75" s="12">
        <f t="shared" ca="1" si="160"/>
        <v>0</v>
      </c>
      <c r="AW75" s="12">
        <f t="shared" ca="1" si="160"/>
        <v>0</v>
      </c>
      <c r="AX75" s="12">
        <f t="shared" ca="1" si="160"/>
        <v>0</v>
      </c>
      <c r="AY75" s="12">
        <f t="shared" ca="1" si="156"/>
        <v>667637.62430183648</v>
      </c>
      <c r="AZ75" s="12">
        <f t="shared" ca="1" si="156"/>
        <v>0</v>
      </c>
      <c r="BD75" s="2"/>
      <c r="BE75" s="12">
        <f t="shared" ca="1" si="161"/>
        <v>717788.03231221857</v>
      </c>
      <c r="BF75" s="12">
        <f t="shared" ca="1" si="161"/>
        <v>1076682.0484683278</v>
      </c>
      <c r="BG75" s="12">
        <f t="shared" ca="1" si="161"/>
        <v>0</v>
      </c>
      <c r="BH75" s="12">
        <f t="shared" ca="1" si="161"/>
        <v>0</v>
      </c>
      <c r="BI75" s="12">
        <f t="shared" ca="1" si="161"/>
        <v>0</v>
      </c>
      <c r="BJ75" s="12">
        <f t="shared" ca="1" si="161"/>
        <v>0</v>
      </c>
      <c r="BK75" s="12">
        <f t="shared" ca="1" si="161"/>
        <v>106813.69528455634</v>
      </c>
      <c r="BL75" s="12">
        <f t="shared" ca="1" si="161"/>
        <v>234990.12962602396</v>
      </c>
      <c r="BM75" s="12">
        <f t="shared" ca="1" si="161"/>
        <v>0</v>
      </c>
      <c r="BN75" s="12">
        <f t="shared" ca="1" si="161"/>
        <v>0</v>
      </c>
      <c r="BO75" s="12">
        <f t="shared" ca="1" si="161"/>
        <v>350985.55451441463</v>
      </c>
      <c r="BP75" s="12">
        <f t="shared" ca="1" si="161"/>
        <v>284736.68424132979</v>
      </c>
      <c r="BQ75" s="12">
        <f t="shared" ca="1" si="161"/>
        <v>0</v>
      </c>
      <c r="BR75" s="12">
        <f t="shared" ca="1" si="161"/>
        <v>0</v>
      </c>
      <c r="BS75" s="12">
        <f t="shared" ca="1" si="161"/>
        <v>0</v>
      </c>
      <c r="BT75" s="12">
        <f t="shared" ca="1" si="157"/>
        <v>761106.62743095926</v>
      </c>
      <c r="BU75" s="12">
        <f t="shared" ca="1" si="157"/>
        <v>0</v>
      </c>
      <c r="BY75" s="2"/>
      <c r="BZ75" s="12">
        <f t="shared" ca="1" si="162"/>
        <v>393590.2245693414</v>
      </c>
      <c r="CA75" s="12">
        <f t="shared" ca="1" si="162"/>
        <v>590385.33685401198</v>
      </c>
      <c r="CB75" s="12">
        <f t="shared" ca="1" si="162"/>
        <v>0</v>
      </c>
      <c r="CC75" s="12">
        <f t="shared" ca="1" si="162"/>
        <v>0</v>
      </c>
      <c r="CD75" s="12">
        <f t="shared" ca="1" si="162"/>
        <v>0</v>
      </c>
      <c r="CE75" s="12">
        <f t="shared" ca="1" si="162"/>
        <v>0</v>
      </c>
      <c r="CF75" s="12">
        <f t="shared" ca="1" si="162"/>
        <v>164279.22770410264</v>
      </c>
      <c r="CG75" s="12">
        <f t="shared" ca="1" si="162"/>
        <v>340272.45018705475</v>
      </c>
      <c r="CH75" s="12">
        <f t="shared" ca="1" si="162"/>
        <v>0</v>
      </c>
      <c r="CI75" s="12">
        <f t="shared" ca="1" si="162"/>
        <v>0</v>
      </c>
      <c r="CJ75" s="12">
        <f t="shared" ca="1" si="162"/>
        <v>51929.670934091482</v>
      </c>
      <c r="CK75" s="12">
        <f t="shared" ca="1" si="162"/>
        <v>172865.46184480816</v>
      </c>
      <c r="CL75" s="12">
        <f t="shared" ca="1" si="162"/>
        <v>1104758.602462315</v>
      </c>
      <c r="CM75" s="12">
        <f t="shared" ca="1" si="162"/>
        <v>0</v>
      </c>
      <c r="CN75" s="12">
        <f t="shared" ca="1" si="162"/>
        <v>0</v>
      </c>
      <c r="CO75" s="12">
        <f t="shared" ca="1" si="158"/>
        <v>356768.73160826205</v>
      </c>
      <c r="CP75" s="12">
        <f t="shared" ca="1" si="158"/>
        <v>0</v>
      </c>
    </row>
    <row r="76" spans="1:94">
      <c r="B76" s="699" t="str">
        <f>+Assumptions!B58</f>
        <v>Other</v>
      </c>
      <c r="D76" s="34">
        <v>0.05</v>
      </c>
      <c r="F76" s="27">
        <f t="shared" ca="1" si="153"/>
        <v>14.68184080692437</v>
      </c>
      <c r="G76" s="26">
        <f ca="1">$D76*SUM(G50:G62)</f>
        <v>36679951.206596099</v>
      </c>
      <c r="H76" s="22">
        <f t="shared" ca="1" si="163"/>
        <v>14320109.613123367</v>
      </c>
      <c r="I76" s="22">
        <f t="shared" ca="1" si="163"/>
        <v>11777009.23959277</v>
      </c>
      <c r="J76" s="22">
        <f t="shared" ca="1" si="163"/>
        <v>10582832.353879962</v>
      </c>
      <c r="L76" s="2"/>
      <c r="M76" s="12">
        <f t="shared" ca="1" si="159"/>
        <v>7000308.5091156736</v>
      </c>
      <c r="N76" s="12">
        <f t="shared" ca="1" si="159"/>
        <v>10500462.76367351</v>
      </c>
      <c r="O76" s="12">
        <f t="shared" ca="1" si="159"/>
        <v>0</v>
      </c>
      <c r="P76" s="12">
        <f t="shared" ca="1" si="159"/>
        <v>0</v>
      </c>
      <c r="Q76" s="12">
        <f t="shared" ca="1" si="159"/>
        <v>0</v>
      </c>
      <c r="R76" s="12">
        <f t="shared" ca="1" si="159"/>
        <v>0</v>
      </c>
      <c r="S76" s="12">
        <f ca="1">+$H76*S$5+$I76*S$6+$J76*S$7</f>
        <v>1394076.755127446</v>
      </c>
      <c r="T76" s="12">
        <f t="shared" ca="1" si="159"/>
        <v>2996496.0254071439</v>
      </c>
      <c r="U76" s="12">
        <f t="shared" ca="1" si="159"/>
        <v>0</v>
      </c>
      <c r="V76" s="12">
        <f t="shared" ca="1" si="159"/>
        <v>0</v>
      </c>
      <c r="W76" s="12">
        <f t="shared" ca="1" si="159"/>
        <v>1975808.7265918471</v>
      </c>
      <c r="X76" s="12">
        <f t="shared" ca="1" si="159"/>
        <v>3178559.8073358983</v>
      </c>
      <c r="Y76" s="12">
        <f t="shared" ca="1" si="159"/>
        <v>3682528.6748743844</v>
      </c>
      <c r="Z76" s="12">
        <f t="shared" ca="1" si="159"/>
        <v>0</v>
      </c>
      <c r="AA76" s="12">
        <f t="shared" ca="1" si="159"/>
        <v>0</v>
      </c>
      <c r="AB76" s="12">
        <f t="shared" ca="1" si="159"/>
        <v>5951709.9444701942</v>
      </c>
      <c r="AC76" s="12">
        <f t="shared" ca="1" si="159"/>
        <v>0</v>
      </c>
      <c r="AI76" s="2"/>
      <c r="AJ76" s="12">
        <f t="shared" ca="1" si="160"/>
        <v>3295714.3195104729</v>
      </c>
      <c r="AK76" s="12">
        <f t="shared" ca="1" si="160"/>
        <v>4943571.4792657094</v>
      </c>
      <c r="AL76" s="12">
        <f t="shared" ca="1" si="160"/>
        <v>0</v>
      </c>
      <c r="AM76" s="12">
        <f t="shared" ca="1" si="160"/>
        <v>0</v>
      </c>
      <c r="AN76" s="12">
        <f t="shared" ca="1" si="160"/>
        <v>0</v>
      </c>
      <c r="AO76" s="12">
        <f t="shared" ca="1" si="160"/>
        <v>0</v>
      </c>
      <c r="AP76" s="12">
        <f ca="1">+$H76*AP$5+$I76*AP$6+$J76*AP$7</f>
        <v>490433.67849858245</v>
      </c>
      <c r="AQ76" s="12">
        <f t="shared" ca="1" si="160"/>
        <v>1078954.0926968809</v>
      </c>
      <c r="AR76" s="12">
        <f t="shared" ca="1" si="160"/>
        <v>0</v>
      </c>
      <c r="AS76" s="12">
        <f t="shared" ca="1" si="160"/>
        <v>0</v>
      </c>
      <c r="AT76" s="12">
        <f t="shared" ca="1" si="160"/>
        <v>632757.97509682656</v>
      </c>
      <c r="AU76" s="12">
        <f t="shared" ca="1" si="160"/>
        <v>1653219.3203821047</v>
      </c>
      <c r="AV76" s="12">
        <f t="shared" ca="1" si="160"/>
        <v>0</v>
      </c>
      <c r="AW76" s="12">
        <f t="shared" ca="1" si="160"/>
        <v>0</v>
      </c>
      <c r="AX76" s="12">
        <f t="shared" ca="1" si="160"/>
        <v>0</v>
      </c>
      <c r="AY76" s="12">
        <f t="shared" ca="1" si="156"/>
        <v>2225458.7476727893</v>
      </c>
      <c r="AZ76" s="12">
        <f t="shared" ca="1" si="156"/>
        <v>0</v>
      </c>
      <c r="BD76" s="2"/>
      <c r="BE76" s="12">
        <f t="shared" ca="1" si="161"/>
        <v>2392626.7743740622</v>
      </c>
      <c r="BF76" s="12">
        <f t="shared" ca="1" si="161"/>
        <v>3588940.1615610933</v>
      </c>
      <c r="BG76" s="12">
        <f t="shared" ca="1" si="161"/>
        <v>0</v>
      </c>
      <c r="BH76" s="12">
        <f t="shared" ca="1" si="161"/>
        <v>0</v>
      </c>
      <c r="BI76" s="12">
        <f t="shared" ca="1" si="161"/>
        <v>0</v>
      </c>
      <c r="BJ76" s="12">
        <f t="shared" ca="1" si="161"/>
        <v>0</v>
      </c>
      <c r="BK76" s="12">
        <f ca="1">+$H76*BK$5+$I76*BK$6+$J76*BK$7</f>
        <v>356045.65094852116</v>
      </c>
      <c r="BL76" s="12">
        <f t="shared" ca="1" si="161"/>
        <v>783300.43208674667</v>
      </c>
      <c r="BM76" s="12">
        <f t="shared" ca="1" si="161"/>
        <v>0</v>
      </c>
      <c r="BN76" s="12">
        <f t="shared" ca="1" si="161"/>
        <v>0</v>
      </c>
      <c r="BO76" s="12">
        <f t="shared" ca="1" si="161"/>
        <v>1169951.8483813824</v>
      </c>
      <c r="BP76" s="12">
        <f t="shared" ca="1" si="161"/>
        <v>949122.28080443281</v>
      </c>
      <c r="BQ76" s="12">
        <f t="shared" ca="1" si="161"/>
        <v>0</v>
      </c>
      <c r="BR76" s="12">
        <f t="shared" ca="1" si="161"/>
        <v>0</v>
      </c>
      <c r="BS76" s="12">
        <f t="shared" ca="1" si="161"/>
        <v>0</v>
      </c>
      <c r="BT76" s="12">
        <f t="shared" ca="1" si="157"/>
        <v>2537022.0914365309</v>
      </c>
      <c r="BU76" s="12">
        <f t="shared" ca="1" si="157"/>
        <v>0</v>
      </c>
      <c r="BY76" s="2"/>
      <c r="BZ76" s="12">
        <f t="shared" ca="1" si="162"/>
        <v>1311967.4152311385</v>
      </c>
      <c r="CA76" s="12">
        <f t="shared" ca="1" si="162"/>
        <v>1967951.1228467075</v>
      </c>
      <c r="CB76" s="12">
        <f t="shared" ca="1" si="162"/>
        <v>0</v>
      </c>
      <c r="CC76" s="12">
        <f t="shared" ca="1" si="162"/>
        <v>0</v>
      </c>
      <c r="CD76" s="12">
        <f t="shared" ca="1" si="162"/>
        <v>0</v>
      </c>
      <c r="CE76" s="12">
        <f t="shared" ca="1" si="162"/>
        <v>0</v>
      </c>
      <c r="CF76" s="12">
        <f ca="1">+$H76*CF$5+$I76*CF$6+$J76*CF$7</f>
        <v>547597.42568034236</v>
      </c>
      <c r="CG76" s="12">
        <f t="shared" ca="1" si="162"/>
        <v>1134241.5006235163</v>
      </c>
      <c r="CH76" s="12">
        <f t="shared" ca="1" si="162"/>
        <v>0</v>
      </c>
      <c r="CI76" s="12">
        <f t="shared" ca="1" si="162"/>
        <v>0</v>
      </c>
      <c r="CJ76" s="12">
        <f t="shared" ca="1" si="162"/>
        <v>173098.90311363834</v>
      </c>
      <c r="CK76" s="12">
        <f t="shared" ca="1" si="162"/>
        <v>576218.20614936075</v>
      </c>
      <c r="CL76" s="12">
        <f t="shared" ca="1" si="162"/>
        <v>3682528.6748743844</v>
      </c>
      <c r="CM76" s="12">
        <f t="shared" ca="1" si="162"/>
        <v>0</v>
      </c>
      <c r="CN76" s="12">
        <f t="shared" ca="1" si="162"/>
        <v>0</v>
      </c>
      <c r="CO76" s="12">
        <f t="shared" ca="1" si="158"/>
        <v>1189229.105360874</v>
      </c>
      <c r="CP76" s="12">
        <f t="shared" ca="1" si="158"/>
        <v>0</v>
      </c>
    </row>
    <row r="77" spans="1:94" hidden="1" outlineLevel="1">
      <c r="B77" s="17" t="s">
        <v>910</v>
      </c>
      <c r="D77" s="34">
        <v>0</v>
      </c>
      <c r="F77" s="27">
        <f t="shared" ca="1" si="153"/>
        <v>0</v>
      </c>
      <c r="G77" s="26">
        <f t="shared" ref="G77:G83" ca="1" si="164">+SUM(H77:J77)</f>
        <v>0</v>
      </c>
      <c r="H77" s="22">
        <f t="shared" ref="H77:H83" ca="1" si="165">+$D77*H$29</f>
        <v>0</v>
      </c>
      <c r="I77" s="22">
        <f t="shared" ref="I77:J83" ca="1" si="166">+$D77*I$29</f>
        <v>0</v>
      </c>
      <c r="J77" s="22">
        <f t="shared" ca="1" si="166"/>
        <v>0</v>
      </c>
      <c r="L77" s="2"/>
      <c r="M77" s="12">
        <f t="shared" ca="1" si="159"/>
        <v>0</v>
      </c>
      <c r="N77" s="12">
        <f t="shared" ca="1" si="159"/>
        <v>0</v>
      </c>
      <c r="O77" s="12">
        <f t="shared" ca="1" si="159"/>
        <v>0</v>
      </c>
      <c r="P77" s="12">
        <f t="shared" ca="1" si="159"/>
        <v>0</v>
      </c>
      <c r="Q77" s="12">
        <f t="shared" ca="1" si="159"/>
        <v>0</v>
      </c>
      <c r="R77" s="12">
        <f t="shared" ca="1" si="159"/>
        <v>0</v>
      </c>
      <c r="S77" s="12">
        <f t="shared" ca="1" si="159"/>
        <v>0</v>
      </c>
      <c r="T77" s="12">
        <f t="shared" ca="1" si="159"/>
        <v>0</v>
      </c>
      <c r="U77" s="12">
        <f t="shared" ca="1" si="159"/>
        <v>0</v>
      </c>
      <c r="V77" s="12">
        <f t="shared" ca="1" si="159"/>
        <v>0</v>
      </c>
      <c r="W77" s="12">
        <f t="shared" ca="1" si="159"/>
        <v>0</v>
      </c>
      <c r="X77" s="12">
        <f t="shared" ca="1" si="159"/>
        <v>0</v>
      </c>
      <c r="Y77" s="12">
        <f t="shared" ca="1" si="159"/>
        <v>0</v>
      </c>
      <c r="Z77" s="12">
        <f t="shared" ca="1" si="159"/>
        <v>0</v>
      </c>
      <c r="AA77" s="12">
        <f t="shared" ca="1" si="159"/>
        <v>0</v>
      </c>
      <c r="AB77" s="12">
        <f t="shared" ca="1" si="159"/>
        <v>0</v>
      </c>
      <c r="AC77" s="12">
        <f t="shared" ca="1" si="159"/>
        <v>0</v>
      </c>
      <c r="AI77" s="2"/>
      <c r="AJ77" s="12">
        <f t="shared" ca="1" si="160"/>
        <v>0</v>
      </c>
      <c r="AK77" s="12">
        <f t="shared" ca="1" si="160"/>
        <v>0</v>
      </c>
      <c r="AL77" s="12">
        <f t="shared" ca="1" si="160"/>
        <v>0</v>
      </c>
      <c r="AM77" s="12">
        <f t="shared" ca="1" si="160"/>
        <v>0</v>
      </c>
      <c r="AN77" s="12">
        <f t="shared" ca="1" si="160"/>
        <v>0</v>
      </c>
      <c r="AO77" s="12">
        <f t="shared" ca="1" si="160"/>
        <v>0</v>
      </c>
      <c r="AP77" s="12">
        <f t="shared" ca="1" si="160"/>
        <v>0</v>
      </c>
      <c r="AQ77" s="12">
        <f t="shared" ca="1" si="160"/>
        <v>0</v>
      </c>
      <c r="AR77" s="12">
        <f t="shared" ca="1" si="160"/>
        <v>0</v>
      </c>
      <c r="AS77" s="12">
        <f t="shared" ca="1" si="160"/>
        <v>0</v>
      </c>
      <c r="AT77" s="12">
        <f t="shared" ca="1" si="160"/>
        <v>0</v>
      </c>
      <c r="AU77" s="12">
        <f t="shared" ca="1" si="160"/>
        <v>0</v>
      </c>
      <c r="AV77" s="12">
        <f t="shared" ca="1" si="160"/>
        <v>0</v>
      </c>
      <c r="AW77" s="12">
        <f t="shared" ca="1" si="160"/>
        <v>0</v>
      </c>
      <c r="AX77" s="12">
        <f t="shared" ca="1" si="160"/>
        <v>0</v>
      </c>
      <c r="AY77" s="12">
        <f t="shared" ca="1" si="156"/>
        <v>0</v>
      </c>
      <c r="AZ77" s="12">
        <f t="shared" ca="1" si="156"/>
        <v>0</v>
      </c>
      <c r="BD77" s="2"/>
      <c r="BE77" s="12">
        <f t="shared" ca="1" si="161"/>
        <v>0</v>
      </c>
      <c r="BF77" s="12">
        <f t="shared" ca="1" si="161"/>
        <v>0</v>
      </c>
      <c r="BG77" s="12">
        <f t="shared" ca="1" si="161"/>
        <v>0</v>
      </c>
      <c r="BH77" s="12">
        <f t="shared" ca="1" si="161"/>
        <v>0</v>
      </c>
      <c r="BI77" s="12">
        <f t="shared" ca="1" si="161"/>
        <v>0</v>
      </c>
      <c r="BJ77" s="12">
        <f t="shared" ca="1" si="161"/>
        <v>0</v>
      </c>
      <c r="BK77" s="12">
        <f t="shared" ca="1" si="161"/>
        <v>0</v>
      </c>
      <c r="BL77" s="12">
        <f t="shared" ca="1" si="161"/>
        <v>0</v>
      </c>
      <c r="BM77" s="12">
        <f t="shared" ca="1" si="161"/>
        <v>0</v>
      </c>
      <c r="BN77" s="12">
        <f t="shared" ca="1" si="161"/>
        <v>0</v>
      </c>
      <c r="BO77" s="12">
        <f t="shared" ca="1" si="161"/>
        <v>0</v>
      </c>
      <c r="BP77" s="12">
        <f t="shared" ca="1" si="161"/>
        <v>0</v>
      </c>
      <c r="BQ77" s="12">
        <f t="shared" ca="1" si="161"/>
        <v>0</v>
      </c>
      <c r="BR77" s="12">
        <f t="shared" ca="1" si="161"/>
        <v>0</v>
      </c>
      <c r="BS77" s="12">
        <f t="shared" ca="1" si="161"/>
        <v>0</v>
      </c>
      <c r="BT77" s="12">
        <f t="shared" ca="1" si="157"/>
        <v>0</v>
      </c>
      <c r="BU77" s="12">
        <f t="shared" ca="1" si="157"/>
        <v>0</v>
      </c>
      <c r="BY77" s="2"/>
      <c r="BZ77" s="12">
        <f t="shared" ca="1" si="162"/>
        <v>0</v>
      </c>
      <c r="CA77" s="12">
        <f t="shared" ca="1" si="162"/>
        <v>0</v>
      </c>
      <c r="CB77" s="12">
        <f t="shared" ca="1" si="162"/>
        <v>0</v>
      </c>
      <c r="CC77" s="12">
        <f t="shared" ca="1" si="162"/>
        <v>0</v>
      </c>
      <c r="CD77" s="12">
        <f t="shared" ca="1" si="162"/>
        <v>0</v>
      </c>
      <c r="CE77" s="12">
        <f t="shared" ca="1" si="162"/>
        <v>0</v>
      </c>
      <c r="CF77" s="12">
        <f t="shared" ca="1" si="162"/>
        <v>0</v>
      </c>
      <c r="CG77" s="12">
        <f t="shared" ca="1" si="162"/>
        <v>0</v>
      </c>
      <c r="CH77" s="12">
        <f t="shared" ca="1" si="162"/>
        <v>0</v>
      </c>
      <c r="CI77" s="12">
        <f t="shared" ca="1" si="162"/>
        <v>0</v>
      </c>
      <c r="CJ77" s="12">
        <f t="shared" ca="1" si="162"/>
        <v>0</v>
      </c>
      <c r="CK77" s="12">
        <f t="shared" ca="1" si="162"/>
        <v>0</v>
      </c>
      <c r="CL77" s="12">
        <f t="shared" ca="1" si="162"/>
        <v>0</v>
      </c>
      <c r="CM77" s="12">
        <f t="shared" ca="1" si="162"/>
        <v>0</v>
      </c>
      <c r="CN77" s="12">
        <f t="shared" ca="1" si="162"/>
        <v>0</v>
      </c>
      <c r="CO77" s="12">
        <f t="shared" ca="1" si="158"/>
        <v>0</v>
      </c>
      <c r="CP77" s="12">
        <f t="shared" ca="1" si="158"/>
        <v>0</v>
      </c>
    </row>
    <row r="78" spans="1:94" hidden="1" outlineLevel="1">
      <c r="B78" s="17" t="s">
        <v>910</v>
      </c>
      <c r="D78" s="34">
        <v>0</v>
      </c>
      <c r="F78" s="27">
        <f t="shared" ca="1" si="153"/>
        <v>0</v>
      </c>
      <c r="G78" s="26">
        <f t="shared" ca="1" si="164"/>
        <v>0</v>
      </c>
      <c r="H78" s="22">
        <f t="shared" ca="1" si="165"/>
        <v>0</v>
      </c>
      <c r="I78" s="22">
        <f t="shared" ca="1" si="166"/>
        <v>0</v>
      </c>
      <c r="J78" s="22">
        <f t="shared" ca="1" si="166"/>
        <v>0</v>
      </c>
      <c r="L78" s="2"/>
      <c r="M78" s="12">
        <f t="shared" ca="1" si="159"/>
        <v>0</v>
      </c>
      <c r="N78" s="12">
        <f t="shared" ca="1" si="159"/>
        <v>0</v>
      </c>
      <c r="O78" s="12">
        <f t="shared" ca="1" si="159"/>
        <v>0</v>
      </c>
      <c r="P78" s="12">
        <f t="shared" ca="1" si="159"/>
        <v>0</v>
      </c>
      <c r="Q78" s="12">
        <f t="shared" ca="1" si="159"/>
        <v>0</v>
      </c>
      <c r="R78" s="12">
        <f t="shared" ca="1" si="159"/>
        <v>0</v>
      </c>
      <c r="S78" s="12">
        <f t="shared" ca="1" si="159"/>
        <v>0</v>
      </c>
      <c r="T78" s="12">
        <f t="shared" ca="1" si="159"/>
        <v>0</v>
      </c>
      <c r="U78" s="12">
        <f t="shared" ca="1" si="159"/>
        <v>0</v>
      </c>
      <c r="V78" s="12">
        <f t="shared" ca="1" si="159"/>
        <v>0</v>
      </c>
      <c r="W78" s="12">
        <f t="shared" ca="1" si="159"/>
        <v>0</v>
      </c>
      <c r="X78" s="12">
        <f t="shared" ca="1" si="159"/>
        <v>0</v>
      </c>
      <c r="Y78" s="12">
        <f t="shared" ca="1" si="159"/>
        <v>0</v>
      </c>
      <c r="Z78" s="12">
        <f t="shared" ca="1" si="159"/>
        <v>0</v>
      </c>
      <c r="AA78" s="12">
        <f t="shared" ca="1" si="159"/>
        <v>0</v>
      </c>
      <c r="AB78" s="12">
        <f t="shared" ca="1" si="159"/>
        <v>0</v>
      </c>
      <c r="AC78" s="12">
        <f t="shared" ca="1" si="159"/>
        <v>0</v>
      </c>
      <c r="AI78" s="2"/>
      <c r="AJ78" s="12">
        <f t="shared" ca="1" si="160"/>
        <v>0</v>
      </c>
      <c r="AK78" s="12">
        <f t="shared" ca="1" si="160"/>
        <v>0</v>
      </c>
      <c r="AL78" s="12">
        <f t="shared" ca="1" si="160"/>
        <v>0</v>
      </c>
      <c r="AM78" s="12">
        <f t="shared" ca="1" si="160"/>
        <v>0</v>
      </c>
      <c r="AN78" s="12">
        <f t="shared" ca="1" si="160"/>
        <v>0</v>
      </c>
      <c r="AO78" s="12">
        <f t="shared" ca="1" si="160"/>
        <v>0</v>
      </c>
      <c r="AP78" s="12">
        <f t="shared" ca="1" si="160"/>
        <v>0</v>
      </c>
      <c r="AQ78" s="12">
        <f t="shared" ca="1" si="160"/>
        <v>0</v>
      </c>
      <c r="AR78" s="12">
        <f t="shared" ca="1" si="160"/>
        <v>0</v>
      </c>
      <c r="AS78" s="12">
        <f t="shared" ca="1" si="160"/>
        <v>0</v>
      </c>
      <c r="AT78" s="12">
        <f t="shared" ca="1" si="160"/>
        <v>0</v>
      </c>
      <c r="AU78" s="12">
        <f t="shared" ca="1" si="160"/>
        <v>0</v>
      </c>
      <c r="AV78" s="12">
        <f t="shared" ca="1" si="160"/>
        <v>0</v>
      </c>
      <c r="AW78" s="12">
        <f t="shared" ca="1" si="160"/>
        <v>0</v>
      </c>
      <c r="AX78" s="12">
        <f t="shared" ca="1" si="160"/>
        <v>0</v>
      </c>
      <c r="AY78" s="12">
        <f t="shared" ca="1" si="156"/>
        <v>0</v>
      </c>
      <c r="AZ78" s="12">
        <f t="shared" ca="1" si="156"/>
        <v>0</v>
      </c>
      <c r="BD78" s="2"/>
      <c r="BE78" s="12">
        <f t="shared" ca="1" si="161"/>
        <v>0</v>
      </c>
      <c r="BF78" s="12">
        <f t="shared" ca="1" si="161"/>
        <v>0</v>
      </c>
      <c r="BG78" s="12">
        <f t="shared" ca="1" si="161"/>
        <v>0</v>
      </c>
      <c r="BH78" s="12">
        <f t="shared" ca="1" si="161"/>
        <v>0</v>
      </c>
      <c r="BI78" s="12">
        <f t="shared" ca="1" si="161"/>
        <v>0</v>
      </c>
      <c r="BJ78" s="12">
        <f t="shared" ca="1" si="161"/>
        <v>0</v>
      </c>
      <c r="BK78" s="12">
        <f t="shared" ca="1" si="161"/>
        <v>0</v>
      </c>
      <c r="BL78" s="12">
        <f t="shared" ca="1" si="161"/>
        <v>0</v>
      </c>
      <c r="BM78" s="12">
        <f t="shared" ca="1" si="161"/>
        <v>0</v>
      </c>
      <c r="BN78" s="12">
        <f t="shared" ca="1" si="161"/>
        <v>0</v>
      </c>
      <c r="BO78" s="12">
        <f t="shared" ca="1" si="161"/>
        <v>0</v>
      </c>
      <c r="BP78" s="12">
        <f t="shared" ca="1" si="161"/>
        <v>0</v>
      </c>
      <c r="BQ78" s="12">
        <f t="shared" ca="1" si="161"/>
        <v>0</v>
      </c>
      <c r="BR78" s="12">
        <f t="shared" ca="1" si="161"/>
        <v>0</v>
      </c>
      <c r="BS78" s="12">
        <f t="shared" ca="1" si="161"/>
        <v>0</v>
      </c>
      <c r="BT78" s="12">
        <f t="shared" ca="1" si="157"/>
        <v>0</v>
      </c>
      <c r="BU78" s="12">
        <f t="shared" ca="1" si="157"/>
        <v>0</v>
      </c>
      <c r="BY78" s="2"/>
      <c r="BZ78" s="12">
        <f t="shared" ca="1" si="162"/>
        <v>0</v>
      </c>
      <c r="CA78" s="12">
        <f t="shared" ca="1" si="162"/>
        <v>0</v>
      </c>
      <c r="CB78" s="12">
        <f t="shared" ca="1" si="162"/>
        <v>0</v>
      </c>
      <c r="CC78" s="12">
        <f t="shared" ca="1" si="162"/>
        <v>0</v>
      </c>
      <c r="CD78" s="12">
        <f t="shared" ca="1" si="162"/>
        <v>0</v>
      </c>
      <c r="CE78" s="12">
        <f t="shared" ca="1" si="162"/>
        <v>0</v>
      </c>
      <c r="CF78" s="12">
        <f t="shared" ca="1" si="162"/>
        <v>0</v>
      </c>
      <c r="CG78" s="12">
        <f t="shared" ca="1" si="162"/>
        <v>0</v>
      </c>
      <c r="CH78" s="12">
        <f t="shared" ca="1" si="162"/>
        <v>0</v>
      </c>
      <c r="CI78" s="12">
        <f t="shared" ca="1" si="162"/>
        <v>0</v>
      </c>
      <c r="CJ78" s="12">
        <f t="shared" ca="1" si="162"/>
        <v>0</v>
      </c>
      <c r="CK78" s="12">
        <f t="shared" ca="1" si="162"/>
        <v>0</v>
      </c>
      <c r="CL78" s="12">
        <f t="shared" ca="1" si="162"/>
        <v>0</v>
      </c>
      <c r="CM78" s="12">
        <f t="shared" ca="1" si="162"/>
        <v>0</v>
      </c>
      <c r="CN78" s="12">
        <f t="shared" ca="1" si="162"/>
        <v>0</v>
      </c>
      <c r="CO78" s="12">
        <f t="shared" ca="1" si="158"/>
        <v>0</v>
      </c>
      <c r="CP78" s="12">
        <f t="shared" ca="1" si="158"/>
        <v>0</v>
      </c>
    </row>
    <row r="79" spans="1:94" hidden="1" outlineLevel="1">
      <c r="B79" s="17" t="s">
        <v>910</v>
      </c>
      <c r="D79" s="34">
        <v>0</v>
      </c>
      <c r="F79" s="27">
        <f t="shared" ca="1" si="153"/>
        <v>0</v>
      </c>
      <c r="G79" s="26">
        <f t="shared" ca="1" si="164"/>
        <v>0</v>
      </c>
      <c r="H79" s="22">
        <f t="shared" ca="1" si="165"/>
        <v>0</v>
      </c>
      <c r="I79" s="22">
        <f t="shared" ca="1" si="166"/>
        <v>0</v>
      </c>
      <c r="J79" s="22">
        <f t="shared" ca="1" si="166"/>
        <v>0</v>
      </c>
      <c r="L79" s="2"/>
      <c r="M79" s="12">
        <f t="shared" ca="1" si="159"/>
        <v>0</v>
      </c>
      <c r="N79" s="12">
        <f t="shared" ca="1" si="159"/>
        <v>0</v>
      </c>
      <c r="O79" s="12">
        <f t="shared" ca="1" si="159"/>
        <v>0</v>
      </c>
      <c r="P79" s="12">
        <f t="shared" ca="1" si="159"/>
        <v>0</v>
      </c>
      <c r="Q79" s="12">
        <f t="shared" ca="1" si="159"/>
        <v>0</v>
      </c>
      <c r="R79" s="12">
        <f t="shared" ca="1" si="159"/>
        <v>0</v>
      </c>
      <c r="S79" s="12">
        <f t="shared" ca="1" si="159"/>
        <v>0</v>
      </c>
      <c r="T79" s="12">
        <f t="shared" ca="1" si="159"/>
        <v>0</v>
      </c>
      <c r="U79" s="12">
        <f t="shared" ca="1" si="159"/>
        <v>0</v>
      </c>
      <c r="V79" s="12">
        <f t="shared" ca="1" si="159"/>
        <v>0</v>
      </c>
      <c r="W79" s="12">
        <f t="shared" ca="1" si="159"/>
        <v>0</v>
      </c>
      <c r="X79" s="12">
        <f t="shared" ca="1" si="159"/>
        <v>0</v>
      </c>
      <c r="Y79" s="12">
        <f t="shared" ca="1" si="159"/>
        <v>0</v>
      </c>
      <c r="Z79" s="12">
        <f t="shared" ca="1" si="159"/>
        <v>0</v>
      </c>
      <c r="AA79" s="12">
        <f t="shared" ca="1" si="159"/>
        <v>0</v>
      </c>
      <c r="AB79" s="12">
        <f t="shared" ca="1" si="159"/>
        <v>0</v>
      </c>
      <c r="AC79" s="12">
        <f t="shared" ca="1" si="159"/>
        <v>0</v>
      </c>
      <c r="AI79" s="2"/>
      <c r="AJ79" s="12">
        <f t="shared" ca="1" si="160"/>
        <v>0</v>
      </c>
      <c r="AK79" s="12">
        <f t="shared" ca="1" si="160"/>
        <v>0</v>
      </c>
      <c r="AL79" s="12">
        <f t="shared" ca="1" si="160"/>
        <v>0</v>
      </c>
      <c r="AM79" s="12">
        <f t="shared" ca="1" si="160"/>
        <v>0</v>
      </c>
      <c r="AN79" s="12">
        <f t="shared" ca="1" si="160"/>
        <v>0</v>
      </c>
      <c r="AO79" s="12">
        <f t="shared" ca="1" si="160"/>
        <v>0</v>
      </c>
      <c r="AP79" s="12">
        <f t="shared" ca="1" si="160"/>
        <v>0</v>
      </c>
      <c r="AQ79" s="12">
        <f t="shared" ca="1" si="160"/>
        <v>0</v>
      </c>
      <c r="AR79" s="12">
        <f t="shared" ca="1" si="160"/>
        <v>0</v>
      </c>
      <c r="AS79" s="12">
        <f t="shared" ca="1" si="160"/>
        <v>0</v>
      </c>
      <c r="AT79" s="12">
        <f t="shared" ca="1" si="160"/>
        <v>0</v>
      </c>
      <c r="AU79" s="12">
        <f t="shared" ca="1" si="160"/>
        <v>0</v>
      </c>
      <c r="AV79" s="12">
        <f t="shared" ca="1" si="160"/>
        <v>0</v>
      </c>
      <c r="AW79" s="12">
        <f t="shared" ca="1" si="160"/>
        <v>0</v>
      </c>
      <c r="AX79" s="12">
        <f t="shared" ca="1" si="160"/>
        <v>0</v>
      </c>
      <c r="AY79" s="12">
        <f t="shared" ca="1" si="156"/>
        <v>0</v>
      </c>
      <c r="AZ79" s="12">
        <f t="shared" ca="1" si="156"/>
        <v>0</v>
      </c>
      <c r="BD79" s="2"/>
      <c r="BE79" s="12">
        <f t="shared" ca="1" si="161"/>
        <v>0</v>
      </c>
      <c r="BF79" s="12">
        <f t="shared" ca="1" si="161"/>
        <v>0</v>
      </c>
      <c r="BG79" s="12">
        <f t="shared" ca="1" si="161"/>
        <v>0</v>
      </c>
      <c r="BH79" s="12">
        <f t="shared" ca="1" si="161"/>
        <v>0</v>
      </c>
      <c r="BI79" s="12">
        <f t="shared" ca="1" si="161"/>
        <v>0</v>
      </c>
      <c r="BJ79" s="12">
        <f t="shared" ca="1" si="161"/>
        <v>0</v>
      </c>
      <c r="BK79" s="12">
        <f t="shared" ca="1" si="161"/>
        <v>0</v>
      </c>
      <c r="BL79" s="12">
        <f t="shared" ca="1" si="161"/>
        <v>0</v>
      </c>
      <c r="BM79" s="12">
        <f t="shared" ca="1" si="161"/>
        <v>0</v>
      </c>
      <c r="BN79" s="12">
        <f t="shared" ca="1" si="161"/>
        <v>0</v>
      </c>
      <c r="BO79" s="12">
        <f t="shared" ca="1" si="161"/>
        <v>0</v>
      </c>
      <c r="BP79" s="12">
        <f t="shared" ca="1" si="161"/>
        <v>0</v>
      </c>
      <c r="BQ79" s="12">
        <f t="shared" ca="1" si="161"/>
        <v>0</v>
      </c>
      <c r="BR79" s="12">
        <f t="shared" ca="1" si="161"/>
        <v>0</v>
      </c>
      <c r="BS79" s="12">
        <f t="shared" ca="1" si="161"/>
        <v>0</v>
      </c>
      <c r="BT79" s="12">
        <f t="shared" ca="1" si="157"/>
        <v>0</v>
      </c>
      <c r="BU79" s="12">
        <f t="shared" ca="1" si="157"/>
        <v>0</v>
      </c>
      <c r="BY79" s="2"/>
      <c r="BZ79" s="12">
        <f t="shared" ca="1" si="162"/>
        <v>0</v>
      </c>
      <c r="CA79" s="12">
        <f t="shared" ca="1" si="162"/>
        <v>0</v>
      </c>
      <c r="CB79" s="12">
        <f t="shared" ca="1" si="162"/>
        <v>0</v>
      </c>
      <c r="CC79" s="12">
        <f t="shared" ca="1" si="162"/>
        <v>0</v>
      </c>
      <c r="CD79" s="12">
        <f t="shared" ca="1" si="162"/>
        <v>0</v>
      </c>
      <c r="CE79" s="12">
        <f t="shared" ca="1" si="162"/>
        <v>0</v>
      </c>
      <c r="CF79" s="12">
        <f t="shared" ca="1" si="162"/>
        <v>0</v>
      </c>
      <c r="CG79" s="12">
        <f t="shared" ca="1" si="162"/>
        <v>0</v>
      </c>
      <c r="CH79" s="12">
        <f t="shared" ca="1" si="162"/>
        <v>0</v>
      </c>
      <c r="CI79" s="12">
        <f t="shared" ca="1" si="162"/>
        <v>0</v>
      </c>
      <c r="CJ79" s="12">
        <f t="shared" ca="1" si="162"/>
        <v>0</v>
      </c>
      <c r="CK79" s="12">
        <f t="shared" ca="1" si="162"/>
        <v>0</v>
      </c>
      <c r="CL79" s="12">
        <f t="shared" ca="1" si="162"/>
        <v>0</v>
      </c>
      <c r="CM79" s="12">
        <f t="shared" ca="1" si="162"/>
        <v>0</v>
      </c>
      <c r="CN79" s="12">
        <f t="shared" ca="1" si="162"/>
        <v>0</v>
      </c>
      <c r="CO79" s="12">
        <f t="shared" ca="1" si="158"/>
        <v>0</v>
      </c>
      <c r="CP79" s="12">
        <f t="shared" ca="1" si="158"/>
        <v>0</v>
      </c>
    </row>
    <row r="80" spans="1:94" hidden="1" outlineLevel="1">
      <c r="B80" s="17" t="s">
        <v>910</v>
      </c>
      <c r="D80" s="34">
        <v>0</v>
      </c>
      <c r="F80" s="27">
        <f t="shared" ca="1" si="153"/>
        <v>0</v>
      </c>
      <c r="G80" s="26">
        <f t="shared" ca="1" si="164"/>
        <v>0</v>
      </c>
      <c r="H80" s="22">
        <f t="shared" ca="1" si="165"/>
        <v>0</v>
      </c>
      <c r="I80" s="22">
        <f t="shared" ca="1" si="166"/>
        <v>0</v>
      </c>
      <c r="J80" s="22">
        <f t="shared" ca="1" si="166"/>
        <v>0</v>
      </c>
      <c r="L80" s="2"/>
      <c r="M80" s="12">
        <f t="shared" ca="1" si="159"/>
        <v>0</v>
      </c>
      <c r="N80" s="12">
        <f t="shared" ca="1" si="159"/>
        <v>0</v>
      </c>
      <c r="O80" s="12">
        <f t="shared" ca="1" si="159"/>
        <v>0</v>
      </c>
      <c r="P80" s="12">
        <f t="shared" ca="1" si="159"/>
        <v>0</v>
      </c>
      <c r="Q80" s="12">
        <f t="shared" ca="1" si="159"/>
        <v>0</v>
      </c>
      <c r="R80" s="12">
        <f t="shared" ca="1" si="159"/>
        <v>0</v>
      </c>
      <c r="S80" s="12">
        <f t="shared" ca="1" si="159"/>
        <v>0</v>
      </c>
      <c r="T80" s="12">
        <f t="shared" ca="1" si="159"/>
        <v>0</v>
      </c>
      <c r="U80" s="12">
        <f t="shared" ca="1" si="159"/>
        <v>0</v>
      </c>
      <c r="V80" s="12">
        <f t="shared" ca="1" si="159"/>
        <v>0</v>
      </c>
      <c r="W80" s="12">
        <f t="shared" ca="1" si="159"/>
        <v>0</v>
      </c>
      <c r="X80" s="12">
        <f t="shared" ca="1" si="159"/>
        <v>0</v>
      </c>
      <c r="Y80" s="12">
        <f t="shared" ca="1" si="159"/>
        <v>0</v>
      </c>
      <c r="Z80" s="12">
        <f t="shared" ca="1" si="159"/>
        <v>0</v>
      </c>
      <c r="AA80" s="12">
        <f t="shared" ca="1" si="159"/>
        <v>0</v>
      </c>
      <c r="AB80" s="12">
        <f t="shared" ca="1" si="159"/>
        <v>0</v>
      </c>
      <c r="AC80" s="12">
        <f t="shared" ca="1" si="159"/>
        <v>0</v>
      </c>
      <c r="AI80" s="2"/>
      <c r="AJ80" s="12">
        <f t="shared" ca="1" si="160"/>
        <v>0</v>
      </c>
      <c r="AK80" s="12">
        <f t="shared" ca="1" si="160"/>
        <v>0</v>
      </c>
      <c r="AL80" s="12">
        <f t="shared" ca="1" si="160"/>
        <v>0</v>
      </c>
      <c r="AM80" s="12">
        <f t="shared" ca="1" si="160"/>
        <v>0</v>
      </c>
      <c r="AN80" s="12">
        <f t="shared" ca="1" si="160"/>
        <v>0</v>
      </c>
      <c r="AO80" s="12">
        <f t="shared" ca="1" si="160"/>
        <v>0</v>
      </c>
      <c r="AP80" s="12">
        <f t="shared" ca="1" si="160"/>
        <v>0</v>
      </c>
      <c r="AQ80" s="12">
        <f t="shared" ca="1" si="160"/>
        <v>0</v>
      </c>
      <c r="AR80" s="12">
        <f t="shared" ca="1" si="160"/>
        <v>0</v>
      </c>
      <c r="AS80" s="12">
        <f t="shared" ca="1" si="160"/>
        <v>0</v>
      </c>
      <c r="AT80" s="12">
        <f t="shared" ca="1" si="160"/>
        <v>0</v>
      </c>
      <c r="AU80" s="12">
        <f t="shared" ca="1" si="160"/>
        <v>0</v>
      </c>
      <c r="AV80" s="12">
        <f t="shared" ca="1" si="160"/>
        <v>0</v>
      </c>
      <c r="AW80" s="12">
        <f t="shared" ca="1" si="160"/>
        <v>0</v>
      </c>
      <c r="AX80" s="12">
        <f t="shared" ca="1" si="160"/>
        <v>0</v>
      </c>
      <c r="AY80" s="12">
        <f t="shared" ca="1" si="156"/>
        <v>0</v>
      </c>
      <c r="AZ80" s="12">
        <f t="shared" ca="1" si="156"/>
        <v>0</v>
      </c>
      <c r="BD80" s="2"/>
      <c r="BE80" s="12">
        <f t="shared" ca="1" si="161"/>
        <v>0</v>
      </c>
      <c r="BF80" s="12">
        <f t="shared" ca="1" si="161"/>
        <v>0</v>
      </c>
      <c r="BG80" s="12">
        <f t="shared" ca="1" si="161"/>
        <v>0</v>
      </c>
      <c r="BH80" s="12">
        <f t="shared" ca="1" si="161"/>
        <v>0</v>
      </c>
      <c r="BI80" s="12">
        <f t="shared" ca="1" si="161"/>
        <v>0</v>
      </c>
      <c r="BJ80" s="12">
        <f t="shared" ca="1" si="161"/>
        <v>0</v>
      </c>
      <c r="BK80" s="12">
        <f t="shared" ca="1" si="161"/>
        <v>0</v>
      </c>
      <c r="BL80" s="12">
        <f t="shared" ca="1" si="161"/>
        <v>0</v>
      </c>
      <c r="BM80" s="12">
        <f t="shared" ca="1" si="161"/>
        <v>0</v>
      </c>
      <c r="BN80" s="12">
        <f t="shared" ca="1" si="161"/>
        <v>0</v>
      </c>
      <c r="BO80" s="12">
        <f t="shared" ca="1" si="161"/>
        <v>0</v>
      </c>
      <c r="BP80" s="12">
        <f t="shared" ca="1" si="161"/>
        <v>0</v>
      </c>
      <c r="BQ80" s="12">
        <f t="shared" ca="1" si="161"/>
        <v>0</v>
      </c>
      <c r="BR80" s="12">
        <f t="shared" ca="1" si="161"/>
        <v>0</v>
      </c>
      <c r="BS80" s="12">
        <f t="shared" ca="1" si="161"/>
        <v>0</v>
      </c>
      <c r="BT80" s="12">
        <f t="shared" ca="1" si="157"/>
        <v>0</v>
      </c>
      <c r="BU80" s="12">
        <f t="shared" ca="1" si="157"/>
        <v>0</v>
      </c>
      <c r="BY80" s="2"/>
      <c r="BZ80" s="12">
        <f t="shared" ca="1" si="162"/>
        <v>0</v>
      </c>
      <c r="CA80" s="12">
        <f t="shared" ca="1" si="162"/>
        <v>0</v>
      </c>
      <c r="CB80" s="12">
        <f t="shared" ca="1" si="162"/>
        <v>0</v>
      </c>
      <c r="CC80" s="12">
        <f t="shared" ca="1" si="162"/>
        <v>0</v>
      </c>
      <c r="CD80" s="12">
        <f t="shared" ca="1" si="162"/>
        <v>0</v>
      </c>
      <c r="CE80" s="12">
        <f t="shared" ca="1" si="162"/>
        <v>0</v>
      </c>
      <c r="CF80" s="12">
        <f t="shared" ca="1" si="162"/>
        <v>0</v>
      </c>
      <c r="CG80" s="12">
        <f t="shared" ca="1" si="162"/>
        <v>0</v>
      </c>
      <c r="CH80" s="12">
        <f t="shared" ca="1" si="162"/>
        <v>0</v>
      </c>
      <c r="CI80" s="12">
        <f t="shared" ca="1" si="162"/>
        <v>0</v>
      </c>
      <c r="CJ80" s="12">
        <f t="shared" ca="1" si="162"/>
        <v>0</v>
      </c>
      <c r="CK80" s="12">
        <f t="shared" ca="1" si="162"/>
        <v>0</v>
      </c>
      <c r="CL80" s="12">
        <f t="shared" ca="1" si="162"/>
        <v>0</v>
      </c>
      <c r="CM80" s="12">
        <f t="shared" ca="1" si="162"/>
        <v>0</v>
      </c>
      <c r="CN80" s="12">
        <f t="shared" ca="1" si="162"/>
        <v>0</v>
      </c>
      <c r="CO80" s="12">
        <f t="shared" ca="1" si="158"/>
        <v>0</v>
      </c>
      <c r="CP80" s="12">
        <f t="shared" ca="1" si="158"/>
        <v>0</v>
      </c>
    </row>
    <row r="81" spans="2:94" hidden="1" outlineLevel="1">
      <c r="B81" s="17" t="s">
        <v>910</v>
      </c>
      <c r="D81" s="34">
        <v>0</v>
      </c>
      <c r="F81" s="27">
        <f t="shared" ca="1" si="153"/>
        <v>0</v>
      </c>
      <c r="G81" s="26">
        <f t="shared" ca="1" si="164"/>
        <v>0</v>
      </c>
      <c r="H81" s="22">
        <f t="shared" ca="1" si="165"/>
        <v>0</v>
      </c>
      <c r="I81" s="22">
        <f t="shared" ca="1" si="166"/>
        <v>0</v>
      </c>
      <c r="J81" s="22">
        <f t="shared" ca="1" si="166"/>
        <v>0</v>
      </c>
      <c r="L81" s="2"/>
      <c r="M81" s="12">
        <f t="shared" ca="1" si="159"/>
        <v>0</v>
      </c>
      <c r="N81" s="12">
        <f t="shared" ca="1" si="159"/>
        <v>0</v>
      </c>
      <c r="O81" s="12">
        <f t="shared" ca="1" si="159"/>
        <v>0</v>
      </c>
      <c r="P81" s="12">
        <f t="shared" ca="1" si="159"/>
        <v>0</v>
      </c>
      <c r="Q81" s="12">
        <f t="shared" ca="1" si="159"/>
        <v>0</v>
      </c>
      <c r="R81" s="12">
        <f t="shared" ca="1" si="159"/>
        <v>0</v>
      </c>
      <c r="S81" s="12">
        <f t="shared" ca="1" si="159"/>
        <v>0</v>
      </c>
      <c r="T81" s="12">
        <f t="shared" ca="1" si="159"/>
        <v>0</v>
      </c>
      <c r="U81" s="12">
        <f t="shared" ca="1" si="159"/>
        <v>0</v>
      </c>
      <c r="V81" s="12">
        <f t="shared" ca="1" si="159"/>
        <v>0</v>
      </c>
      <c r="W81" s="12">
        <f t="shared" ca="1" si="159"/>
        <v>0</v>
      </c>
      <c r="X81" s="12">
        <f t="shared" ca="1" si="159"/>
        <v>0</v>
      </c>
      <c r="Y81" s="12">
        <f t="shared" ca="1" si="159"/>
        <v>0</v>
      </c>
      <c r="Z81" s="12">
        <f t="shared" ca="1" si="159"/>
        <v>0</v>
      </c>
      <c r="AA81" s="12">
        <f t="shared" ca="1" si="159"/>
        <v>0</v>
      </c>
      <c r="AB81" s="12">
        <f t="shared" ca="1" si="159"/>
        <v>0</v>
      </c>
      <c r="AC81" s="12">
        <f t="shared" ca="1" si="159"/>
        <v>0</v>
      </c>
      <c r="AI81" s="2"/>
      <c r="AJ81" s="12">
        <f t="shared" ca="1" si="160"/>
        <v>0</v>
      </c>
      <c r="AK81" s="12">
        <f t="shared" ca="1" si="160"/>
        <v>0</v>
      </c>
      <c r="AL81" s="12">
        <f t="shared" ca="1" si="160"/>
        <v>0</v>
      </c>
      <c r="AM81" s="12">
        <f t="shared" ca="1" si="160"/>
        <v>0</v>
      </c>
      <c r="AN81" s="12">
        <f t="shared" ca="1" si="160"/>
        <v>0</v>
      </c>
      <c r="AO81" s="12">
        <f t="shared" ca="1" si="160"/>
        <v>0</v>
      </c>
      <c r="AP81" s="12">
        <f t="shared" ca="1" si="160"/>
        <v>0</v>
      </c>
      <c r="AQ81" s="12">
        <f t="shared" ca="1" si="160"/>
        <v>0</v>
      </c>
      <c r="AR81" s="12">
        <f t="shared" ca="1" si="160"/>
        <v>0</v>
      </c>
      <c r="AS81" s="12">
        <f t="shared" ca="1" si="160"/>
        <v>0</v>
      </c>
      <c r="AT81" s="12">
        <f t="shared" ca="1" si="160"/>
        <v>0</v>
      </c>
      <c r="AU81" s="12">
        <f t="shared" ca="1" si="160"/>
        <v>0</v>
      </c>
      <c r="AV81" s="12">
        <f t="shared" ca="1" si="160"/>
        <v>0</v>
      </c>
      <c r="AW81" s="12">
        <f t="shared" ca="1" si="160"/>
        <v>0</v>
      </c>
      <c r="AX81" s="12">
        <f t="shared" ca="1" si="160"/>
        <v>0</v>
      </c>
      <c r="AY81" s="12">
        <f t="shared" ca="1" si="156"/>
        <v>0</v>
      </c>
      <c r="AZ81" s="12">
        <f t="shared" ca="1" si="156"/>
        <v>0</v>
      </c>
      <c r="BD81" s="2"/>
      <c r="BE81" s="12">
        <f t="shared" ca="1" si="161"/>
        <v>0</v>
      </c>
      <c r="BF81" s="12">
        <f t="shared" ca="1" si="161"/>
        <v>0</v>
      </c>
      <c r="BG81" s="12">
        <f t="shared" ca="1" si="161"/>
        <v>0</v>
      </c>
      <c r="BH81" s="12">
        <f t="shared" ca="1" si="161"/>
        <v>0</v>
      </c>
      <c r="BI81" s="12">
        <f t="shared" ca="1" si="161"/>
        <v>0</v>
      </c>
      <c r="BJ81" s="12">
        <f t="shared" ca="1" si="161"/>
        <v>0</v>
      </c>
      <c r="BK81" s="12">
        <f t="shared" ca="1" si="161"/>
        <v>0</v>
      </c>
      <c r="BL81" s="12">
        <f t="shared" ca="1" si="161"/>
        <v>0</v>
      </c>
      <c r="BM81" s="12">
        <f t="shared" ca="1" si="161"/>
        <v>0</v>
      </c>
      <c r="BN81" s="12">
        <f t="shared" ca="1" si="161"/>
        <v>0</v>
      </c>
      <c r="BO81" s="12">
        <f t="shared" ca="1" si="161"/>
        <v>0</v>
      </c>
      <c r="BP81" s="12">
        <f t="shared" ca="1" si="161"/>
        <v>0</v>
      </c>
      <c r="BQ81" s="12">
        <f t="shared" ca="1" si="161"/>
        <v>0</v>
      </c>
      <c r="BR81" s="12">
        <f t="shared" ca="1" si="161"/>
        <v>0</v>
      </c>
      <c r="BS81" s="12">
        <f t="shared" ca="1" si="161"/>
        <v>0</v>
      </c>
      <c r="BT81" s="12">
        <f t="shared" ca="1" si="157"/>
        <v>0</v>
      </c>
      <c r="BU81" s="12">
        <f t="shared" ca="1" si="157"/>
        <v>0</v>
      </c>
      <c r="BY81" s="2"/>
      <c r="BZ81" s="12">
        <f t="shared" ca="1" si="162"/>
        <v>0</v>
      </c>
      <c r="CA81" s="12">
        <f t="shared" ca="1" si="162"/>
        <v>0</v>
      </c>
      <c r="CB81" s="12">
        <f t="shared" ca="1" si="162"/>
        <v>0</v>
      </c>
      <c r="CC81" s="12">
        <f t="shared" ca="1" si="162"/>
        <v>0</v>
      </c>
      <c r="CD81" s="12">
        <f t="shared" ca="1" si="162"/>
        <v>0</v>
      </c>
      <c r="CE81" s="12">
        <f t="shared" ca="1" si="162"/>
        <v>0</v>
      </c>
      <c r="CF81" s="12">
        <f t="shared" ca="1" si="162"/>
        <v>0</v>
      </c>
      <c r="CG81" s="12">
        <f t="shared" ca="1" si="162"/>
        <v>0</v>
      </c>
      <c r="CH81" s="12">
        <f t="shared" ca="1" si="162"/>
        <v>0</v>
      </c>
      <c r="CI81" s="12">
        <f t="shared" ca="1" si="162"/>
        <v>0</v>
      </c>
      <c r="CJ81" s="12">
        <f t="shared" ca="1" si="162"/>
        <v>0</v>
      </c>
      <c r="CK81" s="12">
        <f t="shared" ca="1" si="162"/>
        <v>0</v>
      </c>
      <c r="CL81" s="12">
        <f t="shared" ca="1" si="162"/>
        <v>0</v>
      </c>
      <c r="CM81" s="12">
        <f t="shared" ca="1" si="162"/>
        <v>0</v>
      </c>
      <c r="CN81" s="12">
        <f t="shared" ca="1" si="162"/>
        <v>0</v>
      </c>
      <c r="CO81" s="12">
        <f t="shared" ca="1" si="158"/>
        <v>0</v>
      </c>
      <c r="CP81" s="12">
        <f t="shared" ca="1" si="158"/>
        <v>0</v>
      </c>
    </row>
    <row r="82" spans="2:94" hidden="1" outlineLevel="1">
      <c r="B82" s="17" t="s">
        <v>910</v>
      </c>
      <c r="D82" s="34">
        <v>0</v>
      </c>
      <c r="F82" s="27">
        <f t="shared" ca="1" si="153"/>
        <v>0</v>
      </c>
      <c r="G82" s="26">
        <f t="shared" ca="1" si="164"/>
        <v>0</v>
      </c>
      <c r="H82" s="22">
        <f t="shared" ca="1" si="165"/>
        <v>0</v>
      </c>
      <c r="I82" s="22">
        <f t="shared" ca="1" si="166"/>
        <v>0</v>
      </c>
      <c r="J82" s="22">
        <f t="shared" ca="1" si="166"/>
        <v>0</v>
      </c>
      <c r="L82" s="2"/>
      <c r="M82" s="12">
        <f t="shared" ca="1" si="159"/>
        <v>0</v>
      </c>
      <c r="N82" s="12">
        <f t="shared" ca="1" si="159"/>
        <v>0</v>
      </c>
      <c r="O82" s="12">
        <f t="shared" ca="1" si="159"/>
        <v>0</v>
      </c>
      <c r="P82" s="12">
        <f t="shared" ca="1" si="159"/>
        <v>0</v>
      </c>
      <c r="Q82" s="12">
        <f t="shared" ca="1" si="159"/>
        <v>0</v>
      </c>
      <c r="R82" s="12">
        <f t="shared" ca="1" si="159"/>
        <v>0</v>
      </c>
      <c r="S82" s="12">
        <f t="shared" ca="1" si="159"/>
        <v>0</v>
      </c>
      <c r="T82" s="12">
        <f t="shared" ca="1" si="159"/>
        <v>0</v>
      </c>
      <c r="U82" s="12">
        <f t="shared" ca="1" si="159"/>
        <v>0</v>
      </c>
      <c r="V82" s="12">
        <f t="shared" ca="1" si="159"/>
        <v>0</v>
      </c>
      <c r="W82" s="12">
        <f t="shared" ca="1" si="159"/>
        <v>0</v>
      </c>
      <c r="X82" s="12">
        <f t="shared" ca="1" si="159"/>
        <v>0</v>
      </c>
      <c r="Y82" s="12">
        <f t="shared" ca="1" si="159"/>
        <v>0</v>
      </c>
      <c r="Z82" s="12">
        <f t="shared" ca="1" si="159"/>
        <v>0</v>
      </c>
      <c r="AA82" s="12">
        <f t="shared" ca="1" si="159"/>
        <v>0</v>
      </c>
      <c r="AB82" s="12">
        <f t="shared" ca="1" si="159"/>
        <v>0</v>
      </c>
      <c r="AC82" s="12">
        <f t="shared" ca="1" si="159"/>
        <v>0</v>
      </c>
      <c r="AI82" s="2"/>
      <c r="AJ82" s="12">
        <f t="shared" ca="1" si="160"/>
        <v>0</v>
      </c>
      <c r="AK82" s="12">
        <f t="shared" ca="1" si="160"/>
        <v>0</v>
      </c>
      <c r="AL82" s="12">
        <f t="shared" ca="1" si="160"/>
        <v>0</v>
      </c>
      <c r="AM82" s="12">
        <f t="shared" ca="1" si="160"/>
        <v>0</v>
      </c>
      <c r="AN82" s="12">
        <f t="shared" ca="1" si="160"/>
        <v>0</v>
      </c>
      <c r="AO82" s="12">
        <f t="shared" ca="1" si="160"/>
        <v>0</v>
      </c>
      <c r="AP82" s="12">
        <f t="shared" ca="1" si="160"/>
        <v>0</v>
      </c>
      <c r="AQ82" s="12">
        <f t="shared" ca="1" si="160"/>
        <v>0</v>
      </c>
      <c r="AR82" s="12">
        <f t="shared" ca="1" si="160"/>
        <v>0</v>
      </c>
      <c r="AS82" s="12">
        <f t="shared" ca="1" si="160"/>
        <v>0</v>
      </c>
      <c r="AT82" s="12">
        <f t="shared" ca="1" si="160"/>
        <v>0</v>
      </c>
      <c r="AU82" s="12">
        <f t="shared" ca="1" si="160"/>
        <v>0</v>
      </c>
      <c r="AV82" s="12">
        <f t="shared" ca="1" si="160"/>
        <v>0</v>
      </c>
      <c r="AW82" s="12">
        <f t="shared" ca="1" si="160"/>
        <v>0</v>
      </c>
      <c r="AX82" s="12">
        <f t="shared" ca="1" si="160"/>
        <v>0</v>
      </c>
      <c r="AY82" s="12">
        <f t="shared" ca="1" si="156"/>
        <v>0</v>
      </c>
      <c r="AZ82" s="12">
        <f t="shared" ca="1" si="156"/>
        <v>0</v>
      </c>
      <c r="BD82" s="2"/>
      <c r="BE82" s="12">
        <f t="shared" ca="1" si="161"/>
        <v>0</v>
      </c>
      <c r="BF82" s="12">
        <f t="shared" ca="1" si="161"/>
        <v>0</v>
      </c>
      <c r="BG82" s="12">
        <f t="shared" ca="1" si="161"/>
        <v>0</v>
      </c>
      <c r="BH82" s="12">
        <f t="shared" ca="1" si="161"/>
        <v>0</v>
      </c>
      <c r="BI82" s="12">
        <f t="shared" ca="1" si="161"/>
        <v>0</v>
      </c>
      <c r="BJ82" s="12">
        <f t="shared" ca="1" si="161"/>
        <v>0</v>
      </c>
      <c r="BK82" s="12">
        <f t="shared" ca="1" si="161"/>
        <v>0</v>
      </c>
      <c r="BL82" s="12">
        <f t="shared" ca="1" si="161"/>
        <v>0</v>
      </c>
      <c r="BM82" s="12">
        <f t="shared" ca="1" si="161"/>
        <v>0</v>
      </c>
      <c r="BN82" s="12">
        <f t="shared" ca="1" si="161"/>
        <v>0</v>
      </c>
      <c r="BO82" s="12">
        <f t="shared" ca="1" si="161"/>
        <v>0</v>
      </c>
      <c r="BP82" s="12">
        <f t="shared" ca="1" si="161"/>
        <v>0</v>
      </c>
      <c r="BQ82" s="12">
        <f t="shared" ca="1" si="161"/>
        <v>0</v>
      </c>
      <c r="BR82" s="12">
        <f t="shared" ca="1" si="161"/>
        <v>0</v>
      </c>
      <c r="BS82" s="12">
        <f t="shared" ca="1" si="161"/>
        <v>0</v>
      </c>
      <c r="BT82" s="12">
        <f t="shared" ca="1" si="157"/>
        <v>0</v>
      </c>
      <c r="BU82" s="12">
        <f t="shared" ca="1" si="157"/>
        <v>0</v>
      </c>
      <c r="BY82" s="2"/>
      <c r="BZ82" s="12">
        <f t="shared" ca="1" si="162"/>
        <v>0</v>
      </c>
      <c r="CA82" s="12">
        <f t="shared" ca="1" si="162"/>
        <v>0</v>
      </c>
      <c r="CB82" s="12">
        <f t="shared" ca="1" si="162"/>
        <v>0</v>
      </c>
      <c r="CC82" s="12">
        <f t="shared" ca="1" si="162"/>
        <v>0</v>
      </c>
      <c r="CD82" s="12">
        <f t="shared" ca="1" si="162"/>
        <v>0</v>
      </c>
      <c r="CE82" s="12">
        <f t="shared" ca="1" si="162"/>
        <v>0</v>
      </c>
      <c r="CF82" s="12">
        <f t="shared" ca="1" si="162"/>
        <v>0</v>
      </c>
      <c r="CG82" s="12">
        <f t="shared" ca="1" si="162"/>
        <v>0</v>
      </c>
      <c r="CH82" s="12">
        <f t="shared" ca="1" si="162"/>
        <v>0</v>
      </c>
      <c r="CI82" s="12">
        <f t="shared" ca="1" si="162"/>
        <v>0</v>
      </c>
      <c r="CJ82" s="12">
        <f t="shared" ca="1" si="162"/>
        <v>0</v>
      </c>
      <c r="CK82" s="12">
        <f t="shared" ca="1" si="162"/>
        <v>0</v>
      </c>
      <c r="CL82" s="12">
        <f t="shared" ca="1" si="162"/>
        <v>0</v>
      </c>
      <c r="CM82" s="12">
        <f t="shared" ca="1" si="162"/>
        <v>0</v>
      </c>
      <c r="CN82" s="12">
        <f t="shared" ca="1" si="162"/>
        <v>0</v>
      </c>
      <c r="CO82" s="12">
        <f t="shared" ca="1" si="158"/>
        <v>0</v>
      </c>
      <c r="CP82" s="12">
        <f t="shared" ca="1" si="158"/>
        <v>0</v>
      </c>
    </row>
    <row r="83" spans="2:94" hidden="1" outlineLevel="1">
      <c r="B83" s="17" t="s">
        <v>910</v>
      </c>
      <c r="D83" s="34">
        <v>0</v>
      </c>
      <c r="F83" s="27">
        <f t="shared" ca="1" si="153"/>
        <v>0</v>
      </c>
      <c r="G83" s="26">
        <f t="shared" ca="1" si="164"/>
        <v>0</v>
      </c>
      <c r="H83" s="22">
        <f t="shared" ca="1" si="165"/>
        <v>0</v>
      </c>
      <c r="I83" s="22">
        <f t="shared" ca="1" si="166"/>
        <v>0</v>
      </c>
      <c r="J83" s="22">
        <f t="shared" ca="1" si="166"/>
        <v>0</v>
      </c>
      <c r="L83" s="2"/>
      <c r="M83" s="12">
        <f t="shared" ca="1" si="159"/>
        <v>0</v>
      </c>
      <c r="N83" s="12">
        <f t="shared" ca="1" si="159"/>
        <v>0</v>
      </c>
      <c r="O83" s="12">
        <f t="shared" ca="1" si="159"/>
        <v>0</v>
      </c>
      <c r="P83" s="12">
        <f t="shared" ca="1" si="159"/>
        <v>0</v>
      </c>
      <c r="Q83" s="12">
        <f t="shared" ca="1" si="159"/>
        <v>0</v>
      </c>
      <c r="R83" s="12">
        <f t="shared" ca="1" si="159"/>
        <v>0</v>
      </c>
      <c r="S83" s="12">
        <f t="shared" ca="1" si="159"/>
        <v>0</v>
      </c>
      <c r="T83" s="12">
        <f t="shared" ca="1" si="159"/>
        <v>0</v>
      </c>
      <c r="U83" s="12">
        <f t="shared" ca="1" si="159"/>
        <v>0</v>
      </c>
      <c r="V83" s="12">
        <f t="shared" ca="1" si="159"/>
        <v>0</v>
      </c>
      <c r="W83" s="12">
        <f t="shared" ca="1" si="159"/>
        <v>0</v>
      </c>
      <c r="X83" s="12">
        <f t="shared" ca="1" si="159"/>
        <v>0</v>
      </c>
      <c r="Y83" s="12">
        <f t="shared" ca="1" si="159"/>
        <v>0</v>
      </c>
      <c r="Z83" s="12">
        <f t="shared" ca="1" si="159"/>
        <v>0</v>
      </c>
      <c r="AA83" s="12">
        <f t="shared" ca="1" si="159"/>
        <v>0</v>
      </c>
      <c r="AB83" s="12">
        <f t="shared" ca="1" si="159"/>
        <v>0</v>
      </c>
      <c r="AC83" s="12">
        <f t="shared" ca="1" si="159"/>
        <v>0</v>
      </c>
      <c r="AI83" s="2"/>
      <c r="AJ83" s="12">
        <f t="shared" ca="1" si="160"/>
        <v>0</v>
      </c>
      <c r="AK83" s="12">
        <f t="shared" ca="1" si="160"/>
        <v>0</v>
      </c>
      <c r="AL83" s="12">
        <f t="shared" ca="1" si="160"/>
        <v>0</v>
      </c>
      <c r="AM83" s="12">
        <f t="shared" ca="1" si="160"/>
        <v>0</v>
      </c>
      <c r="AN83" s="12">
        <f t="shared" ca="1" si="160"/>
        <v>0</v>
      </c>
      <c r="AO83" s="12">
        <f t="shared" ca="1" si="160"/>
        <v>0</v>
      </c>
      <c r="AP83" s="12">
        <f t="shared" ca="1" si="160"/>
        <v>0</v>
      </c>
      <c r="AQ83" s="12">
        <f t="shared" ca="1" si="160"/>
        <v>0</v>
      </c>
      <c r="AR83" s="12">
        <f t="shared" ca="1" si="160"/>
        <v>0</v>
      </c>
      <c r="AS83" s="12">
        <f t="shared" ca="1" si="160"/>
        <v>0</v>
      </c>
      <c r="AT83" s="12">
        <f t="shared" ca="1" si="160"/>
        <v>0</v>
      </c>
      <c r="AU83" s="12">
        <f t="shared" ca="1" si="160"/>
        <v>0</v>
      </c>
      <c r="AV83" s="12">
        <f t="shared" ca="1" si="160"/>
        <v>0</v>
      </c>
      <c r="AW83" s="12">
        <f t="shared" ca="1" si="160"/>
        <v>0</v>
      </c>
      <c r="AX83" s="12">
        <f t="shared" ca="1" si="160"/>
        <v>0</v>
      </c>
      <c r="AY83" s="12">
        <f t="shared" ca="1" si="156"/>
        <v>0</v>
      </c>
      <c r="AZ83" s="12">
        <f t="shared" ca="1" si="156"/>
        <v>0</v>
      </c>
      <c r="BD83" s="2"/>
      <c r="BE83" s="12">
        <f t="shared" ca="1" si="161"/>
        <v>0</v>
      </c>
      <c r="BF83" s="12">
        <f t="shared" ca="1" si="161"/>
        <v>0</v>
      </c>
      <c r="BG83" s="12">
        <f t="shared" ca="1" si="161"/>
        <v>0</v>
      </c>
      <c r="BH83" s="12">
        <f t="shared" ca="1" si="161"/>
        <v>0</v>
      </c>
      <c r="BI83" s="12">
        <f t="shared" ca="1" si="161"/>
        <v>0</v>
      </c>
      <c r="BJ83" s="12">
        <f t="shared" ca="1" si="161"/>
        <v>0</v>
      </c>
      <c r="BK83" s="12">
        <f t="shared" ca="1" si="161"/>
        <v>0</v>
      </c>
      <c r="BL83" s="12">
        <f t="shared" ca="1" si="161"/>
        <v>0</v>
      </c>
      <c r="BM83" s="12">
        <f t="shared" ca="1" si="161"/>
        <v>0</v>
      </c>
      <c r="BN83" s="12">
        <f t="shared" ca="1" si="161"/>
        <v>0</v>
      </c>
      <c r="BO83" s="12">
        <f t="shared" ca="1" si="161"/>
        <v>0</v>
      </c>
      <c r="BP83" s="12">
        <f t="shared" ca="1" si="161"/>
        <v>0</v>
      </c>
      <c r="BQ83" s="12">
        <f t="shared" ca="1" si="161"/>
        <v>0</v>
      </c>
      <c r="BR83" s="12">
        <f t="shared" ca="1" si="161"/>
        <v>0</v>
      </c>
      <c r="BS83" s="12">
        <f t="shared" ca="1" si="161"/>
        <v>0</v>
      </c>
      <c r="BT83" s="12">
        <f t="shared" ca="1" si="157"/>
        <v>0</v>
      </c>
      <c r="BU83" s="12">
        <f t="shared" ca="1" si="157"/>
        <v>0</v>
      </c>
      <c r="BY83" s="2"/>
      <c r="BZ83" s="12">
        <f t="shared" ca="1" si="162"/>
        <v>0</v>
      </c>
      <c r="CA83" s="12">
        <f t="shared" ca="1" si="162"/>
        <v>0</v>
      </c>
      <c r="CB83" s="12">
        <f t="shared" ca="1" si="162"/>
        <v>0</v>
      </c>
      <c r="CC83" s="12">
        <f t="shared" ca="1" si="162"/>
        <v>0</v>
      </c>
      <c r="CD83" s="12">
        <f t="shared" ca="1" si="162"/>
        <v>0</v>
      </c>
      <c r="CE83" s="12">
        <f t="shared" ca="1" si="162"/>
        <v>0</v>
      </c>
      <c r="CF83" s="12">
        <f t="shared" ca="1" si="162"/>
        <v>0</v>
      </c>
      <c r="CG83" s="12">
        <f t="shared" ca="1" si="162"/>
        <v>0</v>
      </c>
      <c r="CH83" s="12">
        <f t="shared" ca="1" si="162"/>
        <v>0</v>
      </c>
      <c r="CI83" s="12">
        <f t="shared" ca="1" si="162"/>
        <v>0</v>
      </c>
      <c r="CJ83" s="12">
        <f t="shared" ca="1" si="162"/>
        <v>0</v>
      </c>
      <c r="CK83" s="12">
        <f t="shared" ca="1" si="162"/>
        <v>0</v>
      </c>
      <c r="CL83" s="12">
        <f t="shared" ca="1" si="162"/>
        <v>0</v>
      </c>
      <c r="CM83" s="12">
        <f t="shared" ca="1" si="162"/>
        <v>0</v>
      </c>
      <c r="CN83" s="12">
        <f t="shared" ca="1" si="162"/>
        <v>0</v>
      </c>
      <c r="CO83" s="12">
        <f t="shared" ca="1" si="158"/>
        <v>0</v>
      </c>
      <c r="CP83" s="12">
        <f t="shared" ca="1" si="158"/>
        <v>0</v>
      </c>
    </row>
    <row r="84" spans="2:94" collapsed="1">
      <c r="B84" s="3" t="s">
        <v>911</v>
      </c>
      <c r="C84" s="4"/>
      <c r="D84" s="4"/>
      <c r="E84" s="4"/>
      <c r="F84" s="28">
        <f ca="1">+$G84/$G$10</f>
        <v>83.686492599468906</v>
      </c>
      <c r="G84" s="23">
        <f ca="1">+SUM(G73:G83)</f>
        <v>209075721.87759775</v>
      </c>
      <c r="H84" s="9">
        <f ca="1">+SUM(H73:H83)</f>
        <v>81624624.794803187</v>
      </c>
      <c r="I84" s="9">
        <f t="shared" ref="I84:J84" ca="1" si="167">+SUM(I73:I83)</f>
        <v>67128952.665678784</v>
      </c>
      <c r="J84" s="9">
        <f t="shared" ca="1" si="167"/>
        <v>60322144.417115763</v>
      </c>
      <c r="L84" s="16">
        <f ca="1">+SUM(M84:AF84)</f>
        <v>209075721.87759769</v>
      </c>
      <c r="M84" s="32">
        <f ca="1">+SUM(M73:M83)</f>
        <v>39901758.501959339</v>
      </c>
      <c r="N84" s="32">
        <f t="shared" ref="N84:AA84" ca="1" si="168">+SUM(N73:N83)</f>
        <v>59852637.752939001</v>
      </c>
      <c r="O84" s="32">
        <f t="shared" ca="1" si="168"/>
        <v>0</v>
      </c>
      <c r="P84" s="32">
        <f t="shared" ca="1" si="168"/>
        <v>0</v>
      </c>
      <c r="Q84" s="32">
        <f t="shared" ca="1" si="168"/>
        <v>0</v>
      </c>
      <c r="R84" s="32">
        <f t="shared" ca="1" si="168"/>
        <v>0</v>
      </c>
      <c r="S84" s="32">
        <f t="shared" ca="1" si="168"/>
        <v>7946237.5042264406</v>
      </c>
      <c r="T84" s="32">
        <f t="shared" ca="1" si="168"/>
        <v>17080027.344820715</v>
      </c>
      <c r="U84" s="32">
        <f t="shared" ref="U84:V84" ca="1" si="169">+SUM(U73:U83)</f>
        <v>0</v>
      </c>
      <c r="V84" s="32">
        <f t="shared" ca="1" si="169"/>
        <v>0</v>
      </c>
      <c r="W84" s="32">
        <f t="shared" ca="1" si="168"/>
        <v>11262109.741573527</v>
      </c>
      <c r="X84" s="32">
        <f t="shared" ca="1" si="168"/>
        <v>18117790.901814617</v>
      </c>
      <c r="Y84" s="32">
        <f t="shared" ca="1" si="168"/>
        <v>20990413.446783986</v>
      </c>
      <c r="Z84" s="32">
        <f t="shared" ca="1" si="168"/>
        <v>0</v>
      </c>
      <c r="AA84" s="32">
        <f t="shared" ca="1" si="168"/>
        <v>0</v>
      </c>
      <c r="AB84" s="32">
        <f t="shared" ref="AB84:AC84" ca="1" si="170">+SUM(AB73:AB83)</f>
        <v>33924746.683480099</v>
      </c>
      <c r="AC84" s="32">
        <f t="shared" ca="1" si="170"/>
        <v>0</v>
      </c>
      <c r="AI84" s="16">
        <f ca="1">+SUM(AJ84:BA84)</f>
        <v>81624624.794803172</v>
      </c>
      <c r="AJ84" s="32">
        <f ca="1">+SUM(AJ73:AJ83)</f>
        <v>18785571.621209696</v>
      </c>
      <c r="AK84" s="32">
        <f t="shared" ref="AK84" ca="1" si="171">+SUM(AK73:AK83)</f>
        <v>28178357.43181454</v>
      </c>
      <c r="AL84" s="32">
        <f t="shared" ref="AL84" ca="1" si="172">+SUM(AL73:AL83)</f>
        <v>0</v>
      </c>
      <c r="AM84" s="32">
        <f t="shared" ref="AM84" ca="1" si="173">+SUM(AM73:AM83)</f>
        <v>0</v>
      </c>
      <c r="AN84" s="32">
        <f t="shared" ref="AN84" ca="1" si="174">+SUM(AN73:AN83)</f>
        <v>0</v>
      </c>
      <c r="AO84" s="32">
        <f t="shared" ref="AO84" ca="1" si="175">+SUM(AO73:AO83)</f>
        <v>0</v>
      </c>
      <c r="AP84" s="32">
        <f t="shared" ref="AP84" ca="1" si="176">+SUM(AP73:AP83)</f>
        <v>2795471.9674419197</v>
      </c>
      <c r="AQ84" s="32">
        <f t="shared" ref="AQ84" ca="1" si="177">+SUM(AQ73:AQ83)</f>
        <v>6150038.3283722205</v>
      </c>
      <c r="AR84" s="32">
        <f t="shared" ref="AR84" ca="1" si="178">+SUM(AR73:AR83)</f>
        <v>0</v>
      </c>
      <c r="AS84" s="32">
        <f t="shared" ref="AS84" ca="1" si="179">+SUM(AS73:AS83)</f>
        <v>0</v>
      </c>
      <c r="AT84" s="32">
        <f t="shared" ref="AT84" ca="1" si="180">+SUM(AT73:AT83)</f>
        <v>3606720.4580519106</v>
      </c>
      <c r="AU84" s="32">
        <f t="shared" ref="AU84" ca="1" si="181">+SUM(AU73:AU83)</f>
        <v>9423350.1261779964</v>
      </c>
      <c r="AV84" s="32">
        <f t="shared" ref="AV84" ca="1" si="182">+SUM(AV73:AV83)</f>
        <v>0</v>
      </c>
      <c r="AW84" s="32">
        <f t="shared" ref="AW84" ca="1" si="183">+SUM(AW73:AW83)</f>
        <v>0</v>
      </c>
      <c r="AX84" s="32">
        <f t="shared" ref="AX84:AZ84" ca="1" si="184">+SUM(AX73:AX83)</f>
        <v>0</v>
      </c>
      <c r="AY84" s="32">
        <f t="shared" ca="1" si="184"/>
        <v>12685114.861734895</v>
      </c>
      <c r="AZ84" s="32">
        <f t="shared" ca="1" si="184"/>
        <v>0</v>
      </c>
      <c r="BD84" s="16">
        <f ca="1">+SUM(BE84:BV84)</f>
        <v>67128952.665678784</v>
      </c>
      <c r="BE84" s="32">
        <f ca="1">+SUM(BE73:BE83)</f>
        <v>13637972.613932153</v>
      </c>
      <c r="BF84" s="32">
        <f t="shared" ref="BF84" ca="1" si="185">+SUM(BF73:BF83)</f>
        <v>20456958.920898229</v>
      </c>
      <c r="BG84" s="32">
        <f t="shared" ref="BG84" ca="1" si="186">+SUM(BG73:BG83)</f>
        <v>0</v>
      </c>
      <c r="BH84" s="32">
        <f t="shared" ref="BH84" ca="1" si="187">+SUM(BH73:BH83)</f>
        <v>0</v>
      </c>
      <c r="BI84" s="32">
        <f t="shared" ref="BI84" ca="1" si="188">+SUM(BI73:BI83)</f>
        <v>0</v>
      </c>
      <c r="BJ84" s="32">
        <f t="shared" ref="BJ84" ca="1" si="189">+SUM(BJ73:BJ83)</f>
        <v>0</v>
      </c>
      <c r="BK84" s="32">
        <f t="shared" ref="BK84" ca="1" si="190">+SUM(BK73:BK83)</f>
        <v>2029460.2104065705</v>
      </c>
      <c r="BL84" s="32">
        <f t="shared" ref="BL84" ca="1" si="191">+SUM(BL73:BL83)</f>
        <v>4464812.4628944555</v>
      </c>
      <c r="BM84" s="32">
        <f t="shared" ref="BM84" ca="1" si="192">+SUM(BM73:BM83)</f>
        <v>0</v>
      </c>
      <c r="BN84" s="32">
        <f t="shared" ref="BN84" ca="1" si="193">+SUM(BN73:BN83)</f>
        <v>0</v>
      </c>
      <c r="BO84" s="32">
        <f t="shared" ref="BO84" ca="1" si="194">+SUM(BO73:BO83)</f>
        <v>6668725.535773878</v>
      </c>
      <c r="BP84" s="32">
        <f t="shared" ref="BP84" ca="1" si="195">+SUM(BP73:BP83)</f>
        <v>5409997.0005852664</v>
      </c>
      <c r="BQ84" s="32">
        <f t="shared" ref="BQ84" ca="1" si="196">+SUM(BQ73:BQ83)</f>
        <v>0</v>
      </c>
      <c r="BR84" s="32">
        <f t="shared" ref="BR84" ca="1" si="197">+SUM(BR73:BR83)</f>
        <v>0</v>
      </c>
      <c r="BS84" s="32">
        <f t="shared" ref="BS84:BU84" ca="1" si="198">+SUM(BS73:BS83)</f>
        <v>0</v>
      </c>
      <c r="BT84" s="32">
        <f t="shared" ca="1" si="198"/>
        <v>14461025.921188226</v>
      </c>
      <c r="BU84" s="32">
        <f t="shared" ca="1" si="198"/>
        <v>0</v>
      </c>
      <c r="BY84" s="16">
        <f ca="1">+SUM(BZ84:CQ84)</f>
        <v>60322144.41711577</v>
      </c>
      <c r="BZ84" s="32">
        <f ca="1">+SUM(BZ73:BZ83)</f>
        <v>7478214.2668174878</v>
      </c>
      <c r="CA84" s="32">
        <f t="shared" ref="CA84" ca="1" si="199">+SUM(CA73:CA83)</f>
        <v>11217321.40022623</v>
      </c>
      <c r="CB84" s="32">
        <f t="shared" ref="CB84" ca="1" si="200">+SUM(CB73:CB83)</f>
        <v>0</v>
      </c>
      <c r="CC84" s="32">
        <f t="shared" ref="CC84" ca="1" si="201">+SUM(CC73:CC83)</f>
        <v>0</v>
      </c>
      <c r="CD84" s="32">
        <f t="shared" ref="CD84" ca="1" si="202">+SUM(CD73:CD83)</f>
        <v>0</v>
      </c>
      <c r="CE84" s="32">
        <f t="shared" ref="CE84" ca="1" si="203">+SUM(CE73:CE83)</f>
        <v>0</v>
      </c>
      <c r="CF84" s="32">
        <f t="shared" ref="CF84" ca="1" si="204">+SUM(CF73:CF83)</f>
        <v>3121305.3263779506</v>
      </c>
      <c r="CG84" s="32">
        <f t="shared" ref="CG84" ca="1" si="205">+SUM(CG73:CG83)</f>
        <v>6465176.5535540413</v>
      </c>
      <c r="CH84" s="32">
        <f t="shared" ref="CH84" ca="1" si="206">+SUM(CH73:CH83)</f>
        <v>0</v>
      </c>
      <c r="CI84" s="32">
        <f t="shared" ref="CI84" ca="1" si="207">+SUM(CI73:CI83)</f>
        <v>0</v>
      </c>
      <c r="CJ84" s="32">
        <f t="shared" ref="CJ84" ca="1" si="208">+SUM(CJ73:CJ83)</f>
        <v>986663.74774773815</v>
      </c>
      <c r="CK84" s="32">
        <f t="shared" ref="CK84" ca="1" si="209">+SUM(CK73:CK83)</f>
        <v>3284443.7750513554</v>
      </c>
      <c r="CL84" s="32">
        <f t="shared" ref="CL84" ca="1" si="210">+SUM(CL73:CL83)</f>
        <v>20990413.446783986</v>
      </c>
      <c r="CM84" s="32">
        <f t="shared" ref="CM84" ca="1" si="211">+SUM(CM73:CM83)</f>
        <v>0</v>
      </c>
      <c r="CN84" s="32">
        <f t="shared" ref="CN84:CP84" ca="1" si="212">+SUM(CN73:CN83)</f>
        <v>0</v>
      </c>
      <c r="CO84" s="32">
        <f t="shared" ca="1" si="212"/>
        <v>6778605.9005569797</v>
      </c>
      <c r="CP84" s="32">
        <f t="shared" ca="1" si="212"/>
        <v>0</v>
      </c>
    </row>
    <row r="85" spans="2:94">
      <c r="L85" s="177">
        <f ca="1">L84-G84</f>
        <v>0</v>
      </c>
      <c r="AI85" s="177"/>
      <c r="BD85" s="177"/>
      <c r="BY85" s="177"/>
    </row>
    <row r="86" spans="2:94" ht="68.25" customHeight="1">
      <c r="B86" s="548" t="s">
        <v>347</v>
      </c>
      <c r="C86" s="549"/>
      <c r="D86" s="544"/>
      <c r="E86" s="550"/>
      <c r="F86" s="547" t="s">
        <v>901</v>
      </c>
      <c r="G86" s="544" t="s">
        <v>258</v>
      </c>
      <c r="H86" s="544" t="str">
        <f>+H$4</f>
        <v>I</v>
      </c>
      <c r="I86" s="544" t="str">
        <f t="shared" ref="I86:J86" si="213">+I$4</f>
        <v>II</v>
      </c>
      <c r="J86" s="544" t="str">
        <f t="shared" si="213"/>
        <v>III</v>
      </c>
      <c r="L86" s="2"/>
      <c r="M86" s="546" t="str">
        <f ca="1">+M$48</f>
        <v xml:space="preserve">Standard Affordable Residential </v>
      </c>
      <c r="N86" s="546" t="str">
        <f t="shared" ref="N86:AC86" ca="1" si="214">+N$48</f>
        <v xml:space="preserve">Standard Market-Rate Residential </v>
      </c>
      <c r="O86" s="546" t="str">
        <f t="shared" ca="1" si="214"/>
        <v>Affordable Multi-Bedroom Residential</v>
      </c>
      <c r="P86" s="546" t="str">
        <f t="shared" ca="1" si="214"/>
        <v>Market-Rate Multi-Bedroom Residential</v>
      </c>
      <c r="Q86" s="546" t="str">
        <f t="shared" ca="1" si="214"/>
        <v xml:space="preserve">Affordable Senior Living Residential </v>
      </c>
      <c r="R86" s="546" t="str">
        <f t="shared" ca="1" si="214"/>
        <v xml:space="preserve">Market-Rate Senior Living Residential </v>
      </c>
      <c r="S86" s="546" t="str">
        <f t="shared" ca="1" si="214"/>
        <v>Affordable For-Sale Residential</v>
      </c>
      <c r="T86" s="546" t="str">
        <f t="shared" ca="1" si="214"/>
        <v xml:space="preserve">Market-Rate For-Sale Residential </v>
      </c>
      <c r="U86" s="546" t="str">
        <f t="shared" ca="1" si="214"/>
        <v xml:space="preserve">Affordable Student Housing </v>
      </c>
      <c r="V86" s="546" t="str">
        <f t="shared" ca="1" si="214"/>
        <v xml:space="preserve">Market-Rate Student Housing </v>
      </c>
      <c r="W86" s="546" t="str">
        <f t="shared" si="214"/>
        <v xml:space="preserve">Office </v>
      </c>
      <c r="X86" s="546" t="str">
        <f t="shared" ca="1" si="214"/>
        <v xml:space="preserve">Retail </v>
      </c>
      <c r="Y86" s="546" t="str">
        <f t="shared" ca="1" si="214"/>
        <v xml:space="preserve">Hotel </v>
      </c>
      <c r="Z86" s="546" t="str">
        <f t="shared" ca="1" si="214"/>
        <v xml:space="preserve">Specialty - Data Center </v>
      </c>
      <c r="AA86" s="546" t="str">
        <f t="shared" ca="1" si="214"/>
        <v xml:space="preserve">Community Facility </v>
      </c>
      <c r="AB86" s="546" t="str">
        <f t="shared" ca="1" si="214"/>
        <v xml:space="preserve">Structural Parking </v>
      </c>
      <c r="AC86" s="546" t="str">
        <f t="shared" ca="1" si="214"/>
        <v xml:space="preserve">Surface Parking </v>
      </c>
      <c r="AI86" s="2"/>
      <c r="AJ86" s="546" t="str">
        <f ca="1">+AJ$48</f>
        <v xml:space="preserve">Standard Affordable Residential </v>
      </c>
      <c r="AK86" s="546" t="str">
        <f t="shared" ref="AK86:AZ86" ca="1" si="215">+AK$48</f>
        <v xml:space="preserve">Standard Market-Rate Residential </v>
      </c>
      <c r="AL86" s="546" t="str">
        <f t="shared" ca="1" si="215"/>
        <v>Affordable Multi-Bedroom Residential</v>
      </c>
      <c r="AM86" s="546" t="str">
        <f t="shared" ca="1" si="215"/>
        <v>Market-Rate Multi-Bedroom Residential</v>
      </c>
      <c r="AN86" s="546" t="str">
        <f t="shared" ca="1" si="215"/>
        <v xml:space="preserve">Affordable Senior Living Residential </v>
      </c>
      <c r="AO86" s="546" t="str">
        <f t="shared" ca="1" si="215"/>
        <v xml:space="preserve">Market-Rate Senior Living Residential </v>
      </c>
      <c r="AP86" s="546" t="str">
        <f t="shared" ca="1" si="215"/>
        <v>Affordable For-Sale Residential</v>
      </c>
      <c r="AQ86" s="546" t="str">
        <f t="shared" ca="1" si="215"/>
        <v xml:space="preserve">Market-Rate For-Sale Residential </v>
      </c>
      <c r="AR86" s="546" t="str">
        <f t="shared" ca="1" si="215"/>
        <v xml:space="preserve">Affordable Student Housing </v>
      </c>
      <c r="AS86" s="546" t="str">
        <f t="shared" ca="1" si="215"/>
        <v xml:space="preserve">Market-Rate Student Housing </v>
      </c>
      <c r="AT86" s="546" t="str">
        <f t="shared" si="215"/>
        <v xml:space="preserve">Office </v>
      </c>
      <c r="AU86" s="546" t="str">
        <f t="shared" ca="1" si="215"/>
        <v xml:space="preserve">Retail </v>
      </c>
      <c r="AV86" s="546" t="str">
        <f t="shared" ca="1" si="215"/>
        <v xml:space="preserve">Hotel </v>
      </c>
      <c r="AW86" s="546" t="str">
        <f t="shared" ca="1" si="215"/>
        <v xml:space="preserve">Specialty - Data Center </v>
      </c>
      <c r="AX86" s="546" t="str">
        <f t="shared" ca="1" si="215"/>
        <v xml:space="preserve">Community Facility </v>
      </c>
      <c r="AY86" s="546" t="str">
        <f t="shared" ca="1" si="215"/>
        <v xml:space="preserve">Structural Parking </v>
      </c>
      <c r="AZ86" s="546" t="str">
        <f t="shared" ca="1" si="215"/>
        <v xml:space="preserve">Surface Parking </v>
      </c>
      <c r="BD86" s="2"/>
      <c r="BE86" s="546" t="str">
        <f ca="1">+BE$48</f>
        <v xml:space="preserve">Standard Affordable Residential </v>
      </c>
      <c r="BF86" s="546" t="str">
        <f t="shared" ref="BF86:BU86" ca="1" si="216">+BF$48</f>
        <v xml:space="preserve">Standard Market-Rate Residential </v>
      </c>
      <c r="BG86" s="546" t="str">
        <f t="shared" ca="1" si="216"/>
        <v>Affordable Multi-Bedroom Residential</v>
      </c>
      <c r="BH86" s="546" t="str">
        <f t="shared" ca="1" si="216"/>
        <v>Market-Rate Multi-Bedroom Residential</v>
      </c>
      <c r="BI86" s="546" t="str">
        <f t="shared" ca="1" si="216"/>
        <v xml:space="preserve">Affordable Senior Living Residential </v>
      </c>
      <c r="BJ86" s="546" t="str">
        <f t="shared" ca="1" si="216"/>
        <v xml:space="preserve">Market-Rate Senior Living Residential </v>
      </c>
      <c r="BK86" s="546" t="str">
        <f t="shared" ca="1" si="216"/>
        <v>Affordable For-Sale Residential</v>
      </c>
      <c r="BL86" s="546" t="str">
        <f t="shared" ca="1" si="216"/>
        <v xml:space="preserve">Market-Rate For-Sale Residential </v>
      </c>
      <c r="BM86" s="546" t="str">
        <f t="shared" ca="1" si="216"/>
        <v xml:space="preserve">Affordable Student Housing </v>
      </c>
      <c r="BN86" s="546" t="str">
        <f t="shared" ca="1" si="216"/>
        <v xml:space="preserve">Market-Rate Student Housing </v>
      </c>
      <c r="BO86" s="546" t="str">
        <f t="shared" si="216"/>
        <v xml:space="preserve">Office </v>
      </c>
      <c r="BP86" s="546" t="str">
        <f t="shared" ca="1" si="216"/>
        <v xml:space="preserve">Retail </v>
      </c>
      <c r="BQ86" s="546" t="str">
        <f t="shared" ca="1" si="216"/>
        <v xml:space="preserve">Hotel </v>
      </c>
      <c r="BR86" s="546" t="str">
        <f t="shared" ca="1" si="216"/>
        <v xml:space="preserve">Specialty - Data Center </v>
      </c>
      <c r="BS86" s="546" t="str">
        <f t="shared" ca="1" si="216"/>
        <v xml:space="preserve">Community Facility </v>
      </c>
      <c r="BT86" s="546" t="str">
        <f t="shared" ca="1" si="216"/>
        <v xml:space="preserve">Structural Parking </v>
      </c>
      <c r="BU86" s="546" t="str">
        <f t="shared" ca="1" si="216"/>
        <v xml:space="preserve">Surface Parking </v>
      </c>
      <c r="BY86" s="2"/>
      <c r="BZ86" s="546" t="str">
        <f ca="1">+BZ$48</f>
        <v xml:space="preserve">Standard Affordable Residential </v>
      </c>
      <c r="CA86" s="546" t="str">
        <f t="shared" ref="CA86:CP86" ca="1" si="217">+CA$48</f>
        <v xml:space="preserve">Standard Market-Rate Residential </v>
      </c>
      <c r="CB86" s="546" t="str">
        <f t="shared" ca="1" si="217"/>
        <v>Affordable Multi-Bedroom Residential</v>
      </c>
      <c r="CC86" s="546" t="str">
        <f t="shared" ca="1" si="217"/>
        <v>Market-Rate Multi-Bedroom Residential</v>
      </c>
      <c r="CD86" s="546" t="str">
        <f t="shared" ca="1" si="217"/>
        <v xml:space="preserve">Affordable Senior Living Residential </v>
      </c>
      <c r="CE86" s="546" t="str">
        <f t="shared" ca="1" si="217"/>
        <v xml:space="preserve">Market-Rate Senior Living Residential </v>
      </c>
      <c r="CF86" s="546" t="str">
        <f t="shared" ca="1" si="217"/>
        <v>Affordable For-Sale Residential</v>
      </c>
      <c r="CG86" s="546" t="str">
        <f t="shared" ca="1" si="217"/>
        <v xml:space="preserve">Market-Rate For-Sale Residential </v>
      </c>
      <c r="CH86" s="546" t="str">
        <f t="shared" ca="1" si="217"/>
        <v xml:space="preserve">Affordable Student Housing </v>
      </c>
      <c r="CI86" s="546" t="str">
        <f t="shared" ca="1" si="217"/>
        <v xml:space="preserve">Market-Rate Student Housing </v>
      </c>
      <c r="CJ86" s="546" t="str">
        <f t="shared" si="217"/>
        <v xml:space="preserve">Office </v>
      </c>
      <c r="CK86" s="546" t="str">
        <f t="shared" ca="1" si="217"/>
        <v xml:space="preserve">Retail </v>
      </c>
      <c r="CL86" s="546" t="str">
        <f t="shared" ca="1" si="217"/>
        <v xml:space="preserve">Hotel </v>
      </c>
      <c r="CM86" s="546" t="str">
        <f t="shared" ca="1" si="217"/>
        <v xml:space="preserve">Specialty - Data Center </v>
      </c>
      <c r="CN86" s="546" t="str">
        <f t="shared" ca="1" si="217"/>
        <v xml:space="preserve">Community Facility </v>
      </c>
      <c r="CO86" s="546" t="str">
        <f t="shared" ca="1" si="217"/>
        <v xml:space="preserve">Structural Parking </v>
      </c>
      <c r="CP86" s="546" t="str">
        <f t="shared" ca="1" si="217"/>
        <v xml:space="preserve">Surface Parking </v>
      </c>
    </row>
    <row r="87" spans="2:94">
      <c r="B87" s="1" t="s">
        <v>912</v>
      </c>
      <c r="F87" s="27">
        <f t="shared" ref="F87:F97" ca="1" si="218">+$G87/$G$10</f>
        <v>2.592975383121634</v>
      </c>
      <c r="G87" s="16">
        <f ca="1">+SUM(H87:J87)</f>
        <v>6478084.8521358222</v>
      </c>
      <c r="H87" s="22">
        <f ca="1">+Assumptions!N139*'S&amp;U'!H17</f>
        <v>2752190.1829116293</v>
      </c>
      <c r="I87" s="22">
        <f ca="1">+Assumptions!O139*'S&amp;U'!I17</f>
        <v>2496405.3278637761</v>
      </c>
      <c r="J87" s="22">
        <f ca="1">+Assumptions!P139*'S&amp;U'!J17</f>
        <v>1229489.3413604184</v>
      </c>
      <c r="L87" s="2"/>
      <c r="M87" s="12">
        <f ca="1">+$H87*M$5+$I87*M$6+$J87*M$7</f>
        <v>1292998.3694972007</v>
      </c>
      <c r="N87" s="12">
        <f t="shared" ref="M87:AC96" ca="1" si="219">+$H87*N$5+$I87*N$6+$J87*N$7</f>
        <v>1939497.5542458009</v>
      </c>
      <c r="O87" s="12">
        <f t="shared" ca="1" si="219"/>
        <v>0</v>
      </c>
      <c r="P87" s="12">
        <f t="shared" ca="1" si="219"/>
        <v>0</v>
      </c>
      <c r="Q87" s="12">
        <f ca="1">+$H87*Q$5+$I87*Q$6+$J87*Q$7</f>
        <v>0</v>
      </c>
      <c r="R87" s="12">
        <f t="shared" ca="1" si="219"/>
        <v>0</v>
      </c>
      <c r="S87" s="12">
        <f t="shared" ca="1" si="219"/>
        <v>233347.33886434184</v>
      </c>
      <c r="T87" s="12">
        <f t="shared" ca="1" si="219"/>
        <v>505176.77205895743</v>
      </c>
      <c r="U87" s="12">
        <f t="shared" ca="1" si="219"/>
        <v>0</v>
      </c>
      <c r="V87" s="12">
        <f t="shared" ca="1" si="219"/>
        <v>0</v>
      </c>
      <c r="W87" s="12">
        <f ca="1">+$H87*W$5+$I87*W$6+$J87*W$7</f>
        <v>389718.29845840367</v>
      </c>
      <c r="X87" s="12">
        <f t="shared" ca="1" si="219"/>
        <v>585864.98262684187</v>
      </c>
      <c r="Y87" s="12">
        <f t="shared" ca="1" si="219"/>
        <v>427827.78783717623</v>
      </c>
      <c r="Z87" s="12">
        <f ca="1">+$H87*Z$5+$I87*Z$6+$J87*Z$7</f>
        <v>0</v>
      </c>
      <c r="AA87" s="12">
        <f t="shared" ca="1" si="219"/>
        <v>0</v>
      </c>
      <c r="AB87" s="12">
        <f t="shared" ca="1" si="219"/>
        <v>1103653.7485471009</v>
      </c>
      <c r="AC87" s="12">
        <f t="shared" ca="1" si="219"/>
        <v>0</v>
      </c>
      <c r="AI87" s="2"/>
      <c r="AJ87" s="12">
        <f t="shared" ref="AJ87:AY96" ca="1" si="220">+$H87*AJ$5+$I87*AJ$6+$J87*AJ$7</f>
        <v>633405.24904401542</v>
      </c>
      <c r="AK87" s="12">
        <f t="shared" ca="1" si="220"/>
        <v>950107.87356602307</v>
      </c>
      <c r="AL87" s="12">
        <f t="shared" ca="1" si="220"/>
        <v>0</v>
      </c>
      <c r="AM87" s="12">
        <f t="shared" ca="1" si="220"/>
        <v>0</v>
      </c>
      <c r="AN87" s="12">
        <f t="shared" ca="1" si="220"/>
        <v>0</v>
      </c>
      <c r="AO87" s="12">
        <f t="shared" ca="1" si="220"/>
        <v>0</v>
      </c>
      <c r="AP87" s="12">
        <f t="shared" ca="1" si="220"/>
        <v>94256.7334886928</v>
      </c>
      <c r="AQ87" s="12">
        <f t="shared" ca="1" si="220"/>
        <v>207364.81367512405</v>
      </c>
      <c r="AR87" s="12">
        <f t="shared" ca="1" si="220"/>
        <v>0</v>
      </c>
      <c r="AS87" s="12">
        <f t="shared" ca="1" si="220"/>
        <v>0</v>
      </c>
      <c r="AT87" s="12">
        <f t="shared" ca="1" si="220"/>
        <v>121610.12270636483</v>
      </c>
      <c r="AU87" s="12">
        <f t="shared" ca="1" si="220"/>
        <v>317733.181286946</v>
      </c>
      <c r="AV87" s="12">
        <f t="shared" ca="1" si="220"/>
        <v>0</v>
      </c>
      <c r="AW87" s="12">
        <f t="shared" ca="1" si="220"/>
        <v>0</v>
      </c>
      <c r="AX87" s="12">
        <f t="shared" ca="1" si="220"/>
        <v>0</v>
      </c>
      <c r="AY87" s="12">
        <f t="shared" ca="1" si="220"/>
        <v>427712.20914446318</v>
      </c>
      <c r="AZ87" s="12">
        <f t="shared" ref="AY87:AZ96" ca="1" si="221">+$H87*AZ$5+$I87*AZ$6+$J87*AZ$7</f>
        <v>0</v>
      </c>
      <c r="BD87" s="2"/>
      <c r="BE87" s="12">
        <f t="shared" ref="BE87:BT96" ca="1" si="222">+$H87*BE$5+$I87*BE$6+$J87*BE$7</f>
        <v>507171.73652684217</v>
      </c>
      <c r="BF87" s="12">
        <f t="shared" ca="1" si="222"/>
        <v>760757.60479026323</v>
      </c>
      <c r="BG87" s="12">
        <f t="shared" ca="1" si="222"/>
        <v>0</v>
      </c>
      <c r="BH87" s="12">
        <f t="shared" ca="1" si="222"/>
        <v>0</v>
      </c>
      <c r="BI87" s="12">
        <f t="shared" ca="1" si="222"/>
        <v>0</v>
      </c>
      <c r="BJ87" s="12">
        <f t="shared" ca="1" si="222"/>
        <v>0</v>
      </c>
      <c r="BK87" s="12">
        <f t="shared" ca="1" si="222"/>
        <v>75471.984602208657</v>
      </c>
      <c r="BL87" s="12">
        <f t="shared" ca="1" si="222"/>
        <v>166038.36612485905</v>
      </c>
      <c r="BM87" s="12">
        <f t="shared" ca="1" si="222"/>
        <v>0</v>
      </c>
      <c r="BN87" s="12">
        <f t="shared" ca="1" si="222"/>
        <v>0</v>
      </c>
      <c r="BO87" s="12">
        <f t="shared" ca="1" si="222"/>
        <v>247997.93973366602</v>
      </c>
      <c r="BP87" s="12">
        <f t="shared" ca="1" si="222"/>
        <v>201188.08352708185</v>
      </c>
      <c r="BQ87" s="12">
        <f t="shared" ca="1" si="222"/>
        <v>0</v>
      </c>
      <c r="BR87" s="12">
        <f t="shared" ca="1" si="222"/>
        <v>0</v>
      </c>
      <c r="BS87" s="12">
        <f t="shared" ca="1" si="222"/>
        <v>0</v>
      </c>
      <c r="BT87" s="12">
        <f t="shared" ca="1" si="222"/>
        <v>537779.61255885509</v>
      </c>
      <c r="BU87" s="12">
        <f t="shared" ref="BT87:BU96" ca="1" si="223">+$H87*BU$5+$I87*BU$6+$J87*BU$7</f>
        <v>0</v>
      </c>
      <c r="BY87" s="2"/>
      <c r="BZ87" s="12">
        <f t="shared" ref="BZ87:CO96" ca="1" si="224">+$H87*BZ$5+$I87*BZ$6+$J87*BZ$7</f>
        <v>152421.38392634309</v>
      </c>
      <c r="CA87" s="12">
        <f t="shared" ca="1" si="224"/>
        <v>228632.07588951461</v>
      </c>
      <c r="CB87" s="12">
        <f t="shared" ca="1" si="224"/>
        <v>0</v>
      </c>
      <c r="CC87" s="12">
        <f t="shared" ca="1" si="224"/>
        <v>0</v>
      </c>
      <c r="CD87" s="12">
        <f t="shared" ca="1" si="224"/>
        <v>0</v>
      </c>
      <c r="CE87" s="12">
        <f t="shared" ca="1" si="224"/>
        <v>0</v>
      </c>
      <c r="CF87" s="12">
        <f t="shared" ca="1" si="224"/>
        <v>63618.620773440387</v>
      </c>
      <c r="CG87" s="12">
        <f t="shared" ca="1" si="224"/>
        <v>131773.59225897433</v>
      </c>
      <c r="CH87" s="12">
        <f t="shared" ca="1" si="224"/>
        <v>0</v>
      </c>
      <c r="CI87" s="12">
        <f t="shared" ca="1" si="224"/>
        <v>0</v>
      </c>
      <c r="CJ87" s="12">
        <f t="shared" ca="1" si="224"/>
        <v>20110.236018372823</v>
      </c>
      <c r="CK87" s="12">
        <f t="shared" ca="1" si="224"/>
        <v>66943.717812814095</v>
      </c>
      <c r="CL87" s="12">
        <f t="shared" ca="1" si="224"/>
        <v>427827.78783717623</v>
      </c>
      <c r="CM87" s="12">
        <f t="shared" ca="1" si="224"/>
        <v>0</v>
      </c>
      <c r="CN87" s="12">
        <f t="shared" ca="1" si="224"/>
        <v>0</v>
      </c>
      <c r="CO87" s="12">
        <f t="shared" ca="1" si="224"/>
        <v>138161.92684378274</v>
      </c>
      <c r="CP87" s="12">
        <f t="shared" ref="CO87:CP96" ca="1" si="225">+$H87*CP$5+$I87*CP$6+$J87*CP$7</f>
        <v>0</v>
      </c>
    </row>
    <row r="88" spans="2:94">
      <c r="B88" s="1" t="s">
        <v>913</v>
      </c>
      <c r="F88" s="27">
        <f t="shared" ca="1" si="218"/>
        <v>20.434591725140866</v>
      </c>
      <c r="G88" s="16">
        <f ca="1">+SUM(H88:J88)</f>
        <v>51052169.633345649</v>
      </c>
      <c r="H88" s="22">
        <f ca="1">++Assumptions!N138*'S&amp;U'!H17*Assumptions!N140*(Assumptions!F30/12)</f>
        <v>26833854.283388384</v>
      </c>
      <c r="I88" s="22">
        <f ca="1">++Assumptions!O138*'S&amp;U'!I17*Assumptions!O140*(Assumptions!G30/12)</f>
        <v>16226634.631114546</v>
      </c>
      <c r="J88" s="22">
        <f ca="1">++Assumptions!P138*'S&amp;U'!J17*Assumptions!P140*(Assumptions!H30/12)</f>
        <v>7991680.7188427206</v>
      </c>
      <c r="L88" s="2"/>
      <c r="M88" s="12">
        <f ca="1">+$H88*M$5+$I88*M$6+$J88*M$7</f>
        <v>10463056.461124854</v>
      </c>
      <c r="N88" s="12">
        <f t="shared" ca="1" si="219"/>
        <v>15694584.691687282</v>
      </c>
      <c r="O88" s="12">
        <f t="shared" ca="1" si="219"/>
        <v>0</v>
      </c>
      <c r="P88" s="12">
        <f t="shared" ca="1" si="219"/>
        <v>0</v>
      </c>
      <c r="Q88" s="12">
        <f t="shared" ca="1" si="219"/>
        <v>0</v>
      </c>
      <c r="R88" s="12">
        <f t="shared" ca="1" si="219"/>
        <v>0</v>
      </c>
      <c r="S88" s="12">
        <f t="shared" ca="1" si="219"/>
        <v>1823092.0864564737</v>
      </c>
      <c r="T88" s="12">
        <f t="shared" ca="1" si="219"/>
        <v>3957584.6628273763</v>
      </c>
      <c r="U88" s="12">
        <f t="shared" ca="1" si="219"/>
        <v>0</v>
      </c>
      <c r="V88" s="12">
        <f t="shared" ca="1" si="219"/>
        <v>0</v>
      </c>
      <c r="W88" s="12">
        <f ca="1">+$H88*W$5+$I88*W$6+$J88*W$7</f>
        <v>2928401.8387753097</v>
      </c>
      <c r="X88" s="12">
        <f t="shared" ca="1" si="219"/>
        <v>4840755.2262570467</v>
      </c>
      <c r="Y88" s="12">
        <f t="shared" ca="1" si="219"/>
        <v>2780880.6209416459</v>
      </c>
      <c r="Z88" s="12">
        <f t="shared" ca="1" si="219"/>
        <v>0</v>
      </c>
      <c r="AA88" s="12">
        <f t="shared" ca="1" si="219"/>
        <v>0</v>
      </c>
      <c r="AB88" s="12">
        <f t="shared" ca="1" si="219"/>
        <v>8563814.0452756621</v>
      </c>
      <c r="AC88" s="12">
        <f t="shared" ca="1" si="219"/>
        <v>0</v>
      </c>
      <c r="AI88" s="2"/>
      <c r="AJ88" s="12">
        <f t="shared" ca="1" si="220"/>
        <v>6175701.1781791495</v>
      </c>
      <c r="AK88" s="12">
        <f t="shared" ca="1" si="220"/>
        <v>9263551.7672687247</v>
      </c>
      <c r="AL88" s="12">
        <f t="shared" ca="1" si="220"/>
        <v>0</v>
      </c>
      <c r="AM88" s="12">
        <f t="shared" ca="1" si="220"/>
        <v>0</v>
      </c>
      <c r="AN88" s="12">
        <f t="shared" ca="1" si="220"/>
        <v>0</v>
      </c>
      <c r="AO88" s="12">
        <f t="shared" ca="1" si="220"/>
        <v>0</v>
      </c>
      <c r="AP88" s="12">
        <f t="shared" ca="1" si="220"/>
        <v>919003.15151475463</v>
      </c>
      <c r="AQ88" s="12">
        <f t="shared" ca="1" si="220"/>
        <v>2021806.9333324593</v>
      </c>
      <c r="AR88" s="12">
        <f t="shared" ca="1" si="220"/>
        <v>0</v>
      </c>
      <c r="AS88" s="12">
        <f t="shared" ca="1" si="220"/>
        <v>0</v>
      </c>
      <c r="AT88" s="12">
        <f t="shared" ca="1" si="220"/>
        <v>1185698.696387057</v>
      </c>
      <c r="AU88" s="12">
        <f t="shared" ca="1" si="220"/>
        <v>3097898.5175477229</v>
      </c>
      <c r="AV88" s="12">
        <f t="shared" ca="1" si="220"/>
        <v>0</v>
      </c>
      <c r="AW88" s="12">
        <f t="shared" ca="1" si="220"/>
        <v>0</v>
      </c>
      <c r="AX88" s="12">
        <f t="shared" ca="1" si="220"/>
        <v>0</v>
      </c>
      <c r="AY88" s="12">
        <f t="shared" ca="1" si="221"/>
        <v>4170194.0391585156</v>
      </c>
      <c r="AZ88" s="12">
        <f t="shared" ca="1" si="221"/>
        <v>0</v>
      </c>
      <c r="BD88" s="2"/>
      <c r="BE88" s="12">
        <f t="shared" ca="1" si="222"/>
        <v>3296616.2874244745</v>
      </c>
      <c r="BF88" s="12">
        <f t="shared" ca="1" si="222"/>
        <v>4944924.4311367115</v>
      </c>
      <c r="BG88" s="12">
        <f t="shared" ca="1" si="222"/>
        <v>0</v>
      </c>
      <c r="BH88" s="12">
        <f t="shared" ca="1" si="222"/>
        <v>0</v>
      </c>
      <c r="BI88" s="12">
        <f t="shared" ca="1" si="222"/>
        <v>0</v>
      </c>
      <c r="BJ88" s="12">
        <f t="shared" ca="1" si="222"/>
        <v>0</v>
      </c>
      <c r="BK88" s="12">
        <f t="shared" ca="1" si="222"/>
        <v>490567.8999143563</v>
      </c>
      <c r="BL88" s="12">
        <f t="shared" ca="1" si="222"/>
        <v>1079249.379811584</v>
      </c>
      <c r="BM88" s="12">
        <f t="shared" ca="1" si="222"/>
        <v>0</v>
      </c>
      <c r="BN88" s="12">
        <f t="shared" ca="1" si="222"/>
        <v>0</v>
      </c>
      <c r="BO88" s="12">
        <f t="shared" ca="1" si="222"/>
        <v>1611986.6082688293</v>
      </c>
      <c r="BP88" s="12">
        <f t="shared" ca="1" si="222"/>
        <v>1307722.5429260321</v>
      </c>
      <c r="BQ88" s="12">
        <f t="shared" ca="1" si="222"/>
        <v>0</v>
      </c>
      <c r="BR88" s="12">
        <f t="shared" ca="1" si="222"/>
        <v>0</v>
      </c>
      <c r="BS88" s="12">
        <f t="shared" ca="1" si="222"/>
        <v>0</v>
      </c>
      <c r="BT88" s="12">
        <f t="shared" ca="1" si="223"/>
        <v>3495567.4816325582</v>
      </c>
      <c r="BU88" s="12">
        <f t="shared" ca="1" si="223"/>
        <v>0</v>
      </c>
      <c r="BY88" s="2"/>
      <c r="BZ88" s="12">
        <f t="shared" ca="1" si="224"/>
        <v>990738.99552123027</v>
      </c>
      <c r="CA88" s="12">
        <f t="shared" ca="1" si="224"/>
        <v>1486108.4932818452</v>
      </c>
      <c r="CB88" s="12">
        <f t="shared" ca="1" si="224"/>
        <v>0</v>
      </c>
      <c r="CC88" s="12">
        <f t="shared" ca="1" si="224"/>
        <v>0</v>
      </c>
      <c r="CD88" s="12">
        <f t="shared" ca="1" si="224"/>
        <v>0</v>
      </c>
      <c r="CE88" s="12">
        <f t="shared" ca="1" si="224"/>
        <v>0</v>
      </c>
      <c r="CF88" s="12">
        <f t="shared" ca="1" si="224"/>
        <v>413521.03502736258</v>
      </c>
      <c r="CG88" s="12">
        <f t="shared" ca="1" si="224"/>
        <v>856528.3496833333</v>
      </c>
      <c r="CH88" s="12">
        <f t="shared" ca="1" si="224"/>
        <v>0</v>
      </c>
      <c r="CI88" s="12">
        <f t="shared" ca="1" si="224"/>
        <v>0</v>
      </c>
      <c r="CJ88" s="12">
        <f t="shared" ca="1" si="224"/>
        <v>130716.53411942338</v>
      </c>
      <c r="CK88" s="12">
        <f t="shared" ca="1" si="224"/>
        <v>435134.16578329168</v>
      </c>
      <c r="CL88" s="12">
        <f t="shared" ca="1" si="224"/>
        <v>2780880.6209416459</v>
      </c>
      <c r="CM88" s="12">
        <f t="shared" ca="1" si="224"/>
        <v>0</v>
      </c>
      <c r="CN88" s="12">
        <f t="shared" ca="1" si="224"/>
        <v>0</v>
      </c>
      <c r="CO88" s="12">
        <f t="shared" ca="1" si="225"/>
        <v>898052.52448458795</v>
      </c>
      <c r="CP88" s="12">
        <f t="shared" ca="1" si="225"/>
        <v>0</v>
      </c>
    </row>
    <row r="89" spans="2:94">
      <c r="B89" s="1" t="s">
        <v>914</v>
      </c>
      <c r="F89" s="27">
        <f t="shared" ca="1" si="218"/>
        <v>0.59874752828130728</v>
      </c>
      <c r="G89" s="16">
        <f t="shared" ref="G89:G96" ca="1" si="226">+SUM(H89:J89)</f>
        <v>1495863.5236032838</v>
      </c>
      <c r="H89" s="22">
        <f ca="1">++Assumptions!N164*'S&amp;U'!H18</f>
        <v>478900.47656001116</v>
      </c>
      <c r="I89" s="22">
        <f ca="1">++Assumptions!O164*'S&amp;U'!I18</f>
        <v>506967.16287520388</v>
      </c>
      <c r="J89" s="22">
        <f ca="1">++Assumptions!P164*'S&amp;U'!J18</f>
        <v>509995.88416806847</v>
      </c>
      <c r="L89" s="2"/>
      <c r="M89" s="12">
        <f t="shared" ca="1" si="219"/>
        <v>276437.6851464787</v>
      </c>
      <c r="N89" s="12">
        <f t="shared" ca="1" si="219"/>
        <v>414656.52771971805</v>
      </c>
      <c r="O89" s="12">
        <f t="shared" ca="1" si="219"/>
        <v>0</v>
      </c>
      <c r="P89" s="12">
        <f t="shared" ca="1" si="219"/>
        <v>0</v>
      </c>
      <c r="Q89" s="12">
        <f t="shared" ca="1" si="219"/>
        <v>0</v>
      </c>
      <c r="R89" s="12">
        <f t="shared" ca="1" si="219"/>
        <v>0</v>
      </c>
      <c r="S89" s="12">
        <f t="shared" ca="1" si="219"/>
        <v>58117.296183021412</v>
      </c>
      <c r="T89" s="12">
        <f t="shared" ca="1" si="219"/>
        <v>124461.90442397373</v>
      </c>
      <c r="U89" s="12">
        <f t="shared" ca="1" si="219"/>
        <v>0</v>
      </c>
      <c r="V89" s="12">
        <f t="shared" ca="1" si="219"/>
        <v>0</v>
      </c>
      <c r="W89" s="12">
        <f ca="1">+$H89*W$5+$I89*W$6+$J89*W$7</f>
        <v>79865.944758561673</v>
      </c>
      <c r="X89" s="12">
        <f t="shared" ca="1" si="219"/>
        <v>123913.315201736</v>
      </c>
      <c r="Y89" s="12">
        <f t="shared" ca="1" si="219"/>
        <v>177464.25576025236</v>
      </c>
      <c r="Z89" s="12">
        <f t="shared" ca="1" si="219"/>
        <v>0</v>
      </c>
      <c r="AA89" s="12">
        <f t="shared" ca="1" si="219"/>
        <v>0</v>
      </c>
      <c r="AB89" s="12">
        <f t="shared" ca="1" si="219"/>
        <v>240946.59440954158</v>
      </c>
      <c r="AC89" s="12">
        <f t="shared" ca="1" si="219"/>
        <v>0</v>
      </c>
      <c r="AI89" s="2"/>
      <c r="AJ89" s="12">
        <f t="shared" ca="1" si="220"/>
        <v>110216.9746503058</v>
      </c>
      <c r="AK89" s="12">
        <f t="shared" ca="1" si="220"/>
        <v>165325.46197545869</v>
      </c>
      <c r="AL89" s="12">
        <f t="shared" ca="1" si="220"/>
        <v>0</v>
      </c>
      <c r="AM89" s="12">
        <f t="shared" ca="1" si="220"/>
        <v>0</v>
      </c>
      <c r="AN89" s="12">
        <f t="shared" ca="1" si="220"/>
        <v>0</v>
      </c>
      <c r="AO89" s="12">
        <f t="shared" ca="1" si="220"/>
        <v>0</v>
      </c>
      <c r="AP89" s="12">
        <f t="shared" ca="1" si="220"/>
        <v>16401.335513438367</v>
      </c>
      <c r="AQ89" s="12">
        <f t="shared" ca="1" si="220"/>
        <v>36082.938129564391</v>
      </c>
      <c r="AR89" s="12">
        <f t="shared" ca="1" si="220"/>
        <v>0</v>
      </c>
      <c r="AS89" s="12">
        <f t="shared" ca="1" si="220"/>
        <v>0</v>
      </c>
      <c r="AT89" s="12">
        <f t="shared" ca="1" si="220"/>
        <v>21161.017897748079</v>
      </c>
      <c r="AU89" s="12">
        <f t="shared" ca="1" si="220"/>
        <v>55287.811460859601</v>
      </c>
      <c r="AV89" s="12">
        <f t="shared" ca="1" si="220"/>
        <v>0</v>
      </c>
      <c r="AW89" s="12">
        <f t="shared" ca="1" si="220"/>
        <v>0</v>
      </c>
      <c r="AX89" s="12">
        <f t="shared" ca="1" si="220"/>
        <v>0</v>
      </c>
      <c r="AY89" s="12">
        <f t="shared" ca="1" si="221"/>
        <v>74424.936932636221</v>
      </c>
      <c r="AZ89" s="12">
        <f t="shared" ca="1" si="221"/>
        <v>0</v>
      </c>
      <c r="BD89" s="2"/>
      <c r="BE89" s="12">
        <f t="shared" ca="1" si="222"/>
        <v>102995.86108379516</v>
      </c>
      <c r="BF89" s="12">
        <f t="shared" ca="1" si="222"/>
        <v>154493.79162569271</v>
      </c>
      <c r="BG89" s="12">
        <f t="shared" ca="1" si="222"/>
        <v>0</v>
      </c>
      <c r="BH89" s="12">
        <f t="shared" ca="1" si="222"/>
        <v>0</v>
      </c>
      <c r="BI89" s="12">
        <f t="shared" ca="1" si="222"/>
        <v>0</v>
      </c>
      <c r="BJ89" s="12">
        <f t="shared" ca="1" si="222"/>
        <v>0</v>
      </c>
      <c r="BK89" s="12">
        <f t="shared" ca="1" si="222"/>
        <v>15326.765042231422</v>
      </c>
      <c r="BL89" s="12">
        <f t="shared" ca="1" si="222"/>
        <v>33718.883092909127</v>
      </c>
      <c r="BM89" s="12">
        <f t="shared" ca="1" si="222"/>
        <v>0</v>
      </c>
      <c r="BN89" s="12">
        <f t="shared" ca="1" si="222"/>
        <v>0</v>
      </c>
      <c r="BO89" s="12">
        <f t="shared" ca="1" si="222"/>
        <v>50363.14035319713</v>
      </c>
      <c r="BP89" s="12">
        <f t="shared" ca="1" si="222"/>
        <v>40857.047840586063</v>
      </c>
      <c r="BQ89" s="12">
        <f t="shared" ca="1" si="222"/>
        <v>0</v>
      </c>
      <c r="BR89" s="12">
        <f t="shared" ca="1" si="222"/>
        <v>0</v>
      </c>
      <c r="BS89" s="12">
        <f t="shared" ca="1" si="222"/>
        <v>0</v>
      </c>
      <c r="BT89" s="12">
        <f t="shared" ca="1" si="223"/>
        <v>109211.67383679225</v>
      </c>
      <c r="BU89" s="12">
        <f t="shared" ca="1" si="223"/>
        <v>0</v>
      </c>
      <c r="BY89" s="2"/>
      <c r="BZ89" s="12">
        <f t="shared" ca="1" si="224"/>
        <v>63224.849412377756</v>
      </c>
      <c r="CA89" s="12">
        <f t="shared" ca="1" si="224"/>
        <v>94837.274118566624</v>
      </c>
      <c r="CB89" s="12">
        <f t="shared" ca="1" si="224"/>
        <v>0</v>
      </c>
      <c r="CC89" s="12">
        <f t="shared" ca="1" si="224"/>
        <v>0</v>
      </c>
      <c r="CD89" s="12">
        <f t="shared" ca="1" si="224"/>
        <v>0</v>
      </c>
      <c r="CE89" s="12">
        <f t="shared" ca="1" si="224"/>
        <v>0</v>
      </c>
      <c r="CF89" s="12">
        <f t="shared" ca="1" si="224"/>
        <v>26389.195627351623</v>
      </c>
      <c r="CG89" s="12">
        <f t="shared" ca="1" si="224"/>
        <v>54660.083201500202</v>
      </c>
      <c r="CH89" s="12">
        <f t="shared" ca="1" si="224"/>
        <v>0</v>
      </c>
      <c r="CI89" s="12">
        <f t="shared" ca="1" si="224"/>
        <v>0</v>
      </c>
      <c r="CJ89" s="12">
        <f t="shared" ca="1" si="224"/>
        <v>8341.7865076164599</v>
      </c>
      <c r="CK89" s="12">
        <f t="shared" ca="1" si="224"/>
        <v>27768.455900290344</v>
      </c>
      <c r="CL89" s="12">
        <f t="shared" ca="1" si="224"/>
        <v>177464.25576025236</v>
      </c>
      <c r="CM89" s="12">
        <f t="shared" ca="1" si="224"/>
        <v>0</v>
      </c>
      <c r="CN89" s="12">
        <f t="shared" ca="1" si="224"/>
        <v>0</v>
      </c>
      <c r="CO89" s="12">
        <f t="shared" ca="1" si="225"/>
        <v>57309.983640113074</v>
      </c>
      <c r="CP89" s="12">
        <f t="shared" ca="1" si="225"/>
        <v>0</v>
      </c>
    </row>
    <row r="90" spans="2:94">
      <c r="B90" s="1" t="s">
        <v>915</v>
      </c>
      <c r="F90" s="27">
        <f t="shared" ca="1" si="218"/>
        <v>3.0562047680368032</v>
      </c>
      <c r="G90" s="16">
        <f t="shared" ca="1" si="226"/>
        <v>7635380.552286474</v>
      </c>
      <c r="H90" s="22">
        <f ca="1">+'S&amp;U'!H18*Assumptions!N162*Assumptions!N165*(Assumptions!F30/12)</f>
        <v>3160743.1452960735</v>
      </c>
      <c r="I90" s="22">
        <f ca="1">+'S&amp;U'!I18*Assumptions!O162*Assumptions!O165*(Assumptions!G30/12)</f>
        <v>2230655.516650897</v>
      </c>
      <c r="J90" s="22">
        <f ca="1">+'S&amp;U'!J18*Assumptions!P162*Assumptions!P165*(Assumptions!H30/12)</f>
        <v>2243981.8903395012</v>
      </c>
      <c r="L90" s="2"/>
      <c r="M90" s="12">
        <f t="shared" ca="1" si="219"/>
        <v>1458803.158875179</v>
      </c>
      <c r="N90" s="12">
        <f t="shared" ca="1" si="219"/>
        <v>2188204.7383127687</v>
      </c>
      <c r="O90" s="12">
        <f t="shared" ca="1" si="219"/>
        <v>0</v>
      </c>
      <c r="P90" s="12">
        <f t="shared" ca="1" si="219"/>
        <v>0</v>
      </c>
      <c r="Q90" s="12">
        <f t="shared" ca="1" si="219"/>
        <v>0</v>
      </c>
      <c r="R90" s="12">
        <f t="shared" ca="1" si="219"/>
        <v>0</v>
      </c>
      <c r="S90" s="12">
        <f t="shared" ca="1" si="219"/>
        <v>291799.04133485863</v>
      </c>
      <c r="T90" s="12">
        <f t="shared" ca="1" si="219"/>
        <v>627014.84335052606</v>
      </c>
      <c r="U90" s="12">
        <f t="shared" ca="1" si="219"/>
        <v>0</v>
      </c>
      <c r="V90" s="12">
        <f t="shared" ca="1" si="219"/>
        <v>0</v>
      </c>
      <c r="W90" s="12">
        <f ca="1">+$H90*W$5+$I90*W$6+$J90*W$7</f>
        <v>397964.39631271712</v>
      </c>
      <c r="X90" s="12">
        <f t="shared" ca="1" si="219"/>
        <v>666851.77210152941</v>
      </c>
      <c r="Y90" s="12">
        <f t="shared" ca="1" si="219"/>
        <v>780842.7253451104</v>
      </c>
      <c r="Z90" s="12">
        <f t="shared" ca="1" si="219"/>
        <v>0</v>
      </c>
      <c r="AA90" s="12">
        <f t="shared" ca="1" si="219"/>
        <v>0</v>
      </c>
      <c r="AB90" s="12">
        <f t="shared" ca="1" si="219"/>
        <v>1223899.8766537826</v>
      </c>
      <c r="AC90" s="12">
        <f t="shared" ca="1" si="219"/>
        <v>0</v>
      </c>
      <c r="AI90" s="2"/>
      <c r="AJ90" s="12">
        <f t="shared" ca="1" si="220"/>
        <v>727432.0326920182</v>
      </c>
      <c r="AK90" s="12">
        <f t="shared" ca="1" si="220"/>
        <v>1091148.0490380274</v>
      </c>
      <c r="AL90" s="12">
        <f t="shared" ca="1" si="220"/>
        <v>0</v>
      </c>
      <c r="AM90" s="12">
        <f t="shared" ca="1" si="220"/>
        <v>0</v>
      </c>
      <c r="AN90" s="12">
        <f t="shared" ca="1" si="220"/>
        <v>0</v>
      </c>
      <c r="AO90" s="12">
        <f t="shared" ca="1" si="220"/>
        <v>0</v>
      </c>
      <c r="AP90" s="12">
        <f t="shared" ca="1" si="220"/>
        <v>108248.81438869322</v>
      </c>
      <c r="AQ90" s="12">
        <f t="shared" ca="1" si="220"/>
        <v>238147.39165512499</v>
      </c>
      <c r="AR90" s="12">
        <f t="shared" ca="1" si="220"/>
        <v>0</v>
      </c>
      <c r="AS90" s="12">
        <f t="shared" ca="1" si="220"/>
        <v>0</v>
      </c>
      <c r="AT90" s="12">
        <f t="shared" ca="1" si="220"/>
        <v>139662.71812513733</v>
      </c>
      <c r="AU90" s="12">
        <f t="shared" ca="1" si="220"/>
        <v>364899.55564167333</v>
      </c>
      <c r="AV90" s="12">
        <f t="shared" ca="1" si="220"/>
        <v>0</v>
      </c>
      <c r="AW90" s="12">
        <f t="shared" ca="1" si="220"/>
        <v>0</v>
      </c>
      <c r="AX90" s="12">
        <f t="shared" ca="1" si="220"/>
        <v>0</v>
      </c>
      <c r="AY90" s="12">
        <f t="shared" ca="1" si="221"/>
        <v>491204.5837553991</v>
      </c>
      <c r="AZ90" s="12">
        <f t="shared" ca="1" si="221"/>
        <v>0</v>
      </c>
      <c r="BD90" s="2"/>
      <c r="BE90" s="12">
        <f t="shared" ca="1" si="222"/>
        <v>453181.78876869869</v>
      </c>
      <c r="BF90" s="12">
        <f t="shared" ca="1" si="222"/>
        <v>679772.68315304792</v>
      </c>
      <c r="BG90" s="12">
        <f t="shared" ca="1" si="222"/>
        <v>0</v>
      </c>
      <c r="BH90" s="12">
        <f t="shared" ca="1" si="222"/>
        <v>0</v>
      </c>
      <c r="BI90" s="12">
        <f t="shared" ca="1" si="222"/>
        <v>0</v>
      </c>
      <c r="BJ90" s="12">
        <f t="shared" ca="1" si="222"/>
        <v>0</v>
      </c>
      <c r="BK90" s="12">
        <f t="shared" ca="1" si="222"/>
        <v>67437.766185818255</v>
      </c>
      <c r="BL90" s="12">
        <f t="shared" ca="1" si="222"/>
        <v>148363.08560880017</v>
      </c>
      <c r="BM90" s="12">
        <f t="shared" ca="1" si="222"/>
        <v>0</v>
      </c>
      <c r="BN90" s="12">
        <f t="shared" ca="1" si="222"/>
        <v>0</v>
      </c>
      <c r="BO90" s="12">
        <f t="shared" ca="1" si="222"/>
        <v>221597.81755406735</v>
      </c>
      <c r="BP90" s="12">
        <f t="shared" ca="1" si="222"/>
        <v>179771.01049857866</v>
      </c>
      <c r="BQ90" s="12">
        <f t="shared" ca="1" si="222"/>
        <v>0</v>
      </c>
      <c r="BR90" s="12">
        <f t="shared" ca="1" si="222"/>
        <v>0</v>
      </c>
      <c r="BS90" s="12">
        <f t="shared" ca="1" si="222"/>
        <v>0</v>
      </c>
      <c r="BT90" s="12">
        <f t="shared" ca="1" si="223"/>
        <v>480531.36488188588</v>
      </c>
      <c r="BU90" s="12">
        <f t="shared" ca="1" si="223"/>
        <v>0</v>
      </c>
      <c r="BY90" s="2"/>
      <c r="BZ90" s="12">
        <f t="shared" ca="1" si="224"/>
        <v>278189.33741446212</v>
      </c>
      <c r="CA90" s="12">
        <f t="shared" ca="1" si="224"/>
        <v>417284.00612169318</v>
      </c>
      <c r="CB90" s="12">
        <f t="shared" ca="1" si="224"/>
        <v>0</v>
      </c>
      <c r="CC90" s="12">
        <f t="shared" ca="1" si="224"/>
        <v>0</v>
      </c>
      <c r="CD90" s="12">
        <f t="shared" ca="1" si="224"/>
        <v>0</v>
      </c>
      <c r="CE90" s="12">
        <f t="shared" ca="1" si="224"/>
        <v>0</v>
      </c>
      <c r="CF90" s="12">
        <f t="shared" ca="1" si="224"/>
        <v>116112.46076034712</v>
      </c>
      <c r="CG90" s="12">
        <f t="shared" ca="1" si="224"/>
        <v>240504.3660866009</v>
      </c>
      <c r="CH90" s="12">
        <f t="shared" ca="1" si="224"/>
        <v>0</v>
      </c>
      <c r="CI90" s="12">
        <f t="shared" ca="1" si="224"/>
        <v>0</v>
      </c>
      <c r="CJ90" s="12">
        <f t="shared" ca="1" si="224"/>
        <v>36703.86063351242</v>
      </c>
      <c r="CK90" s="12">
        <f t="shared" ca="1" si="224"/>
        <v>122181.2059612775</v>
      </c>
      <c r="CL90" s="12">
        <f t="shared" ca="1" si="224"/>
        <v>780842.7253451104</v>
      </c>
      <c r="CM90" s="12">
        <f t="shared" ca="1" si="224"/>
        <v>0</v>
      </c>
      <c r="CN90" s="12">
        <f t="shared" ca="1" si="224"/>
        <v>0</v>
      </c>
      <c r="CO90" s="12">
        <f t="shared" ca="1" si="225"/>
        <v>252163.92801649752</v>
      </c>
      <c r="CP90" s="12">
        <f t="shared" ca="1" si="225"/>
        <v>0</v>
      </c>
    </row>
    <row r="91" spans="2:94" hidden="1">
      <c r="B91" s="17" t="s">
        <v>910</v>
      </c>
      <c r="F91" s="27">
        <f t="shared" ca="1" si="218"/>
        <v>0</v>
      </c>
      <c r="G91" s="16">
        <f t="shared" si="226"/>
        <v>0</v>
      </c>
      <c r="H91" s="22"/>
      <c r="I91" s="22"/>
      <c r="J91" s="22"/>
      <c r="L91" s="2"/>
      <c r="M91" s="12">
        <f t="shared" ca="1" si="219"/>
        <v>0</v>
      </c>
      <c r="N91" s="12">
        <f t="shared" ca="1" si="219"/>
        <v>0</v>
      </c>
      <c r="O91" s="12">
        <f t="shared" ca="1" si="219"/>
        <v>0</v>
      </c>
      <c r="P91" s="12">
        <f t="shared" ca="1" si="219"/>
        <v>0</v>
      </c>
      <c r="Q91" s="12">
        <f t="shared" ca="1" si="219"/>
        <v>0</v>
      </c>
      <c r="R91" s="12">
        <f t="shared" ca="1" si="219"/>
        <v>0</v>
      </c>
      <c r="S91" s="12">
        <f t="shared" ca="1" si="219"/>
        <v>0</v>
      </c>
      <c r="T91" s="12">
        <f t="shared" ca="1" si="219"/>
        <v>0</v>
      </c>
      <c r="U91" s="12">
        <f t="shared" ca="1" si="219"/>
        <v>0</v>
      </c>
      <c r="V91" s="12">
        <f t="shared" ca="1" si="219"/>
        <v>0</v>
      </c>
      <c r="W91" s="12">
        <f t="shared" ca="1" si="219"/>
        <v>0</v>
      </c>
      <c r="X91" s="12">
        <f t="shared" ca="1" si="219"/>
        <v>0</v>
      </c>
      <c r="Y91" s="12">
        <f t="shared" ca="1" si="219"/>
        <v>0</v>
      </c>
      <c r="Z91" s="12">
        <f t="shared" ca="1" si="219"/>
        <v>0</v>
      </c>
      <c r="AA91" s="12">
        <f t="shared" ca="1" si="219"/>
        <v>0</v>
      </c>
      <c r="AB91" s="12">
        <f t="shared" ca="1" si="219"/>
        <v>0</v>
      </c>
      <c r="AC91" s="12">
        <f t="shared" ca="1" si="219"/>
        <v>0</v>
      </c>
      <c r="AI91" s="2"/>
      <c r="AJ91" s="12">
        <f t="shared" ca="1" si="220"/>
        <v>0</v>
      </c>
      <c r="AK91" s="12">
        <f t="shared" ca="1" si="220"/>
        <v>0</v>
      </c>
      <c r="AL91" s="12">
        <f t="shared" ca="1" si="220"/>
        <v>0</v>
      </c>
      <c r="AM91" s="12">
        <f t="shared" ca="1" si="220"/>
        <v>0</v>
      </c>
      <c r="AN91" s="12">
        <f t="shared" ca="1" si="220"/>
        <v>0</v>
      </c>
      <c r="AO91" s="12">
        <f t="shared" ca="1" si="220"/>
        <v>0</v>
      </c>
      <c r="AP91" s="12">
        <f t="shared" ca="1" si="220"/>
        <v>0</v>
      </c>
      <c r="AQ91" s="12">
        <f t="shared" ca="1" si="220"/>
        <v>0</v>
      </c>
      <c r="AR91" s="12">
        <f t="shared" ca="1" si="220"/>
        <v>0</v>
      </c>
      <c r="AS91" s="12">
        <f t="shared" ca="1" si="220"/>
        <v>0</v>
      </c>
      <c r="AT91" s="12">
        <f t="shared" ca="1" si="220"/>
        <v>0</v>
      </c>
      <c r="AU91" s="12">
        <f t="shared" ca="1" si="220"/>
        <v>0</v>
      </c>
      <c r="AV91" s="12">
        <f t="shared" ca="1" si="220"/>
        <v>0</v>
      </c>
      <c r="AW91" s="12">
        <f t="shared" ca="1" si="220"/>
        <v>0</v>
      </c>
      <c r="AX91" s="12">
        <f t="shared" ca="1" si="220"/>
        <v>0</v>
      </c>
      <c r="AY91" s="12">
        <f t="shared" ca="1" si="221"/>
        <v>0</v>
      </c>
      <c r="AZ91" s="12">
        <f t="shared" ca="1" si="221"/>
        <v>0</v>
      </c>
      <c r="BD91" s="2"/>
      <c r="BE91" s="12">
        <f t="shared" ca="1" si="222"/>
        <v>0</v>
      </c>
      <c r="BF91" s="12">
        <f t="shared" ca="1" si="222"/>
        <v>0</v>
      </c>
      <c r="BG91" s="12">
        <f t="shared" ca="1" si="222"/>
        <v>0</v>
      </c>
      <c r="BH91" s="12">
        <f t="shared" ca="1" si="222"/>
        <v>0</v>
      </c>
      <c r="BI91" s="12">
        <f t="shared" ca="1" si="222"/>
        <v>0</v>
      </c>
      <c r="BJ91" s="12">
        <f t="shared" ca="1" si="222"/>
        <v>0</v>
      </c>
      <c r="BK91" s="12">
        <f t="shared" ca="1" si="222"/>
        <v>0</v>
      </c>
      <c r="BL91" s="12">
        <f t="shared" ca="1" si="222"/>
        <v>0</v>
      </c>
      <c r="BM91" s="12">
        <f t="shared" ca="1" si="222"/>
        <v>0</v>
      </c>
      <c r="BN91" s="12">
        <f t="shared" ca="1" si="222"/>
        <v>0</v>
      </c>
      <c r="BO91" s="12">
        <f t="shared" ca="1" si="222"/>
        <v>0</v>
      </c>
      <c r="BP91" s="12">
        <f t="shared" ca="1" si="222"/>
        <v>0</v>
      </c>
      <c r="BQ91" s="12">
        <f t="shared" ca="1" si="222"/>
        <v>0</v>
      </c>
      <c r="BR91" s="12">
        <f t="shared" ca="1" si="222"/>
        <v>0</v>
      </c>
      <c r="BS91" s="12">
        <f t="shared" ca="1" si="222"/>
        <v>0</v>
      </c>
      <c r="BT91" s="12">
        <f t="shared" ca="1" si="223"/>
        <v>0</v>
      </c>
      <c r="BU91" s="12">
        <f t="shared" ca="1" si="223"/>
        <v>0</v>
      </c>
      <c r="BY91" s="2"/>
      <c r="BZ91" s="12">
        <f t="shared" ca="1" si="224"/>
        <v>0</v>
      </c>
      <c r="CA91" s="12">
        <f t="shared" ca="1" si="224"/>
        <v>0</v>
      </c>
      <c r="CB91" s="12">
        <f t="shared" ca="1" si="224"/>
        <v>0</v>
      </c>
      <c r="CC91" s="12">
        <f t="shared" ca="1" si="224"/>
        <v>0</v>
      </c>
      <c r="CD91" s="12">
        <f t="shared" ca="1" si="224"/>
        <v>0</v>
      </c>
      <c r="CE91" s="12">
        <f t="shared" ca="1" si="224"/>
        <v>0</v>
      </c>
      <c r="CF91" s="12">
        <f t="shared" ca="1" si="224"/>
        <v>0</v>
      </c>
      <c r="CG91" s="12">
        <f t="shared" ca="1" si="224"/>
        <v>0</v>
      </c>
      <c r="CH91" s="12">
        <f t="shared" ca="1" si="224"/>
        <v>0</v>
      </c>
      <c r="CI91" s="12">
        <f t="shared" ca="1" si="224"/>
        <v>0</v>
      </c>
      <c r="CJ91" s="12">
        <f t="shared" ca="1" si="224"/>
        <v>0</v>
      </c>
      <c r="CK91" s="12">
        <f t="shared" ca="1" si="224"/>
        <v>0</v>
      </c>
      <c r="CL91" s="12">
        <f t="shared" ca="1" si="224"/>
        <v>0</v>
      </c>
      <c r="CM91" s="12">
        <f t="shared" ca="1" si="224"/>
        <v>0</v>
      </c>
      <c r="CN91" s="12">
        <f t="shared" ca="1" si="224"/>
        <v>0</v>
      </c>
      <c r="CO91" s="12">
        <f t="shared" ca="1" si="225"/>
        <v>0</v>
      </c>
      <c r="CP91" s="12">
        <f t="shared" ca="1" si="225"/>
        <v>0</v>
      </c>
    </row>
    <row r="92" spans="2:94" hidden="1" outlineLevel="1">
      <c r="B92" s="17" t="s">
        <v>910</v>
      </c>
      <c r="F92" s="27">
        <f t="shared" ca="1" si="218"/>
        <v>0</v>
      </c>
      <c r="G92" s="16">
        <f t="shared" si="226"/>
        <v>0</v>
      </c>
      <c r="H92" s="35"/>
      <c r="I92" s="35"/>
      <c r="J92" s="35"/>
      <c r="L92" s="2"/>
      <c r="M92" s="12">
        <f t="shared" ca="1" si="219"/>
        <v>0</v>
      </c>
      <c r="N92" s="12">
        <f t="shared" ca="1" si="219"/>
        <v>0</v>
      </c>
      <c r="O92" s="12">
        <f t="shared" ca="1" si="219"/>
        <v>0</v>
      </c>
      <c r="P92" s="12">
        <f t="shared" ca="1" si="219"/>
        <v>0</v>
      </c>
      <c r="Q92" s="12">
        <f t="shared" ca="1" si="219"/>
        <v>0</v>
      </c>
      <c r="R92" s="12">
        <f t="shared" ca="1" si="219"/>
        <v>0</v>
      </c>
      <c r="S92" s="12">
        <f t="shared" ca="1" si="219"/>
        <v>0</v>
      </c>
      <c r="T92" s="12">
        <f t="shared" ca="1" si="219"/>
        <v>0</v>
      </c>
      <c r="U92" s="12">
        <f t="shared" ca="1" si="219"/>
        <v>0</v>
      </c>
      <c r="V92" s="12">
        <f t="shared" ca="1" si="219"/>
        <v>0</v>
      </c>
      <c r="W92" s="12">
        <f t="shared" ca="1" si="219"/>
        <v>0</v>
      </c>
      <c r="X92" s="12">
        <f t="shared" ca="1" si="219"/>
        <v>0</v>
      </c>
      <c r="Y92" s="12">
        <f t="shared" ca="1" si="219"/>
        <v>0</v>
      </c>
      <c r="Z92" s="12">
        <f t="shared" ca="1" si="219"/>
        <v>0</v>
      </c>
      <c r="AA92" s="12">
        <f t="shared" ca="1" si="219"/>
        <v>0</v>
      </c>
      <c r="AB92" s="12">
        <f t="shared" ca="1" si="219"/>
        <v>0</v>
      </c>
      <c r="AC92" s="12">
        <f t="shared" ca="1" si="219"/>
        <v>0</v>
      </c>
      <c r="AI92" s="2"/>
      <c r="AJ92" s="12">
        <f t="shared" ca="1" si="220"/>
        <v>0</v>
      </c>
      <c r="AK92" s="12">
        <f t="shared" ca="1" si="220"/>
        <v>0</v>
      </c>
      <c r="AL92" s="12">
        <f t="shared" ca="1" si="220"/>
        <v>0</v>
      </c>
      <c r="AM92" s="12">
        <f t="shared" ca="1" si="220"/>
        <v>0</v>
      </c>
      <c r="AN92" s="12">
        <f t="shared" ca="1" si="220"/>
        <v>0</v>
      </c>
      <c r="AO92" s="12">
        <f t="shared" ca="1" si="220"/>
        <v>0</v>
      </c>
      <c r="AP92" s="12">
        <f t="shared" ca="1" si="220"/>
        <v>0</v>
      </c>
      <c r="AQ92" s="12">
        <f t="shared" ca="1" si="220"/>
        <v>0</v>
      </c>
      <c r="AR92" s="12">
        <f t="shared" ca="1" si="220"/>
        <v>0</v>
      </c>
      <c r="AS92" s="12">
        <f t="shared" ca="1" si="220"/>
        <v>0</v>
      </c>
      <c r="AT92" s="12">
        <f t="shared" ca="1" si="220"/>
        <v>0</v>
      </c>
      <c r="AU92" s="12">
        <f t="shared" ca="1" si="220"/>
        <v>0</v>
      </c>
      <c r="AV92" s="12">
        <f t="shared" ca="1" si="220"/>
        <v>0</v>
      </c>
      <c r="AW92" s="12">
        <f t="shared" ca="1" si="220"/>
        <v>0</v>
      </c>
      <c r="AX92" s="12">
        <f t="shared" ca="1" si="220"/>
        <v>0</v>
      </c>
      <c r="AY92" s="12">
        <f t="shared" ca="1" si="221"/>
        <v>0</v>
      </c>
      <c r="AZ92" s="12">
        <f t="shared" ca="1" si="221"/>
        <v>0</v>
      </c>
      <c r="BD92" s="2"/>
      <c r="BE92" s="12">
        <f t="shared" ca="1" si="222"/>
        <v>0</v>
      </c>
      <c r="BF92" s="12">
        <f t="shared" ca="1" si="222"/>
        <v>0</v>
      </c>
      <c r="BG92" s="12">
        <f t="shared" ca="1" si="222"/>
        <v>0</v>
      </c>
      <c r="BH92" s="12">
        <f t="shared" ca="1" si="222"/>
        <v>0</v>
      </c>
      <c r="BI92" s="12">
        <f t="shared" ca="1" si="222"/>
        <v>0</v>
      </c>
      <c r="BJ92" s="12">
        <f t="shared" ca="1" si="222"/>
        <v>0</v>
      </c>
      <c r="BK92" s="12">
        <f t="shared" ca="1" si="222"/>
        <v>0</v>
      </c>
      <c r="BL92" s="12">
        <f t="shared" ca="1" si="222"/>
        <v>0</v>
      </c>
      <c r="BM92" s="12">
        <f t="shared" ca="1" si="222"/>
        <v>0</v>
      </c>
      <c r="BN92" s="12">
        <f t="shared" ca="1" si="222"/>
        <v>0</v>
      </c>
      <c r="BO92" s="12">
        <f t="shared" ca="1" si="222"/>
        <v>0</v>
      </c>
      <c r="BP92" s="12">
        <f t="shared" ca="1" si="222"/>
        <v>0</v>
      </c>
      <c r="BQ92" s="12">
        <f t="shared" ca="1" si="222"/>
        <v>0</v>
      </c>
      <c r="BR92" s="12">
        <f t="shared" ca="1" si="222"/>
        <v>0</v>
      </c>
      <c r="BS92" s="12">
        <f t="shared" ca="1" si="222"/>
        <v>0</v>
      </c>
      <c r="BT92" s="12">
        <f t="shared" ca="1" si="223"/>
        <v>0</v>
      </c>
      <c r="BU92" s="12">
        <f t="shared" ca="1" si="223"/>
        <v>0</v>
      </c>
      <c r="BY92" s="2"/>
      <c r="BZ92" s="12">
        <f t="shared" ca="1" si="224"/>
        <v>0</v>
      </c>
      <c r="CA92" s="12">
        <f t="shared" ca="1" si="224"/>
        <v>0</v>
      </c>
      <c r="CB92" s="12">
        <f t="shared" ca="1" si="224"/>
        <v>0</v>
      </c>
      <c r="CC92" s="12">
        <f t="shared" ca="1" si="224"/>
        <v>0</v>
      </c>
      <c r="CD92" s="12">
        <f t="shared" ca="1" si="224"/>
        <v>0</v>
      </c>
      <c r="CE92" s="12">
        <f t="shared" ca="1" si="224"/>
        <v>0</v>
      </c>
      <c r="CF92" s="12">
        <f t="shared" ca="1" si="224"/>
        <v>0</v>
      </c>
      <c r="CG92" s="12">
        <f t="shared" ca="1" si="224"/>
        <v>0</v>
      </c>
      <c r="CH92" s="12">
        <f t="shared" ca="1" si="224"/>
        <v>0</v>
      </c>
      <c r="CI92" s="12">
        <f t="shared" ca="1" si="224"/>
        <v>0</v>
      </c>
      <c r="CJ92" s="12">
        <f t="shared" ca="1" si="224"/>
        <v>0</v>
      </c>
      <c r="CK92" s="12">
        <f t="shared" ca="1" si="224"/>
        <v>0</v>
      </c>
      <c r="CL92" s="12">
        <f t="shared" ca="1" si="224"/>
        <v>0</v>
      </c>
      <c r="CM92" s="12">
        <f t="shared" ca="1" si="224"/>
        <v>0</v>
      </c>
      <c r="CN92" s="12">
        <f t="shared" ca="1" si="224"/>
        <v>0</v>
      </c>
      <c r="CO92" s="12">
        <f t="shared" ca="1" si="225"/>
        <v>0</v>
      </c>
      <c r="CP92" s="12">
        <f t="shared" ca="1" si="225"/>
        <v>0</v>
      </c>
    </row>
    <row r="93" spans="2:94" hidden="1" outlineLevel="1">
      <c r="B93" s="17" t="s">
        <v>910</v>
      </c>
      <c r="F93" s="27">
        <f t="shared" ca="1" si="218"/>
        <v>0</v>
      </c>
      <c r="G93" s="16">
        <f t="shared" si="226"/>
        <v>0</v>
      </c>
      <c r="H93" s="35"/>
      <c r="I93" s="35"/>
      <c r="J93" s="35"/>
      <c r="L93" s="2"/>
      <c r="M93" s="12">
        <f t="shared" ca="1" si="219"/>
        <v>0</v>
      </c>
      <c r="N93" s="12">
        <f t="shared" ca="1" si="219"/>
        <v>0</v>
      </c>
      <c r="O93" s="12">
        <f t="shared" ca="1" si="219"/>
        <v>0</v>
      </c>
      <c r="P93" s="12">
        <f t="shared" ca="1" si="219"/>
        <v>0</v>
      </c>
      <c r="Q93" s="12">
        <f t="shared" ca="1" si="219"/>
        <v>0</v>
      </c>
      <c r="R93" s="12">
        <f t="shared" ca="1" si="219"/>
        <v>0</v>
      </c>
      <c r="S93" s="12">
        <f t="shared" ca="1" si="219"/>
        <v>0</v>
      </c>
      <c r="T93" s="12">
        <f t="shared" ca="1" si="219"/>
        <v>0</v>
      </c>
      <c r="U93" s="12">
        <f t="shared" ca="1" si="219"/>
        <v>0</v>
      </c>
      <c r="V93" s="12">
        <f t="shared" ca="1" si="219"/>
        <v>0</v>
      </c>
      <c r="W93" s="12">
        <f t="shared" ca="1" si="219"/>
        <v>0</v>
      </c>
      <c r="X93" s="12">
        <f t="shared" ca="1" si="219"/>
        <v>0</v>
      </c>
      <c r="Y93" s="12">
        <f t="shared" ca="1" si="219"/>
        <v>0</v>
      </c>
      <c r="Z93" s="12">
        <f t="shared" ca="1" si="219"/>
        <v>0</v>
      </c>
      <c r="AA93" s="12">
        <f t="shared" ca="1" si="219"/>
        <v>0</v>
      </c>
      <c r="AB93" s="12">
        <f t="shared" ca="1" si="219"/>
        <v>0</v>
      </c>
      <c r="AC93" s="12">
        <f t="shared" ca="1" si="219"/>
        <v>0</v>
      </c>
      <c r="AI93" s="2"/>
      <c r="AJ93" s="12">
        <f t="shared" ca="1" si="220"/>
        <v>0</v>
      </c>
      <c r="AK93" s="12">
        <f t="shared" ca="1" si="220"/>
        <v>0</v>
      </c>
      <c r="AL93" s="12">
        <f t="shared" ca="1" si="220"/>
        <v>0</v>
      </c>
      <c r="AM93" s="12">
        <f t="shared" ca="1" si="220"/>
        <v>0</v>
      </c>
      <c r="AN93" s="12">
        <f t="shared" ca="1" si="220"/>
        <v>0</v>
      </c>
      <c r="AO93" s="12">
        <f t="shared" ca="1" si="220"/>
        <v>0</v>
      </c>
      <c r="AP93" s="12">
        <f t="shared" ca="1" si="220"/>
        <v>0</v>
      </c>
      <c r="AQ93" s="12">
        <f t="shared" ca="1" si="220"/>
        <v>0</v>
      </c>
      <c r="AR93" s="12">
        <f t="shared" ca="1" si="220"/>
        <v>0</v>
      </c>
      <c r="AS93" s="12">
        <f t="shared" ca="1" si="220"/>
        <v>0</v>
      </c>
      <c r="AT93" s="12">
        <f t="shared" ca="1" si="220"/>
        <v>0</v>
      </c>
      <c r="AU93" s="12">
        <f t="shared" ca="1" si="220"/>
        <v>0</v>
      </c>
      <c r="AV93" s="12">
        <f t="shared" ca="1" si="220"/>
        <v>0</v>
      </c>
      <c r="AW93" s="12">
        <f t="shared" ca="1" si="220"/>
        <v>0</v>
      </c>
      <c r="AX93" s="12">
        <f t="shared" ca="1" si="220"/>
        <v>0</v>
      </c>
      <c r="AY93" s="12">
        <f t="shared" ca="1" si="221"/>
        <v>0</v>
      </c>
      <c r="AZ93" s="12">
        <f t="shared" ca="1" si="221"/>
        <v>0</v>
      </c>
      <c r="BD93" s="2"/>
      <c r="BE93" s="12">
        <f t="shared" ca="1" si="222"/>
        <v>0</v>
      </c>
      <c r="BF93" s="12">
        <f t="shared" ca="1" si="222"/>
        <v>0</v>
      </c>
      <c r="BG93" s="12">
        <f t="shared" ca="1" si="222"/>
        <v>0</v>
      </c>
      <c r="BH93" s="12">
        <f t="shared" ca="1" si="222"/>
        <v>0</v>
      </c>
      <c r="BI93" s="12">
        <f t="shared" ca="1" si="222"/>
        <v>0</v>
      </c>
      <c r="BJ93" s="12">
        <f t="shared" ca="1" si="222"/>
        <v>0</v>
      </c>
      <c r="BK93" s="12">
        <f t="shared" ca="1" si="222"/>
        <v>0</v>
      </c>
      <c r="BL93" s="12">
        <f t="shared" ca="1" si="222"/>
        <v>0</v>
      </c>
      <c r="BM93" s="12">
        <f t="shared" ca="1" si="222"/>
        <v>0</v>
      </c>
      <c r="BN93" s="12">
        <f t="shared" ca="1" si="222"/>
        <v>0</v>
      </c>
      <c r="BO93" s="12">
        <f t="shared" ca="1" si="222"/>
        <v>0</v>
      </c>
      <c r="BP93" s="12">
        <f t="shared" ca="1" si="222"/>
        <v>0</v>
      </c>
      <c r="BQ93" s="12">
        <f t="shared" ca="1" si="222"/>
        <v>0</v>
      </c>
      <c r="BR93" s="12">
        <f t="shared" ca="1" si="222"/>
        <v>0</v>
      </c>
      <c r="BS93" s="12">
        <f t="shared" ca="1" si="222"/>
        <v>0</v>
      </c>
      <c r="BT93" s="12">
        <f t="shared" ca="1" si="223"/>
        <v>0</v>
      </c>
      <c r="BU93" s="12">
        <f t="shared" ca="1" si="223"/>
        <v>0</v>
      </c>
      <c r="BY93" s="2"/>
      <c r="BZ93" s="12">
        <f t="shared" ca="1" si="224"/>
        <v>0</v>
      </c>
      <c r="CA93" s="12">
        <f t="shared" ca="1" si="224"/>
        <v>0</v>
      </c>
      <c r="CB93" s="12">
        <f t="shared" ca="1" si="224"/>
        <v>0</v>
      </c>
      <c r="CC93" s="12">
        <f t="shared" ca="1" si="224"/>
        <v>0</v>
      </c>
      <c r="CD93" s="12">
        <f t="shared" ca="1" si="224"/>
        <v>0</v>
      </c>
      <c r="CE93" s="12">
        <f t="shared" ca="1" si="224"/>
        <v>0</v>
      </c>
      <c r="CF93" s="12">
        <f t="shared" ca="1" si="224"/>
        <v>0</v>
      </c>
      <c r="CG93" s="12">
        <f t="shared" ca="1" si="224"/>
        <v>0</v>
      </c>
      <c r="CH93" s="12">
        <f t="shared" ca="1" si="224"/>
        <v>0</v>
      </c>
      <c r="CI93" s="12">
        <f t="shared" ca="1" si="224"/>
        <v>0</v>
      </c>
      <c r="CJ93" s="12">
        <f t="shared" ca="1" si="224"/>
        <v>0</v>
      </c>
      <c r="CK93" s="12">
        <f t="shared" ca="1" si="224"/>
        <v>0</v>
      </c>
      <c r="CL93" s="12">
        <f t="shared" ca="1" si="224"/>
        <v>0</v>
      </c>
      <c r="CM93" s="12">
        <f t="shared" ca="1" si="224"/>
        <v>0</v>
      </c>
      <c r="CN93" s="12">
        <f t="shared" ca="1" si="224"/>
        <v>0</v>
      </c>
      <c r="CO93" s="12">
        <f t="shared" ca="1" si="225"/>
        <v>0</v>
      </c>
      <c r="CP93" s="12">
        <f t="shared" ca="1" si="225"/>
        <v>0</v>
      </c>
    </row>
    <row r="94" spans="2:94" hidden="1" outlineLevel="1">
      <c r="B94" s="17" t="s">
        <v>910</v>
      </c>
      <c r="F94" s="27">
        <f t="shared" ca="1" si="218"/>
        <v>0</v>
      </c>
      <c r="G94" s="16">
        <f t="shared" si="226"/>
        <v>0</v>
      </c>
      <c r="H94" s="35"/>
      <c r="I94" s="35"/>
      <c r="J94" s="35"/>
      <c r="L94" s="2"/>
      <c r="M94" s="12">
        <f t="shared" ca="1" si="219"/>
        <v>0</v>
      </c>
      <c r="N94" s="12">
        <f t="shared" ca="1" si="219"/>
        <v>0</v>
      </c>
      <c r="O94" s="12">
        <f t="shared" ca="1" si="219"/>
        <v>0</v>
      </c>
      <c r="P94" s="12">
        <f t="shared" ca="1" si="219"/>
        <v>0</v>
      </c>
      <c r="Q94" s="12">
        <f t="shared" ca="1" si="219"/>
        <v>0</v>
      </c>
      <c r="R94" s="12">
        <f t="shared" ca="1" si="219"/>
        <v>0</v>
      </c>
      <c r="S94" s="12">
        <f t="shared" ca="1" si="219"/>
        <v>0</v>
      </c>
      <c r="T94" s="12">
        <f t="shared" ca="1" si="219"/>
        <v>0</v>
      </c>
      <c r="U94" s="12">
        <f t="shared" ca="1" si="219"/>
        <v>0</v>
      </c>
      <c r="V94" s="12">
        <f t="shared" ca="1" si="219"/>
        <v>0</v>
      </c>
      <c r="W94" s="12">
        <f t="shared" ca="1" si="219"/>
        <v>0</v>
      </c>
      <c r="X94" s="12">
        <f t="shared" ca="1" si="219"/>
        <v>0</v>
      </c>
      <c r="Y94" s="12">
        <f t="shared" ca="1" si="219"/>
        <v>0</v>
      </c>
      <c r="Z94" s="12">
        <f t="shared" ca="1" si="219"/>
        <v>0</v>
      </c>
      <c r="AA94" s="12">
        <f t="shared" ca="1" si="219"/>
        <v>0</v>
      </c>
      <c r="AB94" s="12">
        <f t="shared" ca="1" si="219"/>
        <v>0</v>
      </c>
      <c r="AC94" s="12">
        <f t="shared" ca="1" si="219"/>
        <v>0</v>
      </c>
      <c r="AI94" s="2"/>
      <c r="AJ94" s="12">
        <f t="shared" ca="1" si="220"/>
        <v>0</v>
      </c>
      <c r="AK94" s="12">
        <f t="shared" ca="1" si="220"/>
        <v>0</v>
      </c>
      <c r="AL94" s="12">
        <f t="shared" ca="1" si="220"/>
        <v>0</v>
      </c>
      <c r="AM94" s="12">
        <f t="shared" ca="1" si="220"/>
        <v>0</v>
      </c>
      <c r="AN94" s="12">
        <f t="shared" ca="1" si="220"/>
        <v>0</v>
      </c>
      <c r="AO94" s="12">
        <f t="shared" ca="1" si="220"/>
        <v>0</v>
      </c>
      <c r="AP94" s="12">
        <f t="shared" ca="1" si="220"/>
        <v>0</v>
      </c>
      <c r="AQ94" s="12">
        <f t="shared" ca="1" si="220"/>
        <v>0</v>
      </c>
      <c r="AR94" s="12">
        <f t="shared" ca="1" si="220"/>
        <v>0</v>
      </c>
      <c r="AS94" s="12">
        <f t="shared" ca="1" si="220"/>
        <v>0</v>
      </c>
      <c r="AT94" s="12">
        <f t="shared" ca="1" si="220"/>
        <v>0</v>
      </c>
      <c r="AU94" s="12">
        <f t="shared" ca="1" si="220"/>
        <v>0</v>
      </c>
      <c r="AV94" s="12">
        <f t="shared" ca="1" si="220"/>
        <v>0</v>
      </c>
      <c r="AW94" s="12">
        <f t="shared" ca="1" si="220"/>
        <v>0</v>
      </c>
      <c r="AX94" s="12">
        <f t="shared" ca="1" si="220"/>
        <v>0</v>
      </c>
      <c r="AY94" s="12">
        <f t="shared" ca="1" si="221"/>
        <v>0</v>
      </c>
      <c r="AZ94" s="12">
        <f t="shared" ca="1" si="221"/>
        <v>0</v>
      </c>
      <c r="BD94" s="2"/>
      <c r="BE94" s="12">
        <f t="shared" ca="1" si="222"/>
        <v>0</v>
      </c>
      <c r="BF94" s="12">
        <f t="shared" ca="1" si="222"/>
        <v>0</v>
      </c>
      <c r="BG94" s="12">
        <f t="shared" ca="1" si="222"/>
        <v>0</v>
      </c>
      <c r="BH94" s="12">
        <f t="shared" ca="1" si="222"/>
        <v>0</v>
      </c>
      <c r="BI94" s="12">
        <f t="shared" ca="1" si="222"/>
        <v>0</v>
      </c>
      <c r="BJ94" s="12">
        <f t="shared" ca="1" si="222"/>
        <v>0</v>
      </c>
      <c r="BK94" s="12">
        <f t="shared" ca="1" si="222"/>
        <v>0</v>
      </c>
      <c r="BL94" s="12">
        <f t="shared" ca="1" si="222"/>
        <v>0</v>
      </c>
      <c r="BM94" s="12">
        <f t="shared" ca="1" si="222"/>
        <v>0</v>
      </c>
      <c r="BN94" s="12">
        <f t="shared" ca="1" si="222"/>
        <v>0</v>
      </c>
      <c r="BO94" s="12">
        <f t="shared" ca="1" si="222"/>
        <v>0</v>
      </c>
      <c r="BP94" s="12">
        <f t="shared" ca="1" si="222"/>
        <v>0</v>
      </c>
      <c r="BQ94" s="12">
        <f t="shared" ca="1" si="222"/>
        <v>0</v>
      </c>
      <c r="BR94" s="12">
        <f t="shared" ca="1" si="222"/>
        <v>0</v>
      </c>
      <c r="BS94" s="12">
        <f t="shared" ca="1" si="222"/>
        <v>0</v>
      </c>
      <c r="BT94" s="12">
        <f t="shared" ca="1" si="223"/>
        <v>0</v>
      </c>
      <c r="BU94" s="12">
        <f t="shared" ca="1" si="223"/>
        <v>0</v>
      </c>
      <c r="BY94" s="2"/>
      <c r="BZ94" s="12">
        <f t="shared" ca="1" si="224"/>
        <v>0</v>
      </c>
      <c r="CA94" s="12">
        <f t="shared" ca="1" si="224"/>
        <v>0</v>
      </c>
      <c r="CB94" s="12">
        <f t="shared" ca="1" si="224"/>
        <v>0</v>
      </c>
      <c r="CC94" s="12">
        <f t="shared" ca="1" si="224"/>
        <v>0</v>
      </c>
      <c r="CD94" s="12">
        <f t="shared" ca="1" si="224"/>
        <v>0</v>
      </c>
      <c r="CE94" s="12">
        <f t="shared" ca="1" si="224"/>
        <v>0</v>
      </c>
      <c r="CF94" s="12">
        <f t="shared" ca="1" si="224"/>
        <v>0</v>
      </c>
      <c r="CG94" s="12">
        <f t="shared" ca="1" si="224"/>
        <v>0</v>
      </c>
      <c r="CH94" s="12">
        <f t="shared" ca="1" si="224"/>
        <v>0</v>
      </c>
      <c r="CI94" s="12">
        <f t="shared" ca="1" si="224"/>
        <v>0</v>
      </c>
      <c r="CJ94" s="12">
        <f t="shared" ca="1" si="224"/>
        <v>0</v>
      </c>
      <c r="CK94" s="12">
        <f t="shared" ca="1" si="224"/>
        <v>0</v>
      </c>
      <c r="CL94" s="12">
        <f t="shared" ca="1" si="224"/>
        <v>0</v>
      </c>
      <c r="CM94" s="12">
        <f t="shared" ca="1" si="224"/>
        <v>0</v>
      </c>
      <c r="CN94" s="12">
        <f t="shared" ca="1" si="224"/>
        <v>0</v>
      </c>
      <c r="CO94" s="12">
        <f t="shared" ca="1" si="225"/>
        <v>0</v>
      </c>
      <c r="CP94" s="12">
        <f t="shared" ca="1" si="225"/>
        <v>0</v>
      </c>
    </row>
    <row r="95" spans="2:94" hidden="1" outlineLevel="1">
      <c r="B95" s="17" t="s">
        <v>910</v>
      </c>
      <c r="F95" s="27">
        <f t="shared" ca="1" si="218"/>
        <v>0</v>
      </c>
      <c r="G95" s="16">
        <f t="shared" si="226"/>
        <v>0</v>
      </c>
      <c r="H95" s="35"/>
      <c r="I95" s="35"/>
      <c r="J95" s="35"/>
      <c r="L95" s="2"/>
      <c r="M95" s="12">
        <f t="shared" ca="1" si="219"/>
        <v>0</v>
      </c>
      <c r="N95" s="12">
        <f t="shared" ca="1" si="219"/>
        <v>0</v>
      </c>
      <c r="O95" s="12">
        <f t="shared" ca="1" si="219"/>
        <v>0</v>
      </c>
      <c r="P95" s="12">
        <f t="shared" ca="1" si="219"/>
        <v>0</v>
      </c>
      <c r="Q95" s="12">
        <f t="shared" ca="1" si="219"/>
        <v>0</v>
      </c>
      <c r="R95" s="12">
        <f t="shared" ca="1" si="219"/>
        <v>0</v>
      </c>
      <c r="S95" s="12">
        <f t="shared" ca="1" si="219"/>
        <v>0</v>
      </c>
      <c r="T95" s="12">
        <f t="shared" ca="1" si="219"/>
        <v>0</v>
      </c>
      <c r="U95" s="12">
        <f t="shared" ca="1" si="219"/>
        <v>0</v>
      </c>
      <c r="V95" s="12">
        <f t="shared" ca="1" si="219"/>
        <v>0</v>
      </c>
      <c r="W95" s="12">
        <f t="shared" ca="1" si="219"/>
        <v>0</v>
      </c>
      <c r="X95" s="12">
        <f t="shared" ca="1" si="219"/>
        <v>0</v>
      </c>
      <c r="Y95" s="12">
        <f t="shared" ca="1" si="219"/>
        <v>0</v>
      </c>
      <c r="Z95" s="12">
        <f t="shared" ca="1" si="219"/>
        <v>0</v>
      </c>
      <c r="AA95" s="12">
        <f t="shared" ca="1" si="219"/>
        <v>0</v>
      </c>
      <c r="AB95" s="12">
        <f t="shared" ca="1" si="219"/>
        <v>0</v>
      </c>
      <c r="AC95" s="12">
        <f t="shared" ca="1" si="219"/>
        <v>0</v>
      </c>
      <c r="AI95" s="2"/>
      <c r="AJ95" s="12">
        <f t="shared" ca="1" si="220"/>
        <v>0</v>
      </c>
      <c r="AK95" s="12">
        <f t="shared" ca="1" si="220"/>
        <v>0</v>
      </c>
      <c r="AL95" s="12">
        <f t="shared" ca="1" si="220"/>
        <v>0</v>
      </c>
      <c r="AM95" s="12">
        <f t="shared" ca="1" si="220"/>
        <v>0</v>
      </c>
      <c r="AN95" s="12">
        <f t="shared" ca="1" si="220"/>
        <v>0</v>
      </c>
      <c r="AO95" s="12">
        <f t="shared" ca="1" si="220"/>
        <v>0</v>
      </c>
      <c r="AP95" s="12">
        <f t="shared" ca="1" si="220"/>
        <v>0</v>
      </c>
      <c r="AQ95" s="12">
        <f t="shared" ca="1" si="220"/>
        <v>0</v>
      </c>
      <c r="AR95" s="12">
        <f t="shared" ca="1" si="220"/>
        <v>0</v>
      </c>
      <c r="AS95" s="12">
        <f t="shared" ca="1" si="220"/>
        <v>0</v>
      </c>
      <c r="AT95" s="12">
        <f t="shared" ca="1" si="220"/>
        <v>0</v>
      </c>
      <c r="AU95" s="12">
        <f t="shared" ca="1" si="220"/>
        <v>0</v>
      </c>
      <c r="AV95" s="12">
        <f t="shared" ca="1" si="220"/>
        <v>0</v>
      </c>
      <c r="AW95" s="12">
        <f t="shared" ca="1" si="220"/>
        <v>0</v>
      </c>
      <c r="AX95" s="12">
        <f t="shared" ca="1" si="220"/>
        <v>0</v>
      </c>
      <c r="AY95" s="12">
        <f t="shared" ca="1" si="221"/>
        <v>0</v>
      </c>
      <c r="AZ95" s="12">
        <f t="shared" ca="1" si="221"/>
        <v>0</v>
      </c>
      <c r="BD95" s="2"/>
      <c r="BE95" s="12">
        <f t="shared" ca="1" si="222"/>
        <v>0</v>
      </c>
      <c r="BF95" s="12">
        <f t="shared" ca="1" si="222"/>
        <v>0</v>
      </c>
      <c r="BG95" s="12">
        <f t="shared" ca="1" si="222"/>
        <v>0</v>
      </c>
      <c r="BH95" s="12">
        <f t="shared" ca="1" si="222"/>
        <v>0</v>
      </c>
      <c r="BI95" s="12">
        <f t="shared" ca="1" si="222"/>
        <v>0</v>
      </c>
      <c r="BJ95" s="12">
        <f t="shared" ca="1" si="222"/>
        <v>0</v>
      </c>
      <c r="BK95" s="12">
        <f t="shared" ca="1" si="222"/>
        <v>0</v>
      </c>
      <c r="BL95" s="12">
        <f t="shared" ca="1" si="222"/>
        <v>0</v>
      </c>
      <c r="BM95" s="12">
        <f t="shared" ca="1" si="222"/>
        <v>0</v>
      </c>
      <c r="BN95" s="12">
        <f t="shared" ca="1" si="222"/>
        <v>0</v>
      </c>
      <c r="BO95" s="12">
        <f t="shared" ca="1" si="222"/>
        <v>0</v>
      </c>
      <c r="BP95" s="12">
        <f t="shared" ca="1" si="222"/>
        <v>0</v>
      </c>
      <c r="BQ95" s="12">
        <f t="shared" ca="1" si="222"/>
        <v>0</v>
      </c>
      <c r="BR95" s="12">
        <f t="shared" ca="1" si="222"/>
        <v>0</v>
      </c>
      <c r="BS95" s="12">
        <f t="shared" ca="1" si="222"/>
        <v>0</v>
      </c>
      <c r="BT95" s="12">
        <f t="shared" ca="1" si="223"/>
        <v>0</v>
      </c>
      <c r="BU95" s="12">
        <f t="shared" ca="1" si="223"/>
        <v>0</v>
      </c>
      <c r="BY95" s="2"/>
      <c r="BZ95" s="12">
        <f t="shared" ca="1" si="224"/>
        <v>0</v>
      </c>
      <c r="CA95" s="12">
        <f t="shared" ca="1" si="224"/>
        <v>0</v>
      </c>
      <c r="CB95" s="12">
        <f t="shared" ca="1" si="224"/>
        <v>0</v>
      </c>
      <c r="CC95" s="12">
        <f t="shared" ca="1" si="224"/>
        <v>0</v>
      </c>
      <c r="CD95" s="12">
        <f t="shared" ca="1" si="224"/>
        <v>0</v>
      </c>
      <c r="CE95" s="12">
        <f t="shared" ca="1" si="224"/>
        <v>0</v>
      </c>
      <c r="CF95" s="12">
        <f t="shared" ca="1" si="224"/>
        <v>0</v>
      </c>
      <c r="CG95" s="12">
        <f t="shared" ca="1" si="224"/>
        <v>0</v>
      </c>
      <c r="CH95" s="12">
        <f t="shared" ca="1" si="224"/>
        <v>0</v>
      </c>
      <c r="CI95" s="12">
        <f t="shared" ca="1" si="224"/>
        <v>0</v>
      </c>
      <c r="CJ95" s="12">
        <f t="shared" ca="1" si="224"/>
        <v>0</v>
      </c>
      <c r="CK95" s="12">
        <f t="shared" ca="1" si="224"/>
        <v>0</v>
      </c>
      <c r="CL95" s="12">
        <f t="shared" ca="1" si="224"/>
        <v>0</v>
      </c>
      <c r="CM95" s="12">
        <f t="shared" ca="1" si="224"/>
        <v>0</v>
      </c>
      <c r="CN95" s="12">
        <f t="shared" ca="1" si="224"/>
        <v>0</v>
      </c>
      <c r="CO95" s="12">
        <f t="shared" ca="1" si="225"/>
        <v>0</v>
      </c>
      <c r="CP95" s="12">
        <f t="shared" ca="1" si="225"/>
        <v>0</v>
      </c>
    </row>
    <row r="96" spans="2:94" hidden="1" outlineLevel="1">
      <c r="B96" s="17" t="s">
        <v>910</v>
      </c>
      <c r="F96" s="27">
        <f t="shared" ca="1" si="218"/>
        <v>0</v>
      </c>
      <c r="G96" s="16">
        <f t="shared" si="226"/>
        <v>0</v>
      </c>
      <c r="H96" s="35"/>
      <c r="I96" s="35"/>
      <c r="J96" s="35"/>
      <c r="L96" s="2"/>
      <c r="M96" s="12">
        <f t="shared" ca="1" si="219"/>
        <v>0</v>
      </c>
      <c r="N96" s="12">
        <f t="shared" ca="1" si="219"/>
        <v>0</v>
      </c>
      <c r="O96" s="12">
        <f t="shared" ca="1" si="219"/>
        <v>0</v>
      </c>
      <c r="P96" s="12">
        <f t="shared" ca="1" si="219"/>
        <v>0</v>
      </c>
      <c r="Q96" s="12">
        <f t="shared" ca="1" si="219"/>
        <v>0</v>
      </c>
      <c r="R96" s="12">
        <f t="shared" ca="1" si="219"/>
        <v>0</v>
      </c>
      <c r="S96" s="12">
        <f t="shared" ca="1" si="219"/>
        <v>0</v>
      </c>
      <c r="T96" s="12">
        <f t="shared" ca="1" si="219"/>
        <v>0</v>
      </c>
      <c r="U96" s="12">
        <f t="shared" ca="1" si="219"/>
        <v>0</v>
      </c>
      <c r="V96" s="12">
        <f t="shared" ca="1" si="219"/>
        <v>0</v>
      </c>
      <c r="W96" s="12">
        <f t="shared" ca="1" si="219"/>
        <v>0</v>
      </c>
      <c r="X96" s="12">
        <f t="shared" ca="1" si="219"/>
        <v>0</v>
      </c>
      <c r="Y96" s="12">
        <f t="shared" ca="1" si="219"/>
        <v>0</v>
      </c>
      <c r="Z96" s="12">
        <f t="shared" ca="1" si="219"/>
        <v>0</v>
      </c>
      <c r="AA96" s="12">
        <f t="shared" ca="1" si="219"/>
        <v>0</v>
      </c>
      <c r="AB96" s="12">
        <f t="shared" ca="1" si="219"/>
        <v>0</v>
      </c>
      <c r="AC96" s="12">
        <f t="shared" ca="1" si="219"/>
        <v>0</v>
      </c>
      <c r="AI96" s="2"/>
      <c r="AJ96" s="12">
        <f t="shared" ca="1" si="220"/>
        <v>0</v>
      </c>
      <c r="AK96" s="12">
        <f t="shared" ca="1" si="220"/>
        <v>0</v>
      </c>
      <c r="AL96" s="12">
        <f t="shared" ca="1" si="220"/>
        <v>0</v>
      </c>
      <c r="AM96" s="12">
        <f t="shared" ca="1" si="220"/>
        <v>0</v>
      </c>
      <c r="AN96" s="12">
        <f t="shared" ca="1" si="220"/>
        <v>0</v>
      </c>
      <c r="AO96" s="12">
        <f t="shared" ca="1" si="220"/>
        <v>0</v>
      </c>
      <c r="AP96" s="12">
        <f t="shared" ca="1" si="220"/>
        <v>0</v>
      </c>
      <c r="AQ96" s="12">
        <f t="shared" ca="1" si="220"/>
        <v>0</v>
      </c>
      <c r="AR96" s="12">
        <f t="shared" ca="1" si="220"/>
        <v>0</v>
      </c>
      <c r="AS96" s="12">
        <f t="shared" ca="1" si="220"/>
        <v>0</v>
      </c>
      <c r="AT96" s="12">
        <f t="shared" ca="1" si="220"/>
        <v>0</v>
      </c>
      <c r="AU96" s="12">
        <f t="shared" ca="1" si="220"/>
        <v>0</v>
      </c>
      <c r="AV96" s="12">
        <f t="shared" ca="1" si="220"/>
        <v>0</v>
      </c>
      <c r="AW96" s="12">
        <f t="shared" ca="1" si="220"/>
        <v>0</v>
      </c>
      <c r="AX96" s="12">
        <f t="shared" ca="1" si="220"/>
        <v>0</v>
      </c>
      <c r="AY96" s="12">
        <f t="shared" ca="1" si="221"/>
        <v>0</v>
      </c>
      <c r="AZ96" s="12">
        <f t="shared" ca="1" si="221"/>
        <v>0</v>
      </c>
      <c r="BD96" s="2"/>
      <c r="BE96" s="12">
        <f t="shared" ca="1" si="222"/>
        <v>0</v>
      </c>
      <c r="BF96" s="12">
        <f t="shared" ca="1" si="222"/>
        <v>0</v>
      </c>
      <c r="BG96" s="12">
        <f t="shared" ca="1" si="222"/>
        <v>0</v>
      </c>
      <c r="BH96" s="12">
        <f t="shared" ca="1" si="222"/>
        <v>0</v>
      </c>
      <c r="BI96" s="12">
        <f t="shared" ca="1" si="222"/>
        <v>0</v>
      </c>
      <c r="BJ96" s="12">
        <f t="shared" ca="1" si="222"/>
        <v>0</v>
      </c>
      <c r="BK96" s="12">
        <f t="shared" ca="1" si="222"/>
        <v>0</v>
      </c>
      <c r="BL96" s="12">
        <f t="shared" ca="1" si="222"/>
        <v>0</v>
      </c>
      <c r="BM96" s="12">
        <f t="shared" ca="1" si="222"/>
        <v>0</v>
      </c>
      <c r="BN96" s="12">
        <f t="shared" ca="1" si="222"/>
        <v>0</v>
      </c>
      <c r="BO96" s="12">
        <f t="shared" ca="1" si="222"/>
        <v>0</v>
      </c>
      <c r="BP96" s="12">
        <f t="shared" ca="1" si="222"/>
        <v>0</v>
      </c>
      <c r="BQ96" s="12">
        <f t="shared" ca="1" si="222"/>
        <v>0</v>
      </c>
      <c r="BR96" s="12">
        <f t="shared" ca="1" si="222"/>
        <v>0</v>
      </c>
      <c r="BS96" s="12">
        <f t="shared" ca="1" si="222"/>
        <v>0</v>
      </c>
      <c r="BT96" s="12">
        <f t="shared" ca="1" si="223"/>
        <v>0</v>
      </c>
      <c r="BU96" s="12">
        <f t="shared" ca="1" si="223"/>
        <v>0</v>
      </c>
      <c r="BY96" s="2"/>
      <c r="BZ96" s="12">
        <f t="shared" ca="1" si="224"/>
        <v>0</v>
      </c>
      <c r="CA96" s="12">
        <f t="shared" ca="1" si="224"/>
        <v>0</v>
      </c>
      <c r="CB96" s="12">
        <f t="shared" ca="1" si="224"/>
        <v>0</v>
      </c>
      <c r="CC96" s="12">
        <f t="shared" ca="1" si="224"/>
        <v>0</v>
      </c>
      <c r="CD96" s="12">
        <f t="shared" ca="1" si="224"/>
        <v>0</v>
      </c>
      <c r="CE96" s="12">
        <f t="shared" ca="1" si="224"/>
        <v>0</v>
      </c>
      <c r="CF96" s="12">
        <f t="shared" ca="1" si="224"/>
        <v>0</v>
      </c>
      <c r="CG96" s="12">
        <f t="shared" ca="1" si="224"/>
        <v>0</v>
      </c>
      <c r="CH96" s="12">
        <f t="shared" ca="1" si="224"/>
        <v>0</v>
      </c>
      <c r="CI96" s="12">
        <f t="shared" ca="1" si="224"/>
        <v>0</v>
      </c>
      <c r="CJ96" s="12">
        <f t="shared" ca="1" si="224"/>
        <v>0</v>
      </c>
      <c r="CK96" s="12">
        <f t="shared" ca="1" si="224"/>
        <v>0</v>
      </c>
      <c r="CL96" s="12">
        <f t="shared" ca="1" si="224"/>
        <v>0</v>
      </c>
      <c r="CM96" s="12">
        <f t="shared" ca="1" si="224"/>
        <v>0</v>
      </c>
      <c r="CN96" s="12">
        <f t="shared" ca="1" si="224"/>
        <v>0</v>
      </c>
      <c r="CO96" s="12">
        <f t="shared" ca="1" si="225"/>
        <v>0</v>
      </c>
      <c r="CP96" s="12">
        <f t="shared" ca="1" si="225"/>
        <v>0</v>
      </c>
    </row>
    <row r="97" spans="2:94" collapsed="1">
      <c r="B97" s="3" t="s">
        <v>916</v>
      </c>
      <c r="C97" s="4"/>
      <c r="D97" s="4"/>
      <c r="E97" s="4"/>
      <c r="F97" s="28">
        <f t="shared" ca="1" si="218"/>
        <v>26.68251940458061</v>
      </c>
      <c r="G97" s="23">
        <f ca="1">+SUM(G87:G96)</f>
        <v>66661498.56137123</v>
      </c>
      <c r="H97" s="9">
        <f ca="1">+SUM(H87:H96)</f>
        <v>33225688.0881561</v>
      </c>
      <c r="I97" s="9">
        <f t="shared" ref="I97:J97" ca="1" si="227">+SUM(I87:I96)</f>
        <v>21460662.638504423</v>
      </c>
      <c r="J97" s="9">
        <f t="shared" ca="1" si="227"/>
        <v>11975147.834710708</v>
      </c>
      <c r="L97" s="16">
        <f ca="1">+SUM(M97:AC97)</f>
        <v>66661498.56137123</v>
      </c>
      <c r="M97" s="32">
        <f ca="1">+SUM(M87:M96)</f>
        <v>13491295.674643712</v>
      </c>
      <c r="N97" s="32">
        <f t="shared" ref="N97:AA97" ca="1" si="228">+SUM(N87:N96)</f>
        <v>20236943.511965569</v>
      </c>
      <c r="O97" s="32">
        <f t="shared" ca="1" si="228"/>
        <v>0</v>
      </c>
      <c r="P97" s="32">
        <f t="shared" ca="1" si="228"/>
        <v>0</v>
      </c>
      <c r="Q97" s="32">
        <f t="shared" ca="1" si="228"/>
        <v>0</v>
      </c>
      <c r="R97" s="32">
        <f t="shared" ca="1" si="228"/>
        <v>0</v>
      </c>
      <c r="S97" s="32">
        <f t="shared" ca="1" si="228"/>
        <v>2406355.7628386957</v>
      </c>
      <c r="T97" s="32">
        <f t="shared" ca="1" si="228"/>
        <v>5214238.182660833</v>
      </c>
      <c r="U97" s="32">
        <f t="shared" ref="U97:V97" ca="1" si="229">+SUM(U87:U96)</f>
        <v>0</v>
      </c>
      <c r="V97" s="32">
        <f t="shared" ca="1" si="229"/>
        <v>0</v>
      </c>
      <c r="W97" s="32">
        <f ca="1">+SUM(W87:W96)</f>
        <v>3795950.4783049924</v>
      </c>
      <c r="X97" s="32">
        <f t="shared" ca="1" si="228"/>
        <v>6217385.2961871549</v>
      </c>
      <c r="Y97" s="32">
        <f t="shared" ca="1" si="228"/>
        <v>4167015.389884185</v>
      </c>
      <c r="Z97" s="32">
        <f t="shared" ca="1" si="228"/>
        <v>0</v>
      </c>
      <c r="AA97" s="32">
        <f t="shared" ca="1" si="228"/>
        <v>0</v>
      </c>
      <c r="AB97" s="32">
        <f t="shared" ref="AB97:AC97" ca="1" si="230">+SUM(AB87:AB96)</f>
        <v>11132314.264886089</v>
      </c>
      <c r="AC97" s="32">
        <f t="shared" ca="1" si="230"/>
        <v>0</v>
      </c>
      <c r="AI97" s="16">
        <f ca="1">+SUM(AJ97:BA97)</f>
        <v>33225688.088156093</v>
      </c>
      <c r="AJ97" s="32">
        <f ca="1">+SUM(AJ87:AJ96)</f>
        <v>7646755.4345654882</v>
      </c>
      <c r="AK97" s="32">
        <f t="shared" ref="AK97" ca="1" si="231">+SUM(AK87:AK96)</f>
        <v>11470133.151848234</v>
      </c>
      <c r="AL97" s="32">
        <f t="shared" ref="AL97" ca="1" si="232">+SUM(AL87:AL96)</f>
        <v>0</v>
      </c>
      <c r="AM97" s="32">
        <f t="shared" ref="AM97" ca="1" si="233">+SUM(AM87:AM96)</f>
        <v>0</v>
      </c>
      <c r="AN97" s="32">
        <f t="shared" ref="AN97" ca="1" si="234">+SUM(AN87:AN96)</f>
        <v>0</v>
      </c>
      <c r="AO97" s="32">
        <f t="shared" ref="AO97" ca="1" si="235">+SUM(AO87:AO96)</f>
        <v>0</v>
      </c>
      <c r="AP97" s="32">
        <f t="shared" ref="AP97" ca="1" si="236">+SUM(AP87:AP96)</f>
        <v>1137910.0349055789</v>
      </c>
      <c r="AQ97" s="32">
        <f t="shared" ref="AQ97" ca="1" si="237">+SUM(AQ87:AQ96)</f>
        <v>2503402.0767922727</v>
      </c>
      <c r="AR97" s="32">
        <f t="shared" ref="AR97" ca="1" si="238">+SUM(AR87:AR96)</f>
        <v>0</v>
      </c>
      <c r="AS97" s="32">
        <f t="shared" ref="AS97" ca="1" si="239">+SUM(AS87:AS96)</f>
        <v>0</v>
      </c>
      <c r="AT97" s="32">
        <f t="shared" ref="AT97" ca="1" si="240">+SUM(AT87:AT96)</f>
        <v>1468132.5551163072</v>
      </c>
      <c r="AU97" s="32">
        <f t="shared" ref="AU97" ca="1" si="241">+SUM(AU87:AU96)</f>
        <v>3835819.065937202</v>
      </c>
      <c r="AV97" s="32">
        <f t="shared" ref="AV97" ca="1" si="242">+SUM(AV87:AV96)</f>
        <v>0</v>
      </c>
      <c r="AW97" s="32">
        <f t="shared" ref="AW97" ca="1" si="243">+SUM(AW87:AW96)</f>
        <v>0</v>
      </c>
      <c r="AX97" s="32">
        <f t="shared" ref="AX97:AZ97" ca="1" si="244">+SUM(AX87:AX96)</f>
        <v>0</v>
      </c>
      <c r="AY97" s="32">
        <f t="shared" ca="1" si="244"/>
        <v>5163535.768991014</v>
      </c>
      <c r="AZ97" s="32">
        <f t="shared" ca="1" si="244"/>
        <v>0</v>
      </c>
      <c r="BD97" s="16">
        <f ca="1">+SUM(BE97:BV97)</f>
        <v>21460662.638504423</v>
      </c>
      <c r="BE97" s="32">
        <f ca="1">+SUM(BE87:BE96)</f>
        <v>4359965.673803811</v>
      </c>
      <c r="BF97" s="32">
        <f t="shared" ref="BF97" ca="1" si="245">+SUM(BF87:BF96)</f>
        <v>6539948.510705715</v>
      </c>
      <c r="BG97" s="32">
        <f t="shared" ref="BG97" ca="1" si="246">+SUM(BG87:BG96)</f>
        <v>0</v>
      </c>
      <c r="BH97" s="32">
        <f t="shared" ref="BH97" ca="1" si="247">+SUM(BH87:BH96)</f>
        <v>0</v>
      </c>
      <c r="BI97" s="32">
        <f t="shared" ref="BI97" ca="1" si="248">+SUM(BI87:BI96)</f>
        <v>0</v>
      </c>
      <c r="BJ97" s="32">
        <f t="shared" ref="BJ97" ca="1" si="249">+SUM(BJ87:BJ96)</f>
        <v>0</v>
      </c>
      <c r="BK97" s="32">
        <f t="shared" ref="BK97" ca="1" si="250">+SUM(BK87:BK96)</f>
        <v>648804.41574461455</v>
      </c>
      <c r="BL97" s="32">
        <f t="shared" ref="BL97" ca="1" si="251">+SUM(BL87:BL96)</f>
        <v>1427369.7146381524</v>
      </c>
      <c r="BM97" s="32">
        <f t="shared" ref="BM97" ca="1" si="252">+SUM(BM87:BM96)</f>
        <v>0</v>
      </c>
      <c r="BN97" s="32">
        <f t="shared" ref="BN97" ca="1" si="253">+SUM(BN87:BN96)</f>
        <v>0</v>
      </c>
      <c r="BO97" s="32">
        <f t="shared" ref="BO97" ca="1" si="254">+SUM(BO87:BO96)</f>
        <v>2131945.50590976</v>
      </c>
      <c r="BP97" s="32">
        <f t="shared" ref="BP97" ca="1" si="255">+SUM(BP87:BP96)</f>
        <v>1729538.6847922788</v>
      </c>
      <c r="BQ97" s="32">
        <f t="shared" ref="BQ97" ca="1" si="256">+SUM(BQ87:BQ96)</f>
        <v>0</v>
      </c>
      <c r="BR97" s="32">
        <f t="shared" ref="BR97" ca="1" si="257">+SUM(BR87:BR96)</f>
        <v>0</v>
      </c>
      <c r="BS97" s="32">
        <f t="shared" ref="BS97:BU97" ca="1" si="258">+SUM(BS87:BS96)</f>
        <v>0</v>
      </c>
      <c r="BT97" s="32">
        <f t="shared" ca="1" si="258"/>
        <v>4623090.1329100914</v>
      </c>
      <c r="BU97" s="32">
        <f t="shared" ca="1" si="258"/>
        <v>0</v>
      </c>
      <c r="BY97" s="16">
        <f ca="1">+SUM(BZ97:CQ97)</f>
        <v>11975147.834710708</v>
      </c>
      <c r="BZ97" s="32">
        <f ca="1">+SUM(BZ87:BZ96)</f>
        <v>1484574.5662744131</v>
      </c>
      <c r="CA97" s="32">
        <f t="shared" ref="CA97" ca="1" si="259">+SUM(CA87:CA96)</f>
        <v>2226861.8494116198</v>
      </c>
      <c r="CB97" s="32">
        <f t="shared" ref="CB97" ca="1" si="260">+SUM(CB87:CB96)</f>
        <v>0</v>
      </c>
      <c r="CC97" s="32">
        <f t="shared" ref="CC97" ca="1" si="261">+SUM(CC87:CC96)</f>
        <v>0</v>
      </c>
      <c r="CD97" s="32">
        <f t="shared" ref="CD97" ca="1" si="262">+SUM(CD87:CD96)</f>
        <v>0</v>
      </c>
      <c r="CE97" s="32">
        <f t="shared" ref="CE97" ca="1" si="263">+SUM(CE87:CE96)</f>
        <v>0</v>
      </c>
      <c r="CF97" s="32">
        <f t="shared" ref="CF97" ca="1" si="264">+SUM(CF87:CF96)</f>
        <v>619641.3121885017</v>
      </c>
      <c r="CG97" s="32">
        <f t="shared" ref="CG97" ca="1" si="265">+SUM(CG87:CG96)</f>
        <v>1283466.3912304088</v>
      </c>
      <c r="CH97" s="32">
        <f t="shared" ref="CH97" ca="1" si="266">+SUM(CH87:CH96)</f>
        <v>0</v>
      </c>
      <c r="CI97" s="32">
        <f t="shared" ref="CI97" ca="1" si="267">+SUM(CI87:CI96)</f>
        <v>0</v>
      </c>
      <c r="CJ97" s="32">
        <f t="shared" ref="CJ97" ca="1" si="268">+SUM(CJ87:CJ96)</f>
        <v>195872.41727892507</v>
      </c>
      <c r="CK97" s="32">
        <f t="shared" ref="CK97" ca="1" si="269">+SUM(CK87:CK96)</f>
        <v>652027.54545767361</v>
      </c>
      <c r="CL97" s="32">
        <f t="shared" ref="CL97" ca="1" si="270">+SUM(CL87:CL96)</f>
        <v>4167015.389884185</v>
      </c>
      <c r="CM97" s="32">
        <f t="shared" ref="CM97" ca="1" si="271">+SUM(CM87:CM96)</f>
        <v>0</v>
      </c>
      <c r="CN97" s="32">
        <f t="shared" ref="CN97:CP97" ca="1" si="272">+SUM(CN87:CN96)</f>
        <v>0</v>
      </c>
      <c r="CO97" s="32">
        <f t="shared" ca="1" si="272"/>
        <v>1345688.3629849814</v>
      </c>
      <c r="CP97" s="32">
        <f t="shared" ca="1" si="272"/>
        <v>0</v>
      </c>
    </row>
    <row r="98" spans="2:94">
      <c r="L98" s="177">
        <f ca="1">L97-G97</f>
        <v>0</v>
      </c>
      <c r="AI98" s="177"/>
      <c r="BD98" s="177"/>
      <c r="BY98" s="177"/>
    </row>
    <row r="99" spans="2:94" ht="69.75" customHeight="1">
      <c r="B99" s="548" t="s">
        <v>917</v>
      </c>
      <c r="C99" s="549"/>
      <c r="D99" s="544"/>
      <c r="E99" s="550"/>
      <c r="F99" s="547" t="s">
        <v>901</v>
      </c>
      <c r="G99" s="544" t="s">
        <v>258</v>
      </c>
      <c r="H99" s="544" t="str">
        <f>+H$4</f>
        <v>I</v>
      </c>
      <c r="I99" s="544" t="str">
        <f t="shared" ref="I99:J99" si="273">+I$4</f>
        <v>II</v>
      </c>
      <c r="J99" s="544" t="str">
        <f t="shared" si="273"/>
        <v>III</v>
      </c>
      <c r="L99" s="2"/>
      <c r="M99" s="546" t="str">
        <f ca="1">+M$48</f>
        <v xml:space="preserve">Standard Affordable Residential </v>
      </c>
      <c r="N99" s="546" t="str">
        <f t="shared" ref="N99:AC99" ca="1" si="274">+N$48</f>
        <v xml:space="preserve">Standard Market-Rate Residential </v>
      </c>
      <c r="O99" s="546" t="str">
        <f t="shared" ca="1" si="274"/>
        <v>Affordable Multi-Bedroom Residential</v>
      </c>
      <c r="P99" s="546" t="str">
        <f t="shared" ca="1" si="274"/>
        <v>Market-Rate Multi-Bedroom Residential</v>
      </c>
      <c r="Q99" s="546" t="str">
        <f t="shared" ca="1" si="274"/>
        <v xml:space="preserve">Affordable Senior Living Residential </v>
      </c>
      <c r="R99" s="546" t="str">
        <f t="shared" ca="1" si="274"/>
        <v xml:space="preserve">Market-Rate Senior Living Residential </v>
      </c>
      <c r="S99" s="546" t="str">
        <f t="shared" ca="1" si="274"/>
        <v>Affordable For-Sale Residential</v>
      </c>
      <c r="T99" s="546" t="str">
        <f t="shared" ca="1" si="274"/>
        <v xml:space="preserve">Market-Rate For-Sale Residential </v>
      </c>
      <c r="U99" s="546" t="str">
        <f t="shared" ca="1" si="274"/>
        <v xml:space="preserve">Affordable Student Housing </v>
      </c>
      <c r="V99" s="546" t="str">
        <f t="shared" ca="1" si="274"/>
        <v xml:space="preserve">Market-Rate Student Housing </v>
      </c>
      <c r="W99" s="546" t="str">
        <f t="shared" si="274"/>
        <v xml:space="preserve">Office </v>
      </c>
      <c r="X99" s="546" t="str">
        <f t="shared" ca="1" si="274"/>
        <v xml:space="preserve">Retail </v>
      </c>
      <c r="Y99" s="546" t="str">
        <f t="shared" ca="1" si="274"/>
        <v xml:space="preserve">Hotel </v>
      </c>
      <c r="Z99" s="546" t="str">
        <f t="shared" ca="1" si="274"/>
        <v xml:space="preserve">Specialty - Data Center </v>
      </c>
      <c r="AA99" s="546" t="str">
        <f t="shared" ca="1" si="274"/>
        <v xml:space="preserve">Community Facility </v>
      </c>
      <c r="AB99" s="546" t="str">
        <f t="shared" ca="1" si="274"/>
        <v xml:space="preserve">Structural Parking </v>
      </c>
      <c r="AC99" s="546" t="str">
        <f t="shared" ca="1" si="274"/>
        <v xml:space="preserve">Surface Parking </v>
      </c>
      <c r="AI99" s="2"/>
      <c r="AJ99" s="546" t="str">
        <f ca="1">+AJ$48</f>
        <v xml:space="preserve">Standard Affordable Residential </v>
      </c>
      <c r="AK99" s="546" t="str">
        <f t="shared" ref="AK99:AZ99" ca="1" si="275">+AK$48</f>
        <v xml:space="preserve">Standard Market-Rate Residential </v>
      </c>
      <c r="AL99" s="546" t="str">
        <f t="shared" ca="1" si="275"/>
        <v>Affordable Multi-Bedroom Residential</v>
      </c>
      <c r="AM99" s="546" t="str">
        <f t="shared" ca="1" si="275"/>
        <v>Market-Rate Multi-Bedroom Residential</v>
      </c>
      <c r="AN99" s="546" t="str">
        <f t="shared" ca="1" si="275"/>
        <v xml:space="preserve">Affordable Senior Living Residential </v>
      </c>
      <c r="AO99" s="546" t="str">
        <f t="shared" ca="1" si="275"/>
        <v xml:space="preserve">Market-Rate Senior Living Residential </v>
      </c>
      <c r="AP99" s="546" t="str">
        <f t="shared" ca="1" si="275"/>
        <v>Affordable For-Sale Residential</v>
      </c>
      <c r="AQ99" s="546" t="str">
        <f t="shared" ca="1" si="275"/>
        <v xml:space="preserve">Market-Rate For-Sale Residential </v>
      </c>
      <c r="AR99" s="546" t="str">
        <f t="shared" ca="1" si="275"/>
        <v xml:space="preserve">Affordable Student Housing </v>
      </c>
      <c r="AS99" s="546" t="str">
        <f t="shared" ca="1" si="275"/>
        <v xml:space="preserve">Market-Rate Student Housing </v>
      </c>
      <c r="AT99" s="546" t="str">
        <f t="shared" si="275"/>
        <v xml:space="preserve">Office </v>
      </c>
      <c r="AU99" s="546" t="str">
        <f t="shared" ca="1" si="275"/>
        <v xml:space="preserve">Retail </v>
      </c>
      <c r="AV99" s="546" t="str">
        <f t="shared" ca="1" si="275"/>
        <v xml:space="preserve">Hotel </v>
      </c>
      <c r="AW99" s="546" t="str">
        <f t="shared" ca="1" si="275"/>
        <v xml:space="preserve">Specialty - Data Center </v>
      </c>
      <c r="AX99" s="546" t="str">
        <f t="shared" ca="1" si="275"/>
        <v xml:space="preserve">Community Facility </v>
      </c>
      <c r="AY99" s="546" t="str">
        <f t="shared" ca="1" si="275"/>
        <v xml:space="preserve">Structural Parking </v>
      </c>
      <c r="AZ99" s="546" t="str">
        <f t="shared" ca="1" si="275"/>
        <v xml:space="preserve">Surface Parking </v>
      </c>
      <c r="BD99" s="2"/>
      <c r="BE99" s="546" t="str">
        <f ca="1">+BE$48</f>
        <v xml:space="preserve">Standard Affordable Residential </v>
      </c>
      <c r="BF99" s="546" t="str">
        <f t="shared" ref="BF99:BU99" ca="1" si="276">+BF$48</f>
        <v xml:space="preserve">Standard Market-Rate Residential </v>
      </c>
      <c r="BG99" s="546" t="str">
        <f t="shared" ca="1" si="276"/>
        <v>Affordable Multi-Bedroom Residential</v>
      </c>
      <c r="BH99" s="546" t="str">
        <f t="shared" ca="1" si="276"/>
        <v>Market-Rate Multi-Bedroom Residential</v>
      </c>
      <c r="BI99" s="546" t="str">
        <f t="shared" ca="1" si="276"/>
        <v xml:space="preserve">Affordable Senior Living Residential </v>
      </c>
      <c r="BJ99" s="546" t="str">
        <f t="shared" ca="1" si="276"/>
        <v xml:space="preserve">Market-Rate Senior Living Residential </v>
      </c>
      <c r="BK99" s="546" t="str">
        <f t="shared" ca="1" si="276"/>
        <v>Affordable For-Sale Residential</v>
      </c>
      <c r="BL99" s="546" t="str">
        <f t="shared" ca="1" si="276"/>
        <v xml:space="preserve">Market-Rate For-Sale Residential </v>
      </c>
      <c r="BM99" s="546" t="str">
        <f t="shared" ca="1" si="276"/>
        <v xml:space="preserve">Affordable Student Housing </v>
      </c>
      <c r="BN99" s="546" t="str">
        <f t="shared" ca="1" si="276"/>
        <v xml:space="preserve">Market-Rate Student Housing </v>
      </c>
      <c r="BO99" s="546" t="str">
        <f t="shared" si="276"/>
        <v xml:space="preserve">Office </v>
      </c>
      <c r="BP99" s="546" t="str">
        <f t="shared" ca="1" si="276"/>
        <v xml:space="preserve">Retail </v>
      </c>
      <c r="BQ99" s="546" t="str">
        <f t="shared" ca="1" si="276"/>
        <v xml:space="preserve">Hotel </v>
      </c>
      <c r="BR99" s="546" t="str">
        <f t="shared" ca="1" si="276"/>
        <v xml:space="preserve">Specialty - Data Center </v>
      </c>
      <c r="BS99" s="546" t="str">
        <f t="shared" ca="1" si="276"/>
        <v xml:space="preserve">Community Facility </v>
      </c>
      <c r="BT99" s="546" t="str">
        <f t="shared" ca="1" si="276"/>
        <v xml:space="preserve">Structural Parking </v>
      </c>
      <c r="BU99" s="546" t="str">
        <f t="shared" ca="1" si="276"/>
        <v xml:space="preserve">Surface Parking </v>
      </c>
      <c r="BY99" s="2"/>
      <c r="BZ99" s="546" t="str">
        <f ca="1">+BZ$48</f>
        <v xml:space="preserve">Standard Affordable Residential </v>
      </c>
      <c r="CA99" s="546" t="str">
        <f t="shared" ref="CA99:CP99" ca="1" si="277">+CA$48</f>
        <v xml:space="preserve">Standard Market-Rate Residential </v>
      </c>
      <c r="CB99" s="546" t="str">
        <f t="shared" ca="1" si="277"/>
        <v>Affordable Multi-Bedroom Residential</v>
      </c>
      <c r="CC99" s="546" t="str">
        <f t="shared" ca="1" si="277"/>
        <v>Market-Rate Multi-Bedroom Residential</v>
      </c>
      <c r="CD99" s="546" t="str">
        <f t="shared" ca="1" si="277"/>
        <v xml:space="preserve">Affordable Senior Living Residential </v>
      </c>
      <c r="CE99" s="546" t="str">
        <f t="shared" ca="1" si="277"/>
        <v xml:space="preserve">Market-Rate Senior Living Residential </v>
      </c>
      <c r="CF99" s="546" t="str">
        <f t="shared" ca="1" si="277"/>
        <v>Affordable For-Sale Residential</v>
      </c>
      <c r="CG99" s="546" t="str">
        <f t="shared" ca="1" si="277"/>
        <v xml:space="preserve">Market-Rate For-Sale Residential </v>
      </c>
      <c r="CH99" s="546" t="str">
        <f t="shared" ca="1" si="277"/>
        <v xml:space="preserve">Affordable Student Housing </v>
      </c>
      <c r="CI99" s="546" t="str">
        <f t="shared" ca="1" si="277"/>
        <v xml:space="preserve">Market-Rate Student Housing </v>
      </c>
      <c r="CJ99" s="546" t="str">
        <f t="shared" si="277"/>
        <v xml:space="preserve">Office </v>
      </c>
      <c r="CK99" s="546" t="str">
        <f t="shared" ca="1" si="277"/>
        <v xml:space="preserve">Retail </v>
      </c>
      <c r="CL99" s="546" t="str">
        <f t="shared" ca="1" si="277"/>
        <v xml:space="preserve">Hotel </v>
      </c>
      <c r="CM99" s="546" t="str">
        <f t="shared" ca="1" si="277"/>
        <v xml:space="preserve">Specialty - Data Center </v>
      </c>
      <c r="CN99" s="546" t="str">
        <f t="shared" ca="1" si="277"/>
        <v xml:space="preserve">Community Facility </v>
      </c>
      <c r="CO99" s="546" t="str">
        <f t="shared" ca="1" si="277"/>
        <v xml:space="preserve">Structural Parking </v>
      </c>
      <c r="CP99" s="546" t="str">
        <f t="shared" ca="1" si="277"/>
        <v xml:space="preserve">Surface Parking </v>
      </c>
    </row>
    <row r="100" spans="2:94">
      <c r="B100" s="1" t="s">
        <v>918</v>
      </c>
      <c r="D100" s="780">
        <v>0</v>
      </c>
      <c r="F100" s="27">
        <f t="shared" ref="F100:F104" ca="1" si="278">+$G100/$G$10</f>
        <v>0.40026882053987456</v>
      </c>
      <c r="G100" s="26">
        <v>1000000</v>
      </c>
      <c r="H100" s="22">
        <f ca="1">+$G100*H$29</f>
        <v>390406.99733941315</v>
      </c>
      <c r="I100" s="22">
        <f t="shared" ref="I100:J101" ca="1" si="279">+$G100*I$29</f>
        <v>321074.83385841933</v>
      </c>
      <c r="J100" s="22">
        <f t="shared" ca="1" si="279"/>
        <v>288518.16880216752</v>
      </c>
      <c r="L100" s="2"/>
      <c r="M100" s="12">
        <f ca="1">+$H100*M$5+$I100*M$6+$J100*M$7</f>
        <v>190848.35935814492</v>
      </c>
      <c r="N100" s="12">
        <f t="shared" ref="M100:AC103" ca="1" si="280">+$H100*N$5+$I100*N$6+$J100*N$7</f>
        <v>286272.53903721739</v>
      </c>
      <c r="O100" s="12">
        <f t="shared" ca="1" si="280"/>
        <v>0</v>
      </c>
      <c r="P100" s="12">
        <f t="shared" ca="1" si="280"/>
        <v>0</v>
      </c>
      <c r="Q100" s="12">
        <f t="shared" ca="1" si="280"/>
        <v>0</v>
      </c>
      <c r="R100" s="12">
        <f t="shared" ca="1" si="280"/>
        <v>0</v>
      </c>
      <c r="S100" s="12">
        <f t="shared" ca="1" si="280"/>
        <v>38006.505168871416</v>
      </c>
      <c r="T100" s="12">
        <f t="shared" ca="1" si="280"/>
        <v>81693.02103292571</v>
      </c>
      <c r="U100" s="12">
        <f t="shared" ca="1" si="280"/>
        <v>0</v>
      </c>
      <c r="V100" s="12">
        <f t="shared" ca="1" si="280"/>
        <v>0</v>
      </c>
      <c r="W100" s="12">
        <f t="shared" ca="1" si="280"/>
        <v>53866.176524153627</v>
      </c>
      <c r="X100" s="12">
        <f t="shared" ca="1" si="280"/>
        <v>86656.598571600683</v>
      </c>
      <c r="Y100" s="12">
        <f t="shared" ca="1" si="280"/>
        <v>100396.22610545241</v>
      </c>
      <c r="Z100" s="12">
        <f t="shared" ca="1" si="280"/>
        <v>0</v>
      </c>
      <c r="AA100" s="12">
        <f t="shared" ca="1" si="280"/>
        <v>0</v>
      </c>
      <c r="AB100" s="12">
        <f t="shared" ca="1" si="280"/>
        <v>162260.57420163383</v>
      </c>
      <c r="AC100" s="12">
        <f t="shared" ca="1" si="280"/>
        <v>0</v>
      </c>
      <c r="AI100" s="2"/>
      <c r="AJ100" s="12">
        <f ca="1">+$H100*AJ$5+$I100*AJ$6+$J100*AJ$7</f>
        <v>89850.56443907728</v>
      </c>
      <c r="AK100" s="12">
        <f t="shared" ref="AJ100:AY101" ca="1" si="281">+$H100*AK$5+$I100*AK$6+$J100*AK$7</f>
        <v>134775.84665861592</v>
      </c>
      <c r="AL100" s="12">
        <f t="shared" ca="1" si="281"/>
        <v>0</v>
      </c>
      <c r="AM100" s="12">
        <f t="shared" ca="1" si="281"/>
        <v>0</v>
      </c>
      <c r="AN100" s="12">
        <f t="shared" ca="1" si="281"/>
        <v>0</v>
      </c>
      <c r="AO100" s="12">
        <f t="shared" ca="1" si="281"/>
        <v>0</v>
      </c>
      <c r="AP100" s="12">
        <f t="shared" ca="1" si="281"/>
        <v>13370.619708196027</v>
      </c>
      <c r="AQ100" s="12">
        <f t="shared" ca="1" si="281"/>
        <v>29415.363358031249</v>
      </c>
      <c r="AR100" s="12">
        <f t="shared" ca="1" si="281"/>
        <v>0</v>
      </c>
      <c r="AS100" s="12">
        <f t="shared" ca="1" si="281"/>
        <v>0</v>
      </c>
      <c r="AT100" s="12">
        <f t="shared" ca="1" si="281"/>
        <v>17250.785627627516</v>
      </c>
      <c r="AU100" s="12">
        <f t="shared" ca="1" si="281"/>
        <v>45071.469999251502</v>
      </c>
      <c r="AV100" s="12">
        <f t="shared" ca="1" si="281"/>
        <v>0</v>
      </c>
      <c r="AW100" s="12">
        <f t="shared" ca="1" si="281"/>
        <v>0</v>
      </c>
      <c r="AX100" s="12">
        <f t="shared" ca="1" si="281"/>
        <v>0</v>
      </c>
      <c r="AY100" s="12">
        <f t="shared" ca="1" si="281"/>
        <v>60672.347548613652</v>
      </c>
      <c r="AZ100" s="12">
        <f t="shared" ref="AY100:AZ101" ca="1" si="282">+$H100*AZ$5+$I100*AZ$6+$J100*AZ$7</f>
        <v>0</v>
      </c>
      <c r="BD100" s="2"/>
      <c r="BE100" s="12">
        <f ca="1">+$H100*BE$5+$I100*BE$6+$J100*BE$7</f>
        <v>65229.824350033487</v>
      </c>
      <c r="BF100" s="12">
        <f t="shared" ref="BE100:BT101" ca="1" si="283">+$H100*BF$5+$I100*BF$6+$J100*BF$7</f>
        <v>97844.736525050219</v>
      </c>
      <c r="BG100" s="12">
        <f t="shared" ca="1" si="283"/>
        <v>0</v>
      </c>
      <c r="BH100" s="12">
        <f t="shared" ca="1" si="283"/>
        <v>0</v>
      </c>
      <c r="BI100" s="12">
        <f t="shared" ca="1" si="283"/>
        <v>0</v>
      </c>
      <c r="BJ100" s="12">
        <f t="shared" ca="1" si="283"/>
        <v>0</v>
      </c>
      <c r="BK100" s="12">
        <f t="shared" ca="1" si="283"/>
        <v>9706.8190997073634</v>
      </c>
      <c r="BL100" s="12">
        <f t="shared" ca="1" si="283"/>
        <v>21355.002019356201</v>
      </c>
      <c r="BM100" s="12">
        <f t="shared" ca="1" si="283"/>
        <v>0</v>
      </c>
      <c r="BN100" s="12">
        <f t="shared" ca="1" si="283"/>
        <v>0</v>
      </c>
      <c r="BO100" s="12">
        <f t="shared" ca="1" si="283"/>
        <v>31896.221502360986</v>
      </c>
      <c r="BP100" s="12">
        <f t="shared" ca="1" si="283"/>
        <v>25875.778172620732</v>
      </c>
      <c r="BQ100" s="12">
        <f t="shared" ca="1" si="283"/>
        <v>0</v>
      </c>
      <c r="BR100" s="12">
        <f t="shared" ca="1" si="283"/>
        <v>0</v>
      </c>
      <c r="BS100" s="12">
        <f t="shared" ca="1" si="283"/>
        <v>0</v>
      </c>
      <c r="BT100" s="12">
        <f t="shared" ca="1" si="283"/>
        <v>69166.452189290329</v>
      </c>
      <c r="BU100" s="12">
        <f t="shared" ref="BT100:BU101" ca="1" si="284">+$H100*BU$5+$I100*BU$6+$J100*BU$7</f>
        <v>0</v>
      </c>
      <c r="BY100" s="2"/>
      <c r="BZ100" s="12">
        <f ca="1">+$H100*BZ$5+$I100*BZ$6+$J100*BZ$7</f>
        <v>35767.970569034158</v>
      </c>
      <c r="CA100" s="12">
        <f t="shared" ref="BZ100:CO101" ca="1" si="285">+$H100*CA$5+$I100*CA$6+$J100*CA$7</f>
        <v>53651.955853551233</v>
      </c>
      <c r="CB100" s="12">
        <f t="shared" ca="1" si="285"/>
        <v>0</v>
      </c>
      <c r="CC100" s="12">
        <f t="shared" ca="1" si="285"/>
        <v>0</v>
      </c>
      <c r="CD100" s="12">
        <f t="shared" ca="1" si="285"/>
        <v>0</v>
      </c>
      <c r="CE100" s="12">
        <f t="shared" ca="1" si="285"/>
        <v>0</v>
      </c>
      <c r="CF100" s="12">
        <f t="shared" ca="1" si="285"/>
        <v>14929.066360968025</v>
      </c>
      <c r="CG100" s="12">
        <f t="shared" ca="1" si="285"/>
        <v>30922.655655538259</v>
      </c>
      <c r="CH100" s="12">
        <f t="shared" ca="1" si="285"/>
        <v>0</v>
      </c>
      <c r="CI100" s="12">
        <f t="shared" ca="1" si="285"/>
        <v>0</v>
      </c>
      <c r="CJ100" s="12">
        <f t="shared" ca="1" si="285"/>
        <v>4719.169394165122</v>
      </c>
      <c r="CK100" s="12">
        <f t="shared" ca="1" si="285"/>
        <v>15709.350399728457</v>
      </c>
      <c r="CL100" s="12">
        <f t="shared" ca="1" si="285"/>
        <v>100396.22610545241</v>
      </c>
      <c r="CM100" s="12">
        <f t="shared" ca="1" si="285"/>
        <v>0</v>
      </c>
      <c r="CN100" s="12">
        <f t="shared" ca="1" si="285"/>
        <v>0</v>
      </c>
      <c r="CO100" s="12">
        <f t="shared" ca="1" si="285"/>
        <v>32421.774463729838</v>
      </c>
      <c r="CP100" s="12">
        <f t="shared" ref="CO100:CP101" ca="1" si="286">+$H100*CP$5+$I100*CP$6+$J100*CP$7</f>
        <v>0</v>
      </c>
    </row>
    <row r="101" spans="2:94">
      <c r="B101" s="1" t="s">
        <v>919</v>
      </c>
      <c r="D101" s="780">
        <v>0</v>
      </c>
      <c r="E101" s="10" t="s">
        <v>160</v>
      </c>
      <c r="F101" s="27">
        <f t="shared" ca="1" si="278"/>
        <v>0.40026882053987456</v>
      </c>
      <c r="G101" s="26">
        <v>1000000</v>
      </c>
      <c r="H101" s="22">
        <f ca="1">+$G101*H$29</f>
        <v>390406.99733941315</v>
      </c>
      <c r="I101" s="22">
        <f t="shared" ca="1" si="279"/>
        <v>321074.83385841933</v>
      </c>
      <c r="J101" s="22">
        <f t="shared" ca="1" si="279"/>
        <v>288518.16880216752</v>
      </c>
      <c r="L101" s="2"/>
      <c r="M101" s="12">
        <f t="shared" ca="1" si="280"/>
        <v>190848.35935814492</v>
      </c>
      <c r="N101" s="12">
        <f t="shared" ca="1" si="280"/>
        <v>286272.53903721739</v>
      </c>
      <c r="O101" s="12">
        <f t="shared" ca="1" si="280"/>
        <v>0</v>
      </c>
      <c r="P101" s="12">
        <f t="shared" ca="1" si="280"/>
        <v>0</v>
      </c>
      <c r="Q101" s="12">
        <f t="shared" ca="1" si="280"/>
        <v>0</v>
      </c>
      <c r="R101" s="12">
        <f t="shared" ca="1" si="280"/>
        <v>0</v>
      </c>
      <c r="S101" s="12">
        <f t="shared" ca="1" si="280"/>
        <v>38006.505168871416</v>
      </c>
      <c r="T101" s="12">
        <f t="shared" ca="1" si="280"/>
        <v>81693.02103292571</v>
      </c>
      <c r="U101" s="12">
        <f t="shared" ca="1" si="280"/>
        <v>0</v>
      </c>
      <c r="V101" s="12">
        <f t="shared" ca="1" si="280"/>
        <v>0</v>
      </c>
      <c r="W101" s="12">
        <f t="shared" ca="1" si="280"/>
        <v>53866.176524153627</v>
      </c>
      <c r="X101" s="12">
        <f t="shared" ca="1" si="280"/>
        <v>86656.598571600683</v>
      </c>
      <c r="Y101" s="12">
        <f t="shared" ca="1" si="280"/>
        <v>100396.22610545241</v>
      </c>
      <c r="Z101" s="12">
        <f t="shared" ca="1" si="280"/>
        <v>0</v>
      </c>
      <c r="AA101" s="12">
        <f t="shared" ca="1" si="280"/>
        <v>0</v>
      </c>
      <c r="AB101" s="12">
        <f t="shared" ca="1" si="280"/>
        <v>162260.57420163383</v>
      </c>
      <c r="AC101" s="12">
        <f t="shared" ca="1" si="280"/>
        <v>0</v>
      </c>
      <c r="AI101" s="2"/>
      <c r="AJ101" s="12">
        <f t="shared" ca="1" si="281"/>
        <v>89850.56443907728</v>
      </c>
      <c r="AK101" s="12">
        <f t="shared" ca="1" si="281"/>
        <v>134775.84665861592</v>
      </c>
      <c r="AL101" s="12">
        <f t="shared" ca="1" si="281"/>
        <v>0</v>
      </c>
      <c r="AM101" s="12">
        <f t="shared" ca="1" si="281"/>
        <v>0</v>
      </c>
      <c r="AN101" s="12">
        <f t="shared" ca="1" si="281"/>
        <v>0</v>
      </c>
      <c r="AO101" s="12">
        <f t="shared" ca="1" si="281"/>
        <v>0</v>
      </c>
      <c r="AP101" s="12">
        <f t="shared" ca="1" si="281"/>
        <v>13370.619708196027</v>
      </c>
      <c r="AQ101" s="12">
        <f t="shared" ca="1" si="281"/>
        <v>29415.363358031249</v>
      </c>
      <c r="AR101" s="12">
        <f t="shared" ca="1" si="281"/>
        <v>0</v>
      </c>
      <c r="AS101" s="12">
        <f t="shared" ca="1" si="281"/>
        <v>0</v>
      </c>
      <c r="AT101" s="12">
        <f t="shared" ca="1" si="281"/>
        <v>17250.785627627516</v>
      </c>
      <c r="AU101" s="12">
        <f t="shared" ca="1" si="281"/>
        <v>45071.469999251502</v>
      </c>
      <c r="AV101" s="12">
        <f t="shared" ca="1" si="281"/>
        <v>0</v>
      </c>
      <c r="AW101" s="12">
        <f t="shared" ca="1" si="281"/>
        <v>0</v>
      </c>
      <c r="AX101" s="12">
        <f t="shared" ca="1" si="281"/>
        <v>0</v>
      </c>
      <c r="AY101" s="12">
        <f t="shared" ca="1" si="282"/>
        <v>60672.347548613652</v>
      </c>
      <c r="AZ101" s="12">
        <f t="shared" ca="1" si="282"/>
        <v>0</v>
      </c>
      <c r="BD101" s="2"/>
      <c r="BE101" s="12">
        <f t="shared" ca="1" si="283"/>
        <v>65229.824350033487</v>
      </c>
      <c r="BF101" s="12">
        <f t="shared" ca="1" si="283"/>
        <v>97844.736525050219</v>
      </c>
      <c r="BG101" s="12">
        <f t="shared" ca="1" si="283"/>
        <v>0</v>
      </c>
      <c r="BH101" s="12">
        <f t="shared" ca="1" si="283"/>
        <v>0</v>
      </c>
      <c r="BI101" s="12">
        <f t="shared" ca="1" si="283"/>
        <v>0</v>
      </c>
      <c r="BJ101" s="12">
        <f t="shared" ca="1" si="283"/>
        <v>0</v>
      </c>
      <c r="BK101" s="12">
        <f t="shared" ca="1" si="283"/>
        <v>9706.8190997073634</v>
      </c>
      <c r="BL101" s="12">
        <f t="shared" ca="1" si="283"/>
        <v>21355.002019356201</v>
      </c>
      <c r="BM101" s="12">
        <f t="shared" ca="1" si="283"/>
        <v>0</v>
      </c>
      <c r="BN101" s="12">
        <f t="shared" ca="1" si="283"/>
        <v>0</v>
      </c>
      <c r="BO101" s="12">
        <f t="shared" ca="1" si="283"/>
        <v>31896.221502360986</v>
      </c>
      <c r="BP101" s="12">
        <f t="shared" ca="1" si="283"/>
        <v>25875.778172620732</v>
      </c>
      <c r="BQ101" s="12">
        <f t="shared" ca="1" si="283"/>
        <v>0</v>
      </c>
      <c r="BR101" s="12">
        <f t="shared" ca="1" si="283"/>
        <v>0</v>
      </c>
      <c r="BS101" s="12">
        <f t="shared" ca="1" si="283"/>
        <v>0</v>
      </c>
      <c r="BT101" s="12">
        <f t="shared" ca="1" si="284"/>
        <v>69166.452189290329</v>
      </c>
      <c r="BU101" s="12">
        <f t="shared" ca="1" si="284"/>
        <v>0</v>
      </c>
      <c r="BY101" s="2"/>
      <c r="BZ101" s="12">
        <f t="shared" ca="1" si="285"/>
        <v>35767.970569034158</v>
      </c>
      <c r="CA101" s="12">
        <f t="shared" ca="1" si="285"/>
        <v>53651.955853551233</v>
      </c>
      <c r="CB101" s="12">
        <f t="shared" ca="1" si="285"/>
        <v>0</v>
      </c>
      <c r="CC101" s="12">
        <f t="shared" ca="1" si="285"/>
        <v>0</v>
      </c>
      <c r="CD101" s="12">
        <f t="shared" ca="1" si="285"/>
        <v>0</v>
      </c>
      <c r="CE101" s="12">
        <f t="shared" ca="1" si="285"/>
        <v>0</v>
      </c>
      <c r="CF101" s="12">
        <f t="shared" ca="1" si="285"/>
        <v>14929.066360968025</v>
      </c>
      <c r="CG101" s="12">
        <f t="shared" ca="1" si="285"/>
        <v>30922.655655538259</v>
      </c>
      <c r="CH101" s="12">
        <f t="shared" ca="1" si="285"/>
        <v>0</v>
      </c>
      <c r="CI101" s="12">
        <f t="shared" ca="1" si="285"/>
        <v>0</v>
      </c>
      <c r="CJ101" s="12">
        <f t="shared" ca="1" si="285"/>
        <v>4719.169394165122</v>
      </c>
      <c r="CK101" s="12">
        <f t="shared" ca="1" si="285"/>
        <v>15709.350399728457</v>
      </c>
      <c r="CL101" s="12">
        <f t="shared" ca="1" si="285"/>
        <v>100396.22610545241</v>
      </c>
      <c r="CM101" s="12">
        <f t="shared" ca="1" si="285"/>
        <v>0</v>
      </c>
      <c r="CN101" s="12">
        <f t="shared" ca="1" si="285"/>
        <v>0</v>
      </c>
      <c r="CO101" s="12">
        <f t="shared" ca="1" si="286"/>
        <v>32421.774463729838</v>
      </c>
      <c r="CP101" s="12">
        <f t="shared" ca="1" si="286"/>
        <v>0</v>
      </c>
    </row>
    <row r="102" spans="2:94">
      <c r="B102" s="1" t="s">
        <v>920</v>
      </c>
      <c r="D102" s="780">
        <f>Assumptions!M109</f>
        <v>126.24</v>
      </c>
      <c r="E102" s="846">
        <f>Assumptions!M110</f>
        <v>105</v>
      </c>
      <c r="F102" s="27">
        <f t="shared" ca="1" si="278"/>
        <v>15.899008974427225</v>
      </c>
      <c r="G102" s="26">
        <f ca="1">+SUM(H102:J102)</f>
        <v>39720828</v>
      </c>
      <c r="H102" s="22">
        <f ca="1">+($D102*H$21)+($E102*H$22)</f>
        <v>17264006.52</v>
      </c>
      <c r="I102" s="22">
        <f t="shared" ref="I102:J102" ca="1" si="287">+($D102*I$21)+($E102*I$22)</f>
        <v>16847516.879999999</v>
      </c>
      <c r="J102" s="22">
        <f t="shared" ca="1" si="287"/>
        <v>5609304.5999999996</v>
      </c>
      <c r="L102" s="2"/>
      <c r="M102" s="12">
        <v>0</v>
      </c>
      <c r="N102" s="12">
        <v>0</v>
      </c>
      <c r="O102" s="12">
        <v>0</v>
      </c>
      <c r="P102" s="12">
        <v>0</v>
      </c>
      <c r="Q102" s="12">
        <v>0</v>
      </c>
      <c r="R102" s="12">
        <v>0</v>
      </c>
      <c r="S102" s="12">
        <v>0</v>
      </c>
      <c r="T102" s="12">
        <v>0</v>
      </c>
      <c r="U102" s="12">
        <v>0</v>
      </c>
      <c r="V102" s="12">
        <v>0</v>
      </c>
      <c r="W102" s="12">
        <f ca="1">+($D102*$G$21)</f>
        <v>16988748</v>
      </c>
      <c r="X102" s="12">
        <f ca="1">+$E102*$G$22</f>
        <v>22732080</v>
      </c>
      <c r="Y102" s="12">
        <v>0</v>
      </c>
      <c r="Z102" s="12">
        <v>0</v>
      </c>
      <c r="AA102" s="12">
        <v>0</v>
      </c>
      <c r="AB102" s="12">
        <v>0</v>
      </c>
      <c r="AC102" s="12">
        <f t="shared" ca="1" si="280"/>
        <v>0</v>
      </c>
      <c r="AI102" s="2"/>
      <c r="AJ102" s="12">
        <v>0</v>
      </c>
      <c r="AK102" s="12">
        <v>0</v>
      </c>
      <c r="AL102" s="12">
        <v>0</v>
      </c>
      <c r="AM102" s="12">
        <v>0</v>
      </c>
      <c r="AN102" s="12">
        <v>0</v>
      </c>
      <c r="AO102" s="12">
        <v>0</v>
      </c>
      <c r="AP102" s="12">
        <v>0</v>
      </c>
      <c r="AQ102" s="12">
        <v>0</v>
      </c>
      <c r="AR102" s="12">
        <v>0</v>
      </c>
      <c r="AS102" s="12">
        <v>0</v>
      </c>
      <c r="AT102" s="12">
        <f ca="1">+($D102*$H$21)</f>
        <v>5440691.5199999996</v>
      </c>
      <c r="AU102" s="12">
        <f ca="1">+$E102*$H$22</f>
        <v>11823315</v>
      </c>
      <c r="AV102" s="12">
        <v>0</v>
      </c>
      <c r="AW102" s="12">
        <v>0</v>
      </c>
      <c r="AX102" s="12">
        <v>0</v>
      </c>
      <c r="AY102" s="12">
        <v>0</v>
      </c>
      <c r="AZ102" s="12">
        <v>0</v>
      </c>
      <c r="BD102" s="2"/>
      <c r="BE102" s="12">
        <v>0</v>
      </c>
      <c r="BF102" s="12">
        <v>0</v>
      </c>
      <c r="BG102" s="12">
        <v>0</v>
      </c>
      <c r="BH102" s="12">
        <v>0</v>
      </c>
      <c r="BI102" s="12">
        <v>0</v>
      </c>
      <c r="BJ102" s="12">
        <v>0</v>
      </c>
      <c r="BK102" s="12">
        <v>0</v>
      </c>
      <c r="BL102" s="12">
        <v>0</v>
      </c>
      <c r="BM102" s="12">
        <v>0</v>
      </c>
      <c r="BN102" s="12">
        <v>0</v>
      </c>
      <c r="BO102" s="12">
        <f ca="1">+($D102*$I$21)</f>
        <v>10059686.879999999</v>
      </c>
      <c r="BP102" s="12">
        <f ca="1">+$E102*$I$22</f>
        <v>6787830</v>
      </c>
      <c r="BQ102" s="12">
        <v>0</v>
      </c>
      <c r="BR102" s="12">
        <v>0</v>
      </c>
      <c r="BS102" s="12">
        <v>0</v>
      </c>
      <c r="BT102" s="12">
        <v>0</v>
      </c>
      <c r="BU102" s="12">
        <v>0</v>
      </c>
      <c r="BY102" s="2"/>
      <c r="BZ102" s="12">
        <v>0</v>
      </c>
      <c r="CA102" s="12">
        <v>0</v>
      </c>
      <c r="CB102" s="12">
        <v>0</v>
      </c>
      <c r="CC102" s="12">
        <v>0</v>
      </c>
      <c r="CD102" s="12">
        <v>0</v>
      </c>
      <c r="CE102" s="12">
        <v>0</v>
      </c>
      <c r="CF102" s="12">
        <v>0</v>
      </c>
      <c r="CG102" s="12">
        <v>0</v>
      </c>
      <c r="CH102" s="12">
        <v>0</v>
      </c>
      <c r="CI102" s="12">
        <v>0</v>
      </c>
      <c r="CJ102" s="12">
        <f ca="1">+($D102*$J$21)</f>
        <v>1488369.5999999999</v>
      </c>
      <c r="CK102" s="12">
        <f ca="1">+$E102*$J$22</f>
        <v>4120935</v>
      </c>
      <c r="CL102" s="12">
        <v>0</v>
      </c>
      <c r="CM102" s="12">
        <v>0</v>
      </c>
      <c r="CN102" s="12">
        <v>0</v>
      </c>
      <c r="CO102" s="12">
        <v>0</v>
      </c>
      <c r="CP102" s="12">
        <v>0</v>
      </c>
    </row>
    <row r="103" spans="2:94">
      <c r="B103" s="1" t="s">
        <v>921</v>
      </c>
      <c r="D103" s="760">
        <v>0.05</v>
      </c>
      <c r="F103" s="27">
        <f t="shared" ca="1" si="278"/>
        <v>4.465859102454437</v>
      </c>
      <c r="G103" s="26">
        <f>+SUM(H103:J103)</f>
        <v>11157149.578703072</v>
      </c>
      <c r="H103" s="22">
        <f>+'Phase 1 Pro Forma'!$AC69+'Phase 1 Pro Forma'!$AC95</f>
        <v>3593142.5555402106</v>
      </c>
      <c r="I103" s="22">
        <f>+'Phase 2 Pro Forma'!$AC225+'Phase 2 Pro Forma'!$AC251</f>
        <v>5554074.2524687871</v>
      </c>
      <c r="J103" s="22">
        <f>+'Phase 3 Pro Forma'!$AC225+'Phase 3 Pro Forma'!$AC251</f>
        <v>2009932.7706940733</v>
      </c>
      <c r="L103" s="2"/>
      <c r="M103" s="12">
        <v>0</v>
      </c>
      <c r="N103" s="12">
        <v>0</v>
      </c>
      <c r="O103" s="12">
        <v>0</v>
      </c>
      <c r="P103" s="12">
        <v>0</v>
      </c>
      <c r="Q103" s="12">
        <v>0</v>
      </c>
      <c r="R103" s="12">
        <v>0</v>
      </c>
      <c r="S103" s="12">
        <v>0</v>
      </c>
      <c r="T103" s="12">
        <v>0</v>
      </c>
      <c r="U103" s="12">
        <v>0</v>
      </c>
      <c r="V103" s="12">
        <v>0</v>
      </c>
      <c r="W103" s="12">
        <f>+SUM('Phase 1 Pro Forma'!AC69,'Phase 2 Pro Forma'!AC225,'Phase 3 Pro Forma'!AC225)</f>
        <v>4888638.9665764272</v>
      </c>
      <c r="X103" s="12">
        <f>+SUM('Phase 1 Pro Forma'!AC95,'Phase 2 Pro Forma'!AC251,'Phase 3 Pro Forma'!AC251)</f>
        <v>6268510.6121266447</v>
      </c>
      <c r="Y103" s="12">
        <v>0</v>
      </c>
      <c r="Z103" s="12">
        <v>0</v>
      </c>
      <c r="AA103" s="12">
        <v>0</v>
      </c>
      <c r="AB103" s="12">
        <v>0</v>
      </c>
      <c r="AC103" s="12">
        <f t="shared" ca="1" si="280"/>
        <v>0</v>
      </c>
      <c r="AI103" s="2"/>
      <c r="AJ103" s="12">
        <v>0</v>
      </c>
      <c r="AK103" s="12">
        <v>0</v>
      </c>
      <c r="AL103" s="12">
        <v>0</v>
      </c>
      <c r="AM103" s="12">
        <v>0</v>
      </c>
      <c r="AN103" s="12">
        <v>0</v>
      </c>
      <c r="AO103" s="12">
        <v>0</v>
      </c>
      <c r="AP103" s="12">
        <v>0</v>
      </c>
      <c r="AQ103" s="12">
        <v>0</v>
      </c>
      <c r="AR103" s="12">
        <v>0</v>
      </c>
      <c r="AS103" s="12">
        <v>0</v>
      </c>
      <c r="AT103" s="12">
        <f>+'Phase 1 Pro Forma'!AC69</f>
        <v>1166014.894300113</v>
      </c>
      <c r="AU103" s="12">
        <f>+'Phase 1 Pro Forma'!AC95</f>
        <v>2427127.6612400976</v>
      </c>
      <c r="AV103" s="12">
        <v>0</v>
      </c>
      <c r="AW103" s="12">
        <v>0</v>
      </c>
      <c r="AX103" s="12">
        <v>0</v>
      </c>
      <c r="AY103" s="12">
        <v>0</v>
      </c>
      <c r="AZ103" s="12">
        <v>0</v>
      </c>
      <c r="BD103" s="2"/>
      <c r="BE103" s="12">
        <v>0</v>
      </c>
      <c r="BF103" s="12">
        <v>0</v>
      </c>
      <c r="BG103" s="12">
        <v>0</v>
      </c>
      <c r="BH103" s="12">
        <v>0</v>
      </c>
      <c r="BI103" s="12">
        <v>0</v>
      </c>
      <c r="BJ103" s="12">
        <v>0</v>
      </c>
      <c r="BK103" s="12">
        <v>0</v>
      </c>
      <c r="BL103" s="12">
        <v>0</v>
      </c>
      <c r="BM103" s="12">
        <v>0</v>
      </c>
      <c r="BN103" s="12">
        <v>0</v>
      </c>
      <c r="BO103" s="12">
        <f>+'Phase 2 Pro Forma'!AC225</f>
        <v>3217579.1426228327</v>
      </c>
      <c r="BP103" s="12">
        <f>+'Phase 2 Pro Forma'!AC251</f>
        <v>2336495.1098459545</v>
      </c>
      <c r="BQ103" s="12">
        <v>0</v>
      </c>
      <c r="BR103" s="12">
        <v>0</v>
      </c>
      <c r="BS103" s="12">
        <v>0</v>
      </c>
      <c r="BT103" s="12">
        <v>0</v>
      </c>
      <c r="BU103" s="12">
        <v>0</v>
      </c>
      <c r="BY103" s="2"/>
      <c r="BZ103" s="12">
        <v>0</v>
      </c>
      <c r="CA103" s="12">
        <v>0</v>
      </c>
      <c r="CB103" s="12">
        <v>0</v>
      </c>
      <c r="CC103" s="12">
        <v>0</v>
      </c>
      <c r="CD103" s="12">
        <v>0</v>
      </c>
      <c r="CE103" s="12">
        <v>0</v>
      </c>
      <c r="CF103" s="12">
        <v>0</v>
      </c>
      <c r="CG103" s="12">
        <v>0</v>
      </c>
      <c r="CH103" s="12">
        <v>0</v>
      </c>
      <c r="CI103" s="12">
        <v>0</v>
      </c>
      <c r="CJ103" s="12">
        <f>+'Phase 3 Pro Forma'!AC225</f>
        <v>505044.92965348117</v>
      </c>
      <c r="CK103" s="12">
        <f>+'Phase 3 Pro Forma'!AC251</f>
        <v>1504887.8410405922</v>
      </c>
      <c r="CL103" s="12">
        <v>0</v>
      </c>
      <c r="CM103" s="12">
        <v>0</v>
      </c>
      <c r="CN103" s="12">
        <v>0</v>
      </c>
      <c r="CO103" s="12">
        <v>0</v>
      </c>
      <c r="CP103" s="12">
        <v>0</v>
      </c>
    </row>
    <row r="104" spans="2:94">
      <c r="B104" s="3" t="s">
        <v>922</v>
      </c>
      <c r="C104" s="4"/>
      <c r="D104" s="4"/>
      <c r="E104" s="4"/>
      <c r="F104" s="28">
        <f t="shared" ca="1" si="278"/>
        <v>21.165405717961413</v>
      </c>
      <c r="G104" s="23">
        <f ca="1">+SUM(G100:G103)</f>
        <v>52877977.578703076</v>
      </c>
      <c r="H104" s="9">
        <f ca="1">+SUM(H100:H103)</f>
        <v>21637963.070219036</v>
      </c>
      <c r="I104" s="9">
        <f ca="1">+SUM(I100:I103)</f>
        <v>23043740.800185625</v>
      </c>
      <c r="J104" s="9">
        <f ca="1">+SUM(J100:J103)</f>
        <v>8196273.7082984075</v>
      </c>
      <c r="L104" s="16">
        <f ca="1">+SUM(M104:AF104)</f>
        <v>52877977.578703068</v>
      </c>
      <c r="M104" s="32">
        <f ca="1">+SUM(M100:M103)</f>
        <v>381696.71871628985</v>
      </c>
      <c r="N104" s="32">
        <f t="shared" ref="N104:AC104" ca="1" si="288">+SUM(N100:N103)</f>
        <v>572545.07807443477</v>
      </c>
      <c r="O104" s="32">
        <f t="shared" ca="1" si="288"/>
        <v>0</v>
      </c>
      <c r="P104" s="32">
        <f t="shared" ca="1" si="288"/>
        <v>0</v>
      </c>
      <c r="Q104" s="32">
        <f t="shared" ca="1" si="288"/>
        <v>0</v>
      </c>
      <c r="R104" s="32">
        <f t="shared" ca="1" si="288"/>
        <v>0</v>
      </c>
      <c r="S104" s="32">
        <f t="shared" ca="1" si="288"/>
        <v>76013.010337742831</v>
      </c>
      <c r="T104" s="32">
        <f t="shared" ca="1" si="288"/>
        <v>163386.04206585142</v>
      </c>
      <c r="U104" s="32">
        <f t="shared" ca="1" si="288"/>
        <v>0</v>
      </c>
      <c r="V104" s="32">
        <f t="shared" ca="1" si="288"/>
        <v>0</v>
      </c>
      <c r="W104" s="32">
        <f t="shared" ca="1" si="288"/>
        <v>21985119.319624733</v>
      </c>
      <c r="X104" s="32">
        <f t="shared" ca="1" si="288"/>
        <v>29173903.809269845</v>
      </c>
      <c r="Y104" s="32">
        <f t="shared" ca="1" si="288"/>
        <v>200792.45221090483</v>
      </c>
      <c r="Z104" s="32">
        <f t="shared" ca="1" si="288"/>
        <v>0</v>
      </c>
      <c r="AA104" s="32">
        <f t="shared" ca="1" si="288"/>
        <v>0</v>
      </c>
      <c r="AB104" s="32">
        <f t="shared" ca="1" si="288"/>
        <v>324521.14840326767</v>
      </c>
      <c r="AC104" s="32">
        <f t="shared" ca="1" si="288"/>
        <v>0</v>
      </c>
      <c r="AI104" s="16">
        <f ca="1">+SUM(AJ104:BA104)</f>
        <v>21637963.070219036</v>
      </c>
      <c r="AJ104" s="32">
        <f ca="1">+SUM(AJ100:AJ103)</f>
        <v>179701.12887815456</v>
      </c>
      <c r="AK104" s="32">
        <f t="shared" ref="AK104:AZ104" ca="1" si="289">+SUM(AK100:AK103)</f>
        <v>269551.69331723184</v>
      </c>
      <c r="AL104" s="32">
        <f t="shared" ca="1" si="289"/>
        <v>0</v>
      </c>
      <c r="AM104" s="32">
        <f t="shared" ca="1" si="289"/>
        <v>0</v>
      </c>
      <c r="AN104" s="32">
        <f t="shared" ca="1" si="289"/>
        <v>0</v>
      </c>
      <c r="AO104" s="32">
        <f t="shared" ca="1" si="289"/>
        <v>0</v>
      </c>
      <c r="AP104" s="32">
        <f t="shared" ca="1" si="289"/>
        <v>26741.239416392054</v>
      </c>
      <c r="AQ104" s="32">
        <f t="shared" ca="1" si="289"/>
        <v>58830.726716062498</v>
      </c>
      <c r="AR104" s="32">
        <f t="shared" ca="1" si="289"/>
        <v>0</v>
      </c>
      <c r="AS104" s="32">
        <f t="shared" ca="1" si="289"/>
        <v>0</v>
      </c>
      <c r="AT104" s="32">
        <f t="shared" ca="1" si="289"/>
        <v>6641207.9855553675</v>
      </c>
      <c r="AU104" s="32">
        <f t="shared" ca="1" si="289"/>
        <v>14340585.601238601</v>
      </c>
      <c r="AV104" s="32">
        <f t="shared" ca="1" si="289"/>
        <v>0</v>
      </c>
      <c r="AW104" s="32">
        <f t="shared" ca="1" si="289"/>
        <v>0</v>
      </c>
      <c r="AX104" s="32">
        <f t="shared" ca="1" si="289"/>
        <v>0</v>
      </c>
      <c r="AY104" s="32">
        <f t="shared" ca="1" si="289"/>
        <v>121344.6950972273</v>
      </c>
      <c r="AZ104" s="32">
        <f t="shared" ca="1" si="289"/>
        <v>0</v>
      </c>
      <c r="BD104" s="16">
        <f ca="1">+SUM(BE104:BV104)</f>
        <v>23043740.800185625</v>
      </c>
      <c r="BE104" s="32">
        <f ca="1">+SUM(BE100:BE103)</f>
        <v>130459.64870006697</v>
      </c>
      <c r="BF104" s="32">
        <f t="shared" ref="BF104:BU104" ca="1" si="290">+SUM(BF100:BF103)</f>
        <v>195689.47305010044</v>
      </c>
      <c r="BG104" s="32">
        <f t="shared" ca="1" si="290"/>
        <v>0</v>
      </c>
      <c r="BH104" s="32">
        <f t="shared" ca="1" si="290"/>
        <v>0</v>
      </c>
      <c r="BI104" s="32">
        <f t="shared" ca="1" si="290"/>
        <v>0</v>
      </c>
      <c r="BJ104" s="32">
        <f t="shared" ca="1" si="290"/>
        <v>0</v>
      </c>
      <c r="BK104" s="32">
        <f t="shared" ca="1" si="290"/>
        <v>19413.638199414727</v>
      </c>
      <c r="BL104" s="32">
        <f t="shared" ca="1" si="290"/>
        <v>42710.004038712403</v>
      </c>
      <c r="BM104" s="32">
        <f t="shared" ca="1" si="290"/>
        <v>0</v>
      </c>
      <c r="BN104" s="32">
        <f t="shared" ca="1" si="290"/>
        <v>0</v>
      </c>
      <c r="BO104" s="32">
        <f t="shared" ca="1" si="290"/>
        <v>13341058.465627553</v>
      </c>
      <c r="BP104" s="32">
        <f t="shared" ca="1" si="290"/>
        <v>9176076.6661911961</v>
      </c>
      <c r="BQ104" s="32">
        <f t="shared" ca="1" si="290"/>
        <v>0</v>
      </c>
      <c r="BR104" s="32">
        <f t="shared" ca="1" si="290"/>
        <v>0</v>
      </c>
      <c r="BS104" s="32">
        <f t="shared" ca="1" si="290"/>
        <v>0</v>
      </c>
      <c r="BT104" s="32">
        <f t="shared" ca="1" si="290"/>
        <v>138332.90437858066</v>
      </c>
      <c r="BU104" s="32">
        <f t="shared" ca="1" si="290"/>
        <v>0</v>
      </c>
      <c r="BY104" s="16">
        <f ca="1">+SUM(BZ104:CQ104)</f>
        <v>8196273.7082984075</v>
      </c>
      <c r="BZ104" s="32">
        <f t="shared" ref="BZ104" ca="1" si="291">+SUM(BZ100:BZ103)</f>
        <v>71535.941138068316</v>
      </c>
      <c r="CA104" s="32">
        <f t="shared" ref="CA104" ca="1" si="292">+SUM(CA100:CA103)</f>
        <v>107303.91170710247</v>
      </c>
      <c r="CB104" s="32">
        <f t="shared" ref="CB104" ca="1" si="293">+SUM(CB100:CB103)</f>
        <v>0</v>
      </c>
      <c r="CC104" s="32">
        <f t="shared" ref="CC104" ca="1" si="294">+SUM(CC100:CC103)</f>
        <v>0</v>
      </c>
      <c r="CD104" s="32">
        <f t="shared" ref="CD104" ca="1" si="295">+SUM(CD100:CD103)</f>
        <v>0</v>
      </c>
      <c r="CE104" s="32">
        <f t="shared" ref="CE104" ca="1" si="296">+SUM(CE100:CE103)</f>
        <v>0</v>
      </c>
      <c r="CF104" s="32">
        <f t="shared" ref="CF104" ca="1" si="297">+SUM(CF100:CF103)</f>
        <v>29858.13272193605</v>
      </c>
      <c r="CG104" s="32">
        <f t="shared" ref="CG104" ca="1" si="298">+SUM(CG100:CG103)</f>
        <v>61845.311311076519</v>
      </c>
      <c r="CH104" s="32">
        <f t="shared" ref="CH104" ca="1" si="299">+SUM(CH100:CH103)</f>
        <v>0</v>
      </c>
      <c r="CI104" s="32">
        <f t="shared" ref="CI104" ca="1" si="300">+SUM(CI100:CI103)</f>
        <v>0</v>
      </c>
      <c r="CJ104" s="32">
        <f t="shared" ref="CJ104" ca="1" si="301">+SUM(CJ100:CJ103)</f>
        <v>2002852.8684418113</v>
      </c>
      <c r="CK104" s="32">
        <f t="shared" ref="CK104" ca="1" si="302">+SUM(CK100:CK103)</f>
        <v>5657241.5418400485</v>
      </c>
      <c r="CL104" s="32">
        <f t="shared" ref="CL104" ca="1" si="303">+SUM(CL100:CL103)</f>
        <v>200792.45221090483</v>
      </c>
      <c r="CM104" s="32">
        <f t="shared" ref="CM104" ca="1" si="304">+SUM(CM100:CM103)</f>
        <v>0</v>
      </c>
      <c r="CN104" s="32">
        <f t="shared" ref="CN104" ca="1" si="305">+SUM(CN100:CN103)</f>
        <v>0</v>
      </c>
      <c r="CO104" s="32">
        <f t="shared" ref="CO104" ca="1" si="306">+SUM(CO100:CO103)</f>
        <v>64843.548927459677</v>
      </c>
      <c r="CP104" s="32">
        <f t="shared" ref="CP104" ca="1" si="307">+SUM(CP100:CP103)</f>
        <v>0</v>
      </c>
    </row>
    <row r="105" spans="2:94">
      <c r="L105" s="177">
        <f ca="1">L104-G104</f>
        <v>0</v>
      </c>
      <c r="AI105" s="177"/>
      <c r="BD105" s="177"/>
      <c r="BY105" s="177"/>
    </row>
    <row r="106" spans="2:94" ht="80.25" customHeight="1">
      <c r="B106" s="548" t="s">
        <v>923</v>
      </c>
      <c r="C106" s="549"/>
      <c r="D106" s="544"/>
      <c r="E106" s="550"/>
      <c r="F106" s="547" t="s">
        <v>901</v>
      </c>
      <c r="G106" s="544" t="s">
        <v>258</v>
      </c>
      <c r="H106" s="544" t="str">
        <f>+H$4</f>
        <v>I</v>
      </c>
      <c r="I106" s="544" t="str">
        <f t="shared" ref="I106:J106" si="308">+I$4</f>
        <v>II</v>
      </c>
      <c r="J106" s="544" t="str">
        <f t="shared" si="308"/>
        <v>III</v>
      </c>
      <c r="L106" s="2"/>
      <c r="M106" s="546" t="str">
        <f ca="1">+M$48</f>
        <v xml:space="preserve">Standard Affordable Residential </v>
      </c>
      <c r="N106" s="546" t="str">
        <f t="shared" ref="N106:AC106" ca="1" si="309">+N$48</f>
        <v xml:space="preserve">Standard Market-Rate Residential </v>
      </c>
      <c r="O106" s="546" t="str">
        <f t="shared" ca="1" si="309"/>
        <v>Affordable Multi-Bedroom Residential</v>
      </c>
      <c r="P106" s="546" t="str">
        <f t="shared" ca="1" si="309"/>
        <v>Market-Rate Multi-Bedroom Residential</v>
      </c>
      <c r="Q106" s="546" t="str">
        <f t="shared" ca="1" si="309"/>
        <v xml:space="preserve">Affordable Senior Living Residential </v>
      </c>
      <c r="R106" s="546" t="str">
        <f t="shared" ca="1" si="309"/>
        <v xml:space="preserve">Market-Rate Senior Living Residential </v>
      </c>
      <c r="S106" s="546" t="str">
        <f t="shared" ca="1" si="309"/>
        <v>Affordable For-Sale Residential</v>
      </c>
      <c r="T106" s="546" t="str">
        <f t="shared" ca="1" si="309"/>
        <v xml:space="preserve">Market-Rate For-Sale Residential </v>
      </c>
      <c r="U106" s="546" t="str">
        <f t="shared" ca="1" si="309"/>
        <v xml:space="preserve">Affordable Student Housing </v>
      </c>
      <c r="V106" s="546" t="str">
        <f t="shared" ca="1" si="309"/>
        <v xml:space="preserve">Market-Rate Student Housing </v>
      </c>
      <c r="W106" s="546" t="str">
        <f t="shared" si="309"/>
        <v xml:space="preserve">Office </v>
      </c>
      <c r="X106" s="546" t="str">
        <f t="shared" ca="1" si="309"/>
        <v xml:space="preserve">Retail </v>
      </c>
      <c r="Y106" s="546" t="str">
        <f t="shared" ca="1" si="309"/>
        <v xml:space="preserve">Hotel </v>
      </c>
      <c r="Z106" s="546" t="str">
        <f t="shared" ca="1" si="309"/>
        <v xml:space="preserve">Specialty - Data Center </v>
      </c>
      <c r="AA106" s="546" t="str">
        <f t="shared" ca="1" si="309"/>
        <v xml:space="preserve">Community Facility </v>
      </c>
      <c r="AB106" s="546" t="str">
        <f t="shared" ca="1" si="309"/>
        <v xml:space="preserve">Structural Parking </v>
      </c>
      <c r="AC106" s="546" t="str">
        <f t="shared" ca="1" si="309"/>
        <v xml:space="preserve">Surface Parking </v>
      </c>
      <c r="AI106" s="2"/>
      <c r="AJ106" s="546" t="str">
        <f ca="1">+AJ$48</f>
        <v xml:space="preserve">Standard Affordable Residential </v>
      </c>
      <c r="AK106" s="546" t="str">
        <f t="shared" ref="AK106:AZ106" ca="1" si="310">+AK$48</f>
        <v xml:space="preserve">Standard Market-Rate Residential </v>
      </c>
      <c r="AL106" s="546" t="str">
        <f t="shared" ca="1" si="310"/>
        <v>Affordable Multi-Bedroom Residential</v>
      </c>
      <c r="AM106" s="546" t="str">
        <f t="shared" ca="1" si="310"/>
        <v>Market-Rate Multi-Bedroom Residential</v>
      </c>
      <c r="AN106" s="546" t="str">
        <f t="shared" ca="1" si="310"/>
        <v xml:space="preserve">Affordable Senior Living Residential </v>
      </c>
      <c r="AO106" s="546" t="str">
        <f t="shared" ca="1" si="310"/>
        <v xml:space="preserve">Market-Rate Senior Living Residential </v>
      </c>
      <c r="AP106" s="546" t="str">
        <f t="shared" ca="1" si="310"/>
        <v>Affordable For-Sale Residential</v>
      </c>
      <c r="AQ106" s="546" t="str">
        <f t="shared" ca="1" si="310"/>
        <v xml:space="preserve">Market-Rate For-Sale Residential </v>
      </c>
      <c r="AR106" s="546" t="str">
        <f t="shared" ca="1" si="310"/>
        <v xml:space="preserve">Affordable Student Housing </v>
      </c>
      <c r="AS106" s="546" t="str">
        <f t="shared" ca="1" si="310"/>
        <v xml:space="preserve">Market-Rate Student Housing </v>
      </c>
      <c r="AT106" s="546" t="str">
        <f t="shared" si="310"/>
        <v xml:space="preserve">Office </v>
      </c>
      <c r="AU106" s="546" t="str">
        <f t="shared" ca="1" si="310"/>
        <v xml:space="preserve">Retail </v>
      </c>
      <c r="AV106" s="546" t="str">
        <f t="shared" ca="1" si="310"/>
        <v xml:space="preserve">Hotel </v>
      </c>
      <c r="AW106" s="546" t="str">
        <f t="shared" ca="1" si="310"/>
        <v xml:space="preserve">Specialty - Data Center </v>
      </c>
      <c r="AX106" s="546" t="str">
        <f t="shared" ca="1" si="310"/>
        <v xml:space="preserve">Community Facility </v>
      </c>
      <c r="AY106" s="546" t="str">
        <f t="shared" ca="1" si="310"/>
        <v xml:space="preserve">Structural Parking </v>
      </c>
      <c r="AZ106" s="546" t="str">
        <f t="shared" ca="1" si="310"/>
        <v xml:space="preserve">Surface Parking </v>
      </c>
      <c r="BD106" s="2"/>
      <c r="BE106" s="546" t="str">
        <f ca="1">+BE$48</f>
        <v xml:space="preserve">Standard Affordable Residential </v>
      </c>
      <c r="BF106" s="546" t="str">
        <f t="shared" ref="BF106:BU106" ca="1" si="311">+BF$48</f>
        <v xml:space="preserve">Standard Market-Rate Residential </v>
      </c>
      <c r="BG106" s="546" t="str">
        <f t="shared" ca="1" si="311"/>
        <v>Affordable Multi-Bedroom Residential</v>
      </c>
      <c r="BH106" s="546" t="str">
        <f t="shared" ca="1" si="311"/>
        <v>Market-Rate Multi-Bedroom Residential</v>
      </c>
      <c r="BI106" s="546" t="str">
        <f t="shared" ca="1" si="311"/>
        <v xml:space="preserve">Affordable Senior Living Residential </v>
      </c>
      <c r="BJ106" s="546" t="str">
        <f t="shared" ca="1" si="311"/>
        <v xml:space="preserve">Market-Rate Senior Living Residential </v>
      </c>
      <c r="BK106" s="546" t="str">
        <f t="shared" ca="1" si="311"/>
        <v>Affordable For-Sale Residential</v>
      </c>
      <c r="BL106" s="546" t="str">
        <f t="shared" ca="1" si="311"/>
        <v xml:space="preserve">Market-Rate For-Sale Residential </v>
      </c>
      <c r="BM106" s="546" t="str">
        <f t="shared" ca="1" si="311"/>
        <v xml:space="preserve">Affordable Student Housing </v>
      </c>
      <c r="BN106" s="546" t="str">
        <f t="shared" ca="1" si="311"/>
        <v xml:space="preserve">Market-Rate Student Housing </v>
      </c>
      <c r="BO106" s="546" t="str">
        <f t="shared" si="311"/>
        <v xml:space="preserve">Office </v>
      </c>
      <c r="BP106" s="546" t="str">
        <f t="shared" ca="1" si="311"/>
        <v xml:space="preserve">Retail </v>
      </c>
      <c r="BQ106" s="546" t="str">
        <f t="shared" ca="1" si="311"/>
        <v xml:space="preserve">Hotel </v>
      </c>
      <c r="BR106" s="546" t="str">
        <f t="shared" ca="1" si="311"/>
        <v xml:space="preserve">Specialty - Data Center </v>
      </c>
      <c r="BS106" s="546" t="str">
        <f t="shared" ca="1" si="311"/>
        <v xml:space="preserve">Community Facility </v>
      </c>
      <c r="BT106" s="546" t="str">
        <f t="shared" ca="1" si="311"/>
        <v xml:space="preserve">Structural Parking </v>
      </c>
      <c r="BU106" s="546" t="str">
        <f t="shared" ca="1" si="311"/>
        <v xml:space="preserve">Surface Parking </v>
      </c>
      <c r="BY106" s="2"/>
      <c r="BZ106" s="546" t="str">
        <f ca="1">+BZ$48</f>
        <v xml:space="preserve">Standard Affordable Residential </v>
      </c>
      <c r="CA106" s="546" t="str">
        <f t="shared" ref="CA106:CP106" ca="1" si="312">+CA$48</f>
        <v xml:space="preserve">Standard Market-Rate Residential </v>
      </c>
      <c r="CB106" s="546" t="str">
        <f t="shared" ca="1" si="312"/>
        <v>Affordable Multi-Bedroom Residential</v>
      </c>
      <c r="CC106" s="546" t="str">
        <f t="shared" ca="1" si="312"/>
        <v>Market-Rate Multi-Bedroom Residential</v>
      </c>
      <c r="CD106" s="546" t="str">
        <f t="shared" ca="1" si="312"/>
        <v xml:space="preserve">Affordable Senior Living Residential </v>
      </c>
      <c r="CE106" s="546" t="str">
        <f t="shared" ca="1" si="312"/>
        <v xml:space="preserve">Market-Rate Senior Living Residential </v>
      </c>
      <c r="CF106" s="546" t="str">
        <f t="shared" ca="1" si="312"/>
        <v>Affordable For-Sale Residential</v>
      </c>
      <c r="CG106" s="546" t="str">
        <f t="shared" ca="1" si="312"/>
        <v xml:space="preserve">Market-Rate For-Sale Residential </v>
      </c>
      <c r="CH106" s="546" t="str">
        <f t="shared" ca="1" si="312"/>
        <v xml:space="preserve">Affordable Student Housing </v>
      </c>
      <c r="CI106" s="546" t="str">
        <f t="shared" ca="1" si="312"/>
        <v xml:space="preserve">Market-Rate Student Housing </v>
      </c>
      <c r="CJ106" s="546" t="str">
        <f t="shared" si="312"/>
        <v xml:space="preserve">Office </v>
      </c>
      <c r="CK106" s="546" t="str">
        <f t="shared" ca="1" si="312"/>
        <v xml:space="preserve">Retail </v>
      </c>
      <c r="CL106" s="546" t="str">
        <f t="shared" ca="1" si="312"/>
        <v xml:space="preserve">Hotel </v>
      </c>
      <c r="CM106" s="546" t="str">
        <f t="shared" ca="1" si="312"/>
        <v xml:space="preserve">Specialty - Data Center </v>
      </c>
      <c r="CN106" s="546" t="str">
        <f t="shared" ca="1" si="312"/>
        <v xml:space="preserve">Community Facility </v>
      </c>
      <c r="CO106" s="546" t="str">
        <f t="shared" ca="1" si="312"/>
        <v xml:space="preserve">Structural Parking </v>
      </c>
      <c r="CP106" s="546" t="str">
        <f t="shared" ca="1" si="312"/>
        <v xml:space="preserve">Surface Parking </v>
      </c>
    </row>
    <row r="107" spans="2:94">
      <c r="B107" s="1" t="s">
        <v>923</v>
      </c>
      <c r="D107" s="34">
        <v>0.04</v>
      </c>
      <c r="F107" s="27">
        <f t="shared" ref="F107:F108" ca="1" si="313">+$G107/$G$10</f>
        <v>19.11882088056975</v>
      </c>
      <c r="G107" s="26">
        <f ca="1">+SUM(H107:J107)</f>
        <v>47764951.7011659</v>
      </c>
      <c r="H107" s="22">
        <f ca="1">+$D107*SUM(H46+H69+H84+H97+H104)</f>
        <v>18352104.384487133</v>
      </c>
      <c r="I107" s="22">
        <f t="shared" ref="I107:J107" ca="1" si="314">+$D107*SUM(I46+I69+I84+I97+I104)</f>
        <v>15258747.913810223</v>
      </c>
      <c r="J107" s="22">
        <f t="shared" ca="1" si="314"/>
        <v>14154099.402868543</v>
      </c>
      <c r="L107" s="2"/>
      <c r="M107" s="12">
        <f t="shared" ref="M107:AC107" ca="1" si="315">+$H107*M$5+$I107*M$6+$J107*M$7</f>
        <v>9078342.975286115</v>
      </c>
      <c r="N107" s="12">
        <f t="shared" ca="1" si="315"/>
        <v>13617514.462929172</v>
      </c>
      <c r="O107" s="12">
        <f t="shared" ca="1" si="315"/>
        <v>0</v>
      </c>
      <c r="P107" s="12">
        <f t="shared" ca="1" si="315"/>
        <v>0</v>
      </c>
      <c r="Q107" s="12">
        <f t="shared" ca="1" si="315"/>
        <v>0</v>
      </c>
      <c r="R107" s="12">
        <f t="shared" ca="1" si="315"/>
        <v>0</v>
      </c>
      <c r="S107" s="12">
        <f t="shared" ca="1" si="315"/>
        <v>1822216.3724786914</v>
      </c>
      <c r="T107" s="12">
        <f t="shared" ca="1" si="315"/>
        <v>3914621.5239837542</v>
      </c>
      <c r="U107" s="12">
        <f t="shared" ca="1" si="315"/>
        <v>0</v>
      </c>
      <c r="V107" s="12">
        <f t="shared" ca="1" si="315"/>
        <v>0</v>
      </c>
      <c r="W107" s="12">
        <f ca="1">+$H107*W$5+$I107*W$6+$J107*W$7</f>
        <v>2558265.7967056008</v>
      </c>
      <c r="X107" s="12">
        <f t="shared" ca="1" si="315"/>
        <v>4119090.034971836</v>
      </c>
      <c r="Y107" s="12">
        <f t="shared" ca="1" si="315"/>
        <v>4925229.3880452625</v>
      </c>
      <c r="Z107" s="12">
        <f t="shared" ca="1" si="315"/>
        <v>0</v>
      </c>
      <c r="AA107" s="12">
        <f t="shared" ca="1" si="315"/>
        <v>0</v>
      </c>
      <c r="AB107" s="12">
        <f t="shared" ca="1" si="315"/>
        <v>7729671.1467654649</v>
      </c>
      <c r="AC107" s="12">
        <f t="shared" ca="1" si="315"/>
        <v>0</v>
      </c>
      <c r="AD107" s="5"/>
      <c r="AE107" s="5"/>
      <c r="AF107" s="5"/>
      <c r="AG107" s="5"/>
      <c r="AH107" s="5"/>
      <c r="AI107" s="2"/>
      <c r="AJ107" s="12">
        <f t="shared" ref="AJ107:AZ107" ca="1" si="316">+$H107*AJ$5+$I107*AJ$6+$J107*AJ$7</f>
        <v>4223661.3299158355</v>
      </c>
      <c r="AK107" s="12">
        <f t="shared" ca="1" si="316"/>
        <v>6335491.9948737537</v>
      </c>
      <c r="AL107" s="12">
        <f t="shared" ca="1" si="316"/>
        <v>0</v>
      </c>
      <c r="AM107" s="12">
        <f t="shared" ca="1" si="316"/>
        <v>0</v>
      </c>
      <c r="AN107" s="12">
        <f t="shared" ca="1" si="316"/>
        <v>0</v>
      </c>
      <c r="AO107" s="12">
        <f t="shared" ca="1" si="316"/>
        <v>0</v>
      </c>
      <c r="AP107" s="12">
        <f t="shared" ca="1" si="316"/>
        <v>628521.03123747569</v>
      </c>
      <c r="AQ107" s="12">
        <f t="shared" ca="1" si="316"/>
        <v>1382746.2687224459</v>
      </c>
      <c r="AR107" s="12">
        <f t="shared" ca="1" si="316"/>
        <v>0</v>
      </c>
      <c r="AS107" s="12">
        <f t="shared" ca="1" si="316"/>
        <v>0</v>
      </c>
      <c r="AT107" s="12">
        <f t="shared" ca="1" si="316"/>
        <v>810918.40235997154</v>
      </c>
      <c r="AU107" s="12">
        <f t="shared" ca="1" si="316"/>
        <v>2118702.6047830493</v>
      </c>
      <c r="AV107" s="12">
        <f t="shared" ca="1" si="316"/>
        <v>0</v>
      </c>
      <c r="AW107" s="12">
        <f t="shared" ca="1" si="316"/>
        <v>0</v>
      </c>
      <c r="AX107" s="12">
        <f t="shared" ca="1" si="316"/>
        <v>0</v>
      </c>
      <c r="AY107" s="12">
        <f t="shared" ca="1" si="316"/>
        <v>2852062.7525946014</v>
      </c>
      <c r="AZ107" s="12">
        <f t="shared" ca="1" si="316"/>
        <v>0</v>
      </c>
      <c r="BD107" s="2"/>
      <c r="BE107" s="12">
        <f t="shared" ref="BE107:BU107" ca="1" si="317">+$H107*BE$5+$I107*BE$6+$J107*BE$7</f>
        <v>3099979.6348354663</v>
      </c>
      <c r="BF107" s="12">
        <f t="shared" ca="1" si="317"/>
        <v>4649969.4522531992</v>
      </c>
      <c r="BG107" s="12">
        <f t="shared" ca="1" si="317"/>
        <v>0</v>
      </c>
      <c r="BH107" s="12">
        <f t="shared" ca="1" si="317"/>
        <v>0</v>
      </c>
      <c r="BI107" s="12">
        <f t="shared" ca="1" si="317"/>
        <v>0</v>
      </c>
      <c r="BJ107" s="12">
        <f t="shared" ca="1" si="317"/>
        <v>0</v>
      </c>
      <c r="BK107" s="12">
        <f t="shared" ca="1" si="317"/>
        <v>461306.49327908724</v>
      </c>
      <c r="BL107" s="12">
        <f t="shared" ca="1" si="317"/>
        <v>1014874.285213992</v>
      </c>
      <c r="BM107" s="12">
        <f t="shared" ca="1" si="317"/>
        <v>0</v>
      </c>
      <c r="BN107" s="12">
        <f t="shared" ca="1" si="317"/>
        <v>0</v>
      </c>
      <c r="BO107" s="12">
        <f t="shared" ca="1" si="317"/>
        <v>1515834.7898489996</v>
      </c>
      <c r="BP107" s="12">
        <f t="shared" ca="1" si="317"/>
        <v>1229719.4752541622</v>
      </c>
      <c r="BQ107" s="12">
        <f t="shared" ca="1" si="317"/>
        <v>0</v>
      </c>
      <c r="BR107" s="12">
        <f t="shared" ca="1" si="317"/>
        <v>0</v>
      </c>
      <c r="BS107" s="12">
        <f t="shared" ca="1" si="317"/>
        <v>0</v>
      </c>
      <c r="BT107" s="12">
        <f t="shared" ca="1" si="317"/>
        <v>3287063.7831253167</v>
      </c>
      <c r="BU107" s="12">
        <f t="shared" ca="1" si="317"/>
        <v>0</v>
      </c>
      <c r="BY107" s="2"/>
      <c r="BZ107" s="12">
        <f t="shared" ref="BZ107:CP107" ca="1" si="318">+$H107*BZ$5+$I107*BZ$6+$J107*BZ$7</f>
        <v>1754702.0105348134</v>
      </c>
      <c r="CA107" s="12">
        <f t="shared" ca="1" si="318"/>
        <v>2632053.01580222</v>
      </c>
      <c r="CB107" s="12">
        <f t="shared" ca="1" si="318"/>
        <v>0</v>
      </c>
      <c r="CC107" s="12">
        <f t="shared" ca="1" si="318"/>
        <v>0</v>
      </c>
      <c r="CD107" s="12">
        <f t="shared" ca="1" si="318"/>
        <v>0</v>
      </c>
      <c r="CE107" s="12">
        <f t="shared" ca="1" si="318"/>
        <v>0</v>
      </c>
      <c r="CF107" s="12">
        <f t="shared" ca="1" si="318"/>
        <v>732388.84796212835</v>
      </c>
      <c r="CG107" s="12">
        <f t="shared" ca="1" si="318"/>
        <v>1517000.9700473167</v>
      </c>
      <c r="CH107" s="12">
        <f t="shared" ca="1" si="318"/>
        <v>0</v>
      </c>
      <c r="CI107" s="12">
        <f t="shared" ca="1" si="318"/>
        <v>0</v>
      </c>
      <c r="CJ107" s="12">
        <f t="shared" ca="1" si="318"/>
        <v>231512.60449662968</v>
      </c>
      <c r="CK107" s="12">
        <f t="shared" ca="1" si="318"/>
        <v>770667.95493462461</v>
      </c>
      <c r="CL107" s="12">
        <f t="shared" ca="1" si="318"/>
        <v>4925229.3880452625</v>
      </c>
      <c r="CM107" s="12">
        <f t="shared" ca="1" si="318"/>
        <v>0</v>
      </c>
      <c r="CN107" s="12">
        <f t="shared" ca="1" si="318"/>
        <v>0</v>
      </c>
      <c r="CO107" s="12">
        <f t="shared" ca="1" si="318"/>
        <v>1590544.6110455473</v>
      </c>
      <c r="CP107" s="12">
        <f t="shared" ca="1" si="318"/>
        <v>0</v>
      </c>
    </row>
    <row r="108" spans="2:94">
      <c r="B108" s="3" t="s">
        <v>924</v>
      </c>
      <c r="C108" s="4"/>
      <c r="D108" s="4"/>
      <c r="E108" s="4"/>
      <c r="F108" s="28">
        <f t="shared" ca="1" si="313"/>
        <v>19.11882088056975</v>
      </c>
      <c r="G108" s="23">
        <f ca="1">+SUM(G107)</f>
        <v>47764951.7011659</v>
      </c>
      <c r="H108" s="9">
        <f t="shared" ref="H108:J108" ca="1" si="319">+SUM(H107)</f>
        <v>18352104.384487133</v>
      </c>
      <c r="I108" s="9">
        <f t="shared" ca="1" si="319"/>
        <v>15258747.913810223</v>
      </c>
      <c r="J108" s="9">
        <f t="shared" ca="1" si="319"/>
        <v>14154099.402868543</v>
      </c>
      <c r="L108" s="16">
        <f ca="1">+SUM(M108:AF108)</f>
        <v>47764951.701165892</v>
      </c>
      <c r="M108" s="32">
        <f ca="1">+SUM(M107)</f>
        <v>9078342.975286115</v>
      </c>
      <c r="N108" s="32">
        <f t="shared" ref="N108:AA108" ca="1" si="320">+SUM(N107)</f>
        <v>13617514.462929172</v>
      </c>
      <c r="O108" s="32">
        <f t="shared" ca="1" si="320"/>
        <v>0</v>
      </c>
      <c r="P108" s="32">
        <f t="shared" ca="1" si="320"/>
        <v>0</v>
      </c>
      <c r="Q108" s="32">
        <f t="shared" ca="1" si="320"/>
        <v>0</v>
      </c>
      <c r="R108" s="32">
        <f t="shared" ca="1" si="320"/>
        <v>0</v>
      </c>
      <c r="S108" s="32">
        <f t="shared" ca="1" si="320"/>
        <v>1822216.3724786914</v>
      </c>
      <c r="T108" s="32">
        <f t="shared" ca="1" si="320"/>
        <v>3914621.5239837542</v>
      </c>
      <c r="U108" s="32">
        <f t="shared" ref="U108:V108" ca="1" si="321">+SUM(U107)</f>
        <v>0</v>
      </c>
      <c r="V108" s="32">
        <f t="shared" ca="1" si="321"/>
        <v>0</v>
      </c>
      <c r="W108" s="32">
        <f ca="1">+SUM(W107)</f>
        <v>2558265.7967056008</v>
      </c>
      <c r="X108" s="32">
        <f t="shared" ca="1" si="320"/>
        <v>4119090.034971836</v>
      </c>
      <c r="Y108" s="32">
        <f t="shared" ca="1" si="320"/>
        <v>4925229.3880452625</v>
      </c>
      <c r="Z108" s="32">
        <f t="shared" ca="1" si="320"/>
        <v>0</v>
      </c>
      <c r="AA108" s="32">
        <f t="shared" ca="1" si="320"/>
        <v>0</v>
      </c>
      <c r="AB108" s="32">
        <f t="shared" ref="AB108:AC108" ca="1" si="322">+SUM(AB107)</f>
        <v>7729671.1467654649</v>
      </c>
      <c r="AC108" s="32">
        <f t="shared" ca="1" si="322"/>
        <v>0</v>
      </c>
      <c r="AD108" s="5"/>
      <c r="AE108" s="5"/>
      <c r="AF108" s="5"/>
      <c r="AG108" s="5"/>
      <c r="AH108" s="5"/>
      <c r="AI108" s="16">
        <f ca="1">+SUM(AJ108:BA108)</f>
        <v>18352104.384487133</v>
      </c>
      <c r="AJ108" s="32">
        <f ca="1">+SUM(AJ107)</f>
        <v>4223661.3299158355</v>
      </c>
      <c r="AK108" s="32">
        <f t="shared" ref="AK108:AZ108" ca="1" si="323">+SUM(AK107)</f>
        <v>6335491.9948737537</v>
      </c>
      <c r="AL108" s="32">
        <f t="shared" ca="1" si="323"/>
        <v>0</v>
      </c>
      <c r="AM108" s="32">
        <f t="shared" ca="1" si="323"/>
        <v>0</v>
      </c>
      <c r="AN108" s="32">
        <f t="shared" ca="1" si="323"/>
        <v>0</v>
      </c>
      <c r="AO108" s="32">
        <f t="shared" ca="1" si="323"/>
        <v>0</v>
      </c>
      <c r="AP108" s="32">
        <f t="shared" ca="1" si="323"/>
        <v>628521.03123747569</v>
      </c>
      <c r="AQ108" s="32">
        <f t="shared" ca="1" si="323"/>
        <v>1382746.2687224459</v>
      </c>
      <c r="AR108" s="32">
        <f t="shared" ca="1" si="323"/>
        <v>0</v>
      </c>
      <c r="AS108" s="32">
        <f t="shared" ca="1" si="323"/>
        <v>0</v>
      </c>
      <c r="AT108" s="32">
        <f t="shared" ca="1" si="323"/>
        <v>810918.40235997154</v>
      </c>
      <c r="AU108" s="32">
        <f t="shared" ca="1" si="323"/>
        <v>2118702.6047830493</v>
      </c>
      <c r="AV108" s="32">
        <f t="shared" ca="1" si="323"/>
        <v>0</v>
      </c>
      <c r="AW108" s="32">
        <f t="shared" ca="1" si="323"/>
        <v>0</v>
      </c>
      <c r="AX108" s="32">
        <f t="shared" ca="1" si="323"/>
        <v>0</v>
      </c>
      <c r="AY108" s="32">
        <f t="shared" ca="1" si="323"/>
        <v>2852062.7525946014</v>
      </c>
      <c r="AZ108" s="32">
        <f t="shared" ca="1" si="323"/>
        <v>0</v>
      </c>
      <c r="BD108" s="16">
        <f ca="1">+SUM(BE108:BV108)</f>
        <v>15258747.913810221</v>
      </c>
      <c r="BE108" s="32">
        <f ca="1">+SUM(BE107)</f>
        <v>3099979.6348354663</v>
      </c>
      <c r="BF108" s="32">
        <f t="shared" ref="BF108:BU108" ca="1" si="324">+SUM(BF107)</f>
        <v>4649969.4522531992</v>
      </c>
      <c r="BG108" s="32">
        <f t="shared" ca="1" si="324"/>
        <v>0</v>
      </c>
      <c r="BH108" s="32">
        <f t="shared" ca="1" si="324"/>
        <v>0</v>
      </c>
      <c r="BI108" s="32">
        <f t="shared" ca="1" si="324"/>
        <v>0</v>
      </c>
      <c r="BJ108" s="32">
        <f t="shared" ca="1" si="324"/>
        <v>0</v>
      </c>
      <c r="BK108" s="32">
        <f t="shared" ca="1" si="324"/>
        <v>461306.49327908724</v>
      </c>
      <c r="BL108" s="32">
        <f t="shared" ca="1" si="324"/>
        <v>1014874.285213992</v>
      </c>
      <c r="BM108" s="32">
        <f t="shared" ca="1" si="324"/>
        <v>0</v>
      </c>
      <c r="BN108" s="32">
        <f t="shared" ca="1" si="324"/>
        <v>0</v>
      </c>
      <c r="BO108" s="32">
        <f t="shared" ca="1" si="324"/>
        <v>1515834.7898489996</v>
      </c>
      <c r="BP108" s="32">
        <f t="shared" ca="1" si="324"/>
        <v>1229719.4752541622</v>
      </c>
      <c r="BQ108" s="32">
        <f t="shared" ca="1" si="324"/>
        <v>0</v>
      </c>
      <c r="BR108" s="32">
        <f t="shared" ca="1" si="324"/>
        <v>0</v>
      </c>
      <c r="BS108" s="32">
        <f t="shared" ca="1" si="324"/>
        <v>0</v>
      </c>
      <c r="BT108" s="32">
        <f t="shared" ca="1" si="324"/>
        <v>3287063.7831253167</v>
      </c>
      <c r="BU108" s="32">
        <f t="shared" ca="1" si="324"/>
        <v>0</v>
      </c>
      <c r="BY108" s="16">
        <f ca="1">+SUM(BZ108:CQ108)</f>
        <v>14154099.402868543</v>
      </c>
      <c r="BZ108" s="32">
        <f ca="1">+SUM(BZ107)</f>
        <v>1754702.0105348134</v>
      </c>
      <c r="CA108" s="32">
        <f t="shared" ref="CA108:CP108" ca="1" si="325">+SUM(CA107)</f>
        <v>2632053.01580222</v>
      </c>
      <c r="CB108" s="32">
        <f t="shared" ca="1" si="325"/>
        <v>0</v>
      </c>
      <c r="CC108" s="32">
        <f t="shared" ca="1" si="325"/>
        <v>0</v>
      </c>
      <c r="CD108" s="32">
        <f t="shared" ca="1" si="325"/>
        <v>0</v>
      </c>
      <c r="CE108" s="32">
        <f t="shared" ca="1" si="325"/>
        <v>0</v>
      </c>
      <c r="CF108" s="32">
        <f t="shared" ca="1" si="325"/>
        <v>732388.84796212835</v>
      </c>
      <c r="CG108" s="32">
        <f t="shared" ca="1" si="325"/>
        <v>1517000.9700473167</v>
      </c>
      <c r="CH108" s="32">
        <f t="shared" ca="1" si="325"/>
        <v>0</v>
      </c>
      <c r="CI108" s="32">
        <f t="shared" ca="1" si="325"/>
        <v>0</v>
      </c>
      <c r="CJ108" s="32">
        <f t="shared" ca="1" si="325"/>
        <v>231512.60449662968</v>
      </c>
      <c r="CK108" s="32">
        <f t="shared" ca="1" si="325"/>
        <v>770667.95493462461</v>
      </c>
      <c r="CL108" s="32">
        <f t="shared" ca="1" si="325"/>
        <v>4925229.3880452625</v>
      </c>
      <c r="CM108" s="32">
        <f t="shared" ca="1" si="325"/>
        <v>0</v>
      </c>
      <c r="CN108" s="32">
        <f t="shared" ca="1" si="325"/>
        <v>0</v>
      </c>
      <c r="CO108" s="32">
        <f t="shared" ca="1" si="325"/>
        <v>1590544.6110455473</v>
      </c>
      <c r="CP108" s="32">
        <f t="shared" ca="1" si="325"/>
        <v>0</v>
      </c>
    </row>
    <row r="109" spans="2:94">
      <c r="L109" s="177">
        <f ca="1">L108-G108</f>
        <v>0</v>
      </c>
      <c r="AD109" s="5"/>
      <c r="AE109" s="5"/>
      <c r="AF109" s="5"/>
      <c r="AG109" s="5"/>
      <c r="AH109" s="5"/>
      <c r="AI109" s="177"/>
      <c r="BD109" s="177"/>
      <c r="BY109" s="177"/>
    </row>
    <row r="110" spans="2:94">
      <c r="B110" s="3" t="s">
        <v>365</v>
      </c>
      <c r="C110" s="3"/>
      <c r="D110" s="3"/>
      <c r="E110" s="3"/>
      <c r="F110" s="28">
        <f t="shared" ref="F110:F111" ca="1" si="326">+$G110/$G$10</f>
        <v>525.27936433597017</v>
      </c>
      <c r="G110" s="23">
        <f ca="1">SUM(H110:J110)</f>
        <v>1312316466.7872052</v>
      </c>
      <c r="H110" s="9">
        <f ca="1">+H35+H46+H69+H84+H97+H104+H108</f>
        <v>534688588.8380487</v>
      </c>
      <c r="I110" s="9">
        <f ca="1">+I35+I46+I69+I84+I97+I104+I108</f>
        <v>401418455.08362806</v>
      </c>
      <c r="J110" s="9">
        <f ca="1">+J35+J46+J69+J84+J97+J104+J108</f>
        <v>376209422.86552858</v>
      </c>
      <c r="L110" s="16">
        <f ca="1">+SUM(M110:AF110)</f>
        <v>1312316466.7872055</v>
      </c>
      <c r="M110" s="32">
        <f t="shared" ref="M110:T110" ca="1" si="327">+M35+M46+M69+M84+M97+M104+M108</f>
        <v>263938975.16471606</v>
      </c>
      <c r="N110" s="32">
        <f t="shared" ca="1" si="327"/>
        <v>403880237.58503813</v>
      </c>
      <c r="O110" s="32">
        <f t="shared" ca="1" si="327"/>
        <v>0</v>
      </c>
      <c r="P110" s="32">
        <f t="shared" ca="1" si="327"/>
        <v>0</v>
      </c>
      <c r="Q110" s="32">
        <f t="shared" ca="1" si="327"/>
        <v>0</v>
      </c>
      <c r="R110" s="32">
        <f t="shared" ca="1" si="327"/>
        <v>0</v>
      </c>
      <c r="S110" s="32">
        <f t="shared" ca="1" si="327"/>
        <v>50004119.649106927</v>
      </c>
      <c r="T110" s="32">
        <f t="shared" ca="1" si="327"/>
        <v>110954359.03962615</v>
      </c>
      <c r="U110" s="32">
        <f t="shared" ref="U110:V110" ca="1" si="328">+U35+U46+U69+U84+U97+U104+U108</f>
        <v>0</v>
      </c>
      <c r="V110" s="32">
        <f t="shared" ca="1" si="328"/>
        <v>0</v>
      </c>
      <c r="W110" s="32">
        <f ca="1">+W35+W46+W69+W84+W97+W104+W108</f>
        <v>114521002.115097</v>
      </c>
      <c r="X110" s="32">
        <f ca="1">+X35+X46+X69+X84+X97+X104+X108</f>
        <v>112095756.30014527</v>
      </c>
      <c r="Y110" s="32">
        <f ca="1">+Y35+Y46+Y69+Y84+Y97+Y104+Y108</f>
        <v>132774853.16652687</v>
      </c>
      <c r="Z110" s="32">
        <f ca="1">+Z35+Z46+Z69+Z84+Z97+Z104+Z108</f>
        <v>0</v>
      </c>
      <c r="AA110" s="32">
        <f ca="1">+AA35+AA46+AA69+AA84+AA97+AA104+AA108</f>
        <v>0</v>
      </c>
      <c r="AB110" s="32">
        <f t="shared" ref="AB110:AC110" ca="1" si="329">+AB35+AB46+AB69+AB84+AB97+AB104+AB108</f>
        <v>124147163.76694901</v>
      </c>
      <c r="AC110" s="32">
        <f t="shared" ca="1" si="329"/>
        <v>0</v>
      </c>
      <c r="AI110" s="16">
        <f ca="1">+SUM(AJ110:BA110)</f>
        <v>534688588.8380487</v>
      </c>
      <c r="AJ110" s="32">
        <f t="shared" ref="AJ110:AX110" ca="1" si="330">+AJ35+AJ46+AJ69+AJ84+AJ97+AJ104+AJ108</f>
        <v>128597655.04367153</v>
      </c>
      <c r="AK110" s="32">
        <f t="shared" ca="1" si="330"/>
        <v>196431972.50950727</v>
      </c>
      <c r="AL110" s="32">
        <f t="shared" ca="1" si="330"/>
        <v>0</v>
      </c>
      <c r="AM110" s="32">
        <f t="shared" ca="1" si="330"/>
        <v>0</v>
      </c>
      <c r="AN110" s="32">
        <f t="shared" ca="1" si="330"/>
        <v>0</v>
      </c>
      <c r="AO110" s="32">
        <f t="shared" ca="1" si="330"/>
        <v>0</v>
      </c>
      <c r="AP110" s="32">
        <f t="shared" ca="1" si="330"/>
        <v>18259698.185070172</v>
      </c>
      <c r="AQ110" s="32">
        <f t="shared" ca="1" si="330"/>
        <v>41328788.072154351</v>
      </c>
      <c r="AR110" s="32">
        <f t="shared" ca="1" si="330"/>
        <v>0</v>
      </c>
      <c r="AS110" s="32">
        <f t="shared" ca="1" si="330"/>
        <v>0</v>
      </c>
      <c r="AT110" s="32">
        <f t="shared" ca="1" si="330"/>
        <v>37179585.009984598</v>
      </c>
      <c r="AU110" s="32">
        <f t="shared" ca="1" si="330"/>
        <v>60432361.622221112</v>
      </c>
      <c r="AV110" s="32">
        <f t="shared" ca="1" si="330"/>
        <v>0</v>
      </c>
      <c r="AW110" s="32">
        <f t="shared" ca="1" si="330"/>
        <v>0</v>
      </c>
      <c r="AX110" s="32">
        <f t="shared" ca="1" si="330"/>
        <v>0</v>
      </c>
      <c r="AY110" s="32">
        <f t="shared" ref="AY110:AZ110" ca="1" si="331">+AY35+AY46+AY69+AY84+AY97+AY104+AY108</f>
        <v>52458528.395439655</v>
      </c>
      <c r="AZ110" s="32">
        <f t="shared" ca="1" si="331"/>
        <v>0</v>
      </c>
      <c r="BD110" s="16">
        <f ca="1">+SUM(BE110:BV110)</f>
        <v>401418455.08362806</v>
      </c>
      <c r="BE110" s="32">
        <f t="shared" ref="BE110:BR110" ca="1" si="332">+BE35+BE46+BE69+BE84+BE97+BE104+BE108</f>
        <v>85318573.001700342</v>
      </c>
      <c r="BF110" s="32">
        <f t="shared" ca="1" si="332"/>
        <v>130782561.21595974</v>
      </c>
      <c r="BG110" s="32">
        <f t="shared" ca="1" si="332"/>
        <v>0</v>
      </c>
      <c r="BH110" s="32">
        <f t="shared" ca="1" si="332"/>
        <v>0</v>
      </c>
      <c r="BI110" s="32">
        <f t="shared" ca="1" si="332"/>
        <v>0</v>
      </c>
      <c r="BJ110" s="32">
        <f t="shared" ca="1" si="332"/>
        <v>0</v>
      </c>
      <c r="BK110" s="32">
        <f t="shared" ca="1" si="332"/>
        <v>12000605.676490806</v>
      </c>
      <c r="BL110" s="32">
        <f t="shared" ca="1" si="332"/>
        <v>27319538.406360187</v>
      </c>
      <c r="BM110" s="32">
        <f t="shared" ca="1" si="332"/>
        <v>0</v>
      </c>
      <c r="BN110" s="32">
        <f t="shared" ca="1" si="332"/>
        <v>0</v>
      </c>
      <c r="BO110" s="32">
        <f t="shared" ca="1" si="332"/>
        <v>66882420.19496765</v>
      </c>
      <c r="BP110" s="32">
        <f t="shared" ca="1" si="332"/>
        <v>31472304.886954494</v>
      </c>
      <c r="BQ110" s="32">
        <f t="shared" ca="1" si="332"/>
        <v>0</v>
      </c>
      <c r="BR110" s="32">
        <f t="shared" ca="1" si="332"/>
        <v>0</v>
      </c>
      <c r="BS110" s="32">
        <f ca="1">+BS35+BS46+BS69+BS84+BS97+BS104+BS108</f>
        <v>0</v>
      </c>
      <c r="BT110" s="32">
        <f t="shared" ref="BT110:BU110" ca="1" si="333">+BT35+BT46+BT69+BT84+BT97+BT104+BT108</f>
        <v>47642451.701194845</v>
      </c>
      <c r="BU110" s="32">
        <f t="shared" ca="1" si="333"/>
        <v>0</v>
      </c>
      <c r="BY110" s="16">
        <f ca="1">+SUM(BZ110:CQ110)</f>
        <v>376209422.86552858</v>
      </c>
      <c r="BZ110" s="32">
        <f ca="1">+BZ35+BZ46+BZ69+BZ84+BZ97+BZ104+BZ108</f>
        <v>50022747.11934419</v>
      </c>
      <c r="CA110" s="32">
        <f t="shared" ref="CA110:CN110" ca="1" si="334">+CA35+CA46+CA69+CA84+CA97+CA104+CA108</f>
        <v>76665703.859571069</v>
      </c>
      <c r="CB110" s="32">
        <f t="shared" ca="1" si="334"/>
        <v>0</v>
      </c>
      <c r="CC110" s="32">
        <f t="shared" ca="1" si="334"/>
        <v>0</v>
      </c>
      <c r="CD110" s="32">
        <f t="shared" ca="1" si="334"/>
        <v>0</v>
      </c>
      <c r="CE110" s="32">
        <f t="shared" ca="1" si="334"/>
        <v>0</v>
      </c>
      <c r="CF110" s="32">
        <f t="shared" ca="1" si="334"/>
        <v>19743815.787545957</v>
      </c>
      <c r="CG110" s="32">
        <f t="shared" ca="1" si="334"/>
        <v>42306032.561111592</v>
      </c>
      <c r="CH110" s="32">
        <f t="shared" ca="1" si="334"/>
        <v>0</v>
      </c>
      <c r="CI110" s="32">
        <f t="shared" ca="1" si="334"/>
        <v>0</v>
      </c>
      <c r="CJ110" s="32">
        <f t="shared" ca="1" si="334"/>
        <v>10458996.910144744</v>
      </c>
      <c r="CK110" s="32">
        <f t="shared" ca="1" si="334"/>
        <v>20191089.790969666</v>
      </c>
      <c r="CL110" s="32">
        <f t="shared" ca="1" si="334"/>
        <v>132774853.16652687</v>
      </c>
      <c r="CM110" s="32">
        <f t="shared" ca="1" si="334"/>
        <v>0</v>
      </c>
      <c r="CN110" s="32">
        <f t="shared" ca="1" si="334"/>
        <v>0</v>
      </c>
      <c r="CO110" s="32">
        <f t="shared" ref="CO110:CP110" ca="1" si="335">+CO35+CO46+CO69+CO84+CO97+CO104+CO108</f>
        <v>24046183.670314498</v>
      </c>
      <c r="CP110" s="32">
        <f t="shared" ca="1" si="335"/>
        <v>0</v>
      </c>
    </row>
    <row r="111" spans="2:94">
      <c r="B111" s="3" t="s">
        <v>925</v>
      </c>
      <c r="C111" s="4"/>
      <c r="D111" s="4"/>
      <c r="E111" s="4"/>
      <c r="F111" s="28">
        <f t="shared" ca="1" si="326"/>
        <v>503.55829125088366</v>
      </c>
      <c r="G111" s="23">
        <f ca="1">SUM(H111:J111)</f>
        <v>1258050253.7561989</v>
      </c>
      <c r="H111" s="9">
        <f ca="1">+H110-(SUM(H65:H66)*(1+$D$68))</f>
        <v>515748792.78804868</v>
      </c>
      <c r="I111" s="9">
        <f t="shared" ref="I111:J111" ca="1" si="336">+I110-(SUM(I65:I66)*(1+$D$68))</f>
        <v>377824993.04490805</v>
      </c>
      <c r="J111" s="9">
        <f t="shared" ca="1" si="336"/>
        <v>364476467.92324197</v>
      </c>
      <c r="L111" s="177">
        <f ca="1">L110-G110</f>
        <v>0</v>
      </c>
      <c r="M111" s="9"/>
      <c r="N111" s="9"/>
      <c r="O111" s="9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I111" s="177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D111" s="177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Y111" s="177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</row>
    <row r="112" spans="2:94">
      <c r="AI112" s="582" t="s">
        <v>926</v>
      </c>
      <c r="AJ112" s="583">
        <f t="shared" ref="AJ112:AO112" ca="1" si="337">+SUM(AJ$46+AJ$69+AJ$84)</f>
        <v>103306352.52991633</v>
      </c>
      <c r="AK112" s="583">
        <f t="shared" ca="1" si="337"/>
        <v>158495018.73887447</v>
      </c>
      <c r="AL112" s="583">
        <f t="shared" ca="1" si="337"/>
        <v>0</v>
      </c>
      <c r="AM112" s="583">
        <f t="shared" ca="1" si="337"/>
        <v>0</v>
      </c>
      <c r="AN112" s="583">
        <f t="shared" ca="1" si="337"/>
        <v>0</v>
      </c>
      <c r="AO112" s="583">
        <f t="shared" ca="1" si="337"/>
        <v>0</v>
      </c>
      <c r="BD112" s="582" t="s">
        <v>926</v>
      </c>
      <c r="BE112" s="583">
        <f t="shared" ref="BE112:BJ112" ca="1" si="338">+SUM(BE$46+BE$69+BE$84)</f>
        <v>76775138.775176659</v>
      </c>
      <c r="BF112" s="583">
        <f t="shared" ca="1" si="338"/>
        <v>117967409.87617424</v>
      </c>
      <c r="BG112" s="583">
        <f t="shared" ca="1" si="338"/>
        <v>0</v>
      </c>
      <c r="BH112" s="583">
        <f t="shared" ca="1" si="338"/>
        <v>0</v>
      </c>
      <c r="BI112" s="583">
        <f t="shared" ca="1" si="338"/>
        <v>0</v>
      </c>
      <c r="BJ112" s="583">
        <f t="shared" ca="1" si="338"/>
        <v>0</v>
      </c>
      <c r="BK112" s="584"/>
      <c r="BY112" s="2" t="s">
        <v>926</v>
      </c>
      <c r="BZ112" s="12">
        <f t="shared" ref="BZ112:CE112" ca="1" si="339">+SUM(BZ$46+BZ$69+BZ$84)</f>
        <v>45695018.116143957</v>
      </c>
      <c r="CA112" s="12">
        <f t="shared" ca="1" si="339"/>
        <v>70174110.354770705</v>
      </c>
      <c r="CB112" s="12">
        <f t="shared" ca="1" si="339"/>
        <v>0</v>
      </c>
      <c r="CC112" s="12">
        <f t="shared" ca="1" si="339"/>
        <v>0</v>
      </c>
      <c r="CD112" s="12">
        <f t="shared" ca="1" si="339"/>
        <v>0</v>
      </c>
      <c r="CE112" s="12">
        <f t="shared" ca="1" si="339"/>
        <v>0</v>
      </c>
    </row>
    <row r="113" spans="2:29">
      <c r="H113" s="13"/>
      <c r="L113" s="36" t="s">
        <v>927</v>
      </c>
      <c r="M113" s="39">
        <f t="shared" ref="M113:T113" ca="1" si="340">+IFERROR(M110/SUM(M11:M28),"")</f>
        <v>553.5627481367469</v>
      </c>
      <c r="N113" s="39">
        <f t="shared" ca="1" si="340"/>
        <v>564.7089549043701</v>
      </c>
      <c r="O113" s="39" t="str">
        <f t="shared" ca="1" si="340"/>
        <v/>
      </c>
      <c r="P113" s="39" t="str">
        <f t="shared" ca="1" si="340"/>
        <v/>
      </c>
      <c r="Q113" s="39" t="str">
        <f t="shared" ca="1" si="340"/>
        <v/>
      </c>
      <c r="R113" s="39" t="str">
        <f t="shared" ca="1" si="340"/>
        <v/>
      </c>
      <c r="S113" s="39">
        <f t="shared" ca="1" si="340"/>
        <v>526.62274274236131</v>
      </c>
      <c r="T113" s="39">
        <f t="shared" ca="1" si="340"/>
        <v>543.63971199754269</v>
      </c>
      <c r="U113" s="39" t="str">
        <f t="shared" ref="U113:V113" ca="1" si="341">+IFERROR(U110/SUM(U11:U28),"")</f>
        <v/>
      </c>
      <c r="V113" s="39" t="str">
        <f t="shared" ca="1" si="341"/>
        <v/>
      </c>
      <c r="W113" s="39">
        <f ca="1">+IFERROR(W110/SUM(W11:W28),"")</f>
        <v>850.98273910530929</v>
      </c>
      <c r="X113" s="39">
        <f ca="1">+IFERROR(X110/SUM(X11:X28),"")</f>
        <v>517.77287478819596</v>
      </c>
      <c r="Y113" s="39">
        <f ca="1">+IFERROR(Y110/SUM(Y11:Y28),"")</f>
        <v>529.35888066647613</v>
      </c>
      <c r="Z113" s="39" t="str">
        <f ca="1">+IFERROR(Z110/SUM(Z11:Z28),"")</f>
        <v/>
      </c>
      <c r="AA113" s="39" t="str">
        <f ca="1">+IFERROR(AA110/SUM(AA11:AA28),"")</f>
        <v/>
      </c>
      <c r="AB113" s="39">
        <f t="shared" ref="AB113:AC113" ca="1" si="342">+IFERROR(AB110/SUM(AB11:AB28),"")</f>
        <v>306.24961768357269</v>
      </c>
      <c r="AC113" s="39" t="str">
        <f t="shared" ca="1" si="342"/>
        <v/>
      </c>
    </row>
    <row r="114" spans="2:29">
      <c r="B114" s="584" t="s">
        <v>928</v>
      </c>
      <c r="C114" s="584"/>
      <c r="D114" s="584"/>
      <c r="E114" s="584"/>
      <c r="F114" s="584"/>
      <c r="G114" s="584"/>
      <c r="H114" s="583">
        <f ca="1">+SUM(AJ$46:AK$46,AJ$69:AK$69,AJ$84:AK$84)</f>
        <v>261801371.26879078</v>
      </c>
      <c r="I114" s="583">
        <f ca="1">+SUM(BE$46:BF$46,BE$69:BF$69,BE$84:BF$84)</f>
        <v>194742548.65135092</v>
      </c>
      <c r="J114" s="583">
        <f ca="1">+SUM(BZ$46:CA$46,BZ$69:CA$69,BZ$84:CA$84)</f>
        <v>115869128.47091466</v>
      </c>
      <c r="L114" s="37" t="s">
        <v>929</v>
      </c>
      <c r="M114" s="40">
        <f t="shared" ref="M114" ca="1" si="343">+M69/SUM(M11:M28)</f>
        <v>375.71320525703902</v>
      </c>
      <c r="N114" s="40">
        <f ca="1">+N69/SUM(N11:N28)</f>
        <v>386.85941202466228</v>
      </c>
      <c r="O114" s="40" t="e">
        <f t="shared" ref="O114:T114" ca="1" si="344">+O69/SUM(O11:O28)</f>
        <v>#DIV/0!</v>
      </c>
      <c r="P114" s="40" t="e">
        <f t="shared" ca="1" si="344"/>
        <v>#DIV/0!</v>
      </c>
      <c r="Q114" s="40" t="e">
        <f t="shared" ca="1" si="344"/>
        <v>#DIV/0!</v>
      </c>
      <c r="R114" s="40" t="e">
        <f t="shared" ca="1" si="344"/>
        <v>#DIV/0!</v>
      </c>
      <c r="S114" s="40">
        <f t="shared" ca="1" si="344"/>
        <v>355.5966890973022</v>
      </c>
      <c r="T114" s="40">
        <f t="shared" ca="1" si="344"/>
        <v>372.13922992100652</v>
      </c>
      <c r="U114" s="40">
        <v>0</v>
      </c>
      <c r="V114" s="40">
        <v>0</v>
      </c>
      <c r="W114" s="40">
        <f ca="1">+W69/SUM(W11:W28)</f>
        <v>523.59041619702066</v>
      </c>
      <c r="X114" s="40">
        <f ca="1">+X69/SUM(X11:X28)</f>
        <v>202.17630213758417</v>
      </c>
      <c r="Y114" s="40">
        <f ca="1">+Y69/SUM(Y11:Y28)</f>
        <v>378.5054636358733</v>
      </c>
      <c r="Z114" s="40">
        <f ca="1">+IFERROR(Z69/SUM(Z11:Z28),0)</f>
        <v>0</v>
      </c>
      <c r="AA114" s="40">
        <v>0</v>
      </c>
      <c r="AB114" s="40">
        <f t="shared" ref="AB114" ca="1" si="345">+AB69/SUM(AB11:AB28)</f>
        <v>135.84539827107116</v>
      </c>
      <c r="AC114" s="40">
        <f ca="1">+IFERROR(AC69/SUM(AC11:AC28),0)</f>
        <v>0</v>
      </c>
    </row>
    <row r="115" spans="2:29">
      <c r="B115" s="584" t="s">
        <v>930</v>
      </c>
      <c r="C115" s="584"/>
      <c r="D115" s="584"/>
      <c r="E115" s="584"/>
      <c r="F115" s="584"/>
      <c r="G115" s="584"/>
      <c r="H115" s="583">
        <f ca="1">+SUM(AL$46:AM$46,AL$69:AM$69,AL$84:AM$84)</f>
        <v>0</v>
      </c>
      <c r="I115" s="583">
        <f ca="1">+SUM(BG$46:BH$46,BG$69:BH$69,BG$84:BH$84)</f>
        <v>0</v>
      </c>
      <c r="J115" s="583">
        <f ca="1">+SUM(CB$46:CC$46,CB$69:CC$69,CB$84:CC$84)</f>
        <v>0</v>
      </c>
      <c r="L115" s="38" t="s">
        <v>931</v>
      </c>
      <c r="M115" s="41">
        <f ca="1">+M110/Assumptions!$M$50</f>
        <v>820634.21041375445</v>
      </c>
      <c r="N115" s="41">
        <f ca="1">+N110/Assumptions!$M$51</f>
        <v>540947.1047546484</v>
      </c>
      <c r="O115" s="41">
        <f ca="1">+O110/Assumptions!$M$51</f>
        <v>0</v>
      </c>
      <c r="P115" s="41">
        <f ca="1">+P110/Assumptions!$M$51</f>
        <v>0</v>
      </c>
      <c r="Q115" s="41">
        <f ca="1">+Q110/Assumptions!$M$51</f>
        <v>0</v>
      </c>
      <c r="R115" s="41">
        <f ca="1">+R110/Assumptions!$M$51</f>
        <v>0</v>
      </c>
      <c r="S115" s="41">
        <f ca="1">+S110/Assumptions!M52</f>
        <v>958655.41153236188</v>
      </c>
      <c r="T115" s="41">
        <f ca="1">T110/Assumptions!M53</f>
        <v>831982.02765688638</v>
      </c>
      <c r="U115" s="41">
        <v>0</v>
      </c>
      <c r="V115" s="41">
        <v>0</v>
      </c>
      <c r="W115" s="41"/>
      <c r="X115" s="41"/>
      <c r="Y115" s="41"/>
      <c r="Z115" s="41">
        <f t="shared" ref="Z115:Z116" ca="1" si="346">+IFERROR(Z70/SUM(Z12:Z29),0)</f>
        <v>0</v>
      </c>
      <c r="AA115" s="41" t="s">
        <v>27</v>
      </c>
      <c r="AB115" s="41">
        <f ca="1">+AB110/Assumptions!M55</f>
        <v>104769.60604964329</v>
      </c>
      <c r="AC115" s="41" t="s">
        <v>27</v>
      </c>
    </row>
    <row r="116" spans="2:29">
      <c r="B116" s="584" t="s">
        <v>932</v>
      </c>
      <c r="C116" s="584"/>
      <c r="D116" s="584"/>
      <c r="E116" s="584"/>
      <c r="F116" s="584"/>
      <c r="G116" s="584"/>
      <c r="H116" s="583">
        <f ca="1">+SUM(AN$46:AO$46,AN$69:AO$69,AN$84:AO$84)</f>
        <v>0</v>
      </c>
      <c r="I116" s="583">
        <f ca="1">+SUM(BI$46:BJ$46,BI$69:BJ$69,BI$84:BJ$84)</f>
        <v>0</v>
      </c>
      <c r="J116" s="583">
        <f ca="1">+SUM(CD$46:CE$46,CD$69:CE$69,CD$84:CE$84)</f>
        <v>0</v>
      </c>
      <c r="L116" s="38" t="s">
        <v>933</v>
      </c>
      <c r="M116" s="41">
        <f ca="1">+M69/Assumptions!$M$50</f>
        <v>556979.51239660697</v>
      </c>
      <c r="N116" s="41">
        <f ca="1">+N69/Assumptions!$M$51</f>
        <v>370581.1233633887</v>
      </c>
      <c r="O116" s="41">
        <f ca="1">+O69/Assumptions!$M$51</f>
        <v>0</v>
      </c>
      <c r="P116" s="41">
        <f ca="1">+P69/Assumptions!$M$51</f>
        <v>0</v>
      </c>
      <c r="Q116" s="41">
        <f ca="1">+Q69/Assumptions!$M$51</f>
        <v>0</v>
      </c>
      <c r="R116" s="41">
        <f ca="1">+R69/Assumptions!$M$51</f>
        <v>0</v>
      </c>
      <c r="S116" s="41">
        <f ca="1">+S69/Assumptions!M52</f>
        <v>647322.38594734389</v>
      </c>
      <c r="T116" s="41">
        <f ca="1">+T69/Assumptions!M53</f>
        <v>569519.0109322822</v>
      </c>
      <c r="U116" s="881">
        <v>0</v>
      </c>
      <c r="V116" s="881">
        <v>0</v>
      </c>
      <c r="W116" s="41"/>
      <c r="X116" s="41"/>
      <c r="Y116" s="41"/>
      <c r="Z116" s="881">
        <f t="shared" ca="1" si="346"/>
        <v>0</v>
      </c>
      <c r="AA116" s="41" t="s">
        <v>27</v>
      </c>
      <c r="AB116" s="41">
        <f ca="1">+AB69/Assumptions!M55</f>
        <v>46473.42572431382</v>
      </c>
      <c r="AC116" s="41" t="s">
        <v>27</v>
      </c>
    </row>
    <row r="117" spans="2:29">
      <c r="B117" s="584" t="s">
        <v>934</v>
      </c>
      <c r="C117" s="584"/>
      <c r="D117" s="584"/>
      <c r="E117" s="584"/>
      <c r="F117" s="584"/>
      <c r="G117" s="584"/>
      <c r="H117" s="583">
        <f ca="1">+SUM(AP$46:AQ$46,AP$69:AQ$69,AP$84:AQ$84)</f>
        <v>47545008.869722046</v>
      </c>
      <c r="I117" s="583">
        <f ca="1">+SUM(BK$46:BL$46,BK$69:BL$69,BK$84:BL$84)</f>
        <v>35251842.070220672</v>
      </c>
      <c r="J117" s="583">
        <f ca="1">+SUM(CF$46:CG$46,CF$69:CG$69,CF$84:CG$84)</f>
        <v>56502040.517779328</v>
      </c>
    </row>
    <row r="118" spans="2:29">
      <c r="B118" s="584" t="s">
        <v>935</v>
      </c>
      <c r="C118" s="584"/>
      <c r="D118" s="584"/>
      <c r="E118" s="584"/>
      <c r="F118" s="584"/>
      <c r="G118" s="584"/>
      <c r="H118" s="583">
        <f ca="1">+SUM(AR$46:AS$46,AR$69:AS$69,AR$84:AS$84)</f>
        <v>0</v>
      </c>
      <c r="I118" s="583">
        <f ca="1">+SUM(BM$46:BN$46,BM$69:BN$69,BM$84:BN$84)</f>
        <v>0</v>
      </c>
      <c r="J118" s="583">
        <f ca="1">+SUM(CH$46:CI$46,CH$69:CI$69,CH$84:CI$84)</f>
        <v>0</v>
      </c>
    </row>
    <row r="121" spans="2:29">
      <c r="G121" s="12"/>
    </row>
  </sheetData>
  <mergeCells count="4">
    <mergeCell ref="L2:AC2"/>
    <mergeCell ref="AI2:AX2"/>
    <mergeCell ref="BD2:BS2"/>
    <mergeCell ref="BY2:CN2"/>
  </mergeCells>
  <pageMargins left="0.7" right="0.7" top="0.75" bottom="0.75" header="0.3" footer="0.3"/>
  <pageSetup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10018-0643-4036-805F-61701C27AE6C}">
  <sheetPr>
    <tabColor rgb="FF92D050"/>
  </sheetPr>
  <dimension ref="B1:AW79"/>
  <sheetViews>
    <sheetView zoomScale="50" zoomScaleNormal="50" workbookViewId="0">
      <selection activeCell="U22" sqref="U22"/>
    </sheetView>
  </sheetViews>
  <sheetFormatPr defaultColWidth="8.85546875" defaultRowHeight="15"/>
  <cols>
    <col min="1" max="1" width="8.85546875" style="5"/>
    <col min="2" max="2" width="51.140625" style="5" customWidth="1"/>
    <col min="3" max="5" width="8.85546875" style="5"/>
    <col min="6" max="6" width="11.85546875" style="5" customWidth="1"/>
    <col min="7" max="7" width="18.140625" style="5" bestFit="1" customWidth="1"/>
    <col min="8" max="10" width="17.140625" style="5" bestFit="1" customWidth="1"/>
    <col min="11" max="13" width="8.85546875" style="5"/>
    <col min="14" max="14" width="12.7109375" style="5" bestFit="1" customWidth="1"/>
    <col min="15" max="15" width="11.42578125" style="5" customWidth="1"/>
    <col min="16" max="16" width="13.85546875" style="5" customWidth="1"/>
    <col min="17" max="17" width="22.140625" style="5" customWidth="1"/>
    <col min="18" max="18" width="16.85546875" style="5" bestFit="1" customWidth="1"/>
    <col min="19" max="19" width="20.28515625" style="5" customWidth="1"/>
    <col min="20" max="20" width="18.85546875" style="5" customWidth="1"/>
    <col min="21" max="21" width="16" style="5" customWidth="1"/>
    <col min="22" max="22" width="16.140625" style="5" bestFit="1" customWidth="1"/>
    <col min="23" max="23" width="8.85546875" style="5" customWidth="1"/>
    <col min="24" max="16384" width="8.85546875" style="5"/>
  </cols>
  <sheetData>
    <row r="1" spans="2:20" ht="15.75">
      <c r="B1" s="468" t="s">
        <v>250</v>
      </c>
      <c r="C1" s="539"/>
      <c r="D1" s="539"/>
      <c r="E1" s="539"/>
      <c r="F1" s="539"/>
      <c r="G1" s="539"/>
      <c r="H1" s="539"/>
      <c r="I1" s="539"/>
      <c r="J1" s="539"/>
    </row>
    <row r="2" spans="2:20" ht="15.75">
      <c r="B2" s="468" t="s">
        <v>936</v>
      </c>
      <c r="C2" s="540"/>
      <c r="D2" s="540"/>
      <c r="E2" s="540"/>
      <c r="F2" s="540"/>
      <c r="G2" s="541" t="s">
        <v>219</v>
      </c>
      <c r="H2" s="541" t="s">
        <v>255</v>
      </c>
      <c r="I2" s="541" t="s">
        <v>256</v>
      </c>
      <c r="J2" s="541" t="s">
        <v>257</v>
      </c>
    </row>
    <row r="3" spans="2:20" ht="15.75">
      <c r="B3" s="699" t="s">
        <v>334</v>
      </c>
      <c r="C3" s="699"/>
      <c r="D3" s="103"/>
      <c r="E3" s="699"/>
      <c r="F3" s="134">
        <f ca="1">+G3/Budget!$G$10</f>
        <v>147.39170918292982</v>
      </c>
      <c r="G3" s="94">
        <f ca="1">+SUM(H3:J3)</f>
        <v>368231802.27760637</v>
      </c>
      <c r="H3" s="83">
        <f ca="1">+H14</f>
        <v>181675735.02067354</v>
      </c>
      <c r="I3" s="83">
        <f t="shared" ref="I3:J3" ca="1" si="0">+I14</f>
        <v>89534045.099883363</v>
      </c>
      <c r="J3" s="83">
        <f t="shared" ca="1" si="0"/>
        <v>97022022.157049507</v>
      </c>
    </row>
    <row r="4" spans="2:20" ht="15.75">
      <c r="B4" s="65" t="s">
        <v>336</v>
      </c>
      <c r="C4" s="65"/>
      <c r="D4" s="65"/>
      <c r="E4" s="65"/>
      <c r="F4" s="66">
        <f ca="1">+G4/Budget!$G$10</f>
        <v>147.39170918292982</v>
      </c>
      <c r="G4" s="62">
        <f ca="1">+SUM(G3)</f>
        <v>368231802.27760637</v>
      </c>
      <c r="H4" s="62">
        <f ca="1">SUM(H3)</f>
        <v>181675735.02067354</v>
      </c>
      <c r="I4" s="62">
        <f t="shared" ref="I4:J4" ca="1" si="1">SUM(I3)</f>
        <v>89534045.099883363</v>
      </c>
      <c r="J4" s="62">
        <f t="shared" ca="1" si="1"/>
        <v>97022022.157049507</v>
      </c>
    </row>
    <row r="5" spans="2:20" ht="15.75">
      <c r="B5" s="699"/>
    </row>
    <row r="6" spans="2:20" ht="15.75">
      <c r="B6" s="468" t="s">
        <v>937</v>
      </c>
      <c r="C6" s="540"/>
      <c r="D6" s="540"/>
      <c r="E6" s="540"/>
      <c r="F6" s="540"/>
      <c r="G6" s="541" t="s">
        <v>219</v>
      </c>
      <c r="H6" s="541" t="str">
        <f>+H$2</f>
        <v>I</v>
      </c>
      <c r="I6" s="541" t="str">
        <f>+I$2</f>
        <v>II</v>
      </c>
      <c r="J6" s="541" t="str">
        <f>+J$2</f>
        <v>III</v>
      </c>
    </row>
    <row r="7" spans="2:20" ht="15.75">
      <c r="B7" s="699" t="s">
        <v>341</v>
      </c>
      <c r="C7" s="699"/>
      <c r="D7" s="103"/>
      <c r="E7" s="699"/>
      <c r="F7" s="134">
        <f ca="1">+G7/Budget!$G$10</f>
        <v>28.190021441156695</v>
      </c>
      <c r="G7" s="94">
        <f t="shared" ref="G7:G13" si="2">+SUM(H7:J7)</f>
        <v>70427722.556892037</v>
      </c>
      <c r="H7" s="83">
        <f>+Budget!H35</f>
        <v>57533874.841383234</v>
      </c>
      <c r="I7" s="83">
        <f>+Budget!I35</f>
        <v>4691009.3245623549</v>
      </c>
      <c r="J7" s="83">
        <f>+Budget!J35</f>
        <v>8202838.3909464516</v>
      </c>
    </row>
    <row r="8" spans="2:20" ht="15.75">
      <c r="B8" s="699" t="s">
        <v>236</v>
      </c>
      <c r="C8" s="699"/>
      <c r="D8" s="103"/>
      <c r="E8" s="699"/>
      <c r="F8" s="134">
        <f ca="1">+G8/Budget!$G$10</f>
        <v>14.301867133967173</v>
      </c>
      <c r="G8" s="94">
        <f t="shared" si="2"/>
        <v>35730655</v>
      </c>
      <c r="H8" s="83">
        <f>+Budget!H46</f>
        <v>20194435</v>
      </c>
      <c r="I8" s="83">
        <f>+Budget!I46</f>
        <v>2030684</v>
      </c>
      <c r="J8" s="83">
        <f>+Budget!J46</f>
        <v>13505536</v>
      </c>
    </row>
    <row r="9" spans="2:20" ht="15.75">
      <c r="B9" s="699" t="s">
        <v>938</v>
      </c>
      <c r="C9" s="699"/>
      <c r="D9" s="103"/>
      <c r="E9" s="699"/>
      <c r="F9" s="134">
        <f ca="1">+G9/Budget!$G$10</f>
        <v>2.0945071277673097</v>
      </c>
      <c r="G9" s="94">
        <f t="shared" si="2"/>
        <v>5232751.1419507535</v>
      </c>
      <c r="H9" s="83">
        <f>+Budget!H49</f>
        <v>3970696</v>
      </c>
      <c r="I9" s="83">
        <f>+Budget!I49</f>
        <v>424651.195832</v>
      </c>
      <c r="J9" s="83">
        <f>+Budget!J49</f>
        <v>837403.94611875352</v>
      </c>
    </row>
    <row r="10" spans="2:20" ht="15.75">
      <c r="B10" s="699" t="s">
        <v>345</v>
      </c>
      <c r="C10" s="73"/>
      <c r="D10" s="103"/>
      <c r="E10" s="699"/>
      <c r="F10" s="134">
        <f ca="1">+G10/Budget!$G$10</f>
        <v>83.686492599468906</v>
      </c>
      <c r="G10" s="94">
        <f ca="1">+SUM(H10:J10)</f>
        <v>209075721.87759775</v>
      </c>
      <c r="H10" s="83">
        <f ca="1">Budget!H84</f>
        <v>81624624.794803187</v>
      </c>
      <c r="I10" s="83">
        <f ca="1">Budget!I84</f>
        <v>67128952.665678784</v>
      </c>
      <c r="J10" s="83">
        <f ca="1">Budget!J84</f>
        <v>60322144.417115763</v>
      </c>
    </row>
    <row r="11" spans="2:20" ht="15.75">
      <c r="B11" s="699" t="s">
        <v>347</v>
      </c>
      <c r="C11" s="699"/>
      <c r="D11" s="103"/>
      <c r="E11" s="699"/>
      <c r="F11" s="134">
        <f ca="1">+G11/Budget!$G$10</f>
        <v>0</v>
      </c>
      <c r="G11" s="94">
        <f t="shared" si="2"/>
        <v>0</v>
      </c>
      <c r="H11" s="83">
        <v>0</v>
      </c>
      <c r="I11" s="83">
        <v>0</v>
      </c>
      <c r="J11" s="83">
        <v>0</v>
      </c>
    </row>
    <row r="12" spans="2:20" ht="15.75">
      <c r="B12" s="699" t="s">
        <v>348</v>
      </c>
      <c r="C12" s="699"/>
      <c r="D12" s="103"/>
      <c r="E12" s="699"/>
      <c r="F12" s="134">
        <f ca="1">+G12/Budget!$G$10</f>
        <v>0</v>
      </c>
      <c r="G12" s="94">
        <f t="shared" si="2"/>
        <v>0</v>
      </c>
      <c r="H12" s="83">
        <v>0</v>
      </c>
      <c r="I12" s="83">
        <v>0</v>
      </c>
      <c r="J12" s="83">
        <v>0</v>
      </c>
    </row>
    <row r="13" spans="2:20" ht="15.75">
      <c r="B13" s="699" t="s">
        <v>349</v>
      </c>
      <c r="C13" s="138"/>
      <c r="D13" s="73"/>
      <c r="E13" s="699"/>
      <c r="F13" s="134">
        <f ca="1">+G13/Budget!$G$10</f>
        <v>19.11882088056975</v>
      </c>
      <c r="G13" s="94">
        <f t="shared" ca="1" si="2"/>
        <v>47764951.7011659</v>
      </c>
      <c r="H13" s="83">
        <f ca="1">Budget!H107</f>
        <v>18352104.384487133</v>
      </c>
      <c r="I13" s="83">
        <f ca="1">Budget!I107</f>
        <v>15258747.913810223</v>
      </c>
      <c r="J13" s="83">
        <f ca="1">Budget!J107</f>
        <v>14154099.402868543</v>
      </c>
    </row>
    <row r="14" spans="2:20" ht="15.75">
      <c r="B14" s="65" t="s">
        <v>305</v>
      </c>
      <c r="C14" s="65"/>
      <c r="D14" s="65"/>
      <c r="E14" s="65"/>
      <c r="F14" s="66">
        <f ca="1">+G14/Budget!$G$10</f>
        <v>147.39170918292984</v>
      </c>
      <c r="G14" s="62">
        <f ca="1">+SUM(G7:G13)</f>
        <v>368231802.27760649</v>
      </c>
      <c r="H14" s="62">
        <f ca="1">+SUM(H7:H13)</f>
        <v>181675735.02067354</v>
      </c>
      <c r="I14" s="62">
        <f t="shared" ref="I14:J14" ca="1" si="3">+SUM(I7:I13)</f>
        <v>89534045.099883363</v>
      </c>
      <c r="J14" s="62">
        <f t="shared" ca="1" si="3"/>
        <v>97022022.157049507</v>
      </c>
    </row>
    <row r="15" spans="2:20" ht="15.75">
      <c r="B15" s="699"/>
    </row>
    <row r="16" spans="2:20" ht="15.75">
      <c r="B16" s="468" t="s">
        <v>320</v>
      </c>
      <c r="C16" s="540"/>
      <c r="D16" s="540"/>
      <c r="E16" s="540"/>
      <c r="F16" s="540"/>
      <c r="G16" s="541" t="s">
        <v>219</v>
      </c>
      <c r="H16" s="541" t="str">
        <f>+H$2</f>
        <v>I</v>
      </c>
      <c r="I16" s="541" t="str">
        <f>+I$2</f>
        <v>II</v>
      </c>
      <c r="J16" s="541" t="str">
        <f>+J$2</f>
        <v>III</v>
      </c>
      <c r="L16" s="468" t="s">
        <v>321</v>
      </c>
      <c r="M16" s="540"/>
      <c r="N16" s="540"/>
      <c r="O16" s="540"/>
      <c r="P16" s="540"/>
      <c r="Q16" s="468" t="s">
        <v>258</v>
      </c>
      <c r="R16" s="541" t="str">
        <f>+H$2</f>
        <v>I</v>
      </c>
      <c r="S16" s="541" t="str">
        <f t="shared" ref="S16:T16" si="4">+I$2</f>
        <v>II</v>
      </c>
      <c r="T16" s="541" t="str">
        <f t="shared" si="4"/>
        <v>III</v>
      </c>
    </row>
    <row r="17" spans="2:20" ht="15.75">
      <c r="B17" s="699" t="s">
        <v>323</v>
      </c>
      <c r="C17" s="699"/>
      <c r="D17" s="103"/>
      <c r="E17" s="699"/>
      <c r="F17" s="134">
        <f ca="1">+G17/Budget!$G$10</f>
        <v>259.29753831216334</v>
      </c>
      <c r="G17" s="94">
        <f t="shared" ref="G17:G23" ca="1" si="5">+SUM(H17:J17)</f>
        <v>647808485.2135824</v>
      </c>
      <c r="H17" s="83">
        <f ca="1">+MIN(Budget!H110*Assumptions!N136,'Loan Sizing'!F78)</f>
        <v>275219018.29116291</v>
      </c>
      <c r="I17" s="83">
        <f ca="1">+MIN(Budget!I110*Assumptions!O136,'Loan Sizing'!G78)</f>
        <v>249640532.78637764</v>
      </c>
      <c r="J17" s="83">
        <f ca="1">+MIN(Budget!J110*Assumptions!P136,'Loan Sizing'!H78)</f>
        <v>122948934.13604183</v>
      </c>
      <c r="K17" s="688">
        <f ca="1">+Q17/$Q$26</f>
        <v>0.49363739738748985</v>
      </c>
      <c r="L17" s="699" t="s">
        <v>324</v>
      </c>
      <c r="M17" s="699"/>
      <c r="N17" s="103"/>
      <c r="O17" s="699"/>
      <c r="P17" s="134">
        <f ca="1">+Q17/Budget!$G$10</f>
        <v>259.29753831216334</v>
      </c>
      <c r="Q17" s="94">
        <f ca="1">+SUM(R17:T17)</f>
        <v>647808485.2135824</v>
      </c>
      <c r="R17" s="83">
        <f ca="1">+'Loan Sizing'!F42</f>
        <v>275219018.29116291</v>
      </c>
      <c r="S17" s="83">
        <f ca="1">+'Loan Sizing'!G42</f>
        <v>249640532.78637764</v>
      </c>
      <c r="T17" s="83">
        <f ca="1">+'Loan Sizing'!H42</f>
        <v>122948934.13604183</v>
      </c>
    </row>
    <row r="18" spans="2:20" ht="15.75">
      <c r="B18" s="699" t="s">
        <v>326</v>
      </c>
      <c r="C18" s="699"/>
      <c r="D18" s="103"/>
      <c r="E18" s="699"/>
      <c r="F18" s="134">
        <f ca="1">+G18/Budget!$G$10</f>
        <v>59.874752828130724</v>
      </c>
      <c r="G18" s="94">
        <f t="shared" ca="1" si="5"/>
        <v>149586352.36032835</v>
      </c>
      <c r="H18" s="86">
        <f ca="1">+INDEX('Taxes and TIF'!$B$47:$AV$47,1,MATCH('S&amp;U'!H$16,'Taxes and TIF'!$B$48:$AV$48,0))</f>
        <v>47890047.656001143</v>
      </c>
      <c r="I18" s="86">
        <f ca="1">+INDEX('Taxes and TIF'!$B$47:$AV$47,1,MATCH('S&amp;U'!I$16,'Taxes and TIF'!$B$48:$AV$48,0))</f>
        <v>50696716.287520386</v>
      </c>
      <c r="J18" s="86">
        <f ca="1">+INDEX('Taxes and TIF'!$B$47:$AV$47,1,MATCH('S&amp;U'!J$16,'Taxes and TIF'!$B$48:$AV$48,0))</f>
        <v>50999588.416806847</v>
      </c>
      <c r="K18" s="688">
        <f t="shared" ref="K18:K25" ca="1" si="6">+Q18/$Q$26</f>
        <v>0</v>
      </c>
      <c r="L18" s="151" t="s">
        <v>327</v>
      </c>
      <c r="M18" s="151"/>
      <c r="N18" s="946"/>
      <c r="O18" s="151"/>
      <c r="P18" s="947">
        <f ca="1">+Q18/Budget!$G$10</f>
        <v>0</v>
      </c>
      <c r="Q18" s="948"/>
      <c r="R18" s="946"/>
      <c r="S18" s="946"/>
      <c r="T18" s="946"/>
    </row>
    <row r="19" spans="2:20" ht="15.75" hidden="1">
      <c r="B19" s="699"/>
      <c r="C19" s="699"/>
      <c r="D19" s="103"/>
      <c r="E19" s="699"/>
      <c r="F19" s="134">
        <f ca="1">+G19/Budget!$G$10</f>
        <v>0</v>
      </c>
      <c r="G19" s="94">
        <f t="shared" si="5"/>
        <v>0</v>
      </c>
      <c r="H19" s="83">
        <f>+Assumptions!N167</f>
        <v>0</v>
      </c>
      <c r="I19" s="83">
        <f>+Assumptions!O167</f>
        <v>0</v>
      </c>
      <c r="J19" s="83">
        <f>+Assumptions!P167</f>
        <v>0</v>
      </c>
      <c r="K19" s="688">
        <f t="shared" ca="1" si="6"/>
        <v>0</v>
      </c>
      <c r="L19" s="699"/>
      <c r="M19" s="699"/>
      <c r="N19" s="103"/>
      <c r="O19" s="699"/>
      <c r="P19" s="134">
        <f ca="1">+Q19/Budget!$G$10</f>
        <v>0</v>
      </c>
      <c r="Q19" s="94">
        <f t="shared" ref="Q19:Q24" ca="1" si="7">+SUM(R19:T19)</f>
        <v>0</v>
      </c>
      <c r="R19" s="83">
        <f>+'Loan Sizing'!F74</f>
        <v>0</v>
      </c>
      <c r="S19" s="83">
        <f>+'Loan Sizing'!G74</f>
        <v>0</v>
      </c>
      <c r="T19" s="83">
        <f ca="1">+'Loan Sizing'!H74</f>
        <v>0</v>
      </c>
    </row>
    <row r="20" spans="2:20" ht="15.75">
      <c r="B20" s="699" t="s">
        <v>329</v>
      </c>
      <c r="C20" s="699"/>
      <c r="D20" s="103"/>
      <c r="E20" s="699"/>
      <c r="F20" s="134">
        <f ca="1">+G20/Budget!$G$10</f>
        <v>89.512435274045984</v>
      </c>
      <c r="G20" s="94">
        <f ca="1">+SUM(H20:J20)</f>
        <v>223630796.80628985</v>
      </c>
      <c r="H20" s="83">
        <f ca="1">+Assumptions!N$169</f>
        <v>96083432.146206573</v>
      </c>
      <c r="I20" s="83">
        <f ca="1">+Assumptions!O$169</f>
        <v>71440658.636525184</v>
      </c>
      <c r="J20" s="83">
        <f ca="1">+Assumptions!P$169</f>
        <v>56106706.023558073</v>
      </c>
      <c r="K20" s="688">
        <f t="shared" ca="1" si="6"/>
        <v>0.113986493461096</v>
      </c>
      <c r="L20" s="699" t="s">
        <v>326</v>
      </c>
      <c r="M20" s="699"/>
      <c r="N20" s="103"/>
      <c r="O20" s="699"/>
      <c r="P20" s="134">
        <f ca="1">+Q20/Budget!$G$10</f>
        <v>59.874752828130724</v>
      </c>
      <c r="Q20" s="94">
        <f t="shared" ca="1" si="7"/>
        <v>149586352.36032835</v>
      </c>
      <c r="R20" s="83">
        <f ca="1">+H18</f>
        <v>47890047.656001143</v>
      </c>
      <c r="S20" s="83">
        <f t="shared" ref="S20:T23" ca="1" si="8">+I18</f>
        <v>50696716.287520386</v>
      </c>
      <c r="T20" s="83">
        <f t="shared" ca="1" si="8"/>
        <v>50999588.416806847</v>
      </c>
    </row>
    <row r="21" spans="2:20" ht="15.75">
      <c r="B21" s="151" t="s">
        <v>331</v>
      </c>
      <c r="C21" s="151"/>
      <c r="D21" s="946"/>
      <c r="E21" s="151"/>
      <c r="F21" s="947">
        <f ca="1">+G21/Budget!$G$10</f>
        <v>0</v>
      </c>
      <c r="G21" s="948">
        <f t="shared" ca="1" si="5"/>
        <v>0</v>
      </c>
      <c r="H21" s="946">
        <f>+Assumptions!BU171*Assumptions!BU172+Assumptions!BU175*Assumptions!BU176</f>
        <v>0</v>
      </c>
      <c r="I21" s="946">
        <f ca="1">+Assumptions!BV171*Assumptions!BV172+Assumptions!BV175*Assumptions!BV176</f>
        <v>0</v>
      </c>
      <c r="J21" s="946">
        <f ca="1">+Assumptions!BW171*Assumptions!BW172+Assumptions!BW175*Assumptions!BW176</f>
        <v>0</v>
      </c>
      <c r="K21" s="688">
        <f t="shared" ca="1" si="6"/>
        <v>0</v>
      </c>
      <c r="L21" s="151"/>
      <c r="M21" s="151"/>
      <c r="N21" s="946"/>
      <c r="O21" s="151"/>
      <c r="P21" s="947">
        <f ca="1">+Q21/Budget!$G$10</f>
        <v>0</v>
      </c>
      <c r="Q21" s="948">
        <f t="shared" si="7"/>
        <v>0</v>
      </c>
      <c r="R21" s="946">
        <f t="shared" ref="R21:R23" si="9">+H19</f>
        <v>0</v>
      </c>
      <c r="S21" s="946">
        <f t="shared" si="8"/>
        <v>0</v>
      </c>
      <c r="T21" s="946">
        <f t="shared" si="8"/>
        <v>0</v>
      </c>
    </row>
    <row r="22" spans="2:20" ht="15.75">
      <c r="B22" s="151"/>
      <c r="C22" s="151"/>
      <c r="D22" s="946"/>
      <c r="E22" s="151"/>
      <c r="F22" s="947">
        <f ca="1">+G22/Budget!$G$10</f>
        <v>0</v>
      </c>
      <c r="G22" s="948">
        <f t="shared" si="5"/>
        <v>0</v>
      </c>
      <c r="H22" s="946">
        <v>0</v>
      </c>
      <c r="I22" s="946">
        <v>0</v>
      </c>
      <c r="J22" s="946">
        <v>0</v>
      </c>
      <c r="K22" s="688">
        <f t="shared" ca="1" si="6"/>
        <v>0.17040919813631511</v>
      </c>
      <c r="L22" s="699" t="s">
        <v>332</v>
      </c>
      <c r="M22" s="699"/>
      <c r="N22" s="103"/>
      <c r="O22" s="699"/>
      <c r="P22" s="134">
        <f ca="1">+Q22/Budget!$G$10</f>
        <v>89.512435274045984</v>
      </c>
      <c r="Q22" s="94">
        <f ca="1">+SUM(R22:T22)</f>
        <v>223630796.80628985</v>
      </c>
      <c r="R22" s="83">
        <f ca="1">+H20</f>
        <v>96083432.146206573</v>
      </c>
      <c r="S22" s="83">
        <f ca="1">+I20</f>
        <v>71440658.636525184</v>
      </c>
      <c r="T22" s="83">
        <f ca="1">+J20</f>
        <v>56106706.023558073</v>
      </c>
    </row>
    <row r="23" spans="2:20" ht="15.75">
      <c r="B23" s="699" t="s">
        <v>334</v>
      </c>
      <c r="C23" s="699"/>
      <c r="D23" s="103"/>
      <c r="E23" s="699"/>
      <c r="F23" s="134">
        <f ca="1">+G23/Budget!$G$10</f>
        <v>116.5946379216301</v>
      </c>
      <c r="G23" s="94">
        <f t="shared" ca="1" si="5"/>
        <v>291290832.40700477</v>
      </c>
      <c r="H23" s="83">
        <f ca="1">+H36-SUM(H17:H22)</f>
        <v>115496090.74467808</v>
      </c>
      <c r="I23" s="83">
        <f ca="1">+I36-SUM(I17:I22)</f>
        <v>29640547.373204827</v>
      </c>
      <c r="J23" s="83">
        <f t="shared" ref="J23" ca="1" si="10">+J36-SUM(J17:J22)</f>
        <v>146154194.28912181</v>
      </c>
      <c r="K23" s="688">
        <f t="shared" ca="1" si="6"/>
        <v>0</v>
      </c>
      <c r="L23" s="151" t="s">
        <v>331</v>
      </c>
      <c r="M23" s="151"/>
      <c r="N23" s="946"/>
      <c r="O23" s="151"/>
      <c r="P23" s="947">
        <f ca="1">+Q23/Budget!$G$10</f>
        <v>0</v>
      </c>
      <c r="Q23" s="948">
        <f t="shared" ca="1" si="7"/>
        <v>0</v>
      </c>
      <c r="R23" s="946">
        <f t="shared" si="9"/>
        <v>0</v>
      </c>
      <c r="S23" s="946">
        <f t="shared" ca="1" si="8"/>
        <v>0</v>
      </c>
      <c r="T23" s="946">
        <f t="shared" ca="1" si="8"/>
        <v>0</v>
      </c>
    </row>
    <row r="24" spans="2:20" ht="15.75">
      <c r="B24" s="151"/>
      <c r="C24" s="151"/>
      <c r="D24" s="151"/>
      <c r="E24" s="151"/>
      <c r="F24" s="947">
        <f ca="1">+G24/Budget!$G$10</f>
        <v>0</v>
      </c>
      <c r="G24" s="948">
        <f t="shared" ref="G24:G25" si="11">+SUM(H24:J24)</f>
        <v>0</v>
      </c>
      <c r="H24" s="151"/>
      <c r="I24" s="151"/>
      <c r="J24" s="151"/>
      <c r="K24" s="688">
        <f t="shared" ca="1" si="6"/>
        <v>0</v>
      </c>
      <c r="L24" s="151"/>
      <c r="M24" s="151"/>
      <c r="N24" s="946"/>
      <c r="O24" s="151"/>
      <c r="P24" s="947">
        <f ca="1">+Q24/Budget!$G$10</f>
        <v>0</v>
      </c>
      <c r="Q24" s="948">
        <f t="shared" si="7"/>
        <v>0</v>
      </c>
      <c r="R24" s="946">
        <f>+H22</f>
        <v>0</v>
      </c>
      <c r="S24" s="946">
        <f t="shared" ref="S24:T24" si="12">+I22</f>
        <v>0</v>
      </c>
      <c r="T24" s="946">
        <f t="shared" si="12"/>
        <v>0</v>
      </c>
    </row>
    <row r="25" spans="2:20" ht="15.75">
      <c r="B25" s="151"/>
      <c r="C25" s="151"/>
      <c r="D25" s="151"/>
      <c r="E25" s="151"/>
      <c r="F25" s="947">
        <f ca="1">+G25/Budget!$G$10</f>
        <v>0</v>
      </c>
      <c r="G25" s="948">
        <f t="shared" si="11"/>
        <v>0</v>
      </c>
      <c r="H25" s="151"/>
      <c r="I25" s="151"/>
      <c r="J25" s="151"/>
      <c r="K25" s="688">
        <f t="shared" ca="1" si="6"/>
        <v>0.22196691101509911</v>
      </c>
      <c r="L25" s="699" t="s">
        <v>334</v>
      </c>
      <c r="M25" s="699"/>
      <c r="N25" s="73"/>
      <c r="O25" s="699"/>
      <c r="P25" s="134">
        <f ca="1">+Q25/Budget!$G$10</f>
        <v>116.5946379216301</v>
      </c>
      <c r="Q25" s="94">
        <f ca="1">+SUM(R25:T25)</f>
        <v>291290832.40700477</v>
      </c>
      <c r="R25" s="83">
        <f ca="1">+R36-SUM(R17:R24)</f>
        <v>115496090.74467808</v>
      </c>
      <c r="S25" s="83">
        <f ca="1">+S36-SUM(S17:S24)</f>
        <v>29640547.373204827</v>
      </c>
      <c r="T25" s="83">
        <f ca="1">+T36-SUM(T17:T24)</f>
        <v>146154194.28912181</v>
      </c>
    </row>
    <row r="26" spans="2:20" ht="15.75">
      <c r="B26" s="65" t="s">
        <v>336</v>
      </c>
      <c r="C26" s="65"/>
      <c r="D26" s="65"/>
      <c r="E26" s="65"/>
      <c r="F26" s="66">
        <f ca="1">+G26/Budget!$G$10</f>
        <v>525.27936433597017</v>
      </c>
      <c r="G26" s="62">
        <f ca="1">+SUM(G17:G25)</f>
        <v>1312316466.7872055</v>
      </c>
      <c r="H26" s="62">
        <f ca="1">+SUM(H17:H25)</f>
        <v>534688588.8380487</v>
      </c>
      <c r="I26" s="62">
        <f ca="1">+SUM(I17:I25)</f>
        <v>401418455.08362806</v>
      </c>
      <c r="J26" s="62">
        <f ca="1">+SUM(J17:J25)</f>
        <v>376209422.86552858</v>
      </c>
      <c r="K26" s="689"/>
      <c r="L26" s="65" t="s">
        <v>336</v>
      </c>
      <c r="M26" s="65"/>
      <c r="N26" s="65"/>
      <c r="O26" s="65"/>
      <c r="P26" s="64">
        <f ca="1">+Q26/Budget!$G$10</f>
        <v>525.27936433597017</v>
      </c>
      <c r="Q26" s="62">
        <f ca="1">+SUM(R26:T26)</f>
        <v>1312316466.7872052</v>
      </c>
      <c r="R26" s="62">
        <f ca="1">+SUM(R17:R25)</f>
        <v>534688588.8380487</v>
      </c>
      <c r="S26" s="62">
        <f ca="1">+SUM(S17:S25)</f>
        <v>401418455.08362806</v>
      </c>
      <c r="T26" s="62">
        <f ca="1">+SUM(T17:T25)</f>
        <v>376209422.86552858</v>
      </c>
    </row>
    <row r="27" spans="2:20" ht="15.75">
      <c r="B27" s="67"/>
      <c r="L27" s="49"/>
      <c r="M27" s="49"/>
      <c r="N27" s="49"/>
      <c r="O27" s="49"/>
      <c r="P27" s="49"/>
      <c r="Q27" s="49"/>
      <c r="R27" s="49"/>
      <c r="S27" s="49"/>
      <c r="T27" s="49"/>
    </row>
    <row r="28" spans="2:20" ht="15.75">
      <c r="B28" s="468" t="s">
        <v>339</v>
      </c>
      <c r="C28" s="540"/>
      <c r="D28" s="540"/>
      <c r="E28" s="540"/>
      <c r="F28" s="540"/>
      <c r="G28" s="541" t="s">
        <v>219</v>
      </c>
      <c r="H28" s="541" t="str">
        <f>+H$2</f>
        <v>I</v>
      </c>
      <c r="I28" s="541" t="str">
        <f>+I$2</f>
        <v>II</v>
      </c>
      <c r="J28" s="541" t="str">
        <f>+J$2</f>
        <v>III</v>
      </c>
      <c r="L28" s="468" t="s">
        <v>346</v>
      </c>
      <c r="M28" s="540"/>
      <c r="N28" s="540"/>
      <c r="O28" s="540"/>
      <c r="P28" s="540"/>
      <c r="Q28" s="468" t="s">
        <v>219</v>
      </c>
      <c r="R28" s="541" t="str">
        <f>+H$2</f>
        <v>I</v>
      </c>
      <c r="S28" s="541" t="str">
        <f t="shared" ref="S28:T28" si="13">+I$2</f>
        <v>II</v>
      </c>
      <c r="T28" s="541" t="str">
        <f t="shared" si="13"/>
        <v>III</v>
      </c>
    </row>
    <row r="29" spans="2:20" ht="15.75">
      <c r="B29" s="699" t="s">
        <v>341</v>
      </c>
      <c r="C29" s="699"/>
      <c r="D29" s="103"/>
      <c r="E29" s="699"/>
      <c r="F29" s="134">
        <f ca="1">+G29/Budget!$G$10</f>
        <v>28.190021441156695</v>
      </c>
      <c r="G29" s="94">
        <f>+SUM(H29:J29)</f>
        <v>70427722.556892037</v>
      </c>
      <c r="H29" s="83">
        <f>+Budget!H35</f>
        <v>57533874.841383234</v>
      </c>
      <c r="I29" s="83">
        <f>+Budget!I35</f>
        <v>4691009.3245623549</v>
      </c>
      <c r="J29" s="83">
        <f>+Budget!J35</f>
        <v>8202838.3909464516</v>
      </c>
      <c r="L29" s="699" t="s">
        <v>341</v>
      </c>
      <c r="M29" s="699"/>
      <c r="N29" s="103"/>
      <c r="O29" s="699"/>
      <c r="P29" s="134">
        <f ca="1">+Q29/Budget!$G$10</f>
        <v>28.190021441156695</v>
      </c>
      <c r="Q29" s="94">
        <f>+SUM(R29:T29)</f>
        <v>70427722.556892037</v>
      </c>
      <c r="R29" s="83">
        <f>+H29</f>
        <v>57533874.841383234</v>
      </c>
      <c r="S29" s="83">
        <f t="shared" ref="S29:T35" si="14">+I29</f>
        <v>4691009.3245623549</v>
      </c>
      <c r="T29" s="83">
        <f t="shared" si="14"/>
        <v>8202838.3909464516</v>
      </c>
    </row>
    <row r="30" spans="2:20" ht="15.75">
      <c r="B30" s="699" t="s">
        <v>236</v>
      </c>
      <c r="C30" s="699"/>
      <c r="D30" s="103"/>
      <c r="E30" s="699"/>
      <c r="F30" s="134">
        <f ca="1">+G30/Budget!$G$10</f>
        <v>14.301867133967173</v>
      </c>
      <c r="G30" s="94">
        <f>+SUM(H30:J30)</f>
        <v>35730655</v>
      </c>
      <c r="H30" s="83">
        <f>+Budget!H46</f>
        <v>20194435</v>
      </c>
      <c r="I30" s="83">
        <f>+Budget!I46</f>
        <v>2030684</v>
      </c>
      <c r="J30" s="83">
        <f>+Budget!J46</f>
        <v>13505536</v>
      </c>
      <c r="L30" s="699" t="s">
        <v>236</v>
      </c>
      <c r="M30" s="699"/>
      <c r="N30" s="103"/>
      <c r="O30" s="699"/>
      <c r="P30" s="134">
        <f ca="1">+Q30/Budget!$G$10</f>
        <v>14.301867133967173</v>
      </c>
      <c r="Q30" s="94">
        <f t="shared" ref="Q30:Q36" si="15">+SUM(R30:T30)</f>
        <v>35730655</v>
      </c>
      <c r="R30" s="83">
        <f t="shared" ref="R30:R35" si="16">+H30</f>
        <v>20194435</v>
      </c>
      <c r="S30" s="83">
        <f t="shared" si="14"/>
        <v>2030684</v>
      </c>
      <c r="T30" s="83">
        <f t="shared" si="14"/>
        <v>13505536</v>
      </c>
    </row>
    <row r="31" spans="2:20" ht="15.75">
      <c r="B31" s="699" t="s">
        <v>344</v>
      </c>
      <c r="C31" s="699"/>
      <c r="D31" s="103"/>
      <c r="E31" s="699"/>
      <c r="F31" s="134">
        <f ca="1">+G31/Budget!$G$10</f>
        <v>332.13423715826565</v>
      </c>
      <c r="G31" s="94">
        <f ca="1">+SUM(H31:J31)</f>
        <v>829777939.51147532</v>
      </c>
      <c r="H31" s="83">
        <f ca="1">+Budget!H69</f>
        <v>302119898.65899998</v>
      </c>
      <c r="I31" s="83">
        <f ca="1">+Budget!I69</f>
        <v>267804657.74088666</v>
      </c>
      <c r="J31" s="83">
        <f ca="1">+Budget!J69</f>
        <v>259853383.11158872</v>
      </c>
      <c r="L31" s="699" t="s">
        <v>344</v>
      </c>
      <c r="M31" s="699"/>
      <c r="N31" s="103"/>
      <c r="O31" s="699"/>
      <c r="P31" s="134">
        <f ca="1">+Q31/Budget!$G$10</f>
        <v>332.13423715826565</v>
      </c>
      <c r="Q31" s="94">
        <f t="shared" ca="1" si="15"/>
        <v>829777939.51147532</v>
      </c>
      <c r="R31" s="83">
        <f t="shared" ca="1" si="16"/>
        <v>302119898.65899998</v>
      </c>
      <c r="S31" s="83">
        <f t="shared" ca="1" si="14"/>
        <v>267804657.74088666</v>
      </c>
      <c r="T31" s="83">
        <f t="shared" ca="1" si="14"/>
        <v>259853383.11158872</v>
      </c>
    </row>
    <row r="32" spans="2:20" ht="15.75">
      <c r="B32" s="699" t="s">
        <v>345</v>
      </c>
      <c r="C32" s="699"/>
      <c r="D32" s="103"/>
      <c r="E32" s="699"/>
      <c r="F32" s="134">
        <f ca="1">+G32/Budget!$G$10</f>
        <v>83.686492599468906</v>
      </c>
      <c r="G32" s="94">
        <f ca="1">+SUM(H32:J32)</f>
        <v>209075721.87759775</v>
      </c>
      <c r="H32" s="83">
        <f ca="1">+Budget!H84</f>
        <v>81624624.794803187</v>
      </c>
      <c r="I32" s="83">
        <f ca="1">+Budget!I84</f>
        <v>67128952.665678784</v>
      </c>
      <c r="J32" s="83">
        <f ca="1">+Budget!J84</f>
        <v>60322144.417115763</v>
      </c>
      <c r="L32" s="699" t="s">
        <v>345</v>
      </c>
      <c r="M32" s="699"/>
      <c r="N32" s="103"/>
      <c r="O32" s="699"/>
      <c r="P32" s="134">
        <f ca="1">+Q32/Budget!$G$10</f>
        <v>83.686492599468906</v>
      </c>
      <c r="Q32" s="94">
        <f t="shared" ca="1" si="15"/>
        <v>209075721.87759775</v>
      </c>
      <c r="R32" s="83">
        <f t="shared" ca="1" si="16"/>
        <v>81624624.794803187</v>
      </c>
      <c r="S32" s="83">
        <f t="shared" ca="1" si="14"/>
        <v>67128952.665678784</v>
      </c>
      <c r="T32" s="83">
        <f t="shared" ca="1" si="14"/>
        <v>60322144.417115763</v>
      </c>
    </row>
    <row r="33" spans="2:49" ht="15.75">
      <c r="B33" s="699" t="s">
        <v>347</v>
      </c>
      <c r="C33" s="699"/>
      <c r="D33" s="103"/>
      <c r="E33" s="699"/>
      <c r="F33" s="134">
        <f ca="1">+G33/Budget!$G$10</f>
        <v>26.682519404580606</v>
      </c>
      <c r="G33" s="94">
        <f t="shared" ref="G33:G34" ca="1" si="17">+SUM(H33:J33)</f>
        <v>66661498.56137123</v>
      </c>
      <c r="H33" s="83">
        <f ca="1">+Budget!H97</f>
        <v>33225688.0881561</v>
      </c>
      <c r="I33" s="83">
        <f ca="1">+Budget!I97</f>
        <v>21460662.638504423</v>
      </c>
      <c r="J33" s="83">
        <f ca="1">+Budget!J97</f>
        <v>11975147.834710708</v>
      </c>
      <c r="L33" s="699" t="s">
        <v>347</v>
      </c>
      <c r="M33" s="699"/>
      <c r="N33" s="103"/>
      <c r="O33" s="699"/>
      <c r="P33" s="134">
        <f ca="1">+Q33/Budget!$G$10</f>
        <v>26.682519404580606</v>
      </c>
      <c r="Q33" s="94">
        <f t="shared" ca="1" si="15"/>
        <v>66661498.56137123</v>
      </c>
      <c r="R33" s="83">
        <f t="shared" ca="1" si="16"/>
        <v>33225688.0881561</v>
      </c>
      <c r="S33" s="83">
        <f t="shared" ca="1" si="14"/>
        <v>21460662.638504423</v>
      </c>
      <c r="T33" s="83">
        <f t="shared" ca="1" si="14"/>
        <v>11975147.834710708</v>
      </c>
    </row>
    <row r="34" spans="2:49" ht="15.75">
      <c r="B34" s="699" t="s">
        <v>348</v>
      </c>
      <c r="C34" s="699"/>
      <c r="D34" s="103"/>
      <c r="E34" s="699"/>
      <c r="F34" s="134">
        <f ca="1">+G34/Budget!$G$10</f>
        <v>21.165405717961409</v>
      </c>
      <c r="G34" s="94">
        <f t="shared" ca="1" si="17"/>
        <v>52877977.578703068</v>
      </c>
      <c r="H34" s="83">
        <f ca="1">+Budget!H104</f>
        <v>21637963.070219036</v>
      </c>
      <c r="I34" s="83">
        <f ca="1">+Budget!I104</f>
        <v>23043740.800185625</v>
      </c>
      <c r="J34" s="83">
        <f ca="1">+Budget!J104</f>
        <v>8196273.7082984075</v>
      </c>
      <c r="L34" s="699" t="s">
        <v>348</v>
      </c>
      <c r="M34" s="699"/>
      <c r="N34" s="103"/>
      <c r="O34" s="699"/>
      <c r="P34" s="134">
        <f ca="1">+Q34/Budget!$G$10</f>
        <v>21.165405717961409</v>
      </c>
      <c r="Q34" s="94">
        <f t="shared" ca="1" si="15"/>
        <v>52877977.578703068</v>
      </c>
      <c r="R34" s="83">
        <f t="shared" ca="1" si="16"/>
        <v>21637963.070219036</v>
      </c>
      <c r="S34" s="83">
        <f t="shared" ca="1" si="14"/>
        <v>23043740.800185625</v>
      </c>
      <c r="T34" s="83">
        <f t="shared" ca="1" si="14"/>
        <v>8196273.7082984075</v>
      </c>
    </row>
    <row r="35" spans="2:49" ht="15.75">
      <c r="B35" s="699" t="s">
        <v>349</v>
      </c>
      <c r="C35" s="699"/>
      <c r="D35" s="73"/>
      <c r="E35" s="699"/>
      <c r="F35" s="134">
        <f ca="1">+G35/Budget!$G$10</f>
        <v>19.11882088056975</v>
      </c>
      <c r="G35" s="94">
        <f ca="1">+SUM(H35:J35)</f>
        <v>47764951.7011659</v>
      </c>
      <c r="H35" s="83">
        <f ca="1">+Budget!H108</f>
        <v>18352104.384487133</v>
      </c>
      <c r="I35" s="83">
        <f ca="1">+Budget!I108</f>
        <v>15258747.913810223</v>
      </c>
      <c r="J35" s="83">
        <f ca="1">+Budget!J108</f>
        <v>14154099.402868543</v>
      </c>
      <c r="L35" s="699" t="s">
        <v>349</v>
      </c>
      <c r="M35" s="699"/>
      <c r="N35" s="73"/>
      <c r="O35" s="699"/>
      <c r="P35" s="134">
        <f ca="1">+Q35/Budget!$G$10</f>
        <v>19.11882088056975</v>
      </c>
      <c r="Q35" s="94">
        <f t="shared" ca="1" si="15"/>
        <v>47764951.7011659</v>
      </c>
      <c r="R35" s="83">
        <f t="shared" ca="1" si="16"/>
        <v>18352104.384487133</v>
      </c>
      <c r="S35" s="83">
        <f t="shared" ca="1" si="14"/>
        <v>15258747.913810223</v>
      </c>
      <c r="T35" s="83">
        <f t="shared" ca="1" si="14"/>
        <v>14154099.402868543</v>
      </c>
    </row>
    <row r="36" spans="2:49" ht="15.75">
      <c r="B36" s="65" t="s">
        <v>305</v>
      </c>
      <c r="C36" s="65"/>
      <c r="D36" s="65"/>
      <c r="E36" s="65"/>
      <c r="F36" s="66">
        <f ca="1">+G36/Budget!$G$10</f>
        <v>525.27936433597017</v>
      </c>
      <c r="G36" s="62">
        <f ca="1">+SUM(G29:G35)</f>
        <v>1312316466.7872055</v>
      </c>
      <c r="H36" s="62">
        <f ca="1">+SUM(H29:H35)</f>
        <v>534688588.8380487</v>
      </c>
      <c r="I36" s="62">
        <f t="shared" ref="I36:J36" ca="1" si="18">+SUM(I29:I35)</f>
        <v>401418455.08362806</v>
      </c>
      <c r="J36" s="62">
        <f t="shared" ca="1" si="18"/>
        <v>376209422.86552858</v>
      </c>
      <c r="L36" s="65" t="s">
        <v>305</v>
      </c>
      <c r="M36" s="65"/>
      <c r="N36" s="65"/>
      <c r="O36" s="65"/>
      <c r="P36" s="64">
        <f ca="1">+Q36/Budget!$G$10</f>
        <v>525.27936433597017</v>
      </c>
      <c r="Q36" s="62">
        <f t="shared" ca="1" si="15"/>
        <v>1312316466.7872052</v>
      </c>
      <c r="R36" s="62">
        <f ca="1">+SUM(R29:R35)</f>
        <v>534688588.8380487</v>
      </c>
      <c r="S36" s="62">
        <f t="shared" ref="S36:T36" ca="1" si="19">+SUM(S29:S35)</f>
        <v>401418455.08362806</v>
      </c>
      <c r="T36" s="62">
        <f t="shared" ca="1" si="19"/>
        <v>376209422.86552858</v>
      </c>
    </row>
    <row r="37" spans="2:49">
      <c r="B37"/>
      <c r="H37" s="143"/>
      <c r="K37"/>
    </row>
    <row r="38" spans="2:49" ht="15.75">
      <c r="B38" s="68" t="s">
        <v>939</v>
      </c>
      <c r="C38" s="69"/>
      <c r="D38" s="69"/>
      <c r="E38" s="69"/>
      <c r="F38" s="69"/>
      <c r="G38" s="70" t="s">
        <v>219</v>
      </c>
      <c r="H38" s="70" t="str">
        <f>+H$2</f>
        <v>I</v>
      </c>
      <c r="I38" s="70" t="str">
        <f>+I$2</f>
        <v>II</v>
      </c>
      <c r="J38" s="70" t="str">
        <f>+J$2</f>
        <v>III</v>
      </c>
    </row>
    <row r="39" spans="2:49" ht="15.75">
      <c r="B39" s="139" t="s">
        <v>341</v>
      </c>
      <c r="C39" s="139"/>
      <c r="D39" s="140"/>
      <c r="E39" s="139"/>
      <c r="F39" s="134">
        <f ca="1">+G39/Budget!$G$10</f>
        <v>0</v>
      </c>
      <c r="G39" s="94">
        <f t="shared" ref="G39:G45" si="20">+SUM(H39:J39)</f>
        <v>0</v>
      </c>
      <c r="H39" s="141">
        <f>+H29-H7</f>
        <v>0</v>
      </c>
      <c r="I39" s="141">
        <f t="shared" ref="I39:J39" si="21">+I29-I7</f>
        <v>0</v>
      </c>
      <c r="J39" s="141">
        <f t="shared" si="21"/>
        <v>0</v>
      </c>
    </row>
    <row r="40" spans="2:49" ht="15.75">
      <c r="B40" s="139" t="s">
        <v>236</v>
      </c>
      <c r="C40" s="139"/>
      <c r="D40" s="140"/>
      <c r="E40" s="139"/>
      <c r="F40" s="134">
        <f ca="1">+G40/Budget!$G$10</f>
        <v>0</v>
      </c>
      <c r="G40" s="94">
        <f t="shared" si="20"/>
        <v>0</v>
      </c>
      <c r="H40" s="141">
        <f t="shared" ref="H40:J41" si="22">+H30-H8</f>
        <v>0</v>
      </c>
      <c r="I40" s="141">
        <f t="shared" si="22"/>
        <v>0</v>
      </c>
      <c r="J40" s="141">
        <f t="shared" si="22"/>
        <v>0</v>
      </c>
    </row>
    <row r="41" spans="2:49" ht="15.75">
      <c r="B41" s="139" t="s">
        <v>344</v>
      </c>
      <c r="C41" s="139"/>
      <c r="D41" s="140"/>
      <c r="E41" s="139"/>
      <c r="F41" s="134">
        <f ca="1">+G41/Budget!$G$10</f>
        <v>330.03973003049833</v>
      </c>
      <c r="G41" s="94">
        <f t="shared" ca="1" si="20"/>
        <v>824545188.3695246</v>
      </c>
      <c r="H41" s="141">
        <f ca="1">+H31-H9</f>
        <v>298149202.65899998</v>
      </c>
      <c r="I41" s="141">
        <f t="shared" ca="1" si="22"/>
        <v>267380006.54505464</v>
      </c>
      <c r="J41" s="141">
        <f t="shared" ca="1" si="22"/>
        <v>259015979.16546997</v>
      </c>
    </row>
    <row r="42" spans="2:49" ht="15.75">
      <c r="B42" s="139" t="s">
        <v>345</v>
      </c>
      <c r="C42" s="139"/>
      <c r="D42" s="140"/>
      <c r="E42" s="139"/>
      <c r="F42" s="134">
        <f ca="1">+G42/Budget!$G$10</f>
        <v>0</v>
      </c>
      <c r="G42" s="94">
        <f t="shared" ca="1" si="20"/>
        <v>0</v>
      </c>
      <c r="H42" s="141">
        <f ca="1">+H32-H10</f>
        <v>0</v>
      </c>
      <c r="I42" s="141">
        <f t="shared" ref="I42:J42" ca="1" si="23">+I32-I10</f>
        <v>0</v>
      </c>
      <c r="J42" s="141">
        <f t="shared" ca="1" si="23"/>
        <v>0</v>
      </c>
    </row>
    <row r="43" spans="2:49" ht="15.75">
      <c r="B43" s="139" t="s">
        <v>347</v>
      </c>
      <c r="C43" s="139"/>
      <c r="D43" s="140"/>
      <c r="E43" s="139"/>
      <c r="F43" s="134">
        <f ca="1">+G43/Budget!$G$10</f>
        <v>26.682519404580606</v>
      </c>
      <c r="G43" s="94">
        <f t="shared" ca="1" si="20"/>
        <v>66661498.56137123</v>
      </c>
      <c r="H43" s="141">
        <f t="shared" ref="H43:J45" ca="1" si="24">+H33-H11</f>
        <v>33225688.0881561</v>
      </c>
      <c r="I43" s="141">
        <f t="shared" ca="1" si="24"/>
        <v>21460662.638504423</v>
      </c>
      <c r="J43" s="141">
        <f t="shared" ca="1" si="24"/>
        <v>11975147.834710708</v>
      </c>
      <c r="U43" s="339"/>
      <c r="V43" s="339"/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  <c r="AP43" s="339"/>
      <c r="AQ43" s="339"/>
      <c r="AR43" s="339"/>
      <c r="AS43" s="339"/>
      <c r="AT43" s="339"/>
      <c r="AU43" s="339"/>
      <c r="AV43" s="339"/>
      <c r="AW43" s="339"/>
    </row>
    <row r="44" spans="2:49" ht="15.75">
      <c r="B44" s="139" t="s">
        <v>348</v>
      </c>
      <c r="C44" s="139"/>
      <c r="D44" s="140"/>
      <c r="E44" s="139"/>
      <c r="F44" s="134">
        <f ca="1">+G44/Budget!$G$10</f>
        <v>21.165405717961409</v>
      </c>
      <c r="G44" s="94">
        <f t="shared" ca="1" si="20"/>
        <v>52877977.578703068</v>
      </c>
      <c r="H44" s="141">
        <f t="shared" ca="1" si="24"/>
        <v>21637963.070219036</v>
      </c>
      <c r="I44" s="141">
        <f t="shared" ca="1" si="24"/>
        <v>23043740.800185625</v>
      </c>
      <c r="J44" s="141">
        <f t="shared" ca="1" si="24"/>
        <v>8196273.7082984075</v>
      </c>
      <c r="U44" s="339"/>
      <c r="V44" s="339"/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  <c r="AP44" s="339"/>
      <c r="AQ44" s="339"/>
      <c r="AR44" s="339"/>
      <c r="AS44" s="339"/>
      <c r="AT44" s="339"/>
      <c r="AU44" s="339"/>
      <c r="AV44" s="339"/>
      <c r="AW44" s="339"/>
    </row>
    <row r="45" spans="2:49" ht="15.75">
      <c r="B45" s="139" t="s">
        <v>349</v>
      </c>
      <c r="C45" s="139"/>
      <c r="D45" s="142"/>
      <c r="E45" s="139"/>
      <c r="F45" s="134">
        <f ca="1">+G45/Budget!$G$10</f>
        <v>0</v>
      </c>
      <c r="G45" s="94">
        <f t="shared" ca="1" si="20"/>
        <v>0</v>
      </c>
      <c r="H45" s="141">
        <f t="shared" ca="1" si="24"/>
        <v>0</v>
      </c>
      <c r="I45" s="141">
        <f t="shared" ca="1" si="24"/>
        <v>0</v>
      </c>
      <c r="J45" s="141">
        <f t="shared" ca="1" si="24"/>
        <v>0</v>
      </c>
      <c r="N45" s="143"/>
      <c r="U45" s="339"/>
      <c r="V45" s="339"/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  <c r="AP45" s="339"/>
      <c r="AQ45" s="339"/>
      <c r="AR45" s="339"/>
      <c r="AS45" s="339"/>
      <c r="AT45" s="339"/>
      <c r="AU45" s="339"/>
      <c r="AV45" s="339"/>
      <c r="AW45" s="339"/>
    </row>
    <row r="46" spans="2:49" ht="15.75">
      <c r="B46" s="71" t="s">
        <v>305</v>
      </c>
      <c r="C46" s="71"/>
      <c r="D46" s="71"/>
      <c r="E46" s="71"/>
      <c r="F46" s="66">
        <f ca="1">+G46/Budget!$G$10</f>
        <v>377.88765515304033</v>
      </c>
      <c r="G46" s="62">
        <f ca="1">+SUM(G39:G45)</f>
        <v>944084664.50959885</v>
      </c>
      <c r="H46" s="72">
        <f ca="1">+SUM(H39:H45)</f>
        <v>353012853.81737512</v>
      </c>
      <c r="I46" s="72">
        <f t="shared" ref="I46:J46" ca="1" si="25">+SUM(I39:I45)</f>
        <v>311884409.98374468</v>
      </c>
      <c r="J46" s="72">
        <f t="shared" ca="1" si="25"/>
        <v>279187400.70847905</v>
      </c>
      <c r="U46" s="339"/>
      <c r="V46" s="339"/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N46" s="339"/>
      <c r="AO46" s="339"/>
      <c r="AP46" s="339"/>
      <c r="AQ46" s="339"/>
      <c r="AR46" s="339"/>
      <c r="AS46" s="339"/>
      <c r="AT46" s="339"/>
      <c r="AU46" s="339"/>
      <c r="AV46" s="339"/>
      <c r="AW46" s="339"/>
    </row>
    <row r="47" spans="2:49" ht="15.75">
      <c r="U47" s="339"/>
      <c r="V47" s="339"/>
      <c r="W47" s="339"/>
      <c r="X47" s="339"/>
      <c r="Y47" s="337"/>
      <c r="Z47" s="337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  <c r="AP47" s="339"/>
      <c r="AQ47" s="339"/>
      <c r="AR47" s="339"/>
      <c r="AS47" s="339"/>
      <c r="AT47" s="339"/>
      <c r="AU47" s="339"/>
      <c r="AV47" s="339"/>
      <c r="AW47" s="339"/>
    </row>
    <row r="48" spans="2:49" ht="16.5">
      <c r="H48" s="63"/>
      <c r="U48" s="339"/>
      <c r="V48" s="339"/>
      <c r="W48" s="339"/>
      <c r="X48" s="339"/>
      <c r="Y48" s="338"/>
      <c r="Z48" s="338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  <c r="AP48" s="339"/>
      <c r="AQ48" s="339"/>
      <c r="AR48" s="339"/>
      <c r="AS48" s="339"/>
      <c r="AT48" s="339"/>
      <c r="AU48" s="339"/>
      <c r="AV48" s="339"/>
      <c r="AW48" s="339"/>
    </row>
    <row r="49" spans="2:49">
      <c r="U49" s="339"/>
      <c r="V49" s="339"/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  <c r="AP49" s="339"/>
      <c r="AQ49" s="339"/>
      <c r="AR49" s="339"/>
      <c r="AS49" s="339"/>
      <c r="AT49" s="339"/>
      <c r="AU49" s="339"/>
      <c r="AV49" s="339"/>
      <c r="AW49" s="339"/>
    </row>
    <row r="50" spans="2:49">
      <c r="U50" s="339"/>
      <c r="V50" s="339"/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  <c r="AP50" s="339"/>
      <c r="AQ50" s="339"/>
      <c r="AR50" s="339"/>
      <c r="AS50" s="339"/>
      <c r="AT50" s="339"/>
      <c r="AU50" s="339"/>
      <c r="AV50" s="339"/>
      <c r="AW50" s="339"/>
    </row>
    <row r="51" spans="2:49">
      <c r="U51" s="339"/>
      <c r="V51" s="339"/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339"/>
      <c r="AJ51" s="339"/>
      <c r="AK51" s="339"/>
      <c r="AL51" s="339"/>
      <c r="AM51" s="339"/>
      <c r="AN51" s="339"/>
      <c r="AO51" s="339"/>
      <c r="AP51" s="339"/>
      <c r="AQ51" s="339"/>
      <c r="AR51" s="339"/>
      <c r="AS51" s="339"/>
      <c r="AT51" s="339"/>
      <c r="AU51" s="339"/>
      <c r="AV51" s="339"/>
      <c r="AW51" s="339"/>
    </row>
    <row r="52" spans="2:49">
      <c r="U52" s="339"/>
      <c r="V52" s="339"/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339"/>
      <c r="AK52" s="339"/>
      <c r="AL52" s="339"/>
      <c r="AM52" s="339"/>
      <c r="AN52" s="339"/>
      <c r="AO52" s="339"/>
      <c r="AP52" s="339"/>
      <c r="AQ52" s="339"/>
      <c r="AR52" s="339"/>
      <c r="AS52" s="339"/>
      <c r="AT52" s="339"/>
      <c r="AU52" s="339"/>
      <c r="AV52" s="339"/>
      <c r="AW52" s="339"/>
    </row>
    <row r="53" spans="2:49">
      <c r="U53" s="339"/>
      <c r="V53" s="339"/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339"/>
      <c r="AJ53" s="339"/>
      <c r="AK53" s="339"/>
      <c r="AL53" s="339"/>
      <c r="AM53" s="339"/>
      <c r="AN53" s="339"/>
      <c r="AO53" s="339"/>
      <c r="AP53" s="339"/>
      <c r="AQ53" s="339"/>
      <c r="AR53" s="339"/>
      <c r="AS53" s="339"/>
      <c r="AT53" s="339"/>
      <c r="AU53" s="339"/>
      <c r="AV53" s="339"/>
      <c r="AW53" s="339"/>
    </row>
    <row r="54" spans="2:49">
      <c r="U54" s="339"/>
      <c r="V54" s="339"/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  <c r="AP54" s="339"/>
      <c r="AQ54" s="339"/>
      <c r="AR54" s="339"/>
      <c r="AS54" s="339"/>
      <c r="AT54" s="339"/>
      <c r="AU54" s="339"/>
      <c r="AV54" s="339"/>
      <c r="AW54" s="339"/>
    </row>
    <row r="55" spans="2:49">
      <c r="U55" s="339"/>
      <c r="V55" s="339"/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339"/>
      <c r="AJ55" s="339"/>
      <c r="AK55" s="339"/>
      <c r="AL55" s="339"/>
      <c r="AM55" s="339"/>
      <c r="AN55" s="339"/>
      <c r="AO55" s="339"/>
      <c r="AP55" s="339"/>
      <c r="AQ55" s="339"/>
      <c r="AR55" s="339"/>
      <c r="AS55" s="339"/>
      <c r="AT55" s="339"/>
      <c r="AU55" s="339"/>
      <c r="AV55" s="339"/>
      <c r="AW55" s="339"/>
    </row>
    <row r="56" spans="2:49">
      <c r="U56" s="339"/>
      <c r="V56" s="339"/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339"/>
      <c r="AK56" s="339"/>
      <c r="AL56" s="339"/>
      <c r="AM56" s="339"/>
      <c r="AN56" s="339"/>
      <c r="AO56" s="339"/>
      <c r="AP56" s="339"/>
      <c r="AQ56" s="339"/>
      <c r="AR56" s="339"/>
      <c r="AS56" s="339"/>
      <c r="AT56" s="339"/>
      <c r="AU56" s="339"/>
      <c r="AV56" s="339"/>
      <c r="AW56" s="339"/>
    </row>
    <row r="57" spans="2:49">
      <c r="U57" s="339"/>
      <c r="V57" s="339"/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339"/>
      <c r="AM57" s="339"/>
      <c r="AN57" s="339"/>
      <c r="AO57" s="339"/>
      <c r="AP57" s="339"/>
      <c r="AQ57" s="339"/>
      <c r="AR57" s="339"/>
      <c r="AS57" s="339"/>
      <c r="AT57" s="339"/>
      <c r="AU57" s="339"/>
      <c r="AV57" s="339"/>
      <c r="AW57" s="339"/>
    </row>
    <row r="58" spans="2:49">
      <c r="B58" s="339"/>
      <c r="C58" s="339"/>
      <c r="D58" s="339"/>
      <c r="E58" s="339"/>
      <c r="F58" s="339"/>
      <c r="G58" s="339"/>
      <c r="H58" s="339"/>
      <c r="I58" s="339"/>
      <c r="J58" s="339"/>
      <c r="K58" s="339"/>
      <c r="L58" s="339"/>
      <c r="M58" s="339"/>
      <c r="N58" s="339"/>
      <c r="O58" s="339"/>
      <c r="P58" s="339"/>
      <c r="Q58" s="339"/>
      <c r="R58" s="339"/>
      <c r="S58" s="339"/>
      <c r="T58" s="339"/>
      <c r="U58" s="339"/>
      <c r="V58" s="339"/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339"/>
      <c r="AK58" s="339"/>
      <c r="AL58" s="339"/>
      <c r="AM58" s="339"/>
      <c r="AN58" s="339"/>
      <c r="AO58" s="339"/>
      <c r="AP58" s="339"/>
      <c r="AQ58" s="339"/>
      <c r="AR58" s="339"/>
      <c r="AS58" s="339"/>
      <c r="AT58" s="339"/>
      <c r="AU58" s="339"/>
      <c r="AV58" s="339"/>
      <c r="AW58" s="339"/>
    </row>
    <row r="59" spans="2:49" ht="15.75">
      <c r="B59" s="81"/>
      <c r="C59" s="49"/>
      <c r="D59" s="49"/>
      <c r="E59" s="49"/>
      <c r="F59" s="49"/>
      <c r="G59" s="928"/>
      <c r="H59" s="928"/>
      <c r="I59" s="928"/>
      <c r="J59" s="928"/>
      <c r="K59" s="339"/>
      <c r="L59" s="339"/>
      <c r="M59" s="339"/>
      <c r="N59" s="81"/>
      <c r="O59" s="49"/>
      <c r="P59" s="49"/>
      <c r="Q59" s="49"/>
      <c r="R59" s="49"/>
      <c r="S59" s="81"/>
      <c r="T59" s="928"/>
      <c r="U59" s="928"/>
      <c r="V59" s="928"/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  <c r="AP59" s="339"/>
      <c r="AQ59" s="339"/>
      <c r="AR59" s="339"/>
      <c r="AS59" s="339"/>
      <c r="AT59" s="339"/>
      <c r="AU59" s="339"/>
      <c r="AV59" s="339"/>
      <c r="AW59" s="339"/>
    </row>
    <row r="60" spans="2:49" ht="15.75">
      <c r="B60" s="49"/>
      <c r="C60" s="49"/>
      <c r="D60" s="83"/>
      <c r="E60" s="49"/>
      <c r="F60" s="929"/>
      <c r="G60" s="94"/>
      <c r="H60" s="83"/>
      <c r="I60" s="83"/>
      <c r="J60" s="83"/>
      <c r="K60" s="339"/>
      <c r="L60" s="339"/>
      <c r="M60" s="339"/>
      <c r="N60" s="49"/>
      <c r="O60" s="49"/>
      <c r="P60" s="83"/>
      <c r="Q60" s="49"/>
      <c r="R60" s="929"/>
      <c r="S60" s="94"/>
      <c r="T60" s="83"/>
      <c r="U60" s="83"/>
      <c r="V60" s="83"/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339"/>
      <c r="AJ60" s="339"/>
      <c r="AK60" s="339"/>
      <c r="AL60" s="339"/>
      <c r="AM60" s="339"/>
      <c r="AN60" s="339"/>
      <c r="AO60" s="339"/>
      <c r="AP60" s="339"/>
      <c r="AQ60" s="339"/>
      <c r="AR60" s="339"/>
      <c r="AS60" s="339"/>
      <c r="AT60" s="339"/>
      <c r="AU60" s="339"/>
      <c r="AV60" s="339"/>
      <c r="AW60" s="339"/>
    </row>
    <row r="61" spans="2:49" ht="15.75">
      <c r="B61" s="49"/>
      <c r="C61" s="49"/>
      <c r="D61" s="83"/>
      <c r="E61" s="49"/>
      <c r="F61" s="929"/>
      <c r="G61" s="94"/>
      <c r="H61" s="83"/>
      <c r="I61" s="83"/>
      <c r="J61" s="83"/>
      <c r="K61" s="339"/>
      <c r="L61" s="339"/>
      <c r="M61" s="339"/>
      <c r="N61" s="49"/>
      <c r="O61" s="49"/>
      <c r="P61" s="83"/>
      <c r="Q61" s="49"/>
      <c r="R61" s="929"/>
      <c r="S61" s="94"/>
      <c r="T61" s="83"/>
      <c r="U61" s="83"/>
      <c r="V61" s="83"/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339"/>
      <c r="AK61" s="339"/>
      <c r="AL61" s="339"/>
      <c r="AM61" s="339"/>
      <c r="AN61" s="339"/>
      <c r="AO61" s="339"/>
      <c r="AP61" s="339"/>
      <c r="AQ61" s="339"/>
      <c r="AR61" s="339"/>
      <c r="AS61" s="339"/>
      <c r="AT61" s="339"/>
      <c r="AU61" s="339"/>
      <c r="AV61" s="339"/>
      <c r="AW61" s="339"/>
    </row>
    <row r="62" spans="2:49" ht="15.75">
      <c r="B62" s="49"/>
      <c r="C62" s="49"/>
      <c r="D62" s="83"/>
      <c r="E62" s="49"/>
      <c r="F62" s="929"/>
      <c r="G62" s="94"/>
      <c r="H62" s="83"/>
      <c r="I62" s="83"/>
      <c r="J62" s="83"/>
      <c r="K62" s="339"/>
      <c r="L62" s="339"/>
      <c r="M62" s="339"/>
      <c r="N62" s="49"/>
      <c r="O62" s="49"/>
      <c r="P62" s="83"/>
      <c r="Q62" s="49"/>
      <c r="R62" s="929"/>
      <c r="S62" s="94"/>
      <c r="T62" s="83"/>
      <c r="U62" s="83"/>
      <c r="V62" s="83"/>
      <c r="W62" s="339"/>
      <c r="X62" s="339"/>
      <c r="Y62" s="339"/>
      <c r="Z62" s="339"/>
      <c r="AA62" s="339"/>
      <c r="AB62" s="339"/>
      <c r="AC62" s="339"/>
      <c r="AD62" s="339"/>
      <c r="AE62" s="339"/>
      <c r="AF62" s="339"/>
      <c r="AG62" s="339"/>
      <c r="AH62" s="339"/>
      <c r="AI62" s="339"/>
      <c r="AJ62" s="339"/>
      <c r="AK62" s="339"/>
      <c r="AL62" s="339"/>
      <c r="AM62" s="339"/>
      <c r="AN62" s="339"/>
      <c r="AO62" s="339"/>
      <c r="AP62" s="339"/>
      <c r="AQ62" s="339"/>
      <c r="AR62" s="339"/>
      <c r="AS62" s="339"/>
      <c r="AT62" s="339"/>
      <c r="AU62" s="339"/>
      <c r="AV62" s="339"/>
      <c r="AW62" s="339"/>
    </row>
    <row r="63" spans="2:49" ht="15.75">
      <c r="B63" s="49"/>
      <c r="C63" s="49"/>
      <c r="D63" s="83"/>
      <c r="E63" s="49"/>
      <c r="F63" s="929"/>
      <c r="G63" s="94"/>
      <c r="H63" s="83"/>
      <c r="I63" s="83"/>
      <c r="J63" s="83"/>
      <c r="K63" s="339"/>
      <c r="L63" s="339"/>
      <c r="M63" s="339"/>
      <c r="N63" s="49"/>
      <c r="O63" s="49"/>
      <c r="P63" s="83"/>
      <c r="Q63" s="49"/>
      <c r="R63" s="929"/>
      <c r="S63" s="94"/>
      <c r="T63" s="83"/>
      <c r="U63" s="83"/>
      <c r="V63" s="83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339"/>
      <c r="AJ63" s="339"/>
      <c r="AK63" s="339"/>
      <c r="AL63" s="339"/>
      <c r="AM63" s="339"/>
      <c r="AN63" s="339"/>
      <c r="AO63" s="339"/>
      <c r="AP63" s="339"/>
      <c r="AQ63" s="339"/>
      <c r="AR63" s="339"/>
      <c r="AS63" s="339"/>
      <c r="AT63" s="339"/>
      <c r="AU63" s="339"/>
      <c r="AV63" s="339"/>
      <c r="AW63" s="339"/>
    </row>
    <row r="64" spans="2:49" ht="15.75">
      <c r="B64" s="49"/>
      <c r="C64" s="49"/>
      <c r="D64" s="83"/>
      <c r="E64" s="49"/>
      <c r="F64" s="929"/>
      <c r="G64" s="94"/>
      <c r="H64" s="83"/>
      <c r="I64" s="83"/>
      <c r="J64" s="83"/>
      <c r="K64" s="339"/>
      <c r="L64" s="339"/>
      <c r="M64" s="339"/>
      <c r="N64" s="49"/>
      <c r="O64" s="49"/>
      <c r="P64" s="83"/>
      <c r="Q64" s="49"/>
      <c r="R64" s="929"/>
      <c r="S64" s="94"/>
      <c r="T64" s="83"/>
      <c r="U64" s="83"/>
      <c r="V64" s="83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339"/>
      <c r="AK64" s="339"/>
      <c r="AL64" s="339"/>
      <c r="AM64" s="339"/>
      <c r="AN64" s="339"/>
      <c r="AO64" s="339"/>
      <c r="AP64" s="339"/>
      <c r="AQ64" s="339"/>
      <c r="AR64" s="339"/>
      <c r="AS64" s="339"/>
      <c r="AT64" s="339"/>
      <c r="AU64" s="339"/>
      <c r="AV64" s="339"/>
      <c r="AW64" s="339"/>
    </row>
    <row r="65" spans="2:49" ht="15.75">
      <c r="B65" s="81"/>
      <c r="C65" s="81"/>
      <c r="D65" s="81"/>
      <c r="E65" s="81"/>
      <c r="F65" s="929"/>
      <c r="G65" s="94"/>
      <c r="H65" s="94"/>
      <c r="I65" s="94"/>
      <c r="J65" s="94"/>
      <c r="K65" s="339"/>
      <c r="L65" s="339"/>
      <c r="M65" s="339"/>
      <c r="N65" s="49"/>
      <c r="O65" s="49"/>
      <c r="P65" s="87"/>
      <c r="Q65" s="49"/>
      <c r="R65" s="929"/>
      <c r="S65" s="94"/>
      <c r="T65" s="83"/>
      <c r="U65" s="83"/>
      <c r="V65" s="83"/>
      <c r="W65" s="339"/>
      <c r="X65" s="339"/>
      <c r="Y65" s="339"/>
      <c r="Z65" s="339"/>
      <c r="AA65" s="339"/>
      <c r="AB65" s="339"/>
      <c r="AC65" s="339"/>
      <c r="AD65" s="339"/>
      <c r="AE65" s="339"/>
      <c r="AF65" s="339"/>
      <c r="AG65" s="339"/>
      <c r="AH65" s="339"/>
      <c r="AI65" s="339"/>
      <c r="AJ65" s="339"/>
      <c r="AK65" s="339"/>
      <c r="AL65" s="339"/>
      <c r="AM65" s="339"/>
      <c r="AN65" s="339"/>
      <c r="AO65" s="339"/>
      <c r="AP65" s="339"/>
      <c r="AQ65" s="339"/>
      <c r="AR65" s="339"/>
      <c r="AS65" s="339"/>
      <c r="AT65" s="339"/>
      <c r="AU65" s="339"/>
      <c r="AV65" s="339"/>
      <c r="AW65" s="339"/>
    </row>
    <row r="66" spans="2:49" ht="15.75">
      <c r="B66" s="49"/>
      <c r="C66" s="339"/>
      <c r="D66" s="339"/>
      <c r="E66" s="339"/>
      <c r="F66" s="339"/>
      <c r="G66" s="339"/>
      <c r="H66" s="339"/>
      <c r="I66" s="339"/>
      <c r="J66" s="339"/>
      <c r="K66" s="339"/>
      <c r="L66" s="339"/>
      <c r="M66" s="339"/>
      <c r="N66" s="81"/>
      <c r="O66" s="81"/>
      <c r="P66" s="81"/>
      <c r="Q66" s="81"/>
      <c r="R66" s="83"/>
      <c r="S66" s="94"/>
      <c r="T66" s="94"/>
      <c r="U66" s="94"/>
      <c r="V66" s="94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N66" s="339"/>
      <c r="AO66" s="339"/>
      <c r="AP66" s="339"/>
      <c r="AQ66" s="339"/>
      <c r="AR66" s="339"/>
      <c r="AS66" s="339"/>
      <c r="AT66" s="339"/>
      <c r="AU66" s="339"/>
      <c r="AV66" s="339"/>
      <c r="AW66" s="339"/>
    </row>
    <row r="67" spans="2:49" ht="15.75">
      <c r="B67" s="81"/>
      <c r="C67" s="49"/>
      <c r="D67" s="49"/>
      <c r="E67" s="49"/>
      <c r="F67" s="49"/>
      <c r="G67" s="928"/>
      <c r="H67" s="928"/>
      <c r="I67" s="928"/>
      <c r="J67" s="928"/>
      <c r="K67" s="339"/>
      <c r="L67" s="339"/>
      <c r="M67" s="339"/>
      <c r="N67" s="339"/>
      <c r="O67" s="339"/>
      <c r="P67" s="339"/>
      <c r="Q67" s="339"/>
      <c r="R67" s="339"/>
      <c r="S67" s="339"/>
      <c r="T67" s="339"/>
      <c r="U67" s="339"/>
      <c r="V67" s="339"/>
    </row>
    <row r="68" spans="2:49" ht="15.75">
      <c r="B68" s="49"/>
      <c r="C68" s="49"/>
      <c r="D68" s="83"/>
      <c r="E68" s="49"/>
      <c r="F68" s="929"/>
      <c r="G68" s="94"/>
      <c r="H68" s="83"/>
      <c r="I68" s="83"/>
      <c r="J68" s="83"/>
      <c r="K68" s="339"/>
      <c r="L68" s="339"/>
      <c r="M68" s="339"/>
      <c r="N68" s="339"/>
      <c r="O68" s="339"/>
      <c r="P68" s="339"/>
      <c r="Q68" s="339"/>
      <c r="R68" s="339"/>
      <c r="S68" s="339"/>
      <c r="T68" s="339"/>
      <c r="U68" s="339"/>
      <c r="V68" s="339"/>
    </row>
    <row r="69" spans="2:49" ht="15.75">
      <c r="B69" s="49"/>
      <c r="C69" s="49"/>
      <c r="D69" s="83"/>
      <c r="E69" s="49"/>
      <c r="F69" s="929"/>
      <c r="G69" s="94"/>
      <c r="H69" s="83"/>
      <c r="I69" s="83"/>
      <c r="J69" s="83"/>
      <c r="K69" s="339"/>
      <c r="L69" s="339"/>
      <c r="M69" s="339"/>
      <c r="N69" s="339"/>
      <c r="O69" s="339"/>
      <c r="P69" s="339"/>
      <c r="Q69" s="339"/>
      <c r="R69" s="339"/>
      <c r="S69" s="339"/>
      <c r="T69" s="339"/>
      <c r="U69" s="339"/>
      <c r="V69" s="339"/>
    </row>
    <row r="70" spans="2:49" ht="15.75">
      <c r="B70" s="49"/>
      <c r="C70" s="49"/>
      <c r="D70" s="83"/>
      <c r="E70" s="49"/>
      <c r="F70" s="929"/>
      <c r="G70" s="94"/>
      <c r="H70" s="83"/>
      <c r="I70" s="83"/>
      <c r="J70" s="83"/>
      <c r="K70" s="339"/>
      <c r="L70" s="339"/>
      <c r="M70" s="339"/>
      <c r="N70" s="49"/>
      <c r="O70" s="49"/>
      <c r="P70" s="49"/>
      <c r="Q70" s="49"/>
      <c r="R70" s="49"/>
      <c r="S70" s="49"/>
      <c r="T70" s="49"/>
      <c r="U70" s="49"/>
      <c r="V70" s="49"/>
    </row>
    <row r="71" spans="2:49" ht="15.75">
      <c r="B71" s="49"/>
      <c r="C71" s="49"/>
      <c r="D71" s="83"/>
      <c r="E71" s="49"/>
      <c r="F71" s="929"/>
      <c r="G71" s="94"/>
      <c r="H71" s="83"/>
      <c r="I71" s="83"/>
      <c r="J71" s="83"/>
      <c r="K71" s="339"/>
      <c r="L71" s="339"/>
      <c r="M71" s="339"/>
      <c r="N71" s="81"/>
      <c r="O71" s="49"/>
      <c r="P71" s="49"/>
      <c r="Q71" s="49"/>
      <c r="R71" s="49"/>
      <c r="S71" s="81"/>
      <c r="T71" s="928"/>
      <c r="U71" s="928"/>
      <c r="V71" s="928"/>
    </row>
    <row r="72" spans="2:49" ht="15.75">
      <c r="B72" s="49"/>
      <c r="C72" s="49"/>
      <c r="D72" s="83"/>
      <c r="E72" s="49"/>
      <c r="F72" s="929"/>
      <c r="G72" s="94"/>
      <c r="H72" s="83"/>
      <c r="I72" s="83"/>
      <c r="J72" s="83"/>
      <c r="K72" s="339"/>
      <c r="L72" s="339"/>
      <c r="M72" s="339"/>
      <c r="N72" s="49"/>
      <c r="O72" s="49"/>
      <c r="P72" s="83"/>
      <c r="Q72" s="49"/>
      <c r="R72" s="929"/>
      <c r="S72" s="94"/>
      <c r="T72" s="83"/>
      <c r="U72" s="83"/>
      <c r="V72" s="83"/>
    </row>
    <row r="73" spans="2:49" ht="15.75">
      <c r="B73" s="49"/>
      <c r="C73" s="49"/>
      <c r="D73" s="83"/>
      <c r="E73" s="49"/>
      <c r="F73" s="929"/>
      <c r="G73" s="94"/>
      <c r="H73" s="83"/>
      <c r="I73" s="83"/>
      <c r="J73" s="83"/>
      <c r="K73" s="339"/>
      <c r="L73" s="339"/>
      <c r="M73" s="339"/>
      <c r="N73" s="49"/>
      <c r="O73" s="49"/>
      <c r="P73" s="83"/>
      <c r="Q73" s="49"/>
      <c r="R73" s="929"/>
      <c r="S73" s="94"/>
      <c r="T73" s="83"/>
      <c r="U73" s="83"/>
      <c r="V73" s="83"/>
    </row>
    <row r="74" spans="2:49" ht="15.75">
      <c r="B74" s="49"/>
      <c r="C74" s="49"/>
      <c r="D74" s="87"/>
      <c r="E74" s="49"/>
      <c r="F74" s="929"/>
      <c r="G74" s="94"/>
      <c r="H74" s="83"/>
      <c r="I74" s="83"/>
      <c r="J74" s="83"/>
      <c r="K74" s="339"/>
      <c r="L74" s="339"/>
      <c r="M74" s="339"/>
      <c r="N74" s="49"/>
      <c r="O74" s="49"/>
      <c r="P74" s="83"/>
      <c r="Q74" s="49"/>
      <c r="R74" s="929"/>
      <c r="S74" s="94"/>
      <c r="T74" s="83"/>
      <c r="U74" s="83"/>
      <c r="V74" s="83"/>
    </row>
    <row r="75" spans="2:49" ht="15.75">
      <c r="B75" s="81"/>
      <c r="C75" s="81"/>
      <c r="D75" s="81"/>
      <c r="E75" s="81"/>
      <c r="F75" s="929"/>
      <c r="G75" s="94"/>
      <c r="H75" s="94"/>
      <c r="I75" s="94"/>
      <c r="J75" s="94"/>
      <c r="K75" s="339"/>
      <c r="L75" s="339"/>
      <c r="M75" s="339"/>
      <c r="N75" s="49"/>
      <c r="O75" s="49"/>
      <c r="P75" s="83"/>
      <c r="Q75" s="49"/>
      <c r="R75" s="929"/>
      <c r="S75" s="94"/>
      <c r="T75" s="83"/>
      <c r="U75" s="83"/>
      <c r="V75" s="83"/>
    </row>
    <row r="76" spans="2:49" ht="15.75">
      <c r="B76" s="339"/>
      <c r="C76" s="339"/>
      <c r="D76" s="339"/>
      <c r="E76" s="339"/>
      <c r="F76" s="339"/>
      <c r="G76" s="339"/>
      <c r="H76" s="339"/>
      <c r="I76" s="339"/>
      <c r="J76" s="339"/>
      <c r="K76" s="339"/>
      <c r="L76" s="339"/>
      <c r="M76" s="339"/>
      <c r="N76" s="49"/>
      <c r="O76" s="49"/>
      <c r="P76" s="83"/>
      <c r="Q76" s="49"/>
      <c r="R76" s="929"/>
      <c r="S76" s="94"/>
      <c r="T76" s="83"/>
      <c r="U76" s="83"/>
      <c r="V76" s="83"/>
    </row>
    <row r="77" spans="2:49" ht="15.75">
      <c r="B77" s="339"/>
      <c r="C77" s="339"/>
      <c r="D77" s="339"/>
      <c r="E77" s="339"/>
      <c r="F77" s="339"/>
      <c r="G77" s="339"/>
      <c r="H77" s="339"/>
      <c r="I77" s="339"/>
      <c r="J77" s="339"/>
      <c r="K77" s="339"/>
      <c r="L77" s="339"/>
      <c r="M77" s="339"/>
      <c r="N77" s="49"/>
      <c r="O77" s="49"/>
      <c r="P77" s="83"/>
      <c r="Q77" s="49"/>
      <c r="R77" s="929"/>
      <c r="S77" s="94"/>
      <c r="T77" s="83"/>
      <c r="U77" s="83"/>
      <c r="V77" s="83"/>
    </row>
    <row r="78" spans="2:49" ht="15.75">
      <c r="B78" s="339"/>
      <c r="C78" s="339"/>
      <c r="D78" s="339"/>
      <c r="E78" s="339"/>
      <c r="F78" s="339"/>
      <c r="G78" s="339"/>
      <c r="H78" s="339"/>
      <c r="I78" s="339"/>
      <c r="J78" s="339"/>
      <c r="K78" s="339"/>
      <c r="L78" s="339"/>
      <c r="M78" s="339"/>
      <c r="N78" s="49"/>
      <c r="O78" s="49"/>
      <c r="P78" s="87"/>
      <c r="Q78" s="49"/>
      <c r="R78" s="929"/>
      <c r="S78" s="94"/>
      <c r="T78" s="83"/>
      <c r="U78" s="83"/>
      <c r="V78" s="83"/>
    </row>
    <row r="79" spans="2:49" ht="15.75">
      <c r="B79" s="339"/>
      <c r="C79" s="339"/>
      <c r="D79" s="339"/>
      <c r="E79" s="339"/>
      <c r="F79" s="339"/>
      <c r="G79" s="339"/>
      <c r="H79" s="339"/>
      <c r="I79" s="339"/>
      <c r="J79" s="339"/>
      <c r="K79" s="339"/>
      <c r="L79" s="339"/>
      <c r="M79" s="339"/>
      <c r="N79" s="81"/>
      <c r="O79" s="81"/>
      <c r="P79" s="81"/>
      <c r="Q79" s="81"/>
      <c r="R79" s="83"/>
      <c r="S79" s="94"/>
      <c r="T79" s="94"/>
      <c r="U79" s="94"/>
      <c r="V79" s="94"/>
    </row>
  </sheetData>
  <pageMargins left="0.7" right="0.7" top="0.75" bottom="0.75" header="0.3" footer="0.3"/>
  <pageSetup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D19814-3E5D-45EB-BC29-13A71DD06BF3}">
  <dimension ref="A1:AC85"/>
  <sheetViews>
    <sheetView topLeftCell="A13" zoomScale="80" zoomScaleNormal="80" workbookViewId="0">
      <selection activeCell="M26" sqref="M26"/>
    </sheetView>
  </sheetViews>
  <sheetFormatPr defaultColWidth="8.85546875" defaultRowHeight="16.5"/>
  <cols>
    <col min="1" max="1" width="8.85546875" style="1"/>
    <col min="2" max="2" width="40.42578125" style="1" bestFit="1" customWidth="1"/>
    <col min="3" max="3" width="16.42578125" style="1" customWidth="1"/>
    <col min="4" max="4" width="13" style="1" customWidth="1"/>
    <col min="5" max="6" width="8.85546875" style="1"/>
    <col min="7" max="7" width="23.42578125" style="1" bestFit="1" customWidth="1"/>
    <col min="8" max="8" width="21.7109375" style="1" bestFit="1" customWidth="1"/>
    <col min="9" max="10" width="23.42578125" style="1" bestFit="1" customWidth="1"/>
    <col min="11" max="12" width="8.85546875" style="1"/>
    <col min="13" max="13" width="9.140625" style="1" bestFit="1" customWidth="1"/>
    <col min="14" max="14" width="32.42578125" style="1" customWidth="1"/>
    <col min="15" max="15" width="18" style="1" customWidth="1"/>
    <col min="16" max="16" width="16.85546875" style="1" customWidth="1"/>
    <col min="17" max="17" width="19.85546875" style="1" customWidth="1"/>
    <col min="18" max="18" width="13.7109375" style="1" customWidth="1"/>
    <col min="19" max="19" width="23.85546875" style="1" customWidth="1"/>
    <col min="20" max="20" width="10.28515625" style="1" bestFit="1" customWidth="1"/>
    <col min="21" max="21" width="8.85546875" style="1"/>
    <col min="22" max="23" width="9" style="1" bestFit="1" customWidth="1"/>
    <col min="24" max="25" width="15.7109375" style="1" bestFit="1" customWidth="1"/>
    <col min="26" max="16384" width="8.85546875" style="1"/>
  </cols>
  <sheetData>
    <row r="1" spans="1:29">
      <c r="A1" s="132" t="s">
        <v>250</v>
      </c>
      <c r="M1" s="584"/>
      <c r="N1" s="584"/>
      <c r="O1" s="584"/>
      <c r="P1" s="584"/>
      <c r="Q1" s="584"/>
      <c r="R1" s="584"/>
      <c r="S1" s="584"/>
      <c r="T1" s="584"/>
      <c r="U1" s="584"/>
      <c r="V1" s="584"/>
      <c r="W1" s="584"/>
      <c r="X1" s="584"/>
      <c r="Y1" s="584"/>
    </row>
    <row r="2" spans="1:29" ht="17.25" thickBot="1">
      <c r="M2" s="584"/>
      <c r="N2" s="5"/>
      <c r="O2" s="689"/>
      <c r="P2" s="689"/>
      <c r="Q2" s="689"/>
      <c r="R2" s="689"/>
      <c r="S2" s="689"/>
      <c r="T2" s="689"/>
      <c r="U2" s="689"/>
      <c r="V2" s="689"/>
      <c r="W2" s="689"/>
      <c r="X2" s="689"/>
      <c r="Y2" s="689"/>
      <c r="Z2" s="689"/>
      <c r="AA2" s="689"/>
      <c r="AB2" s="584"/>
      <c r="AC2" s="584"/>
    </row>
    <row r="3" spans="1:29" ht="17.25" thickBot="1">
      <c r="B3" s="551" t="s">
        <v>940</v>
      </c>
      <c r="C3" s="552"/>
      <c r="D3" s="552"/>
      <c r="E3" s="552"/>
      <c r="F3" s="552"/>
      <c r="G3" s="552"/>
      <c r="H3" s="552"/>
      <c r="I3" s="552"/>
      <c r="J3" s="553"/>
      <c r="M3" s="584"/>
      <c r="N3" s="5"/>
      <c r="O3" s="689"/>
      <c r="P3" s="689"/>
      <c r="Q3" s="584"/>
      <c r="R3" s="584"/>
      <c r="S3" s="584"/>
      <c r="T3" s="584"/>
      <c r="U3" s="584"/>
      <c r="V3" s="583"/>
      <c r="W3" s="583"/>
      <c r="X3" s="583"/>
      <c r="Y3" s="583"/>
      <c r="Z3" s="689"/>
      <c r="AA3" s="689"/>
      <c r="AB3" s="584"/>
      <c r="AC3" s="584"/>
    </row>
    <row r="4" spans="1:29">
      <c r="B4" s="574"/>
      <c r="C4" s="909"/>
      <c r="D4" s="910" t="s">
        <v>941</v>
      </c>
      <c r="E4" s="909"/>
      <c r="F4" s="911" t="s">
        <v>254</v>
      </c>
      <c r="G4" s="911" t="s">
        <v>255</v>
      </c>
      <c r="H4" s="911" t="s">
        <v>256</v>
      </c>
      <c r="I4" s="911" t="s">
        <v>257</v>
      </c>
      <c r="J4" s="576" t="s">
        <v>219</v>
      </c>
      <c r="M4" s="584"/>
      <c r="N4" s="5"/>
      <c r="O4" s="689"/>
      <c r="P4" s="689"/>
      <c r="Q4" s="903" t="s">
        <v>942</v>
      </c>
      <c r="R4" s="584"/>
      <c r="S4" s="584"/>
      <c r="T4" s="584"/>
      <c r="U4" s="584"/>
      <c r="V4" s="583"/>
      <c r="W4" s="583"/>
      <c r="X4" s="583"/>
      <c r="Y4" s="583"/>
      <c r="Z4" s="689"/>
      <c r="AA4" s="689"/>
      <c r="AB4" s="584"/>
      <c r="AC4" s="584"/>
    </row>
    <row r="5" spans="1:29">
      <c r="B5" s="565" t="s">
        <v>238</v>
      </c>
      <c r="J5" s="44"/>
      <c r="M5" s="584"/>
      <c r="N5" s="5"/>
      <c r="O5" s="689"/>
      <c r="P5" s="689"/>
      <c r="Q5" s="903"/>
      <c r="R5" s="584"/>
      <c r="S5" s="584">
        <f>S3</f>
        <v>0</v>
      </c>
      <c r="T5" s="584"/>
      <c r="U5" s="584"/>
      <c r="V5" s="583">
        <f>+$C$33*G33</f>
        <v>0</v>
      </c>
      <c r="W5" s="583">
        <f>+$C$33*H33</f>
        <v>0</v>
      </c>
      <c r="X5" s="583">
        <f>+$C$33*I33</f>
        <v>0</v>
      </c>
      <c r="Y5" s="583">
        <f>+SUM(V5:X5)</f>
        <v>0</v>
      </c>
      <c r="Z5" s="689"/>
      <c r="AA5" s="689"/>
      <c r="AB5" s="584"/>
      <c r="AC5" s="584"/>
    </row>
    <row r="6" spans="1:29">
      <c r="B6" s="29" t="s">
        <v>752</v>
      </c>
      <c r="D6" s="1" t="s">
        <v>943</v>
      </c>
      <c r="G6" s="12">
        <f t="shared" ref="G6:I7" si="0">+$C25*G25</f>
        <v>6750000</v>
      </c>
      <c r="H6" s="12">
        <f t="shared" si="0"/>
        <v>0</v>
      </c>
      <c r="I6" s="12">
        <f t="shared" si="0"/>
        <v>0</v>
      </c>
      <c r="J6" s="912">
        <f>+SUM(G6:I6)</f>
        <v>6750000</v>
      </c>
      <c r="M6" s="584"/>
      <c r="N6" s="584" t="s">
        <v>944</v>
      </c>
      <c r="O6" s="584"/>
      <c r="P6" s="584"/>
      <c r="Q6" s="903" t="s">
        <v>945</v>
      </c>
      <c r="R6" s="584"/>
      <c r="S6" s="584">
        <f>S4</f>
        <v>0</v>
      </c>
      <c r="T6" s="584"/>
      <c r="U6" s="584"/>
      <c r="V6" s="583">
        <f>+$R$38*V38</f>
        <v>0</v>
      </c>
      <c r="W6" s="583">
        <f>+$R$38*W38</f>
        <v>0</v>
      </c>
      <c r="X6" s="583">
        <f>+$R$38*X38</f>
        <v>0</v>
      </c>
      <c r="Y6" s="583">
        <f>+SUM(V6:X6)</f>
        <v>0</v>
      </c>
      <c r="Z6" s="584"/>
      <c r="AA6" s="584"/>
      <c r="AB6" s="584"/>
      <c r="AC6" s="584"/>
    </row>
    <row r="7" spans="1:29">
      <c r="B7" s="899" t="s">
        <v>946</v>
      </c>
      <c r="D7" s="1" t="s">
        <v>943</v>
      </c>
      <c r="G7" s="12">
        <f t="shared" si="0"/>
        <v>0</v>
      </c>
      <c r="H7" s="12">
        <f t="shared" si="0"/>
        <v>0</v>
      </c>
      <c r="I7" s="12">
        <f t="shared" si="0"/>
        <v>1017500</v>
      </c>
      <c r="J7" s="912">
        <f t="shared" ref="J7:J13" si="1">+SUM(G7:I7)</f>
        <v>1017500</v>
      </c>
      <c r="M7" s="584"/>
      <c r="N7" s="584" t="s">
        <v>947</v>
      </c>
      <c r="O7" s="584"/>
      <c r="P7" s="584"/>
      <c r="Q7" s="903" t="s">
        <v>948</v>
      </c>
      <c r="R7" s="584"/>
      <c r="S7" s="584">
        <f>S5</f>
        <v>0</v>
      </c>
      <c r="T7" s="584"/>
      <c r="U7" s="584"/>
      <c r="V7" s="583"/>
      <c r="W7" s="583"/>
      <c r="X7" s="583"/>
      <c r="Y7" s="583"/>
      <c r="Z7" s="584"/>
      <c r="AA7" s="584"/>
      <c r="AB7" s="584"/>
      <c r="AC7" s="584"/>
    </row>
    <row r="8" spans="1:29">
      <c r="B8" s="565" t="s">
        <v>239</v>
      </c>
      <c r="G8" s="583">
        <f>+$R29*V29</f>
        <v>0</v>
      </c>
      <c r="H8" s="583">
        <f>+$R29*W29</f>
        <v>0</v>
      </c>
      <c r="I8" s="583">
        <f>+$R29*X29</f>
        <v>0</v>
      </c>
      <c r="J8" s="913">
        <f t="shared" si="1"/>
        <v>0</v>
      </c>
      <c r="M8" s="584"/>
      <c r="N8" s="584" t="s">
        <v>949</v>
      </c>
      <c r="O8" s="584"/>
      <c r="P8" s="584"/>
      <c r="Q8" s="903" t="s">
        <v>942</v>
      </c>
      <c r="R8" s="584"/>
      <c r="S8" s="584">
        <f>S6</f>
        <v>0</v>
      </c>
      <c r="T8" s="584"/>
      <c r="U8" s="584"/>
      <c r="V8" s="583">
        <f>+$C$34*G34</f>
        <v>0</v>
      </c>
      <c r="W8" s="583">
        <f>+$C$34*H34</f>
        <v>0</v>
      </c>
      <c r="X8" s="583">
        <f>+$C$34*I34</f>
        <v>10820520</v>
      </c>
      <c r="Y8" s="583">
        <f>+SUM(V8:X8)</f>
        <v>10820520</v>
      </c>
      <c r="Z8" s="584"/>
      <c r="AA8" s="584"/>
      <c r="AB8" s="584"/>
      <c r="AC8" s="584"/>
    </row>
    <row r="9" spans="1:29">
      <c r="B9" s="581" t="s">
        <v>950</v>
      </c>
      <c r="D9" s="1" t="s">
        <v>943</v>
      </c>
      <c r="G9" s="12">
        <f>$C$28*G28</f>
        <v>0</v>
      </c>
      <c r="H9" s="12">
        <f>$C$28*H28</f>
        <v>1004224</v>
      </c>
      <c r="I9" s="12">
        <f>$C$28*I28</f>
        <v>892476</v>
      </c>
      <c r="J9" s="912">
        <f>SUM(H9:I9)</f>
        <v>1896700</v>
      </c>
      <c r="M9" s="584"/>
      <c r="N9" s="584"/>
      <c r="O9" s="584"/>
      <c r="P9" s="584"/>
      <c r="Q9" s="916"/>
      <c r="R9" s="584"/>
      <c r="S9" s="584"/>
      <c r="T9" s="584"/>
      <c r="U9" s="584"/>
      <c r="V9" s="583"/>
      <c r="W9" s="583"/>
      <c r="X9" s="583"/>
      <c r="Y9" s="583"/>
      <c r="Z9" s="584"/>
      <c r="AA9" s="584"/>
      <c r="AB9" s="584"/>
      <c r="AC9" s="584"/>
    </row>
    <row r="10" spans="1:29">
      <c r="B10" s="29" t="s">
        <v>951</v>
      </c>
      <c r="D10" s="1" t="s">
        <v>943</v>
      </c>
      <c r="G10" s="12">
        <f>$C$29*G29</f>
        <v>978500</v>
      </c>
      <c r="H10" s="12">
        <f>$C$29*H29</f>
        <v>0</v>
      </c>
      <c r="I10" s="12">
        <f>$C$29*I29</f>
        <v>0</v>
      </c>
      <c r="J10" s="912">
        <f t="shared" si="1"/>
        <v>978500</v>
      </c>
      <c r="M10" s="584"/>
      <c r="N10" s="584"/>
      <c r="O10" s="584"/>
      <c r="P10" s="584"/>
      <c r="Q10" s="901" t="s">
        <v>952</v>
      </c>
      <c r="R10" s="584"/>
      <c r="S10" s="584" t="s">
        <v>953</v>
      </c>
      <c r="T10" s="584"/>
      <c r="U10" s="584"/>
      <c r="V10" s="583">
        <f>+$C$62*G62</f>
        <v>0</v>
      </c>
      <c r="W10" s="583">
        <f>+$C$62*H62</f>
        <v>0</v>
      </c>
      <c r="X10" s="583">
        <f>+$C$62*I62</f>
        <v>0</v>
      </c>
      <c r="Y10" s="583">
        <f>+SUM(V10:X10)</f>
        <v>0</v>
      </c>
      <c r="Z10" s="584"/>
      <c r="AA10" s="584"/>
      <c r="AB10" s="584"/>
      <c r="AC10" s="584"/>
    </row>
    <row r="11" spans="1:29">
      <c r="B11" s="565" t="s">
        <v>954</v>
      </c>
      <c r="G11" s="12"/>
      <c r="H11" s="12"/>
      <c r="I11" s="12"/>
      <c r="J11" s="912"/>
      <c r="M11" s="584"/>
      <c r="N11" s="584"/>
      <c r="O11" s="584"/>
      <c r="P11" s="584"/>
      <c r="Q11" s="901"/>
      <c r="R11" s="584"/>
      <c r="S11" s="584"/>
      <c r="T11" s="584"/>
      <c r="U11" s="584"/>
      <c r="V11" s="583"/>
      <c r="W11" s="583"/>
      <c r="X11" s="583"/>
      <c r="Y11" s="583"/>
      <c r="Z11" s="584"/>
      <c r="AA11" s="584"/>
      <c r="AB11" s="584"/>
      <c r="AC11" s="584"/>
    </row>
    <row r="12" spans="1:29">
      <c r="B12" s="29" t="s">
        <v>955</v>
      </c>
      <c r="D12" s="1" t="s">
        <v>943</v>
      </c>
      <c r="G12" s="12">
        <f>$C$31*G31</f>
        <v>0</v>
      </c>
      <c r="H12" s="12">
        <f>$C$31*H31</f>
        <v>600320</v>
      </c>
      <c r="I12" s="12">
        <f>$C$31*I31</f>
        <v>775040</v>
      </c>
      <c r="J12" s="912">
        <f t="shared" si="1"/>
        <v>1375360</v>
      </c>
      <c r="M12" s="584"/>
      <c r="N12" s="582" t="s">
        <v>174</v>
      </c>
      <c r="O12" s="584"/>
      <c r="P12" s="584"/>
      <c r="Q12" s="901" t="s">
        <v>956</v>
      </c>
      <c r="R12" s="584"/>
      <c r="S12" s="584" t="s">
        <v>953</v>
      </c>
      <c r="T12" s="584"/>
      <c r="U12" s="584"/>
      <c r="V12" s="583"/>
      <c r="W12" s="583"/>
      <c r="X12" s="583"/>
      <c r="Y12" s="583"/>
      <c r="Z12" s="584"/>
      <c r="AA12" s="584"/>
      <c r="AB12" s="584"/>
      <c r="AC12" s="584"/>
    </row>
    <row r="13" spans="1:29">
      <c r="B13" s="29" t="s">
        <v>957</v>
      </c>
      <c r="D13" s="1" t="s">
        <v>943</v>
      </c>
      <c r="G13" s="12">
        <f>$C$32*G32</f>
        <v>617100</v>
      </c>
      <c r="H13" s="12">
        <f>$C$32*H32</f>
        <v>426140</v>
      </c>
      <c r="I13" s="12">
        <f>$C$32*I32</f>
        <v>0</v>
      </c>
      <c r="J13" s="912">
        <f t="shared" si="1"/>
        <v>1043240</v>
      </c>
      <c r="M13" s="584"/>
      <c r="N13" s="584" t="s">
        <v>958</v>
      </c>
      <c r="O13" s="584"/>
      <c r="P13" s="917">
        <v>6646.5</v>
      </c>
      <c r="Q13" s="901"/>
      <c r="R13" s="584"/>
      <c r="S13" s="584"/>
      <c r="T13" s="584"/>
      <c r="U13" s="584"/>
      <c r="V13" s="583"/>
      <c r="W13" s="583"/>
      <c r="X13" s="583"/>
      <c r="Y13" s="583"/>
      <c r="Z13" s="584"/>
      <c r="AA13" s="584"/>
      <c r="AB13" s="584"/>
      <c r="AC13" s="584"/>
    </row>
    <row r="14" spans="1:29">
      <c r="B14" s="565" t="s">
        <v>242</v>
      </c>
      <c r="G14" s="12"/>
      <c r="H14" s="12"/>
      <c r="I14" s="12"/>
      <c r="J14" s="912"/>
      <c r="M14" s="584"/>
      <c r="N14" s="584"/>
      <c r="O14" s="584"/>
      <c r="P14" s="917"/>
      <c r="Q14" s="901" t="s">
        <v>959</v>
      </c>
      <c r="R14" s="584"/>
      <c r="S14" s="584" t="s">
        <v>953</v>
      </c>
      <c r="T14" s="584"/>
      <c r="U14" s="584"/>
      <c r="V14" s="583"/>
      <c r="W14" s="583"/>
      <c r="X14" s="583"/>
      <c r="Y14" s="583"/>
      <c r="Z14" s="584"/>
      <c r="AA14" s="584"/>
      <c r="AB14" s="584"/>
      <c r="AC14" s="584"/>
    </row>
    <row r="15" spans="1:29">
      <c r="B15" s="30" t="s">
        <v>960</v>
      </c>
      <c r="D15" s="1" t="s">
        <v>943</v>
      </c>
      <c r="G15" s="12">
        <f>$C$34*G34</f>
        <v>0</v>
      </c>
      <c r="H15" s="12">
        <f>$C$34*H34</f>
        <v>0</v>
      </c>
      <c r="I15" s="12">
        <f>$C$34*I34</f>
        <v>10820520</v>
      </c>
      <c r="J15" s="912">
        <f>SUM(G15:I15)</f>
        <v>10820520</v>
      </c>
      <c r="M15" s="584"/>
      <c r="N15" s="584"/>
      <c r="O15" s="584"/>
      <c r="P15" s="917"/>
      <c r="Q15" s="901"/>
      <c r="R15" s="584"/>
      <c r="S15" s="584"/>
      <c r="T15" s="584"/>
      <c r="U15" s="584"/>
      <c r="V15" s="583"/>
      <c r="W15" s="583"/>
      <c r="X15" s="583"/>
      <c r="Y15" s="583"/>
      <c r="Z15" s="584"/>
      <c r="AA15" s="584"/>
      <c r="AB15" s="584"/>
      <c r="AC15" s="584"/>
    </row>
    <row r="16" spans="1:29">
      <c r="B16" s="30" t="s">
        <v>948</v>
      </c>
      <c r="D16" s="1" t="s">
        <v>943</v>
      </c>
      <c r="G16" s="12">
        <f>$C$35*G35</f>
        <v>869085</v>
      </c>
      <c r="H16" s="12">
        <f t="shared" ref="H16:I16" si="2">$C$35*H35</f>
        <v>0</v>
      </c>
      <c r="I16" s="12">
        <f t="shared" si="2"/>
        <v>0</v>
      </c>
      <c r="J16" s="912">
        <f t="shared" ref="J16:J17" si="3">SUM(G16:I16)</f>
        <v>869085</v>
      </c>
      <c r="M16" s="584"/>
      <c r="N16" s="584"/>
      <c r="O16" s="584"/>
      <c r="P16" s="917"/>
      <c r="Q16" s="901" t="s">
        <v>961</v>
      </c>
      <c r="R16" s="584"/>
      <c r="S16" s="584" t="s">
        <v>953</v>
      </c>
      <c r="T16" s="584"/>
      <c r="U16" s="584"/>
      <c r="V16" s="583">
        <f>+$C64*G64</f>
        <v>0</v>
      </c>
      <c r="W16" s="583">
        <f>+$C64*H64</f>
        <v>0</v>
      </c>
      <c r="X16" s="583">
        <f>+$C64*I64</f>
        <v>0</v>
      </c>
      <c r="Y16" s="583">
        <f>+SUM(V16:X16)</f>
        <v>0</v>
      </c>
      <c r="Z16" s="584"/>
      <c r="AA16" s="584"/>
      <c r="AB16" s="584"/>
      <c r="AC16" s="584"/>
    </row>
    <row r="17" spans="1:29">
      <c r="B17" s="30" t="s">
        <v>942</v>
      </c>
      <c r="D17" s="1" t="str">
        <f t="shared" ref="D17" si="4">D15</f>
        <v>TIF</v>
      </c>
      <c r="G17" s="12">
        <f>$C$36*G36</f>
        <v>10979750</v>
      </c>
      <c r="H17" s="12">
        <f t="shared" ref="H17:I17" si="5">$C$36*H36</f>
        <v>0</v>
      </c>
      <c r="I17" s="12">
        <f t="shared" si="5"/>
        <v>0</v>
      </c>
      <c r="J17" s="912">
        <f t="shared" si="3"/>
        <v>10979750</v>
      </c>
      <c r="M17" s="584"/>
      <c r="N17" s="584" t="s">
        <v>962</v>
      </c>
      <c r="O17" s="584"/>
      <c r="P17" s="917"/>
      <c r="Q17" s="903"/>
      <c r="R17" s="584"/>
      <c r="S17" s="584"/>
      <c r="T17" s="584"/>
      <c r="U17" s="584"/>
      <c r="V17" s="583"/>
      <c r="W17" s="583"/>
      <c r="X17" s="583"/>
      <c r="Y17" s="583"/>
      <c r="Z17" s="584"/>
      <c r="AA17" s="584"/>
      <c r="AB17" s="584"/>
      <c r="AC17" s="584"/>
    </row>
    <row r="18" spans="1:29">
      <c r="B18" s="899"/>
      <c r="J18" s="906"/>
      <c r="M18" s="584"/>
      <c r="N18" s="584"/>
      <c r="O18" s="584"/>
      <c r="P18" s="917"/>
      <c r="Q18" s="901" t="s">
        <v>963</v>
      </c>
      <c r="R18" s="584"/>
      <c r="S18" s="584"/>
      <c r="T18" s="584"/>
      <c r="U18" s="584"/>
      <c r="V18" s="583"/>
      <c r="W18" s="583"/>
      <c r="X18" s="583"/>
      <c r="Y18" s="583"/>
      <c r="Z18" s="584"/>
      <c r="AA18" s="584"/>
      <c r="AB18" s="584"/>
      <c r="AC18" s="584"/>
    </row>
    <row r="19" spans="1:29">
      <c r="B19" s="921" t="s">
        <v>964</v>
      </c>
      <c r="C19" s="919"/>
      <c r="D19" s="919" t="s">
        <v>943</v>
      </c>
      <c r="E19" s="919"/>
      <c r="F19" s="919"/>
      <c r="G19" s="920">
        <f>+SUMIF($D$6:$D$18,"="&amp;$D19,G$6:G$18)</f>
        <v>20194435</v>
      </c>
      <c r="H19" s="920">
        <f t="shared" ref="H19:I19" si="6">+SUMIF($D$6:$D$18,"="&amp;$D19,H$6:H$18)</f>
        <v>2030684</v>
      </c>
      <c r="I19" s="920">
        <f t="shared" si="6"/>
        <v>13505536</v>
      </c>
      <c r="J19" s="922">
        <f>+SUM(G19:I19)</f>
        <v>35730655</v>
      </c>
      <c r="M19" s="584"/>
      <c r="N19" s="584"/>
      <c r="O19" s="584"/>
      <c r="P19" s="917"/>
      <c r="Q19" s="905" t="s">
        <v>965</v>
      </c>
      <c r="R19" s="584"/>
      <c r="S19" s="584" t="s">
        <v>953</v>
      </c>
      <c r="T19" s="584"/>
      <c r="U19" s="584"/>
      <c r="V19" s="583">
        <f t="shared" ref="V19:X22" si="7">+$C66*G66</f>
        <v>0</v>
      </c>
      <c r="W19" s="583">
        <f t="shared" si="7"/>
        <v>0</v>
      </c>
      <c r="X19" s="583">
        <f t="shared" si="7"/>
        <v>0</v>
      </c>
      <c r="Y19" s="583">
        <f>+SUM(V19:X19)</f>
        <v>0</v>
      </c>
      <c r="Z19" s="584"/>
      <c r="AA19" s="584"/>
      <c r="AB19" s="584"/>
      <c r="AC19" s="584"/>
    </row>
    <row r="20" spans="1:29" ht="18" thickBot="1">
      <c r="B20" s="914" t="s">
        <v>966</v>
      </c>
      <c r="C20" s="915"/>
      <c r="D20" s="915"/>
      <c r="E20" s="915"/>
      <c r="F20" s="915"/>
      <c r="G20" s="45">
        <f t="shared" ref="G20:I20" si="8">SUM(G6:G17)</f>
        <v>20194435</v>
      </c>
      <c r="H20" s="45">
        <f t="shared" si="8"/>
        <v>2030684</v>
      </c>
      <c r="I20" s="45">
        <f t="shared" si="8"/>
        <v>13505536</v>
      </c>
      <c r="J20" s="46">
        <f>SUM(J6:J17)</f>
        <v>35730655</v>
      </c>
      <c r="M20" s="584"/>
      <c r="N20" s="584"/>
      <c r="O20" s="584"/>
      <c r="P20" s="917"/>
      <c r="Q20" s="905" t="s">
        <v>967</v>
      </c>
      <c r="R20" s="584"/>
      <c r="S20" s="584" t="s">
        <v>953</v>
      </c>
      <c r="T20" s="584"/>
      <c r="U20" s="584"/>
      <c r="V20" s="583">
        <f t="shared" si="7"/>
        <v>0</v>
      </c>
      <c r="W20" s="583">
        <f t="shared" si="7"/>
        <v>0</v>
      </c>
      <c r="X20" s="583">
        <f t="shared" si="7"/>
        <v>0</v>
      </c>
      <c r="Y20" s="583">
        <f>+SUM(V20:X20)</f>
        <v>0</v>
      </c>
      <c r="Z20" s="584"/>
      <c r="AA20" s="584"/>
      <c r="AB20" s="584"/>
      <c r="AC20" s="584"/>
    </row>
    <row r="21" spans="1:29" ht="17.25" thickBot="1">
      <c r="B21" s="47"/>
      <c r="C21" s="47"/>
      <c r="D21" s="47"/>
      <c r="E21" s="47"/>
      <c r="F21" s="47"/>
      <c r="G21" s="47"/>
      <c r="H21" s="47"/>
      <c r="I21" s="47"/>
      <c r="J21" s="47"/>
      <c r="M21" s="584"/>
      <c r="N21" s="584"/>
      <c r="O21" s="584"/>
      <c r="P21" s="917"/>
      <c r="Q21" s="905" t="s">
        <v>968</v>
      </c>
      <c r="R21" s="584"/>
      <c r="S21" s="584" t="s">
        <v>953</v>
      </c>
      <c r="T21" s="584"/>
      <c r="U21" s="584"/>
      <c r="V21" s="583">
        <f t="shared" si="7"/>
        <v>0</v>
      </c>
      <c r="W21" s="583">
        <f t="shared" si="7"/>
        <v>0</v>
      </c>
      <c r="X21" s="583">
        <f t="shared" si="7"/>
        <v>0</v>
      </c>
      <c r="Y21" s="583">
        <f>+SUM(V21:X21)</f>
        <v>0</v>
      </c>
      <c r="Z21" s="584"/>
      <c r="AA21" s="584"/>
      <c r="AB21" s="584"/>
      <c r="AC21" s="584"/>
    </row>
    <row r="22" spans="1:29" ht="17.25" thickBot="1">
      <c r="B22" s="551" t="s">
        <v>969</v>
      </c>
      <c r="C22" s="552"/>
      <c r="D22" s="552"/>
      <c r="E22" s="552"/>
      <c r="F22" s="552"/>
      <c r="G22" s="552"/>
      <c r="H22" s="552"/>
      <c r="I22" s="552"/>
      <c r="J22" s="553"/>
      <c r="M22" s="584"/>
      <c r="N22" s="584"/>
      <c r="O22" s="584"/>
      <c r="P22" s="917"/>
      <c r="Q22" s="905" t="s">
        <v>970</v>
      </c>
      <c r="R22" s="584"/>
      <c r="S22" s="584" t="s">
        <v>953</v>
      </c>
      <c r="T22" s="584"/>
      <c r="U22" s="584"/>
      <c r="V22" s="583">
        <f t="shared" si="7"/>
        <v>0</v>
      </c>
      <c r="W22" s="583">
        <f t="shared" si="7"/>
        <v>0</v>
      </c>
      <c r="X22" s="583">
        <f t="shared" si="7"/>
        <v>0</v>
      </c>
      <c r="Y22" s="583">
        <f>+SUM(V22:X22)</f>
        <v>0</v>
      </c>
      <c r="Z22" s="584"/>
      <c r="AA22" s="584"/>
      <c r="AB22" s="584"/>
      <c r="AC22" s="584"/>
    </row>
    <row r="23" spans="1:29">
      <c r="B23" s="574"/>
      <c r="C23" s="575" t="s">
        <v>971</v>
      </c>
      <c r="D23" s="575" t="s">
        <v>789</v>
      </c>
      <c r="E23" s="575"/>
      <c r="F23" s="575" t="s">
        <v>254</v>
      </c>
      <c r="G23" s="575" t="s">
        <v>255</v>
      </c>
      <c r="H23" s="575" t="s">
        <v>256</v>
      </c>
      <c r="I23" s="575" t="s">
        <v>257</v>
      </c>
      <c r="J23" s="576" t="s">
        <v>219</v>
      </c>
      <c r="M23" s="584"/>
      <c r="N23" s="584"/>
      <c r="O23" s="584"/>
      <c r="P23" s="917"/>
      <c r="Q23" s="918" t="s">
        <v>146</v>
      </c>
      <c r="R23" s="584"/>
      <c r="S23" s="584" t="s">
        <v>953</v>
      </c>
      <c r="T23" s="584"/>
      <c r="U23" s="584"/>
      <c r="V23" s="583" t="e">
        <f>+#REF!*#REF!</f>
        <v>#REF!</v>
      </c>
      <c r="W23" s="583" t="e">
        <f>+#REF!*#REF!</f>
        <v>#REF!</v>
      </c>
      <c r="X23" s="583" t="e">
        <f>+#REF!*#REF!</f>
        <v>#REF!</v>
      </c>
      <c r="Y23" s="583" t="e">
        <f>+SUM(V23:X23)</f>
        <v>#REF!</v>
      </c>
      <c r="Z23" s="584"/>
      <c r="AA23" s="584"/>
      <c r="AB23" s="584"/>
      <c r="AC23" s="584"/>
    </row>
    <row r="24" spans="1:29">
      <c r="B24" s="565" t="s">
        <v>238</v>
      </c>
      <c r="C24" s="577"/>
      <c r="D24" s="577"/>
      <c r="E24" s="577"/>
      <c r="F24" s="577"/>
      <c r="G24" s="580"/>
      <c r="H24" s="580"/>
      <c r="I24" s="580"/>
      <c r="J24" s="43"/>
      <c r="M24" s="584"/>
      <c r="N24" s="584"/>
      <c r="O24" s="584"/>
      <c r="P24" s="917"/>
      <c r="Q24" s="584"/>
      <c r="R24" s="584"/>
      <c r="S24" s="584"/>
      <c r="T24" s="584"/>
      <c r="U24" s="584"/>
      <c r="V24" s="584"/>
      <c r="W24" s="584"/>
      <c r="X24" s="584"/>
      <c r="Y24" s="584"/>
      <c r="Z24" s="584"/>
      <c r="AA24" s="584"/>
      <c r="AB24" s="584"/>
      <c r="AC24" s="584"/>
    </row>
    <row r="25" spans="1:29">
      <c r="B25" s="29" t="s">
        <v>752</v>
      </c>
      <c r="C25" s="578">
        <v>225</v>
      </c>
      <c r="D25" s="579" t="s">
        <v>409</v>
      </c>
      <c r="E25" s="579"/>
      <c r="F25" s="579"/>
      <c r="G25" s="580">
        <v>30000</v>
      </c>
      <c r="H25" s="580">
        <v>0</v>
      </c>
      <c r="I25" s="580">
        <v>0</v>
      </c>
      <c r="J25" s="44">
        <f>SUM(G25:I25)</f>
        <v>30000</v>
      </c>
      <c r="M25" s="584"/>
      <c r="N25" s="584"/>
      <c r="O25" s="584"/>
      <c r="P25" s="917"/>
      <c r="Q25" s="903"/>
      <c r="R25" s="882"/>
      <c r="S25" s="883"/>
      <c r="T25" s="883"/>
      <c r="U25" s="883"/>
      <c r="V25" s="897">
        <v>0</v>
      </c>
      <c r="W25" s="897">
        <v>0</v>
      </c>
      <c r="X25" s="897">
        <v>0</v>
      </c>
      <c r="Y25" s="902"/>
      <c r="Z25" s="584"/>
      <c r="AA25" s="584"/>
      <c r="AB25" s="584"/>
      <c r="AC25" s="584"/>
    </row>
    <row r="26" spans="1:29">
      <c r="B26" s="899" t="s">
        <v>946</v>
      </c>
      <c r="C26" s="578">
        <v>185</v>
      </c>
      <c r="D26" s="579" t="s">
        <v>409</v>
      </c>
      <c r="E26" s="579"/>
      <c r="F26" s="579"/>
      <c r="G26" s="580">
        <v>0</v>
      </c>
      <c r="H26" s="580">
        <v>0</v>
      </c>
      <c r="I26" s="580">
        <v>5500</v>
      </c>
      <c r="J26" s="44">
        <f t="shared" ref="J26" si="9">SUM(G26:I26)</f>
        <v>5500</v>
      </c>
      <c r="M26" s="584"/>
      <c r="N26" s="584"/>
      <c r="O26" s="584" t="str">
        <f>+'SF by Building'!Q86</f>
        <v>Park/open space</v>
      </c>
      <c r="P26" s="584" t="str">
        <f>+'SF by Building'!R86</f>
        <v>Occupiable Roof</v>
      </c>
      <c r="Q26" s="584" t="str">
        <f>+'SF by Building'!S86</f>
        <v>Green Roof</v>
      </c>
      <c r="R26" s="584"/>
      <c r="S26" s="584"/>
      <c r="T26" s="584"/>
      <c r="U26" s="584"/>
      <c r="V26" s="584"/>
      <c r="W26" s="584"/>
      <c r="X26" s="584"/>
      <c r="Y26" s="584"/>
      <c r="Z26" s="584"/>
      <c r="AA26" s="584"/>
      <c r="AB26" s="584"/>
      <c r="AC26" s="584"/>
    </row>
    <row r="27" spans="1:29">
      <c r="B27" s="565" t="s">
        <v>239</v>
      </c>
      <c r="C27" s="578"/>
      <c r="D27" s="579"/>
      <c r="E27" s="579"/>
      <c r="F27" s="579"/>
      <c r="G27" s="580"/>
      <c r="H27" s="580"/>
      <c r="I27" s="580"/>
      <c r="J27" s="906"/>
      <c r="M27" s="584"/>
      <c r="N27" s="584" t="str">
        <f>+'SF by Building'!P87</f>
        <v xml:space="preserve">Total </v>
      </c>
      <c r="O27" s="652">
        <f>+'SF by Building'!Q87</f>
        <v>121962</v>
      </c>
      <c r="P27" s="652">
        <f>+'SF by Building'!R87</f>
        <v>97961</v>
      </c>
      <c r="Q27" s="652">
        <f>+'SF by Building'!S87</f>
        <v>98619</v>
      </c>
      <c r="R27" s="584"/>
      <c r="S27" s="584"/>
      <c r="T27" s="584"/>
      <c r="U27" s="584"/>
      <c r="V27" s="584"/>
      <c r="W27" s="584"/>
      <c r="X27" s="584"/>
      <c r="Y27" s="584"/>
      <c r="Z27" s="584"/>
      <c r="AA27" s="584"/>
      <c r="AB27" s="584"/>
      <c r="AC27" s="584"/>
    </row>
    <row r="28" spans="1:29">
      <c r="A28" s="1" t="s">
        <v>511</v>
      </c>
      <c r="B28" s="581" t="s">
        <v>950</v>
      </c>
      <c r="C28" s="578">
        <v>26</v>
      </c>
      <c r="D28" s="579" t="s">
        <v>409</v>
      </c>
      <c r="E28" s="579"/>
      <c r="F28" s="579"/>
      <c r="G28" s="580">
        <v>0</v>
      </c>
      <c r="H28" s="580">
        <v>38624</v>
      </c>
      <c r="I28" s="580">
        <v>34326</v>
      </c>
      <c r="J28" s="44">
        <f>SUM(G28:I28)</f>
        <v>72950</v>
      </c>
      <c r="M28" s="584"/>
      <c r="N28" s="584" t="str">
        <f>+'SF by Building'!P88</f>
        <v>Phase I</v>
      </c>
      <c r="O28" s="652">
        <f>+'SF by Building'!Q88</f>
        <v>63413</v>
      </c>
      <c r="P28" s="652">
        <f>+'SF by Building'!R88</f>
        <v>78059</v>
      </c>
      <c r="Q28" s="905" t="s">
        <v>972</v>
      </c>
      <c r="R28" s="882">
        <f>25%*C25</f>
        <v>56.25</v>
      </c>
      <c r="S28" s="883" t="s">
        <v>409</v>
      </c>
      <c r="T28" s="883"/>
      <c r="U28" s="883"/>
      <c r="V28" s="897">
        <v>0</v>
      </c>
      <c r="W28" s="897">
        <v>0</v>
      </c>
      <c r="X28" s="897">
        <v>0</v>
      </c>
      <c r="Y28" s="902">
        <f>SUM(V28:X28)</f>
        <v>0</v>
      </c>
      <c r="Z28" s="584"/>
      <c r="AA28" s="584"/>
      <c r="AB28" s="584"/>
      <c r="AC28" s="584"/>
    </row>
    <row r="29" spans="1:29">
      <c r="B29" s="29" t="s">
        <v>951</v>
      </c>
      <c r="C29" s="578">
        <v>19</v>
      </c>
      <c r="D29" s="579" t="s">
        <v>409</v>
      </c>
      <c r="E29" s="579"/>
      <c r="F29" s="579"/>
      <c r="G29" s="580">
        <v>51500</v>
      </c>
      <c r="H29" s="580">
        <v>0</v>
      </c>
      <c r="I29" s="580">
        <v>0</v>
      </c>
      <c r="J29" s="44">
        <f t="shared" ref="J29" si="10">SUM(G29:I29)</f>
        <v>51500</v>
      </c>
      <c r="M29" s="584"/>
      <c r="N29" s="584" t="str">
        <f>+'SF by Building'!P89</f>
        <v>Phase II</v>
      </c>
      <c r="O29" s="652">
        <f>+'SF by Building'!Q89</f>
        <v>34455</v>
      </c>
      <c r="P29" s="652">
        <f>+'SF by Building'!R89</f>
        <v>47151</v>
      </c>
      <c r="Q29" s="905" t="s">
        <v>973</v>
      </c>
      <c r="R29" s="882">
        <v>10</v>
      </c>
      <c r="S29" s="883" t="s">
        <v>409</v>
      </c>
      <c r="T29" s="883"/>
      <c r="U29" s="883"/>
      <c r="V29" s="897">
        <v>0</v>
      </c>
      <c r="W29" s="897">
        <v>0</v>
      </c>
      <c r="X29" s="897">
        <v>0</v>
      </c>
      <c r="Y29" s="902">
        <f>SUM(V29:X29)</f>
        <v>0</v>
      </c>
      <c r="Z29" s="584"/>
      <c r="AA29" s="584"/>
      <c r="AB29" s="584"/>
      <c r="AC29" s="584"/>
    </row>
    <row r="30" spans="1:29">
      <c r="B30" s="565" t="s">
        <v>954</v>
      </c>
      <c r="C30" s="578"/>
      <c r="D30" s="579"/>
      <c r="E30" s="579"/>
      <c r="F30" s="579"/>
      <c r="G30" s="897">
        <v>0</v>
      </c>
      <c r="H30" s="897">
        <v>0</v>
      </c>
      <c r="I30" s="897">
        <v>0</v>
      </c>
      <c r="J30" s="884">
        <f>+SUM(G30:I30)</f>
        <v>0</v>
      </c>
      <c r="M30" s="584"/>
      <c r="N30" s="584" t="str">
        <f>+'SF by Building'!P90</f>
        <v>Phase III</v>
      </c>
      <c r="O30" s="652">
        <f>+'SF by Building'!Q90</f>
        <v>24094</v>
      </c>
      <c r="P30" s="652">
        <f>+'SF by Building'!R90</f>
        <v>21351</v>
      </c>
      <c r="Q30" s="652">
        <f>+'SF by Building'!S90</f>
        <v>15354</v>
      </c>
      <c r="R30" s="584"/>
      <c r="S30" s="584"/>
      <c r="T30" s="584"/>
      <c r="U30" s="584"/>
      <c r="V30" s="584"/>
      <c r="W30" s="584"/>
      <c r="X30" s="584"/>
      <c r="Y30" s="584"/>
      <c r="Z30" s="584"/>
      <c r="AA30" s="584"/>
      <c r="AB30" s="584"/>
      <c r="AC30" s="584"/>
    </row>
    <row r="31" spans="1:29">
      <c r="B31" s="29" t="s">
        <v>955</v>
      </c>
      <c r="C31" s="578">
        <v>28</v>
      </c>
      <c r="D31" s="579" t="s">
        <v>409</v>
      </c>
      <c r="E31" s="579"/>
      <c r="F31" s="579"/>
      <c r="G31" s="580">
        <v>0</v>
      </c>
      <c r="H31" s="580">
        <v>21440</v>
      </c>
      <c r="I31" s="580">
        <v>27680</v>
      </c>
      <c r="J31" s="908">
        <f>+SUM(G31:I31)</f>
        <v>49120</v>
      </c>
      <c r="M31" s="584"/>
      <c r="N31" s="652"/>
      <c r="O31" s="584"/>
      <c r="P31" s="584"/>
      <c r="Q31" s="905" t="s">
        <v>974</v>
      </c>
      <c r="R31" s="882">
        <v>16</v>
      </c>
      <c r="S31" s="883" t="s">
        <v>409</v>
      </c>
      <c r="T31" s="883"/>
      <c r="U31" s="883"/>
      <c r="V31" s="897">
        <v>0</v>
      </c>
      <c r="W31" s="897">
        <v>0</v>
      </c>
      <c r="X31" s="897">
        <v>0</v>
      </c>
      <c r="Y31" s="902">
        <f>SUM(V31:X31)</f>
        <v>0</v>
      </c>
      <c r="Z31" s="584"/>
      <c r="AA31" s="584"/>
      <c r="AB31" s="584"/>
      <c r="AC31" s="584"/>
    </row>
    <row r="32" spans="1:29">
      <c r="B32" s="29" t="s">
        <v>957</v>
      </c>
      <c r="C32" s="578">
        <v>22</v>
      </c>
      <c r="D32" s="579" t="s">
        <v>409</v>
      </c>
      <c r="E32" s="579"/>
      <c r="F32" s="579"/>
      <c r="G32" s="580">
        <v>28050</v>
      </c>
      <c r="H32" s="580">
        <v>19370</v>
      </c>
      <c r="I32" s="580">
        <v>0</v>
      </c>
      <c r="J32" s="908">
        <f>SUM(G32:I32)</f>
        <v>47420</v>
      </c>
      <c r="M32" s="653">
        <v>0.5</v>
      </c>
      <c r="N32" s="584" t="s">
        <v>975</v>
      </c>
      <c r="O32" s="652">
        <f>+M32*O28</f>
        <v>31706.5</v>
      </c>
      <c r="P32" s="584"/>
      <c r="Q32" s="916" t="s">
        <v>976</v>
      </c>
      <c r="R32" s="882">
        <v>9</v>
      </c>
      <c r="S32" s="883" t="s">
        <v>409</v>
      </c>
      <c r="T32" s="883"/>
      <c r="U32" s="883"/>
      <c r="V32" s="897">
        <v>0</v>
      </c>
      <c r="W32" s="897">
        <v>0</v>
      </c>
      <c r="X32" s="897">
        <v>0</v>
      </c>
      <c r="Y32" s="902">
        <f>SUM(V32:X32)</f>
        <v>0</v>
      </c>
      <c r="Z32" s="584"/>
      <c r="AA32" s="584"/>
      <c r="AB32" s="584"/>
      <c r="AC32" s="584"/>
    </row>
    <row r="33" spans="2:29">
      <c r="B33" s="565" t="s">
        <v>242</v>
      </c>
      <c r="C33" s="578"/>
      <c r="D33" s="579"/>
      <c r="E33" s="579"/>
      <c r="F33" s="579"/>
      <c r="G33" s="580"/>
      <c r="H33" s="580"/>
      <c r="I33" s="580"/>
      <c r="J33" s="908"/>
      <c r="M33" s="653">
        <v>0.5</v>
      </c>
      <c r="N33" s="584" t="s">
        <v>977</v>
      </c>
      <c r="O33" s="652">
        <f t="shared" ref="O33:O34" si="11">+M33*O29</f>
        <v>17227.5</v>
      </c>
      <c r="P33" s="584"/>
      <c r="Q33" s="916" t="s">
        <v>978</v>
      </c>
      <c r="R33" s="882">
        <v>14</v>
      </c>
      <c r="S33" s="883" t="s">
        <v>409</v>
      </c>
      <c r="T33" s="883"/>
      <c r="U33" s="883"/>
      <c r="V33" s="897">
        <v>0</v>
      </c>
      <c r="W33" s="897">
        <v>0</v>
      </c>
      <c r="X33" s="897">
        <v>0</v>
      </c>
      <c r="Y33" s="902">
        <f>SUM(V33:X33)</f>
        <v>0</v>
      </c>
      <c r="Z33" s="584"/>
      <c r="AA33" s="584"/>
      <c r="AB33" s="584"/>
      <c r="AC33" s="584"/>
    </row>
    <row r="34" spans="2:29">
      <c r="B34" s="30" t="s">
        <v>960</v>
      </c>
      <c r="C34" s="578">
        <v>180</v>
      </c>
      <c r="D34" s="579" t="s">
        <v>409</v>
      </c>
      <c r="E34" s="579"/>
      <c r="F34" s="579"/>
      <c r="G34" s="580">
        <v>0</v>
      </c>
      <c r="H34" s="580">
        <v>0</v>
      </c>
      <c r="I34" s="580">
        <v>60114</v>
      </c>
      <c r="J34" s="908">
        <f>+SUM(G34:I34)</f>
        <v>60114</v>
      </c>
      <c r="M34" s="653">
        <v>0.5</v>
      </c>
      <c r="N34" s="584" t="s">
        <v>979</v>
      </c>
      <c r="O34" s="652">
        <f t="shared" si="11"/>
        <v>12047</v>
      </c>
      <c r="P34" s="584"/>
      <c r="Q34" s="584">
        <f>P30/2</f>
        <v>10675.5</v>
      </c>
      <c r="R34" s="584"/>
      <c r="S34" s="584"/>
      <c r="T34" s="584"/>
      <c r="U34" s="584"/>
      <c r="V34" s="584"/>
      <c r="W34" s="584"/>
      <c r="X34" s="584"/>
      <c r="Y34" s="584"/>
      <c r="Z34" s="584"/>
      <c r="AA34" s="584"/>
      <c r="AB34" s="584"/>
      <c r="AC34" s="584"/>
    </row>
    <row r="35" spans="2:29">
      <c r="B35" s="30" t="s">
        <v>948</v>
      </c>
      <c r="C35" s="578">
        <v>45</v>
      </c>
      <c r="D35" s="579" t="s">
        <v>409</v>
      </c>
      <c r="E35" s="579"/>
      <c r="F35" s="579"/>
      <c r="G35" s="580">
        <v>19313</v>
      </c>
      <c r="H35" s="580">
        <v>0</v>
      </c>
      <c r="I35" s="580">
        <v>0</v>
      </c>
      <c r="J35" s="908">
        <f t="shared" ref="J35:J36" si="12">+SUM(G35:I35)</f>
        <v>19313</v>
      </c>
      <c r="M35" s="584"/>
      <c r="N35" s="584"/>
      <c r="O35" s="584"/>
      <c r="P35" s="584"/>
      <c r="Q35" s="905" t="s">
        <v>980</v>
      </c>
      <c r="R35" s="882"/>
      <c r="S35" s="883"/>
      <c r="T35" s="883"/>
      <c r="U35" s="883"/>
      <c r="V35" s="897">
        <v>0</v>
      </c>
      <c r="W35" s="897">
        <v>0</v>
      </c>
      <c r="X35" s="897">
        <v>0</v>
      </c>
      <c r="Y35" s="902"/>
      <c r="Z35" s="584"/>
      <c r="AA35" s="584"/>
      <c r="AB35" s="584"/>
      <c r="AC35" s="584"/>
    </row>
    <row r="36" spans="2:29">
      <c r="B36" s="30" t="s">
        <v>942</v>
      </c>
      <c r="C36" s="578">
        <v>125</v>
      </c>
      <c r="D36" s="579" t="s">
        <v>409</v>
      </c>
      <c r="E36" s="579"/>
      <c r="F36" s="579"/>
      <c r="G36" s="580">
        <v>87838</v>
      </c>
      <c r="H36" s="580">
        <v>0</v>
      </c>
      <c r="I36" s="580">
        <v>0</v>
      </c>
      <c r="J36" s="908">
        <f t="shared" si="12"/>
        <v>87838</v>
      </c>
      <c r="M36" s="584"/>
      <c r="N36" s="584"/>
      <c r="O36" s="584"/>
      <c r="P36" s="584"/>
      <c r="Q36" s="584"/>
      <c r="R36" s="584"/>
      <c r="S36" s="584"/>
      <c r="T36" s="584"/>
      <c r="U36" s="584"/>
      <c r="V36" s="584"/>
      <c r="W36" s="584"/>
      <c r="X36" s="584"/>
      <c r="Y36" s="584"/>
      <c r="Z36" s="584"/>
      <c r="AA36" s="584"/>
      <c r="AB36" s="584"/>
      <c r="AC36" s="584"/>
    </row>
    <row r="37" spans="2:29" ht="17.25" thickBot="1">
      <c r="B37" s="656"/>
      <c r="C37" s="654"/>
      <c r="D37" s="655"/>
      <c r="E37" s="655"/>
      <c r="F37" s="655"/>
      <c r="G37" s="907"/>
      <c r="H37" s="907"/>
      <c r="I37" s="907"/>
      <c r="J37" s="900"/>
      <c r="M37" s="584"/>
      <c r="N37" s="584" t="s">
        <v>981</v>
      </c>
      <c r="O37" s="584" t="s">
        <v>976</v>
      </c>
      <c r="P37" s="584"/>
      <c r="Q37" s="584"/>
      <c r="R37" s="584"/>
      <c r="S37" s="584"/>
      <c r="T37" s="584"/>
      <c r="U37" s="584"/>
      <c r="V37" s="584"/>
      <c r="W37" s="584"/>
      <c r="X37" s="584"/>
      <c r="Y37" s="584"/>
      <c r="Z37" s="584"/>
      <c r="AA37" s="584"/>
      <c r="AB37" s="584"/>
      <c r="AC37" s="584"/>
    </row>
    <row r="38" spans="2:29">
      <c r="M38" s="584"/>
      <c r="N38" s="584" t="s">
        <v>982</v>
      </c>
      <c r="O38" s="584"/>
      <c r="P38" s="584"/>
      <c r="Q38" s="905" t="s">
        <v>983</v>
      </c>
      <c r="R38" s="882">
        <v>40</v>
      </c>
      <c r="S38" s="883" t="s">
        <v>409</v>
      </c>
      <c r="T38" s="883"/>
      <c r="U38" s="883"/>
      <c r="V38" s="897">
        <v>0</v>
      </c>
      <c r="W38" s="897">
        <v>0</v>
      </c>
      <c r="X38" s="897">
        <v>0</v>
      </c>
      <c r="Y38" s="902">
        <f>+SUM(V38:X38)</f>
        <v>0</v>
      </c>
      <c r="Z38" s="584"/>
      <c r="AA38" s="584"/>
      <c r="AB38" s="584"/>
      <c r="AC38" s="584"/>
    </row>
    <row r="39" spans="2:29">
      <c r="M39" s="584"/>
      <c r="N39" s="584" t="s">
        <v>984</v>
      </c>
      <c r="O39" s="584"/>
      <c r="P39" s="584"/>
      <c r="Q39" s="584"/>
      <c r="R39" s="584"/>
      <c r="S39" s="584"/>
      <c r="T39" s="584"/>
      <c r="U39" s="584"/>
      <c r="V39" s="584"/>
      <c r="W39" s="584"/>
      <c r="X39" s="584"/>
      <c r="Y39" s="584"/>
      <c r="Z39" s="584"/>
      <c r="AA39" s="584"/>
      <c r="AB39" s="584"/>
      <c r="AC39" s="584"/>
    </row>
    <row r="40" spans="2:29">
      <c r="M40" s="584"/>
      <c r="N40" s="584"/>
      <c r="O40" s="584"/>
      <c r="P40" s="584"/>
      <c r="Q40" s="584"/>
      <c r="R40" s="584"/>
      <c r="S40" s="584"/>
      <c r="T40" s="584"/>
      <c r="U40" s="584"/>
      <c r="V40" s="584"/>
      <c r="W40" s="584"/>
      <c r="X40" s="584"/>
      <c r="Y40" s="584"/>
      <c r="Z40" s="584"/>
      <c r="AA40" s="584"/>
      <c r="AB40" s="584"/>
      <c r="AC40" s="584"/>
    </row>
    <row r="41" spans="2:29">
      <c r="M41" s="584"/>
      <c r="N41" s="584"/>
      <c r="O41" s="584"/>
      <c r="P41" s="584"/>
      <c r="Q41" s="584"/>
      <c r="R41" s="584"/>
      <c r="S41" s="584"/>
      <c r="T41" s="584"/>
      <c r="U41" s="584"/>
      <c r="V41" s="584"/>
      <c r="W41" s="584"/>
      <c r="X41" s="584"/>
      <c r="Y41" s="584"/>
      <c r="Z41" s="584"/>
      <c r="AA41" s="584"/>
      <c r="AB41" s="584"/>
      <c r="AC41" s="584"/>
    </row>
    <row r="42" spans="2:29">
      <c r="M42" s="584"/>
      <c r="N42" s="584" t="s">
        <v>985</v>
      </c>
      <c r="O42" s="584"/>
      <c r="P42" s="584"/>
      <c r="Q42" s="584"/>
      <c r="R42" s="584"/>
      <c r="S42" s="584"/>
      <c r="T42" s="584"/>
      <c r="U42" s="584"/>
      <c r="V42" s="584"/>
      <c r="W42" s="584"/>
      <c r="X42" s="584"/>
      <c r="Y42" s="584"/>
      <c r="Z42" s="584"/>
      <c r="AA42" s="584"/>
      <c r="AB42" s="584"/>
      <c r="AC42" s="584"/>
    </row>
    <row r="43" spans="2:29">
      <c r="M43" s="584"/>
      <c r="N43" s="584"/>
      <c r="O43" s="584"/>
      <c r="P43" s="584"/>
      <c r="Q43" s="584"/>
      <c r="R43" s="584"/>
      <c r="S43" s="584"/>
      <c r="T43" s="584"/>
      <c r="U43" s="584"/>
      <c r="V43" s="584"/>
      <c r="W43" s="584"/>
      <c r="X43" s="584"/>
      <c r="Y43" s="584"/>
      <c r="Z43" s="584"/>
      <c r="AA43" s="584"/>
      <c r="AB43" s="584"/>
      <c r="AC43" s="584"/>
    </row>
    <row r="44" spans="2:29">
      <c r="M44" s="584"/>
      <c r="N44" s="584"/>
      <c r="O44" s="584"/>
      <c r="P44" s="584"/>
      <c r="Q44" s="584"/>
      <c r="R44" s="584"/>
      <c r="S44" s="584"/>
      <c r="T44" s="584"/>
      <c r="U44" s="584"/>
      <c r="V44" s="584"/>
      <c r="W44" s="584"/>
      <c r="X44" s="584"/>
      <c r="Y44" s="584"/>
      <c r="Z44" s="584"/>
      <c r="AA44" s="584"/>
      <c r="AB44" s="584"/>
      <c r="AC44" s="584"/>
    </row>
    <row r="45" spans="2:29">
      <c r="M45" s="584"/>
      <c r="N45" s="584" t="s">
        <v>986</v>
      </c>
      <c r="O45" s="584"/>
      <c r="P45" s="584"/>
      <c r="Q45" s="584"/>
      <c r="R45" s="584"/>
      <c r="S45" s="584"/>
      <c r="T45" s="584"/>
      <c r="U45" s="584"/>
      <c r="V45" s="584"/>
      <c r="W45" s="584"/>
      <c r="X45" s="584"/>
      <c r="Y45" s="584"/>
    </row>
    <row r="46" spans="2:29">
      <c r="M46" s="584"/>
      <c r="N46" s="584"/>
      <c r="O46" s="584"/>
      <c r="P46" s="584"/>
      <c r="Q46" s="584"/>
      <c r="R46" s="584"/>
      <c r="S46" s="584"/>
      <c r="T46" s="584"/>
      <c r="U46" s="584"/>
      <c r="V46" s="584"/>
      <c r="W46" s="584"/>
      <c r="X46" s="584"/>
      <c r="Y46" s="584"/>
    </row>
    <row r="47" spans="2:29" ht="15.75" customHeight="1">
      <c r="M47" s="584" t="s">
        <v>987</v>
      </c>
      <c r="N47" s="584" t="s">
        <v>988</v>
      </c>
      <c r="O47" s="584" t="s">
        <v>989</v>
      </c>
      <c r="P47" s="584" t="s">
        <v>990</v>
      </c>
      <c r="Q47" s="584" t="s">
        <v>991</v>
      </c>
      <c r="R47" s="584"/>
      <c r="S47" s="584"/>
      <c r="T47" s="584"/>
      <c r="U47" s="584"/>
      <c r="V47" s="584"/>
      <c r="W47" s="584"/>
      <c r="X47" s="584"/>
      <c r="Y47" s="584"/>
    </row>
    <row r="48" spans="2:29" ht="1.5" hidden="1" customHeight="1">
      <c r="M48" s="584">
        <f>O48*12</f>
        <v>336</v>
      </c>
      <c r="N48" s="584" t="s">
        <v>992</v>
      </c>
      <c r="O48" s="584">
        <v>28</v>
      </c>
      <c r="P48" s="584">
        <f>O48*T52</f>
        <v>48058.64</v>
      </c>
      <c r="Q48" s="584">
        <v>1716.38</v>
      </c>
      <c r="R48" s="584"/>
      <c r="S48" s="584"/>
      <c r="T48" s="584"/>
      <c r="U48" s="584"/>
      <c r="V48" s="584"/>
      <c r="W48" s="584"/>
      <c r="X48" s="584"/>
      <c r="Y48" s="584"/>
    </row>
    <row r="49" spans="1:25" hidden="1">
      <c r="M49" s="584">
        <f t="shared" ref="M49:M55" si="13">O49*12</f>
        <v>396</v>
      </c>
      <c r="N49" s="584" t="s">
        <v>981</v>
      </c>
      <c r="O49" s="584">
        <v>33</v>
      </c>
      <c r="P49" s="584">
        <f>O49*T52</f>
        <v>56640.54</v>
      </c>
      <c r="Q49" s="584">
        <v>1716.38</v>
      </c>
      <c r="R49" s="584"/>
      <c r="S49" s="584"/>
      <c r="T49" s="584"/>
      <c r="U49" s="584"/>
      <c r="V49" s="584"/>
      <c r="W49" s="584"/>
      <c r="X49" s="584"/>
      <c r="Y49" s="584"/>
    </row>
    <row r="50" spans="1:25">
      <c r="M50" s="584">
        <f t="shared" si="13"/>
        <v>540</v>
      </c>
      <c r="N50" s="584" t="s">
        <v>993</v>
      </c>
      <c r="O50" s="584">
        <v>45</v>
      </c>
      <c r="P50" s="584">
        <f>O50*T52</f>
        <v>77237.100000000006</v>
      </c>
      <c r="Q50" s="584">
        <v>1716.38</v>
      </c>
      <c r="R50" s="584"/>
      <c r="S50" s="584"/>
      <c r="T50" s="584"/>
      <c r="U50" s="584"/>
      <c r="V50" s="584"/>
      <c r="W50" s="584"/>
      <c r="X50" s="584"/>
      <c r="Y50" s="584"/>
    </row>
    <row r="51" spans="1:25">
      <c r="M51" s="584">
        <f t="shared" si="13"/>
        <v>480</v>
      </c>
      <c r="N51" s="584" t="s">
        <v>982</v>
      </c>
      <c r="O51" s="584">
        <v>40</v>
      </c>
      <c r="P51" s="584">
        <f>($O51*$T$53)+($O51*$T$54)</f>
        <v>22748.799999999999</v>
      </c>
      <c r="Q51" s="584"/>
      <c r="R51" s="584"/>
      <c r="S51" s="584" t="s">
        <v>994</v>
      </c>
      <c r="T51" s="584"/>
      <c r="U51" s="584"/>
      <c r="V51" s="584"/>
      <c r="W51" s="584"/>
      <c r="X51" s="584"/>
      <c r="Y51" s="584"/>
    </row>
    <row r="52" spans="1:25" ht="14.25" customHeight="1">
      <c r="M52" s="584">
        <f t="shared" si="13"/>
        <v>360</v>
      </c>
      <c r="N52" s="584" t="s">
        <v>984</v>
      </c>
      <c r="O52" s="584">
        <v>30</v>
      </c>
      <c r="P52" s="584">
        <f>($O52*$T$53)+($O52*$T$54)</f>
        <v>17061.599999999999</v>
      </c>
      <c r="Q52" s="584"/>
      <c r="R52" s="584"/>
      <c r="S52" s="584" t="s">
        <v>995</v>
      </c>
      <c r="T52" s="584">
        <v>1716.38</v>
      </c>
      <c r="U52" s="584"/>
      <c r="V52" s="584"/>
      <c r="W52" s="584"/>
      <c r="X52" s="584"/>
      <c r="Y52" s="584"/>
    </row>
    <row r="53" spans="1:25" hidden="1">
      <c r="A53" s="1" t="s">
        <v>511</v>
      </c>
      <c r="M53" s="584">
        <f t="shared" si="13"/>
        <v>420</v>
      </c>
      <c r="N53" s="584" t="s">
        <v>996</v>
      </c>
      <c r="O53" s="584">
        <v>35</v>
      </c>
      <c r="P53" s="584">
        <f>($O53*$T$53)+($O53*$T$54)</f>
        <v>19905.199999999997</v>
      </c>
      <c r="Q53" s="584"/>
      <c r="R53" s="584"/>
      <c r="S53" s="584" t="s">
        <v>997</v>
      </c>
      <c r="T53" s="584">
        <v>293.45999999999998</v>
      </c>
      <c r="U53" s="584"/>
      <c r="V53" s="584"/>
      <c r="W53" s="584"/>
      <c r="X53" s="584"/>
      <c r="Y53" s="584"/>
    </row>
    <row r="54" spans="1:25" hidden="1">
      <c r="M54" s="584">
        <f t="shared" si="13"/>
        <v>480</v>
      </c>
      <c r="N54" s="584" t="s">
        <v>998</v>
      </c>
      <c r="O54" s="584">
        <v>40</v>
      </c>
      <c r="P54" s="584">
        <f>($O54*$T$53)+($O54*$T$54)</f>
        <v>22748.799999999999</v>
      </c>
      <c r="Q54" s="584"/>
      <c r="R54" s="584"/>
      <c r="S54" s="584" t="s">
        <v>999</v>
      </c>
      <c r="T54" s="584">
        <v>275.26</v>
      </c>
      <c r="U54" s="584"/>
      <c r="V54" s="584"/>
      <c r="W54" s="584"/>
      <c r="X54" s="584"/>
      <c r="Y54" s="584"/>
    </row>
    <row r="55" spans="1:25" hidden="1">
      <c r="M55" s="584">
        <f t="shared" si="13"/>
        <v>660</v>
      </c>
      <c r="N55" s="584" t="s">
        <v>1000</v>
      </c>
      <c r="O55" s="584">
        <v>55</v>
      </c>
      <c r="P55" s="584">
        <f>($O55*$T$53)+($O55*$T$54)</f>
        <v>31279.599999999999</v>
      </c>
      <c r="Q55" s="584"/>
      <c r="R55" s="584"/>
      <c r="S55" s="584" t="s">
        <v>1001</v>
      </c>
      <c r="T55" s="584"/>
      <c r="U55" s="584"/>
      <c r="V55" s="584"/>
      <c r="W55" s="584"/>
      <c r="X55" s="584"/>
      <c r="Y55" s="584"/>
    </row>
    <row r="56" spans="1:25">
      <c r="M56" s="584"/>
      <c r="N56" s="584"/>
      <c r="O56" s="584"/>
      <c r="P56" s="584"/>
      <c r="Q56" s="584"/>
      <c r="R56" s="584"/>
      <c r="S56" s="584"/>
      <c r="T56" s="584"/>
      <c r="U56" s="584"/>
      <c r="V56" s="584"/>
      <c r="W56" s="584"/>
      <c r="X56" s="584"/>
      <c r="Y56" s="584"/>
    </row>
    <row r="57" spans="1:25">
      <c r="M57" s="584" t="s">
        <v>1002</v>
      </c>
      <c r="N57" s="584"/>
      <c r="O57" s="584"/>
      <c r="P57" s="584"/>
      <c r="Q57" s="584"/>
      <c r="R57" s="582"/>
      <c r="S57" s="582"/>
      <c r="T57" s="582"/>
      <c r="U57" s="584"/>
      <c r="V57" s="584"/>
      <c r="W57" s="584"/>
      <c r="X57" s="584"/>
      <c r="Y57" s="584"/>
    </row>
    <row r="58" spans="1:25">
      <c r="M58" s="584" t="s">
        <v>1003</v>
      </c>
      <c r="N58" s="584">
        <v>5895</v>
      </c>
      <c r="O58" s="584">
        <v>3</v>
      </c>
      <c r="P58" s="582">
        <f>N58*O58</f>
        <v>17685</v>
      </c>
      <c r="Q58" s="584"/>
      <c r="R58" s="582"/>
      <c r="S58" s="582"/>
      <c r="T58" s="582"/>
      <c r="U58" s="584"/>
      <c r="V58" s="584"/>
      <c r="W58" s="584"/>
      <c r="X58" s="584"/>
      <c r="Y58" s="584"/>
    </row>
    <row r="59" spans="1:25" ht="0.75" customHeight="1">
      <c r="M59" s="584"/>
      <c r="N59" s="584"/>
      <c r="O59" s="584"/>
      <c r="P59" s="584"/>
      <c r="Q59" s="584"/>
      <c r="R59" s="582"/>
      <c r="S59" s="582" t="s">
        <v>1004</v>
      </c>
      <c r="T59" s="582"/>
      <c r="U59" s="584"/>
      <c r="V59" s="584"/>
      <c r="W59" s="584"/>
      <c r="X59" s="584"/>
      <c r="Y59" s="584"/>
    </row>
    <row r="60" spans="1:25">
      <c r="B60" s="901" t="s">
        <v>959</v>
      </c>
      <c r="C60" s="882"/>
      <c r="D60" s="883" t="s">
        <v>409</v>
      </c>
      <c r="E60" s="883"/>
      <c r="F60" s="883"/>
      <c r="G60" s="897">
        <v>0</v>
      </c>
      <c r="H60" s="897">
        <v>0</v>
      </c>
      <c r="I60" s="897">
        <v>0</v>
      </c>
      <c r="J60" s="902"/>
      <c r="M60" s="584"/>
      <c r="N60" s="584"/>
      <c r="O60" s="584" t="s">
        <v>901</v>
      </c>
      <c r="P60" s="584"/>
      <c r="Q60" s="584"/>
      <c r="R60" s="582">
        <v>1</v>
      </c>
      <c r="S60" s="582">
        <f>P58</f>
        <v>17685</v>
      </c>
      <c r="T60" s="582"/>
      <c r="U60" s="584"/>
      <c r="V60" s="584"/>
      <c r="W60" s="584"/>
      <c r="X60" s="584"/>
      <c r="Y60" s="584"/>
    </row>
    <row r="61" spans="1:25" ht="15.75" customHeight="1">
      <c r="B61" s="903"/>
      <c r="C61" s="882"/>
      <c r="D61" s="883"/>
      <c r="E61" s="883"/>
      <c r="F61" s="883"/>
      <c r="G61" s="897">
        <v>0</v>
      </c>
      <c r="H61" s="897">
        <v>0</v>
      </c>
      <c r="I61" s="897">
        <v>0</v>
      </c>
      <c r="J61" s="902"/>
      <c r="M61" s="584"/>
      <c r="N61" s="584" t="s">
        <v>1005</v>
      </c>
      <c r="O61" s="584">
        <v>17</v>
      </c>
      <c r="P61" s="584"/>
      <c r="Q61" s="584"/>
      <c r="R61" s="582">
        <v>2</v>
      </c>
      <c r="S61" s="582">
        <f>Q74/9</f>
        <v>9977.64</v>
      </c>
      <c r="T61" s="582"/>
      <c r="U61" s="584"/>
      <c r="V61" s="584"/>
      <c r="W61" s="584"/>
      <c r="X61" s="584"/>
      <c r="Y61" s="584"/>
    </row>
    <row r="62" spans="1:25" hidden="1">
      <c r="B62" s="901" t="s">
        <v>952</v>
      </c>
      <c r="C62" s="882"/>
      <c r="D62" s="883" t="s">
        <v>409</v>
      </c>
      <c r="E62" s="883"/>
      <c r="F62" s="883"/>
      <c r="G62" s="897">
        <v>0</v>
      </c>
      <c r="H62" s="897">
        <v>0</v>
      </c>
      <c r="I62" s="897">
        <v>0</v>
      </c>
      <c r="J62" s="902">
        <f>+SUM(G62:I62)</f>
        <v>0</v>
      </c>
      <c r="M62" s="584"/>
      <c r="N62" s="584"/>
      <c r="O62" s="584"/>
      <c r="P62" s="584"/>
      <c r="Q62" s="584"/>
      <c r="R62" s="582">
        <v>3</v>
      </c>
      <c r="S62" s="582">
        <f>Q84/9</f>
        <v>9358.84</v>
      </c>
      <c r="T62" s="582"/>
      <c r="U62" s="584"/>
      <c r="V62" s="584"/>
      <c r="W62" s="584"/>
      <c r="X62" s="584"/>
      <c r="Y62" s="584"/>
    </row>
    <row r="63" spans="1:25" ht="0.75" customHeight="1">
      <c r="B63" s="901"/>
      <c r="C63" s="882"/>
      <c r="D63" s="883"/>
      <c r="E63" s="883"/>
      <c r="F63" s="883"/>
      <c r="G63" s="897">
        <v>0</v>
      </c>
      <c r="H63" s="897">
        <v>0</v>
      </c>
      <c r="I63" s="897">
        <v>0</v>
      </c>
      <c r="J63" s="902"/>
      <c r="M63" s="584"/>
      <c r="N63" s="584"/>
      <c r="O63" s="584"/>
      <c r="P63" s="584"/>
      <c r="Q63" s="584"/>
      <c r="R63" s="582" t="s">
        <v>1006</v>
      </c>
      <c r="S63" s="582">
        <f>SUM(S60:S62)</f>
        <v>37021.479999999996</v>
      </c>
      <c r="T63" s="582"/>
      <c r="U63" s="584"/>
      <c r="V63" s="584"/>
      <c r="W63" s="584"/>
      <c r="X63" s="584"/>
      <c r="Y63" s="584"/>
    </row>
    <row r="64" spans="1:25">
      <c r="B64" s="901" t="s">
        <v>961</v>
      </c>
      <c r="C64" s="882"/>
      <c r="D64" s="883" t="s">
        <v>1007</v>
      </c>
      <c r="E64" s="883"/>
      <c r="F64" s="883"/>
      <c r="G64" s="883">
        <v>0</v>
      </c>
      <c r="H64" s="883">
        <v>0</v>
      </c>
      <c r="I64" s="883">
        <v>0</v>
      </c>
      <c r="J64" s="904">
        <f>SUM(G64:I64)</f>
        <v>0</v>
      </c>
      <c r="M64" s="584"/>
      <c r="N64" s="584"/>
      <c r="O64" s="584"/>
      <c r="P64" s="584"/>
      <c r="Q64" s="584"/>
      <c r="R64" s="582"/>
      <c r="S64" s="582"/>
      <c r="T64" s="582"/>
      <c r="U64" s="584"/>
      <c r="V64" s="584"/>
      <c r="W64" s="584"/>
      <c r="X64" s="584"/>
      <c r="Y64" s="584"/>
    </row>
    <row r="65" spans="2:25">
      <c r="B65" s="901"/>
      <c r="C65" s="882"/>
      <c r="D65" s="883"/>
      <c r="E65" s="883"/>
      <c r="F65" s="883"/>
      <c r="G65" s="883"/>
      <c r="H65" s="883"/>
      <c r="I65" s="883"/>
      <c r="J65" s="904"/>
      <c r="M65" s="584"/>
      <c r="N65" s="584"/>
      <c r="O65" s="584"/>
      <c r="P65" s="584"/>
      <c r="Q65" s="584" t="s">
        <v>409</v>
      </c>
      <c r="R65" s="582"/>
      <c r="S65" s="582"/>
      <c r="T65" s="582"/>
      <c r="U65" s="584"/>
      <c r="V65" s="584"/>
      <c r="W65" s="584"/>
      <c r="X65" s="584"/>
      <c r="Y65" s="584"/>
    </row>
    <row r="66" spans="2:25">
      <c r="B66" s="903" t="s">
        <v>963</v>
      </c>
      <c r="C66" s="882"/>
      <c r="D66" s="883"/>
      <c r="E66" s="883"/>
      <c r="F66" s="883"/>
      <c r="G66" s="883"/>
      <c r="H66" s="883"/>
      <c r="I66" s="883"/>
      <c r="J66" s="904">
        <f t="shared" ref="J66:J68" si="14">SUM(G66:I66)</f>
        <v>0</v>
      </c>
      <c r="M66" s="584"/>
      <c r="N66" s="584" t="s">
        <v>992</v>
      </c>
      <c r="O66" s="584">
        <v>28</v>
      </c>
      <c r="P66" s="584">
        <f>$T$53</f>
        <v>293.45999999999998</v>
      </c>
      <c r="Q66" s="584">
        <f>+O66*P66</f>
        <v>8216.8799999999992</v>
      </c>
      <c r="R66" s="584"/>
      <c r="S66" s="584"/>
      <c r="T66" s="584"/>
      <c r="U66" s="584"/>
      <c r="V66" s="584"/>
      <c r="W66" s="584"/>
      <c r="X66" s="584"/>
      <c r="Y66" s="584"/>
    </row>
    <row r="67" spans="2:25">
      <c r="B67" s="905" t="s">
        <v>965</v>
      </c>
      <c r="C67" s="882"/>
      <c r="D67" s="883"/>
      <c r="E67" s="883"/>
      <c r="F67" s="883"/>
      <c r="G67" s="883"/>
      <c r="H67" s="883"/>
      <c r="I67" s="883"/>
      <c r="J67" s="904">
        <f t="shared" si="14"/>
        <v>0</v>
      </c>
      <c r="M67" s="584"/>
      <c r="N67" s="584" t="s">
        <v>981</v>
      </c>
      <c r="O67" s="584">
        <v>33</v>
      </c>
      <c r="P67" s="584">
        <f t="shared" ref="P67:P73" si="15">$T$53</f>
        <v>293.45999999999998</v>
      </c>
      <c r="Q67" s="584">
        <f t="shared" ref="Q67:Q73" si="16">+O67*P67</f>
        <v>9684.1799999999985</v>
      </c>
      <c r="R67" s="584"/>
      <c r="S67" s="584"/>
      <c r="T67" s="584"/>
      <c r="U67" s="584"/>
      <c r="V67" s="584"/>
      <c r="W67" s="584"/>
      <c r="X67" s="584"/>
      <c r="Y67" s="584"/>
    </row>
    <row r="68" spans="2:25">
      <c r="B68" s="905" t="s">
        <v>967</v>
      </c>
      <c r="C68" s="882"/>
      <c r="D68" s="883"/>
      <c r="E68" s="883"/>
      <c r="F68" s="883"/>
      <c r="G68" s="883"/>
      <c r="H68" s="883"/>
      <c r="I68" s="883"/>
      <c r="J68" s="904">
        <f t="shared" si="14"/>
        <v>0</v>
      </c>
      <c r="M68" s="584"/>
      <c r="N68" s="584" t="s">
        <v>993</v>
      </c>
      <c r="O68" s="584">
        <v>45</v>
      </c>
      <c r="P68" s="584">
        <f t="shared" si="15"/>
        <v>293.45999999999998</v>
      </c>
      <c r="Q68" s="584">
        <f t="shared" si="16"/>
        <v>13205.699999999999</v>
      </c>
      <c r="R68" s="584"/>
      <c r="S68" s="584"/>
      <c r="T68" s="584"/>
      <c r="U68" s="584"/>
      <c r="V68" s="584"/>
      <c r="W68" s="584"/>
      <c r="X68" s="584"/>
      <c r="Y68" s="584"/>
    </row>
    <row r="69" spans="2:25">
      <c r="B69" s="905" t="s">
        <v>968</v>
      </c>
      <c r="C69" s="882"/>
      <c r="D69" s="883"/>
      <c r="E69" s="883"/>
      <c r="F69" s="883"/>
      <c r="G69" s="883"/>
      <c r="H69" s="883"/>
      <c r="I69" s="883"/>
      <c r="J69" s="904">
        <f>SUM(G69:I69)</f>
        <v>0</v>
      </c>
      <c r="M69" s="584"/>
      <c r="N69" s="584" t="s">
        <v>982</v>
      </c>
      <c r="O69" s="584">
        <v>40</v>
      </c>
      <c r="P69" s="584">
        <f t="shared" si="15"/>
        <v>293.45999999999998</v>
      </c>
      <c r="Q69" s="584">
        <f t="shared" si="16"/>
        <v>11738.4</v>
      </c>
      <c r="R69" s="584"/>
      <c r="S69" s="584"/>
      <c r="T69" s="584"/>
      <c r="U69" s="584"/>
      <c r="V69" s="584"/>
      <c r="W69" s="584"/>
      <c r="X69" s="584"/>
      <c r="Y69" s="584"/>
    </row>
    <row r="70" spans="2:25">
      <c r="B70" s="918" t="s">
        <v>1008</v>
      </c>
      <c r="C70" s="584"/>
      <c r="D70" s="584" t="s">
        <v>953</v>
      </c>
      <c r="E70" s="584"/>
      <c r="F70" s="584"/>
      <c r="G70" s="583">
        <f>+SUMIF($D$6:$D$21,"="&amp;$D70,G$6:G$21)</f>
        <v>0</v>
      </c>
      <c r="H70" s="583">
        <f>+SUMIF($D$6:$D$21,"="&amp;$D70,H$6:H$21)</f>
        <v>0</v>
      </c>
      <c r="I70" s="583">
        <f>+SUMIF($D$6:$D$21,"="&amp;$D70,I$6:I$21)</f>
        <v>0</v>
      </c>
      <c r="J70" s="902">
        <f>+SUM(G70:I70)</f>
        <v>0</v>
      </c>
      <c r="M70" s="584"/>
      <c r="N70" s="584" t="s">
        <v>984</v>
      </c>
      <c r="O70" s="584">
        <v>30</v>
      </c>
      <c r="P70" s="584">
        <f t="shared" si="15"/>
        <v>293.45999999999998</v>
      </c>
      <c r="Q70" s="584">
        <f t="shared" si="16"/>
        <v>8803.7999999999993</v>
      </c>
      <c r="R70" s="584"/>
      <c r="S70" s="584"/>
      <c r="T70" s="584"/>
      <c r="U70" s="584"/>
      <c r="V70" s="584"/>
      <c r="W70" s="584"/>
      <c r="X70" s="584"/>
      <c r="Y70" s="584"/>
    </row>
    <row r="71" spans="2:25">
      <c r="M71" s="584"/>
      <c r="N71" s="584" t="s">
        <v>996</v>
      </c>
      <c r="O71" s="584">
        <v>35</v>
      </c>
      <c r="P71" s="584">
        <f t="shared" si="15"/>
        <v>293.45999999999998</v>
      </c>
      <c r="Q71" s="584">
        <f t="shared" si="16"/>
        <v>10271.099999999999</v>
      </c>
      <c r="R71" s="584"/>
      <c r="S71" s="584"/>
      <c r="T71" s="584"/>
      <c r="U71" s="584"/>
      <c r="V71" s="584"/>
      <c r="W71" s="584"/>
      <c r="X71" s="584"/>
      <c r="Y71" s="584"/>
    </row>
    <row r="72" spans="2:25">
      <c r="M72" s="584"/>
      <c r="N72" s="584" t="s">
        <v>998</v>
      </c>
      <c r="O72" s="584">
        <v>40</v>
      </c>
      <c r="P72" s="584">
        <f t="shared" si="15"/>
        <v>293.45999999999998</v>
      </c>
      <c r="Q72" s="584">
        <f t="shared" si="16"/>
        <v>11738.4</v>
      </c>
      <c r="R72" s="584"/>
      <c r="S72" s="584"/>
      <c r="T72" s="584"/>
      <c r="U72" s="584"/>
      <c r="V72" s="584"/>
      <c r="W72" s="584"/>
      <c r="X72" s="584"/>
      <c r="Y72" s="584"/>
    </row>
    <row r="73" spans="2:25">
      <c r="M73" s="584"/>
      <c r="N73" s="584" t="s">
        <v>1000</v>
      </c>
      <c r="O73" s="584">
        <v>55</v>
      </c>
      <c r="P73" s="584">
        <f t="shared" si="15"/>
        <v>293.45999999999998</v>
      </c>
      <c r="Q73" s="584">
        <f t="shared" si="16"/>
        <v>16140.3</v>
      </c>
      <c r="R73" s="584"/>
      <c r="S73" s="584"/>
      <c r="T73" s="584"/>
      <c r="U73" s="584"/>
      <c r="V73" s="584"/>
      <c r="W73" s="584"/>
      <c r="X73" s="584"/>
      <c r="Y73" s="584"/>
    </row>
    <row r="74" spans="2:25" hidden="1">
      <c r="M74" s="584"/>
      <c r="N74" s="584"/>
      <c r="O74" s="584"/>
      <c r="P74" s="584"/>
      <c r="Q74" s="584">
        <f>SUM(Q66:Q73)</f>
        <v>89798.76</v>
      </c>
      <c r="R74" s="584"/>
      <c r="S74" s="584"/>
      <c r="T74" s="584"/>
      <c r="U74" s="584"/>
      <c r="V74" s="584"/>
      <c r="W74" s="584"/>
      <c r="X74" s="584"/>
      <c r="Y74" s="584"/>
    </row>
    <row r="75" spans="2:25" hidden="1">
      <c r="M75" s="584"/>
      <c r="N75" s="584"/>
      <c r="O75" s="584"/>
      <c r="P75" s="584"/>
      <c r="Q75" s="584"/>
      <c r="R75" s="584"/>
      <c r="S75" s="584"/>
      <c r="T75" s="584"/>
      <c r="U75" s="584"/>
      <c r="V75" s="584"/>
      <c r="W75" s="584"/>
      <c r="X75" s="584"/>
      <c r="Y75" s="584"/>
    </row>
    <row r="76" spans="2:25" hidden="1">
      <c r="M76" s="584"/>
      <c r="N76" s="584" t="s">
        <v>992</v>
      </c>
      <c r="O76" s="584">
        <v>28</v>
      </c>
      <c r="P76" s="584">
        <f>$T$54</f>
        <v>275.26</v>
      </c>
      <c r="Q76" s="584">
        <f>O76*P76</f>
        <v>7707.28</v>
      </c>
      <c r="R76" s="584"/>
      <c r="S76" s="584"/>
      <c r="T76" s="584"/>
      <c r="U76" s="584"/>
      <c r="V76" s="584"/>
      <c r="W76" s="584"/>
      <c r="X76" s="584"/>
      <c r="Y76" s="584"/>
    </row>
    <row r="77" spans="2:25" hidden="1">
      <c r="M77" s="584"/>
      <c r="N77" s="584" t="s">
        <v>981</v>
      </c>
      <c r="O77" s="584">
        <v>33</v>
      </c>
      <c r="P77" s="584">
        <f t="shared" ref="P77:P83" si="17">$T$54</f>
        <v>275.26</v>
      </c>
      <c r="Q77" s="584">
        <f t="shared" ref="Q77:Q83" si="18">O77*P77</f>
        <v>9083.58</v>
      </c>
      <c r="R77" s="584"/>
      <c r="S77" s="584"/>
      <c r="T77" s="584"/>
      <c r="U77" s="584"/>
      <c r="V77" s="584"/>
      <c r="W77" s="584"/>
      <c r="X77" s="584"/>
      <c r="Y77" s="584"/>
    </row>
    <row r="78" spans="2:25">
      <c r="M78" s="584"/>
      <c r="N78" s="584" t="s">
        <v>993</v>
      </c>
      <c r="O78" s="584">
        <v>45</v>
      </c>
      <c r="P78" s="584">
        <f t="shared" si="17"/>
        <v>275.26</v>
      </c>
      <c r="Q78" s="584">
        <f t="shared" si="18"/>
        <v>12386.699999999999</v>
      </c>
      <c r="R78" s="584"/>
      <c r="S78" s="584"/>
      <c r="T78" s="584"/>
      <c r="U78" s="584"/>
      <c r="V78" s="584"/>
      <c r="W78" s="584"/>
      <c r="X78" s="584"/>
      <c r="Y78" s="584"/>
    </row>
    <row r="79" spans="2:25">
      <c r="M79" s="584"/>
      <c r="N79" s="584" t="s">
        <v>982</v>
      </c>
      <c r="O79" s="584">
        <v>40</v>
      </c>
      <c r="P79" s="584">
        <f t="shared" si="17"/>
        <v>275.26</v>
      </c>
      <c r="Q79" s="584">
        <f t="shared" si="18"/>
        <v>11010.4</v>
      </c>
      <c r="R79" s="584"/>
      <c r="S79" s="584"/>
      <c r="T79" s="584"/>
      <c r="U79" s="584"/>
      <c r="V79" s="584"/>
      <c r="W79" s="584"/>
      <c r="X79" s="584"/>
      <c r="Y79" s="584"/>
    </row>
    <row r="80" spans="2:25">
      <c r="M80" s="584"/>
      <c r="N80" s="584" t="s">
        <v>984</v>
      </c>
      <c r="O80" s="584">
        <v>30</v>
      </c>
      <c r="P80" s="584">
        <f t="shared" si="17"/>
        <v>275.26</v>
      </c>
      <c r="Q80" s="584">
        <f t="shared" si="18"/>
        <v>8257.7999999999993</v>
      </c>
      <c r="R80" s="584"/>
      <c r="S80" s="584"/>
      <c r="T80" s="584"/>
      <c r="U80" s="584"/>
      <c r="V80" s="584"/>
      <c r="W80" s="584"/>
      <c r="X80" s="584"/>
      <c r="Y80" s="584"/>
    </row>
    <row r="81" spans="13:25">
      <c r="M81" s="584"/>
      <c r="N81" s="584" t="s">
        <v>996</v>
      </c>
      <c r="O81" s="584">
        <v>35</v>
      </c>
      <c r="P81" s="584">
        <f t="shared" si="17"/>
        <v>275.26</v>
      </c>
      <c r="Q81" s="584">
        <f t="shared" si="18"/>
        <v>9634.1</v>
      </c>
      <c r="R81" s="584"/>
      <c r="S81" s="584"/>
      <c r="T81" s="584"/>
      <c r="U81" s="584"/>
      <c r="V81" s="584"/>
      <c r="W81" s="584"/>
      <c r="X81" s="584"/>
      <c r="Y81" s="584"/>
    </row>
    <row r="82" spans="13:25">
      <c r="M82" s="584"/>
      <c r="N82" s="584" t="s">
        <v>998</v>
      </c>
      <c r="O82" s="584">
        <v>40</v>
      </c>
      <c r="P82" s="584">
        <f t="shared" si="17"/>
        <v>275.26</v>
      </c>
      <c r="Q82" s="584">
        <f t="shared" si="18"/>
        <v>11010.4</v>
      </c>
      <c r="R82" s="584"/>
      <c r="S82" s="584"/>
      <c r="T82" s="584"/>
      <c r="U82" s="584"/>
      <c r="V82" s="584"/>
      <c r="W82" s="584"/>
      <c r="X82" s="584"/>
      <c r="Y82" s="584"/>
    </row>
    <row r="83" spans="13:25">
      <c r="M83" s="584"/>
      <c r="N83" s="584" t="s">
        <v>1000</v>
      </c>
      <c r="O83" s="584">
        <v>55</v>
      </c>
      <c r="P83" s="584">
        <f t="shared" si="17"/>
        <v>275.26</v>
      </c>
      <c r="Q83" s="584">
        <f t="shared" si="18"/>
        <v>15139.3</v>
      </c>
      <c r="R83" s="584"/>
      <c r="S83" s="584"/>
      <c r="T83" s="584"/>
      <c r="U83" s="584"/>
      <c r="V83" s="584"/>
      <c r="W83" s="584"/>
      <c r="X83" s="584"/>
      <c r="Y83" s="584"/>
    </row>
    <row r="84" spans="13:25">
      <c r="M84" s="584"/>
      <c r="N84" s="584"/>
      <c r="O84" s="584"/>
      <c r="P84" s="584"/>
      <c r="Q84" s="584">
        <f>SUM(Q76:Q83)</f>
        <v>84229.56</v>
      </c>
      <c r="R84" s="584"/>
      <c r="S84" s="584"/>
      <c r="T84" s="584"/>
      <c r="U84" s="584"/>
      <c r="V84" s="584"/>
      <c r="W84" s="584"/>
      <c r="X84" s="584"/>
      <c r="Y84" s="584"/>
    </row>
    <row r="85" spans="13:25">
      <c r="M85" s="584"/>
      <c r="N85" s="584"/>
      <c r="O85" s="584"/>
      <c r="P85" s="584"/>
      <c r="Q85" s="584"/>
      <c r="R85" s="584"/>
      <c r="S85" s="584"/>
      <c r="T85" s="584"/>
      <c r="U85" s="584"/>
      <c r="V85" s="584"/>
      <c r="W85" s="584"/>
      <c r="X85" s="584"/>
      <c r="Y85" s="584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AD112-D089-47BA-9472-2C97562FC0E0}">
  <dimension ref="A1:V58"/>
  <sheetViews>
    <sheetView topLeftCell="A28" workbookViewId="0">
      <selection activeCell="F11" sqref="F11"/>
    </sheetView>
  </sheetViews>
  <sheetFormatPr defaultColWidth="8.85546875" defaultRowHeight="15"/>
  <cols>
    <col min="1" max="2" width="8.85546875" style="566"/>
    <col min="3" max="3" width="12.42578125" style="566" bestFit="1" customWidth="1"/>
    <col min="4" max="4" width="8.140625" style="566" bestFit="1" customWidth="1"/>
    <col min="5" max="5" width="13.7109375" style="566" customWidth="1"/>
    <col min="6" max="6" width="21.7109375" style="566" bestFit="1" customWidth="1"/>
    <col min="7" max="7" width="17.5703125" style="566" bestFit="1" customWidth="1"/>
    <col min="8" max="8" width="12.5703125" style="566" customWidth="1"/>
    <col min="9" max="9" width="8.85546875" style="566"/>
    <col min="10" max="10" width="11.42578125" style="566" customWidth="1"/>
    <col min="11" max="12" width="9" style="566" bestFit="1" customWidth="1"/>
    <col min="13" max="13" width="14.85546875" style="566" bestFit="1" customWidth="1"/>
    <col min="14" max="17" width="8.85546875" style="566"/>
    <col min="18" max="18" width="10.42578125" style="566" bestFit="1" customWidth="1"/>
    <col min="19" max="19" width="41.28515625" style="566" bestFit="1" customWidth="1"/>
    <col min="20" max="20" width="13.5703125" style="566" bestFit="1" customWidth="1"/>
    <col min="21" max="21" width="11" style="566" bestFit="1" customWidth="1"/>
    <col min="22" max="22" width="10.85546875" style="566" bestFit="1" customWidth="1"/>
    <col min="23" max="16384" width="8.85546875" style="566"/>
  </cols>
  <sheetData>
    <row r="1" spans="1:22" ht="16.5" thickBot="1">
      <c r="A1" s="756" t="s">
        <v>250</v>
      </c>
      <c r="B1" s="1054"/>
      <c r="C1" s="1081"/>
      <c r="D1" s="1033"/>
      <c r="E1" s="1033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</row>
    <row r="2" spans="1:22" ht="16.5" thickBot="1">
      <c r="A2" s="699"/>
      <c r="B2" s="699"/>
      <c r="C2" s="1130" t="s">
        <v>1009</v>
      </c>
      <c r="D2" s="1131"/>
      <c r="E2" s="1132"/>
      <c r="F2" s="49"/>
      <c r="G2" s="151" t="s">
        <v>174</v>
      </c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</row>
    <row r="3" spans="1:22" ht="15.75">
      <c r="A3" s="699"/>
      <c r="B3" s="699"/>
      <c r="C3" s="814" t="s">
        <v>399</v>
      </c>
      <c r="D3" s="815" t="s">
        <v>254</v>
      </c>
      <c r="E3" s="816" t="s">
        <v>1010</v>
      </c>
      <c r="F3" s="49"/>
      <c r="G3" s="781"/>
      <c r="H3" s="699"/>
      <c r="I3" s="699"/>
      <c r="J3" s="699"/>
      <c r="K3" s="699"/>
      <c r="L3" s="699"/>
      <c r="M3" s="699"/>
      <c r="N3" s="699"/>
      <c r="O3" s="699"/>
      <c r="P3" s="699"/>
      <c r="Q3" s="699"/>
      <c r="R3" s="699"/>
      <c r="S3" s="699"/>
      <c r="T3" s="699"/>
      <c r="U3" s="699"/>
      <c r="V3" s="699"/>
    </row>
    <row r="4" spans="1:22">
      <c r="A4" s="699"/>
      <c r="B4" s="699"/>
      <c r="C4" s="808" t="s">
        <v>410</v>
      </c>
      <c r="D4" s="782" t="s">
        <v>255</v>
      </c>
      <c r="E4" s="809">
        <f>SUM(F17:F19)</f>
        <v>2583223.1782635758</v>
      </c>
      <c r="F4" s="49"/>
      <c r="G4" s="781"/>
      <c r="H4" s="699"/>
      <c r="I4" s="699"/>
      <c r="J4" s="699"/>
      <c r="K4" s="699"/>
      <c r="L4" s="699"/>
      <c r="M4" s="699"/>
      <c r="N4" s="699"/>
      <c r="O4" s="699"/>
      <c r="P4" s="699"/>
      <c r="Q4" s="699"/>
      <c r="R4" s="699"/>
      <c r="S4" s="699"/>
      <c r="T4" s="699"/>
      <c r="U4" s="699"/>
      <c r="V4" s="151"/>
    </row>
    <row r="5" spans="1:22">
      <c r="A5" s="699"/>
      <c r="B5" s="699"/>
      <c r="C5" s="810" t="s">
        <v>432</v>
      </c>
      <c r="D5" s="222" t="s">
        <v>256</v>
      </c>
      <c r="E5" s="809">
        <f>SUM(F31:F36)</f>
        <v>3601360.9072659267</v>
      </c>
      <c r="F5" s="49"/>
      <c r="G5" s="781"/>
      <c r="H5" s="699"/>
      <c r="I5" s="699"/>
      <c r="J5" s="699"/>
      <c r="K5" s="699"/>
      <c r="L5" s="699"/>
      <c r="M5" s="699"/>
      <c r="N5" s="699"/>
      <c r="O5" s="699"/>
      <c r="P5" s="699"/>
      <c r="Q5" s="699"/>
      <c r="R5" s="699"/>
      <c r="S5" s="699"/>
      <c r="T5" s="699"/>
      <c r="U5" s="699"/>
      <c r="V5" s="49"/>
    </row>
    <row r="6" spans="1:22">
      <c r="A6" s="699"/>
      <c r="B6" s="699"/>
      <c r="C6" s="810" t="s">
        <v>436</v>
      </c>
      <c r="D6" s="222" t="s">
        <v>257</v>
      </c>
      <c r="E6" s="809">
        <f>SUM(F55:F57)</f>
        <v>1615934.9435056483</v>
      </c>
      <c r="F6" s="49"/>
      <c r="G6" s="781"/>
      <c r="H6" s="699"/>
      <c r="I6" s="699"/>
      <c r="J6" s="699"/>
      <c r="K6" s="699"/>
      <c r="L6" s="699"/>
      <c r="M6" s="699"/>
      <c r="N6" s="699"/>
      <c r="O6" s="699"/>
      <c r="P6" s="699"/>
      <c r="Q6" s="699"/>
      <c r="R6" s="699"/>
      <c r="S6" s="699"/>
      <c r="T6" s="699"/>
      <c r="U6" s="699"/>
      <c r="V6" s="49"/>
    </row>
    <row r="7" spans="1:22">
      <c r="A7" s="699"/>
      <c r="B7" s="699"/>
      <c r="C7" s="810" t="s">
        <v>439</v>
      </c>
      <c r="D7" s="222" t="s">
        <v>255</v>
      </c>
      <c r="E7" s="809">
        <f>SUM(F46:F54)</f>
        <v>4950651.6631196616</v>
      </c>
      <c r="F7" s="699"/>
      <c r="G7" s="781"/>
      <c r="H7" s="699"/>
      <c r="I7" s="699"/>
      <c r="J7" s="699"/>
      <c r="K7" s="699"/>
      <c r="L7" s="699"/>
      <c r="M7" s="699"/>
      <c r="N7" s="699"/>
      <c r="O7" s="699"/>
      <c r="P7" s="699"/>
      <c r="Q7" s="699"/>
      <c r="R7" s="699"/>
      <c r="S7" s="699"/>
      <c r="T7" s="699"/>
      <c r="U7" s="699"/>
      <c r="V7" s="49"/>
    </row>
    <row r="8" spans="1:22">
      <c r="A8" s="699"/>
      <c r="B8" s="699"/>
      <c r="C8" s="811" t="s">
        <v>255</v>
      </c>
      <c r="D8" s="782" t="s">
        <v>256</v>
      </c>
      <c r="E8" s="1082">
        <f>SUM(F43:F45)</f>
        <v>1089648.4172964282</v>
      </c>
      <c r="F8" s="699"/>
      <c r="G8" s="781"/>
      <c r="H8" s="699"/>
      <c r="I8" s="699"/>
      <c r="J8" s="699"/>
      <c r="K8" s="699"/>
      <c r="L8" s="699"/>
      <c r="M8" s="699"/>
      <c r="N8" s="699"/>
      <c r="O8" s="699"/>
      <c r="P8" s="699"/>
      <c r="Q8" s="699"/>
      <c r="R8" s="699"/>
      <c r="S8" s="699"/>
      <c r="T8" s="699"/>
      <c r="U8" s="699"/>
      <c r="V8" s="49"/>
    </row>
    <row r="9" spans="1:22" ht="15.75" thickBot="1">
      <c r="A9" s="699"/>
      <c r="B9" s="699"/>
      <c r="C9" s="817" t="s">
        <v>869</v>
      </c>
      <c r="D9" s="818" t="s">
        <v>257</v>
      </c>
      <c r="E9" s="819">
        <f>SUM(F20:F30)</f>
        <v>6586903.4474408031</v>
      </c>
      <c r="F9" s="570" t="s">
        <v>1011</v>
      </c>
      <c r="G9" s="781"/>
      <c r="H9" s="699"/>
      <c r="I9" s="699"/>
      <c r="J9" s="699"/>
      <c r="K9" s="699"/>
      <c r="L9" s="699"/>
      <c r="M9" s="699"/>
      <c r="N9" s="699"/>
      <c r="O9" s="699"/>
      <c r="P9" s="699"/>
      <c r="Q9" s="699"/>
      <c r="R9" s="699"/>
      <c r="S9" s="699"/>
      <c r="T9" s="699"/>
      <c r="U9" s="699"/>
      <c r="V9" s="49"/>
    </row>
    <row r="10" spans="1:22" ht="16.5" thickBot="1">
      <c r="A10" s="699"/>
      <c r="B10" s="699"/>
      <c r="C10" s="812"/>
      <c r="D10" s="363"/>
      <c r="E10" s="813">
        <f>+SUM(E4:E9)</f>
        <v>20427722.556892045</v>
      </c>
      <c r="F10" s="571">
        <f>$E10-'Parcel Breakdown'!$AR$43+50000000</f>
        <v>0</v>
      </c>
      <c r="G10" s="699"/>
      <c r="H10" s="699"/>
      <c r="I10" s="699"/>
      <c r="J10" s="699"/>
      <c r="K10" s="699"/>
      <c r="L10" s="699"/>
      <c r="M10" s="699"/>
      <c r="N10" s="699"/>
      <c r="O10" s="699"/>
      <c r="P10" s="699"/>
      <c r="Q10" s="699"/>
      <c r="R10" s="699"/>
      <c r="S10" s="699"/>
      <c r="T10" s="699"/>
      <c r="U10" s="699"/>
      <c r="V10" s="49"/>
    </row>
    <row r="11" spans="1:22">
      <c r="A11" s="699"/>
      <c r="B11" s="699"/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699"/>
      <c r="N11" s="699"/>
      <c r="O11" s="699"/>
      <c r="P11" s="699"/>
      <c r="Q11" s="699"/>
      <c r="R11" s="699"/>
      <c r="S11" s="699"/>
      <c r="T11" s="699"/>
      <c r="U11" s="699"/>
      <c r="V11" s="49"/>
    </row>
    <row r="12" spans="1:22">
      <c r="A12" s="699"/>
      <c r="B12" s="699"/>
      <c r="C12" s="699"/>
      <c r="D12" s="699"/>
      <c r="E12" s="699"/>
      <c r="F12" s="699"/>
      <c r="G12" s="699"/>
      <c r="H12" s="699"/>
      <c r="I12" s="699"/>
      <c r="J12" s="699"/>
      <c r="K12" s="699"/>
      <c r="L12" s="699"/>
      <c r="M12" s="699"/>
      <c r="N12" s="699"/>
      <c r="O12" s="699"/>
      <c r="P12" s="699"/>
      <c r="Q12" s="699"/>
      <c r="R12" s="699"/>
      <c r="S12" s="699"/>
      <c r="T12" s="699"/>
      <c r="U12" s="699"/>
      <c r="V12" s="699"/>
    </row>
    <row r="13" spans="1:22">
      <c r="A13" s="699"/>
      <c r="B13" s="699"/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699"/>
      <c r="Q13" s="699"/>
      <c r="R13" s="699"/>
      <c r="S13" s="699"/>
      <c r="T13" s="699"/>
      <c r="U13" s="699"/>
      <c r="V13" s="699"/>
    </row>
    <row r="14" spans="1:22" ht="15.6" customHeight="1">
      <c r="A14" s="699"/>
      <c r="B14" s="699"/>
      <c r="C14" s="699"/>
      <c r="D14" s="699"/>
      <c r="E14" s="699"/>
      <c r="F14" s="699"/>
      <c r="G14" s="699"/>
      <c r="H14" s="699"/>
      <c r="I14" s="699"/>
      <c r="J14" s="699"/>
      <c r="K14" s="699"/>
      <c r="L14" s="699"/>
      <c r="M14" s="699"/>
      <c r="N14" s="699"/>
      <c r="O14" s="699"/>
      <c r="P14" s="699"/>
      <c r="Q14" s="699"/>
      <c r="R14" s="699"/>
      <c r="S14" s="699"/>
      <c r="T14" s="699"/>
      <c r="U14" s="699"/>
      <c r="V14" s="699"/>
    </row>
    <row r="15" spans="1:22" ht="15.75" thickBot="1">
      <c r="A15" s="699"/>
      <c r="B15" s="699"/>
      <c r="C15" s="699"/>
      <c r="D15" s="699"/>
      <c r="E15" s="699"/>
      <c r="F15" s="699"/>
      <c r="G15" s="699"/>
      <c r="H15" s="699"/>
      <c r="I15" s="699"/>
      <c r="J15" s="699"/>
      <c r="K15" s="699"/>
      <c r="L15" s="699"/>
      <c r="M15" s="699"/>
      <c r="N15" s="699"/>
      <c r="O15" s="699"/>
      <c r="P15" s="699"/>
      <c r="Q15" s="699"/>
      <c r="R15" s="699"/>
      <c r="S15" s="699"/>
      <c r="T15" s="699"/>
      <c r="U15" s="699"/>
      <c r="V15" s="699"/>
    </row>
    <row r="16" spans="1:22" ht="16.5" thickBot="1">
      <c r="A16" s="699"/>
      <c r="B16" s="699"/>
      <c r="C16" s="755" t="s">
        <v>399</v>
      </c>
      <c r="D16" s="754" t="s">
        <v>1012</v>
      </c>
      <c r="E16" s="754" t="s">
        <v>1013</v>
      </c>
      <c r="F16" s="754" t="s">
        <v>1014</v>
      </c>
      <c r="G16" s="754" t="s">
        <v>1015</v>
      </c>
      <c r="H16" s="755" t="s">
        <v>1016</v>
      </c>
      <c r="I16" s="755" t="s">
        <v>254</v>
      </c>
      <c r="J16" s="699"/>
      <c r="K16" s="699"/>
      <c r="L16" s="151" t="s">
        <v>1017</v>
      </c>
      <c r="M16" s="699"/>
      <c r="N16" s="699"/>
      <c r="O16" s="699"/>
      <c r="P16" s="699"/>
      <c r="Q16" s="699"/>
      <c r="R16" s="699"/>
      <c r="S16" s="699"/>
      <c r="T16" s="699"/>
      <c r="U16" s="699"/>
      <c r="V16" s="699"/>
    </row>
    <row r="17" spans="2:18">
      <c r="B17" s="699"/>
      <c r="C17" s="794" t="s">
        <v>1018</v>
      </c>
      <c r="D17" s="803">
        <v>12505</v>
      </c>
      <c r="E17" s="795"/>
      <c r="F17" s="795">
        <f t="shared" ref="F17:F19" si="0">D17/43559.92194048*5000000</f>
        <v>1435379.0643939574</v>
      </c>
      <c r="G17" s="796"/>
      <c r="H17" s="1140" t="s">
        <v>410</v>
      </c>
      <c r="I17" s="1140" t="s">
        <v>255</v>
      </c>
      <c r="J17" s="699"/>
      <c r="K17" s="699"/>
      <c r="L17" s="687">
        <f>SUM(D17:D19)</f>
        <v>22505</v>
      </c>
      <c r="M17" s="699"/>
      <c r="N17" s="699"/>
      <c r="O17" s="699"/>
      <c r="P17" s="699"/>
      <c r="Q17" s="699"/>
      <c r="R17" s="699"/>
    </row>
    <row r="18" spans="2:18" ht="15.75" customHeight="1">
      <c r="B18" s="699"/>
      <c r="C18" s="791" t="s">
        <v>1019</v>
      </c>
      <c r="D18" s="786">
        <v>7500</v>
      </c>
      <c r="E18" s="586"/>
      <c r="F18" s="586">
        <f t="shared" si="0"/>
        <v>860883.0854022135</v>
      </c>
      <c r="G18" s="787"/>
      <c r="H18" s="1141"/>
      <c r="I18" s="1141"/>
      <c r="J18" s="699"/>
      <c r="K18" s="699"/>
      <c r="L18" s="687">
        <f>D37</f>
        <v>59883</v>
      </c>
      <c r="M18" s="699"/>
      <c r="N18" s="699"/>
      <c r="O18" s="699"/>
      <c r="P18" s="699"/>
      <c r="Q18" s="699"/>
      <c r="R18" s="699"/>
    </row>
    <row r="19" spans="2:18" ht="16.5" customHeight="1" thickBot="1">
      <c r="B19" s="699"/>
      <c r="C19" s="797" t="s">
        <v>1020</v>
      </c>
      <c r="D19" s="807">
        <v>2500</v>
      </c>
      <c r="E19" s="798"/>
      <c r="F19" s="798">
        <f t="shared" si="0"/>
        <v>286961.02846740448</v>
      </c>
      <c r="G19" s="799"/>
      <c r="H19" s="1142"/>
      <c r="I19" s="1142"/>
      <c r="J19" s="699"/>
      <c r="K19" s="699"/>
      <c r="L19" s="687">
        <f>D40</f>
        <v>68050</v>
      </c>
      <c r="M19" s="699"/>
      <c r="N19" s="699"/>
      <c r="O19" s="699"/>
      <c r="P19" s="699"/>
      <c r="Q19" s="699"/>
      <c r="R19" s="699"/>
    </row>
    <row r="20" spans="2:18">
      <c r="B20" s="699"/>
      <c r="C20" s="785" t="s">
        <v>1021</v>
      </c>
      <c r="D20" s="785">
        <v>5880</v>
      </c>
      <c r="E20" s="713">
        <v>3154</v>
      </c>
      <c r="F20" s="713">
        <f>D20/43559.92194048*5000000</f>
        <v>674932.33895533532</v>
      </c>
      <c r="G20" s="805"/>
      <c r="H20" s="1143" t="s">
        <v>869</v>
      </c>
      <c r="I20" s="1143" t="s">
        <v>257</v>
      </c>
      <c r="J20" s="699"/>
      <c r="K20" s="699"/>
      <c r="L20" s="687">
        <f>D41</f>
        <v>68050</v>
      </c>
      <c r="M20" s="699"/>
      <c r="N20" s="699"/>
      <c r="O20" s="699"/>
      <c r="P20" s="699"/>
      <c r="Q20" s="699"/>
      <c r="R20" s="699"/>
    </row>
    <row r="21" spans="2:18" ht="15.75" customHeight="1">
      <c r="B21" s="699"/>
      <c r="C21" s="785" t="s">
        <v>1022</v>
      </c>
      <c r="D21" s="785">
        <v>3000</v>
      </c>
      <c r="E21" s="713">
        <v>4124</v>
      </c>
      <c r="F21" s="713">
        <f>D21/43559.92194048*5000000</f>
        <v>344353.23416088545</v>
      </c>
      <c r="G21" s="805"/>
      <c r="H21" s="1144"/>
      <c r="I21" s="1144"/>
      <c r="J21" s="699"/>
      <c r="K21" s="699"/>
      <c r="L21" s="151">
        <v>42500</v>
      </c>
      <c r="M21" s="699"/>
      <c r="N21" s="699"/>
      <c r="O21" s="699"/>
      <c r="P21" s="699"/>
      <c r="Q21" s="699"/>
      <c r="R21" s="699"/>
    </row>
    <row r="22" spans="2:18" ht="15.75" customHeight="1">
      <c r="B22" s="699"/>
      <c r="C22" s="785" t="s">
        <v>1023</v>
      </c>
      <c r="D22" s="785">
        <v>5004</v>
      </c>
      <c r="E22" s="713">
        <v>5632</v>
      </c>
      <c r="F22" s="713">
        <f>D22/43559.92194048*5000000</f>
        <v>574381.19458035694</v>
      </c>
      <c r="G22" s="805"/>
      <c r="H22" s="1144"/>
      <c r="I22" s="1144"/>
      <c r="J22" s="699"/>
      <c r="K22" s="699"/>
      <c r="L22" s="687">
        <f>SUM(D31:D36)</f>
        <v>31375</v>
      </c>
      <c r="M22" s="699"/>
      <c r="N22" s="699"/>
      <c r="O22" s="699"/>
      <c r="P22" s="699"/>
      <c r="Q22" s="699"/>
      <c r="R22" s="699"/>
    </row>
    <row r="23" spans="2:18" ht="15.75" customHeight="1">
      <c r="B23" s="699"/>
      <c r="C23" s="785" t="s">
        <v>1024</v>
      </c>
      <c r="D23" s="1145">
        <v>12492</v>
      </c>
      <c r="E23" s="1146">
        <v>8550</v>
      </c>
      <c r="F23" s="1146">
        <f>D23/43559.92194048*5000000</f>
        <v>1433886.8670459269</v>
      </c>
      <c r="G23" s="805"/>
      <c r="H23" s="1144"/>
      <c r="I23" s="1144"/>
      <c r="J23" s="699"/>
      <c r="K23" s="699"/>
      <c r="L23" s="687">
        <f>SUM(D55:D57)</f>
        <v>14078</v>
      </c>
      <c r="M23" s="699"/>
      <c r="N23" s="699"/>
      <c r="O23" s="699"/>
      <c r="P23" s="699"/>
      <c r="Q23" s="699"/>
      <c r="R23" s="699"/>
    </row>
    <row r="24" spans="2:18" ht="15.75" customHeight="1">
      <c r="B24" s="699"/>
      <c r="C24" s="785" t="s">
        <v>1024</v>
      </c>
      <c r="D24" s="1145"/>
      <c r="E24" s="1146"/>
      <c r="F24" s="1146"/>
      <c r="G24" s="805"/>
      <c r="H24" s="1144"/>
      <c r="I24" s="1144"/>
      <c r="J24" s="699"/>
      <c r="K24" s="699"/>
      <c r="L24" s="687">
        <f>SUM(D46:D54)</f>
        <v>43130</v>
      </c>
      <c r="M24" s="699"/>
      <c r="N24" s="699"/>
      <c r="O24" s="699"/>
      <c r="P24" s="699"/>
      <c r="Q24" s="699"/>
      <c r="R24" s="699"/>
    </row>
    <row r="25" spans="2:18" ht="15.6" customHeight="1">
      <c r="B25" s="699"/>
      <c r="C25" s="785" t="s">
        <v>1025</v>
      </c>
      <c r="D25" s="785">
        <v>15000</v>
      </c>
      <c r="E25" s="713">
        <v>15000</v>
      </c>
      <c r="F25" s="713">
        <f t="shared" ref="F25:F30" si="1">D25/43559.92194048*5000000</f>
        <v>1721766.170804427</v>
      </c>
      <c r="G25" s="805"/>
      <c r="H25" s="1144"/>
      <c r="I25" s="1144"/>
      <c r="J25" s="699"/>
      <c r="K25" s="699"/>
      <c r="L25" s="687">
        <f>SUM(D43:D45)</f>
        <v>9493</v>
      </c>
      <c r="M25" s="699"/>
      <c r="N25" s="699"/>
      <c r="O25" s="699"/>
      <c r="P25" s="699"/>
      <c r="Q25" s="699"/>
      <c r="R25" s="699"/>
    </row>
    <row r="26" spans="2:18" ht="15.75" customHeight="1">
      <c r="B26" s="699"/>
      <c r="C26" s="785" t="s">
        <v>1026</v>
      </c>
      <c r="D26" s="785">
        <v>5000</v>
      </c>
      <c r="E26" s="713">
        <v>5000</v>
      </c>
      <c r="F26" s="713">
        <f t="shared" si="1"/>
        <v>573922.05693480896</v>
      </c>
      <c r="G26" s="805"/>
      <c r="H26" s="1144"/>
      <c r="I26" s="1144"/>
      <c r="J26" s="699"/>
      <c r="K26" s="699"/>
      <c r="L26" s="687">
        <f>SUM(D20:D30)</f>
        <v>57385</v>
      </c>
      <c r="M26" s="699"/>
      <c r="N26" s="699"/>
      <c r="O26" s="699"/>
      <c r="P26" s="699"/>
      <c r="Q26" s="699"/>
      <c r="R26" s="699"/>
    </row>
    <row r="27" spans="2:18" ht="15.75" customHeight="1">
      <c r="B27" s="699"/>
      <c r="C27" s="785" t="s">
        <v>1027</v>
      </c>
      <c r="D27" s="785">
        <v>3200</v>
      </c>
      <c r="E27" s="713">
        <v>2891</v>
      </c>
      <c r="F27" s="713">
        <f t="shared" si="1"/>
        <v>367310.11643827776</v>
      </c>
      <c r="G27" s="805"/>
      <c r="H27" s="1144"/>
      <c r="I27" s="1144"/>
      <c r="J27" s="699"/>
      <c r="K27" s="699"/>
      <c r="L27" s="151"/>
      <c r="M27" s="699"/>
      <c r="N27" s="699"/>
      <c r="O27" s="699"/>
      <c r="P27" s="699"/>
      <c r="Q27" s="699"/>
      <c r="R27" s="699"/>
    </row>
    <row r="28" spans="2:18" ht="15.75" customHeight="1">
      <c r="B28" s="699"/>
      <c r="C28" s="785" t="s">
        <v>1028</v>
      </c>
      <c r="D28" s="785">
        <v>1609</v>
      </c>
      <c r="E28" s="713">
        <v>1609</v>
      </c>
      <c r="F28" s="713">
        <f t="shared" si="1"/>
        <v>184688.11792162154</v>
      </c>
      <c r="G28" s="805"/>
      <c r="H28" s="1144"/>
      <c r="I28" s="1144"/>
      <c r="J28" s="699"/>
      <c r="K28" s="699"/>
      <c r="L28" s="151"/>
      <c r="M28" s="699"/>
      <c r="N28" s="699"/>
      <c r="O28" s="699"/>
      <c r="P28" s="699"/>
      <c r="Q28" s="699"/>
      <c r="R28" s="699"/>
    </row>
    <row r="29" spans="2:18" ht="15.75" customHeight="1">
      <c r="B29" s="699"/>
      <c r="C29" s="785" t="s">
        <v>1029</v>
      </c>
      <c r="D29" s="785">
        <v>2380</v>
      </c>
      <c r="E29" s="713">
        <v>3359</v>
      </c>
      <c r="F29" s="713">
        <f t="shared" si="1"/>
        <v>273186.89910096908</v>
      </c>
      <c r="G29" s="805"/>
      <c r="H29" s="1144"/>
      <c r="I29" s="1144"/>
      <c r="J29" s="699"/>
      <c r="K29" s="699"/>
      <c r="L29" s="699"/>
      <c r="M29" s="699"/>
      <c r="N29" s="699"/>
      <c r="O29" s="699"/>
      <c r="P29" s="699"/>
      <c r="Q29" s="699"/>
      <c r="R29" s="699"/>
    </row>
    <row r="30" spans="2:18" ht="16.5" customHeight="1" thickBot="1">
      <c r="B30" s="699"/>
      <c r="C30" s="788" t="s">
        <v>1030</v>
      </c>
      <c r="D30" s="788">
        <v>3820</v>
      </c>
      <c r="E30" s="789">
        <v>3591</v>
      </c>
      <c r="F30" s="789">
        <f t="shared" si="1"/>
        <v>438476.45149819413</v>
      </c>
      <c r="G30" s="806"/>
      <c r="H30" s="1147"/>
      <c r="I30" s="1147"/>
      <c r="J30" s="699"/>
      <c r="K30" s="699"/>
      <c r="L30" s="699"/>
      <c r="M30" s="699"/>
      <c r="N30" s="699"/>
      <c r="O30" s="699"/>
      <c r="P30" s="699"/>
      <c r="Q30" s="699"/>
      <c r="R30" s="699"/>
    </row>
    <row r="31" spans="2:18" ht="15.75">
      <c r="B31" s="699"/>
      <c r="C31" s="792" t="s">
        <v>1031</v>
      </c>
      <c r="D31" s="711">
        <v>2690</v>
      </c>
      <c r="E31" s="711">
        <v>2700</v>
      </c>
      <c r="F31" s="711">
        <f t="shared" ref="F31:F57" si="2">D31/43559.92194048*5000000</f>
        <v>308770.06663092726</v>
      </c>
      <c r="G31" s="711"/>
      <c r="H31" s="1148" t="s">
        <v>432</v>
      </c>
      <c r="I31" s="1148" t="s">
        <v>256</v>
      </c>
      <c r="J31" s="5"/>
      <c r="K31" s="5"/>
      <c r="L31" s="699"/>
      <c r="M31" s="699"/>
      <c r="N31" s="699"/>
      <c r="O31" s="699"/>
      <c r="P31" s="699"/>
      <c r="Q31" s="699"/>
      <c r="R31" s="699"/>
    </row>
    <row r="32" spans="2:18" ht="15.75">
      <c r="B32" s="5"/>
      <c r="C32" s="790" t="s">
        <v>1032</v>
      </c>
      <c r="D32" s="711">
        <v>1060</v>
      </c>
      <c r="E32" s="711">
        <v>1933</v>
      </c>
      <c r="F32" s="711">
        <f t="shared" si="2"/>
        <v>121671.47607017952</v>
      </c>
      <c r="G32" s="711"/>
      <c r="H32" s="1149"/>
      <c r="I32" s="1149"/>
      <c r="J32" s="5"/>
      <c r="K32" s="5"/>
      <c r="L32" s="699"/>
      <c r="M32" s="699"/>
      <c r="N32" s="699"/>
      <c r="O32" s="699"/>
      <c r="P32" s="699"/>
      <c r="Q32" s="699"/>
      <c r="R32" s="699"/>
    </row>
    <row r="33" spans="2:18" ht="15.75">
      <c r="B33" s="5"/>
      <c r="C33" s="790" t="s">
        <v>1033</v>
      </c>
      <c r="D33" s="711">
        <v>4500</v>
      </c>
      <c r="E33" s="711">
        <v>3960</v>
      </c>
      <c r="F33" s="711">
        <f t="shared" si="2"/>
        <v>516529.85124132811</v>
      </c>
      <c r="G33" s="711"/>
      <c r="H33" s="1149"/>
      <c r="I33" s="1149"/>
      <c r="J33" s="5"/>
      <c r="K33" s="5"/>
      <c r="L33" s="699"/>
      <c r="M33" s="699"/>
      <c r="N33" s="699"/>
      <c r="O33" s="699"/>
      <c r="P33" s="699"/>
      <c r="Q33" s="699"/>
      <c r="R33" s="699"/>
    </row>
    <row r="34" spans="2:18" ht="15.75">
      <c r="B34" s="5"/>
      <c r="C34" s="790" t="s">
        <v>1034</v>
      </c>
      <c r="D34" s="711">
        <v>8125</v>
      </c>
      <c r="E34" s="711">
        <v>6825</v>
      </c>
      <c r="F34" s="711">
        <f t="shared" si="2"/>
        <v>932623.34251906467</v>
      </c>
      <c r="G34" s="711"/>
      <c r="H34" s="1149"/>
      <c r="I34" s="1149"/>
      <c r="J34" s="5"/>
      <c r="K34" s="5"/>
      <c r="L34" s="699"/>
      <c r="M34" s="699"/>
      <c r="N34" s="699"/>
      <c r="O34" s="699"/>
      <c r="P34" s="699"/>
      <c r="Q34" s="699"/>
      <c r="R34" s="699"/>
    </row>
    <row r="35" spans="2:18" ht="15.75">
      <c r="B35" s="5"/>
      <c r="C35" s="790" t="s">
        <v>1035</v>
      </c>
      <c r="D35" s="711">
        <v>5000</v>
      </c>
      <c r="E35" s="711">
        <v>7000</v>
      </c>
      <c r="F35" s="711">
        <f t="shared" si="2"/>
        <v>573922.05693480896</v>
      </c>
      <c r="G35" s="711"/>
      <c r="H35" s="1149"/>
      <c r="I35" s="1149"/>
      <c r="J35" s="5"/>
      <c r="K35" s="5"/>
      <c r="L35" s="699"/>
      <c r="M35" s="699"/>
      <c r="N35" s="699"/>
      <c r="O35" s="699"/>
      <c r="P35" s="699"/>
      <c r="Q35" s="699"/>
      <c r="R35" s="699"/>
    </row>
    <row r="36" spans="2:18" ht="16.5" thickBot="1">
      <c r="B36" s="5"/>
      <c r="C36" s="793" t="s">
        <v>1036</v>
      </c>
      <c r="D36" s="711">
        <v>10000</v>
      </c>
      <c r="E36" s="711">
        <v>10000</v>
      </c>
      <c r="F36" s="711">
        <f t="shared" si="2"/>
        <v>1147844.1138696179</v>
      </c>
      <c r="G36" s="711"/>
      <c r="H36" s="1150"/>
      <c r="I36" s="1150"/>
      <c r="J36" s="5"/>
      <c r="K36" s="5"/>
      <c r="L36" s="699"/>
      <c r="M36" s="699"/>
      <c r="N36" s="699"/>
      <c r="O36" s="699"/>
      <c r="P36" s="699"/>
      <c r="Q36" s="699"/>
      <c r="R36" s="699"/>
    </row>
    <row r="37" spans="2:18" ht="15.75">
      <c r="B37" s="5"/>
      <c r="C37" s="794" t="s">
        <v>1037</v>
      </c>
      <c r="D37" s="1151">
        <v>59883</v>
      </c>
      <c r="E37" s="1152"/>
      <c r="F37" s="1152"/>
      <c r="G37" s="796"/>
      <c r="H37" s="1140" t="s">
        <v>1038</v>
      </c>
      <c r="I37" s="1140" t="s">
        <v>255</v>
      </c>
      <c r="J37" s="699"/>
      <c r="K37" s="1133"/>
      <c r="L37" s="1133"/>
      <c r="M37" s="699"/>
      <c r="N37" s="699"/>
      <c r="O37" s="699"/>
      <c r="P37" s="699"/>
      <c r="Q37" s="699"/>
      <c r="R37" s="699"/>
    </row>
    <row r="38" spans="2:18" ht="15.75">
      <c r="B38" s="5"/>
      <c r="C38" s="791" t="s">
        <v>1037</v>
      </c>
      <c r="D38" s="1153"/>
      <c r="E38" s="1154"/>
      <c r="F38" s="1154"/>
      <c r="G38" s="787"/>
      <c r="H38" s="1141"/>
      <c r="I38" s="1141"/>
      <c r="J38" s="699"/>
      <c r="K38" s="1133"/>
      <c r="L38" s="1133"/>
      <c r="M38" s="699"/>
      <c r="N38" s="699"/>
      <c r="O38" s="699"/>
      <c r="P38" s="699"/>
      <c r="Q38" s="699"/>
      <c r="R38" s="699"/>
    </row>
    <row r="39" spans="2:18" ht="15.75">
      <c r="B39" s="5"/>
      <c r="C39" s="791" t="s">
        <v>1037</v>
      </c>
      <c r="D39" s="1153"/>
      <c r="E39" s="1154"/>
      <c r="F39" s="1154"/>
      <c r="G39" s="787"/>
      <c r="H39" s="1141"/>
      <c r="I39" s="1141"/>
      <c r="J39" s="699"/>
      <c r="K39" s="1133"/>
      <c r="L39" s="1133"/>
      <c r="M39" s="699"/>
      <c r="N39" s="699"/>
      <c r="O39" s="699"/>
      <c r="P39" s="699"/>
      <c r="Q39" s="699"/>
      <c r="R39" s="699"/>
    </row>
    <row r="40" spans="2:18" ht="15.75">
      <c r="B40" s="5"/>
      <c r="C40" s="791" t="s">
        <v>1039</v>
      </c>
      <c r="D40" s="786">
        <v>68050</v>
      </c>
      <c r="E40" s="586">
        <v>183856</v>
      </c>
      <c r="F40" s="586">
        <v>20000000</v>
      </c>
      <c r="G40" s="787"/>
      <c r="H40" s="1141"/>
      <c r="I40" s="1141"/>
      <c r="J40" s="699"/>
      <c r="K40" s="178"/>
      <c r="L40" s="5"/>
      <c r="M40" s="699"/>
      <c r="N40" s="699"/>
      <c r="O40" s="699"/>
      <c r="P40" s="699"/>
      <c r="Q40" s="699"/>
      <c r="R40" s="699"/>
    </row>
    <row r="41" spans="2:18" ht="15.75">
      <c r="B41" s="5"/>
      <c r="C41" s="791" t="s">
        <v>1040</v>
      </c>
      <c r="D41" s="1153">
        <v>68050</v>
      </c>
      <c r="E41" s="1154">
        <v>272550</v>
      </c>
      <c r="F41" s="1154"/>
      <c r="G41" s="787"/>
      <c r="H41" s="1141"/>
      <c r="I41" s="1141"/>
      <c r="J41" s="699"/>
      <c r="K41" s="1134"/>
      <c r="L41" s="1133"/>
      <c r="M41" s="699"/>
      <c r="N41" s="699"/>
      <c r="O41" s="699"/>
      <c r="P41" s="699"/>
      <c r="Q41" s="699"/>
      <c r="R41" s="699"/>
    </row>
    <row r="42" spans="2:18" ht="16.5" thickBot="1">
      <c r="B42" s="5"/>
      <c r="C42" s="797" t="s">
        <v>1040</v>
      </c>
      <c r="D42" s="1155"/>
      <c r="E42" s="1156"/>
      <c r="F42" s="1156"/>
      <c r="G42" s="799"/>
      <c r="H42" s="1142"/>
      <c r="I42" s="1142"/>
      <c r="J42" s="699"/>
      <c r="K42" s="1133"/>
      <c r="L42" s="1133"/>
      <c r="M42" s="699"/>
      <c r="N42" s="699"/>
      <c r="O42" s="699"/>
      <c r="P42" s="699"/>
      <c r="Q42" s="699"/>
      <c r="R42" s="699"/>
    </row>
    <row r="43" spans="2:18" ht="15.75">
      <c r="B43" s="5"/>
      <c r="C43" s="792" t="s">
        <v>1041</v>
      </c>
      <c r="D43" s="711">
        <v>2500</v>
      </c>
      <c r="E43" s="711">
        <v>2163</v>
      </c>
      <c r="F43" s="711">
        <f t="shared" si="2"/>
        <v>286961.02846740448</v>
      </c>
      <c r="G43" s="711"/>
      <c r="H43" s="1148" t="s">
        <v>255</v>
      </c>
      <c r="I43" s="800" t="s">
        <v>256</v>
      </c>
      <c r="J43" s="699"/>
      <c r="K43" s="1133"/>
      <c r="L43" s="1133"/>
      <c r="M43" s="699"/>
      <c r="N43" s="699"/>
      <c r="O43" s="699"/>
      <c r="P43" s="699"/>
      <c r="Q43" s="699"/>
      <c r="R43" s="699"/>
    </row>
    <row r="44" spans="2:18" ht="15.75">
      <c r="B44" s="5"/>
      <c r="C44" s="790" t="s">
        <v>1042</v>
      </c>
      <c r="D44" s="711">
        <v>3833</v>
      </c>
      <c r="E44" s="711">
        <v>10909</v>
      </c>
      <c r="F44" s="711">
        <f t="shared" si="2"/>
        <v>439968.64884622453</v>
      </c>
      <c r="G44" s="711"/>
      <c r="H44" s="1149"/>
      <c r="I44" s="801"/>
      <c r="J44" s="699"/>
      <c r="K44" s="699"/>
      <c r="L44" s="699"/>
      <c r="M44" s="699"/>
      <c r="N44" s="699"/>
      <c r="O44" s="699"/>
      <c r="P44" s="699"/>
      <c r="Q44" s="699"/>
      <c r="R44" s="699"/>
    </row>
    <row r="45" spans="2:18" ht="16.5" thickBot="1">
      <c r="B45" s="5"/>
      <c r="C45" s="793" t="s">
        <v>1043</v>
      </c>
      <c r="D45" s="711">
        <v>3160</v>
      </c>
      <c r="E45" s="711">
        <v>3087</v>
      </c>
      <c r="F45" s="711">
        <f t="shared" si="2"/>
        <v>362718.73998279928</v>
      </c>
      <c r="G45" s="711"/>
      <c r="H45" s="1150"/>
      <c r="I45" s="802"/>
      <c r="J45" s="699"/>
      <c r="K45" s="699"/>
      <c r="L45" s="699"/>
      <c r="M45" s="699"/>
      <c r="N45" s="699"/>
      <c r="O45" s="699"/>
      <c r="P45" s="699"/>
      <c r="Q45" s="699"/>
      <c r="R45" s="699"/>
    </row>
    <row r="46" spans="2:18" ht="15.75">
      <c r="B46" s="5"/>
      <c r="C46" s="803" t="s">
        <v>1044</v>
      </c>
      <c r="D46" s="803">
        <v>15000</v>
      </c>
      <c r="E46" s="795">
        <v>5212</v>
      </c>
      <c r="F46" s="795">
        <f t="shared" si="2"/>
        <v>1721766.170804427</v>
      </c>
      <c r="G46" s="796"/>
      <c r="H46" s="1157" t="s">
        <v>439</v>
      </c>
      <c r="I46" s="1140" t="s">
        <v>255</v>
      </c>
      <c r="J46" s="699"/>
      <c r="K46" s="699"/>
      <c r="L46" s="699"/>
      <c r="M46" s="699"/>
      <c r="N46" s="699"/>
      <c r="O46" s="699"/>
      <c r="P46" s="699"/>
      <c r="Q46" s="699"/>
      <c r="R46" s="699"/>
    </row>
    <row r="47" spans="2:18" ht="15.75">
      <c r="B47" s="5"/>
      <c r="C47" s="786" t="s">
        <v>1045</v>
      </c>
      <c r="D47" s="786">
        <v>7500</v>
      </c>
      <c r="E47" s="586">
        <v>5625</v>
      </c>
      <c r="F47" s="586">
        <f t="shared" si="2"/>
        <v>860883.0854022135</v>
      </c>
      <c r="G47" s="787"/>
      <c r="H47" s="1158"/>
      <c r="I47" s="1141"/>
      <c r="J47" s="699"/>
      <c r="K47" s="699"/>
      <c r="L47" s="699"/>
      <c r="M47" s="699"/>
      <c r="N47" s="699"/>
      <c r="O47" s="699"/>
      <c r="P47" s="699"/>
      <c r="Q47" s="699"/>
      <c r="R47" s="699"/>
    </row>
    <row r="48" spans="2:18" ht="15.75">
      <c r="B48" s="5"/>
      <c r="C48" s="786" t="s">
        <v>1046</v>
      </c>
      <c r="D48" s="786">
        <v>3750</v>
      </c>
      <c r="E48" s="586">
        <v>6089</v>
      </c>
      <c r="F48" s="586">
        <f t="shared" si="2"/>
        <v>430441.54270110675</v>
      </c>
      <c r="G48" s="787"/>
      <c r="H48" s="1158"/>
      <c r="I48" s="1141"/>
      <c r="J48" s="699"/>
      <c r="K48" s="699"/>
      <c r="L48" s="699"/>
      <c r="M48" s="699"/>
      <c r="N48" s="699"/>
      <c r="O48" s="699"/>
      <c r="P48" s="699"/>
      <c r="Q48" s="699"/>
      <c r="R48" s="699"/>
    </row>
    <row r="49" spans="2:10" ht="15.75">
      <c r="B49" s="5"/>
      <c r="C49" s="786" t="s">
        <v>1047</v>
      </c>
      <c r="D49" s="786">
        <v>3750</v>
      </c>
      <c r="E49" s="586">
        <v>1910</v>
      </c>
      <c r="F49" s="586">
        <f t="shared" si="2"/>
        <v>430441.54270110675</v>
      </c>
      <c r="G49" s="787"/>
      <c r="H49" s="1158"/>
      <c r="I49" s="1141"/>
      <c r="J49" s="699"/>
    </row>
    <row r="50" spans="2:10" ht="15.75">
      <c r="B50" s="5"/>
      <c r="C50" s="786" t="s">
        <v>1048</v>
      </c>
      <c r="D50" s="786">
        <v>1880</v>
      </c>
      <c r="E50" s="586">
        <v>2526</v>
      </c>
      <c r="F50" s="586">
        <f t="shared" si="2"/>
        <v>215794.69340748817</v>
      </c>
      <c r="G50" s="787"/>
      <c r="H50" s="1158"/>
      <c r="I50" s="1141"/>
      <c r="J50" s="699"/>
    </row>
    <row r="51" spans="2:10" ht="15.75">
      <c r="B51" s="5"/>
      <c r="C51" s="786" t="s">
        <v>1049</v>
      </c>
      <c r="D51" s="786">
        <v>1875</v>
      </c>
      <c r="E51" s="586">
        <v>719</v>
      </c>
      <c r="F51" s="586">
        <f t="shared" si="2"/>
        <v>215220.77135055338</v>
      </c>
      <c r="G51" s="787"/>
      <c r="H51" s="1158"/>
      <c r="I51" s="1141"/>
      <c r="J51" s="699"/>
    </row>
    <row r="52" spans="2:10" ht="15.75">
      <c r="B52" s="5"/>
      <c r="C52" s="786" t="s">
        <v>1050</v>
      </c>
      <c r="D52" s="786">
        <v>3750</v>
      </c>
      <c r="E52" s="586">
        <v>3835</v>
      </c>
      <c r="F52" s="586">
        <f t="shared" si="2"/>
        <v>430441.54270110675</v>
      </c>
      <c r="G52" s="787"/>
      <c r="H52" s="1158"/>
      <c r="I52" s="1141"/>
      <c r="J52" s="699"/>
    </row>
    <row r="53" spans="2:10" ht="15.75">
      <c r="B53" s="5"/>
      <c r="C53" s="786" t="s">
        <v>1051</v>
      </c>
      <c r="D53" s="1153">
        <v>5625</v>
      </c>
      <c r="E53" s="1154">
        <v>14015</v>
      </c>
      <c r="F53" s="1154">
        <f t="shared" si="2"/>
        <v>645662.31405166013</v>
      </c>
      <c r="G53" s="787"/>
      <c r="H53" s="1158"/>
      <c r="I53" s="1141"/>
      <c r="J53" s="5"/>
    </row>
    <row r="54" spans="2:10" ht="16.5" thickBot="1">
      <c r="B54" s="5"/>
      <c r="C54" s="786" t="s">
        <v>1051</v>
      </c>
      <c r="D54" s="1153"/>
      <c r="E54" s="1154"/>
      <c r="F54" s="1154"/>
      <c r="G54" s="787"/>
      <c r="H54" s="1159"/>
      <c r="I54" s="1142"/>
      <c r="J54" s="5"/>
    </row>
    <row r="55" spans="2:10" ht="15.75">
      <c r="B55" s="5"/>
      <c r="C55" s="783" t="s">
        <v>1052</v>
      </c>
      <c r="D55" s="783">
        <v>6516</v>
      </c>
      <c r="E55" s="784">
        <v>17992</v>
      </c>
      <c r="F55" s="784">
        <f t="shared" si="2"/>
        <v>747935.22459744313</v>
      </c>
      <c r="G55" s="804"/>
      <c r="H55" s="1143" t="s">
        <v>436</v>
      </c>
      <c r="I55" s="1143" t="s">
        <v>257</v>
      </c>
      <c r="J55" s="5"/>
    </row>
    <row r="56" spans="2:10" ht="15.75">
      <c r="B56" s="5"/>
      <c r="C56" s="785" t="s">
        <v>1053</v>
      </c>
      <c r="D56" s="785">
        <v>5953</v>
      </c>
      <c r="E56" s="713">
        <v>19392</v>
      </c>
      <c r="F56" s="713">
        <f t="shared" si="2"/>
        <v>683311.60098658362</v>
      </c>
      <c r="G56" s="805"/>
      <c r="H56" s="1144"/>
      <c r="I56" s="1144"/>
      <c r="J56" s="5"/>
    </row>
    <row r="57" spans="2:10" ht="16.5" thickBot="1">
      <c r="B57" s="5"/>
      <c r="C57" s="788" t="s">
        <v>1054</v>
      </c>
      <c r="D57" s="788">
        <v>1609</v>
      </c>
      <c r="E57" s="789"/>
      <c r="F57" s="789">
        <f t="shared" si="2"/>
        <v>184688.11792162154</v>
      </c>
      <c r="G57" s="806"/>
      <c r="H57" s="1147"/>
      <c r="I57" s="1147"/>
      <c r="J57" s="5"/>
    </row>
    <row r="58" spans="2:10" ht="15.75">
      <c r="B58" s="5"/>
      <c r="C58" s="699"/>
      <c r="D58" s="699"/>
      <c r="E58" s="699"/>
      <c r="F58" s="699"/>
      <c r="G58" s="5"/>
      <c r="H58" s="699"/>
      <c r="I58" s="699"/>
      <c r="J58" s="699"/>
    </row>
  </sheetData>
  <mergeCells count="30">
    <mergeCell ref="D53:D54"/>
    <mergeCell ref="E53:E54"/>
    <mergeCell ref="D23:D24"/>
    <mergeCell ref="E23:E24"/>
    <mergeCell ref="F23:F24"/>
    <mergeCell ref="E37:E39"/>
    <mergeCell ref="F37:F39"/>
    <mergeCell ref="F41:F42"/>
    <mergeCell ref="F53:F54"/>
    <mergeCell ref="I55:I57"/>
    <mergeCell ref="H55:H57"/>
    <mergeCell ref="K37:K39"/>
    <mergeCell ref="L37:L39"/>
    <mergeCell ref="K41:K43"/>
    <mergeCell ref="L41:L43"/>
    <mergeCell ref="H46:H54"/>
    <mergeCell ref="H37:H42"/>
    <mergeCell ref="I37:I42"/>
    <mergeCell ref="I46:I54"/>
    <mergeCell ref="H43:H45"/>
    <mergeCell ref="C2:E2"/>
    <mergeCell ref="D37:D39"/>
    <mergeCell ref="D41:D42"/>
    <mergeCell ref="E41:E42"/>
    <mergeCell ref="I20:I30"/>
    <mergeCell ref="I17:I19"/>
    <mergeCell ref="I31:I36"/>
    <mergeCell ref="H17:H19"/>
    <mergeCell ref="H20:H30"/>
    <mergeCell ref="H31:H36"/>
  </mergeCells>
  <phoneticPr fontId="8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8563F-78AF-46DE-A2B2-6AE9269B8BA4}">
  <dimension ref="A1:AV48"/>
  <sheetViews>
    <sheetView topLeftCell="Y1" zoomScale="50" zoomScaleNormal="50" workbookViewId="0">
      <selection activeCell="AK11" sqref="AK11"/>
    </sheetView>
  </sheetViews>
  <sheetFormatPr defaultColWidth="8.85546875" defaultRowHeight="15"/>
  <cols>
    <col min="1" max="1" width="7.85546875" style="5" customWidth="1"/>
    <col min="2" max="2" width="16.42578125" style="5" customWidth="1"/>
    <col min="3" max="3" width="14.28515625" style="5" customWidth="1"/>
    <col min="4" max="4" width="15.140625" style="5" customWidth="1"/>
    <col min="5" max="5" width="15.42578125" style="5" customWidth="1"/>
    <col min="6" max="6" width="21.85546875" style="5" customWidth="1"/>
    <col min="7" max="7" width="18.42578125" style="5" customWidth="1"/>
    <col min="8" max="8" width="17.28515625" style="5" customWidth="1"/>
    <col min="9" max="9" width="13.85546875" style="5" customWidth="1"/>
    <col min="10" max="10" width="16.28515625" style="5" customWidth="1"/>
    <col min="11" max="11" width="16" style="5" bestFit="1" customWidth="1"/>
    <col min="12" max="14" width="14.140625" style="5" customWidth="1"/>
    <col min="15" max="15" width="18.42578125" style="5" customWidth="1"/>
    <col min="16" max="16" width="15.85546875" style="5" customWidth="1"/>
    <col min="17" max="17" width="8.85546875" style="5"/>
    <col min="18" max="18" width="15" style="5" customWidth="1"/>
    <col min="19" max="19" width="12.85546875" style="5" bestFit="1" customWidth="1"/>
    <col min="20" max="20" width="14.42578125" style="5" customWidth="1"/>
    <col min="21" max="21" width="11.42578125" style="5" customWidth="1"/>
    <col min="22" max="22" width="25.7109375" style="5" customWidth="1"/>
    <col min="23" max="23" width="16.140625" style="5" customWidth="1"/>
    <col min="24" max="24" width="16" style="5" bestFit="1" customWidth="1"/>
    <col min="25" max="25" width="8.28515625" style="5" bestFit="1" customWidth="1"/>
    <col min="26" max="26" width="16.7109375" style="5" bestFit="1" customWidth="1"/>
    <col min="27" max="27" width="16" style="5" bestFit="1" customWidth="1"/>
    <col min="28" max="28" width="11.28515625" style="5" bestFit="1" customWidth="1"/>
    <col min="29" max="30" width="14.7109375" style="5" bestFit="1" customWidth="1"/>
    <col min="31" max="32" width="14.85546875" style="5" customWidth="1"/>
    <col min="33" max="33" width="8.85546875" style="5"/>
    <col min="34" max="34" width="14.85546875" style="5" customWidth="1"/>
    <col min="35" max="37" width="14.140625" style="5" customWidth="1"/>
    <col min="38" max="38" width="20.42578125" style="5" customWidth="1"/>
    <col min="39" max="39" width="13.85546875" style="5" bestFit="1" customWidth="1"/>
    <col min="40" max="40" width="16" style="5" bestFit="1" customWidth="1"/>
    <col min="41" max="41" width="16.7109375" style="5" bestFit="1" customWidth="1"/>
    <col min="42" max="42" width="16" style="5" bestFit="1" customWidth="1"/>
    <col min="43" max="43" width="13.85546875" style="5" bestFit="1" customWidth="1"/>
    <col min="44" max="44" width="11.7109375" style="5" bestFit="1" customWidth="1"/>
    <col min="45" max="48" width="14.7109375" style="5" bestFit="1" customWidth="1"/>
    <col min="49" max="16384" width="8.85546875" style="5"/>
  </cols>
  <sheetData>
    <row r="1" spans="1:48" ht="15.75">
      <c r="A1" s="132" t="s">
        <v>250</v>
      </c>
      <c r="J1" s="81"/>
    </row>
    <row r="2" spans="1:48" ht="15.75">
      <c r="B2" s="49" t="s">
        <v>1055</v>
      </c>
      <c r="D2" s="73">
        <v>0.03</v>
      </c>
      <c r="E2" s="73"/>
      <c r="F2" s="49" t="s">
        <v>1056</v>
      </c>
      <c r="G2" s="49"/>
      <c r="H2" s="925">
        <v>13.741</v>
      </c>
      <c r="I2" s="49"/>
      <c r="J2" s="81"/>
      <c r="K2" s="184"/>
      <c r="L2" s="49"/>
      <c r="M2" s="49"/>
      <c r="N2" s="49"/>
      <c r="O2" s="49"/>
      <c r="P2" s="49"/>
      <c r="R2" s="49"/>
      <c r="S2" s="49"/>
      <c r="T2" s="73"/>
      <c r="U2" s="73"/>
      <c r="V2" s="49"/>
      <c r="W2" s="49"/>
      <c r="X2" s="74"/>
      <c r="Y2" s="49"/>
      <c r="Z2" s="49"/>
      <c r="AA2" s="49"/>
      <c r="AB2" s="49"/>
      <c r="AC2" s="49"/>
      <c r="AD2" s="49"/>
      <c r="AE2" s="49"/>
      <c r="AF2" s="49"/>
      <c r="AH2" s="49"/>
      <c r="AI2" s="49"/>
      <c r="AJ2" s="73"/>
      <c r="AK2" s="73"/>
      <c r="AL2" s="49"/>
      <c r="AM2" s="49"/>
      <c r="AN2" s="74"/>
      <c r="AO2" s="49"/>
      <c r="AP2" s="49"/>
      <c r="AQ2" s="49"/>
      <c r="AR2" s="49"/>
      <c r="AS2" s="49"/>
      <c r="AT2" s="49"/>
      <c r="AU2" s="49"/>
      <c r="AV2" s="49"/>
    </row>
    <row r="3" spans="1:48" ht="15.75">
      <c r="B3" s="49" t="s">
        <v>1057</v>
      </c>
      <c r="D3" s="75">
        <v>3</v>
      </c>
      <c r="E3" s="75"/>
      <c r="F3" s="49" t="s">
        <v>1058</v>
      </c>
      <c r="G3" s="49"/>
      <c r="H3" s="73">
        <v>1</v>
      </c>
      <c r="I3" s="49"/>
      <c r="J3" s="81"/>
      <c r="K3" s="184"/>
      <c r="L3" s="49"/>
      <c r="M3" s="49"/>
      <c r="N3" s="49"/>
      <c r="O3" s="49"/>
      <c r="P3" s="49"/>
      <c r="R3" s="49"/>
      <c r="S3" s="49"/>
      <c r="T3" s="75"/>
      <c r="U3" s="75"/>
      <c r="V3" s="49"/>
      <c r="W3" s="49"/>
      <c r="X3" s="73"/>
      <c r="Y3" s="49"/>
      <c r="Z3" s="49"/>
      <c r="AA3" s="49"/>
      <c r="AB3" s="49"/>
      <c r="AC3" s="49"/>
      <c r="AD3" s="49"/>
      <c r="AE3" s="49"/>
      <c r="AF3" s="49"/>
      <c r="AH3" s="49"/>
      <c r="AI3" s="49"/>
      <c r="AJ3" s="75"/>
      <c r="AK3" s="75"/>
      <c r="AL3" s="49"/>
      <c r="AM3" s="49"/>
      <c r="AN3" s="73"/>
      <c r="AO3" s="49"/>
      <c r="AP3" s="49"/>
      <c r="AQ3" s="49"/>
      <c r="AR3" s="49"/>
      <c r="AS3" s="49"/>
      <c r="AT3" s="49"/>
      <c r="AU3" s="49"/>
      <c r="AV3" s="49"/>
    </row>
    <row r="4" spans="1:48" ht="15.75">
      <c r="B4" s="49" t="s">
        <v>285</v>
      </c>
      <c r="D4" s="76">
        <f>+Assumptions!$N$161</f>
        <v>1.25</v>
      </c>
      <c r="E4" s="76"/>
      <c r="F4" s="49" t="s">
        <v>1059</v>
      </c>
      <c r="G4" s="49"/>
      <c r="H4" s="73">
        <v>0.16089999999999999</v>
      </c>
      <c r="I4" s="49"/>
      <c r="J4" s="81"/>
      <c r="K4" s="184"/>
      <c r="L4" s="49"/>
      <c r="M4" s="49"/>
      <c r="N4" s="49"/>
      <c r="O4" s="49"/>
      <c r="P4" s="49"/>
      <c r="R4" s="49"/>
      <c r="S4" s="49"/>
      <c r="T4" s="76"/>
      <c r="U4" s="76"/>
      <c r="V4" s="49"/>
      <c r="W4" s="49"/>
      <c r="X4" s="73"/>
      <c r="Y4" s="49"/>
      <c r="Z4" s="49"/>
      <c r="AA4" s="49"/>
      <c r="AB4" s="49"/>
      <c r="AC4" s="49"/>
      <c r="AD4" s="49"/>
      <c r="AE4" s="49"/>
      <c r="AF4" s="49"/>
      <c r="AH4" s="49"/>
      <c r="AI4" s="49"/>
      <c r="AJ4" s="76"/>
      <c r="AK4" s="76"/>
      <c r="AL4" s="49"/>
      <c r="AM4" s="49"/>
      <c r="AN4" s="73"/>
      <c r="AO4" s="49"/>
      <c r="AP4" s="49"/>
      <c r="AQ4" s="49"/>
      <c r="AR4" s="49"/>
      <c r="AS4" s="49"/>
      <c r="AT4" s="49"/>
      <c r="AU4" s="49"/>
      <c r="AV4" s="49"/>
    </row>
    <row r="5" spans="1:48" ht="15.75">
      <c r="B5" s="49" t="s">
        <v>682</v>
      </c>
      <c r="D5" s="77">
        <v>45</v>
      </c>
      <c r="E5" s="77"/>
      <c r="F5" s="49" t="s">
        <v>1060</v>
      </c>
      <c r="G5" s="49"/>
      <c r="H5" s="78">
        <v>6.6699999999999995E-2</v>
      </c>
      <c r="I5" s="49"/>
      <c r="J5" s="49"/>
      <c r="K5" s="49"/>
      <c r="L5" s="49"/>
      <c r="M5" s="49"/>
      <c r="N5" s="49"/>
      <c r="O5" s="49"/>
      <c r="P5" s="49"/>
      <c r="R5" s="49"/>
      <c r="S5" s="49"/>
      <c r="T5" s="77"/>
      <c r="U5" s="77"/>
      <c r="V5" s="49"/>
      <c r="W5" s="49"/>
      <c r="X5" s="78"/>
      <c r="Y5" s="49"/>
      <c r="Z5" s="49"/>
      <c r="AA5" s="49"/>
      <c r="AB5" s="49"/>
      <c r="AC5" s="49"/>
      <c r="AD5" s="49"/>
      <c r="AE5" s="49"/>
      <c r="AF5" s="49"/>
      <c r="AH5" s="49"/>
      <c r="AI5" s="49"/>
      <c r="AJ5" s="77"/>
      <c r="AK5" s="77"/>
      <c r="AL5" s="49"/>
      <c r="AM5" s="49"/>
      <c r="AN5" s="78"/>
      <c r="AO5" s="49"/>
      <c r="AP5" s="49"/>
      <c r="AQ5" s="49"/>
      <c r="AR5" s="49"/>
      <c r="AS5" s="49"/>
      <c r="AT5" s="49"/>
      <c r="AU5" s="49"/>
      <c r="AV5" s="49"/>
    </row>
    <row r="6" spans="1:48" ht="15.75">
      <c r="B6" s="49" t="s">
        <v>1061</v>
      </c>
      <c r="D6" s="79">
        <f>+Assumptions!$N$162</f>
        <v>4.3999999999999997E-2</v>
      </c>
      <c r="E6" s="79"/>
      <c r="F6" s="80"/>
      <c r="G6" s="80"/>
      <c r="H6" s="80"/>
      <c r="I6" s="49"/>
      <c r="J6" s="49"/>
      <c r="K6" s="49"/>
      <c r="L6" s="49"/>
      <c r="M6" s="83"/>
      <c r="N6" s="49"/>
      <c r="O6" s="49"/>
      <c r="P6" s="49"/>
      <c r="R6" s="49"/>
      <c r="S6" s="49"/>
      <c r="T6" s="79"/>
      <c r="U6" s="79"/>
      <c r="V6" s="80"/>
      <c r="W6" s="80"/>
      <c r="X6" s="80"/>
      <c r="Y6" s="49"/>
      <c r="Z6" s="49"/>
      <c r="AA6" s="49"/>
      <c r="AB6" s="49"/>
      <c r="AC6" s="49"/>
      <c r="AD6" s="49"/>
      <c r="AE6" s="49"/>
      <c r="AF6" s="49"/>
      <c r="AH6" s="49"/>
      <c r="AI6" s="49"/>
      <c r="AJ6" s="79"/>
      <c r="AK6" s="79"/>
      <c r="AL6" s="80"/>
      <c r="AM6" s="80"/>
      <c r="AN6" s="80"/>
      <c r="AO6" s="49"/>
      <c r="AP6" s="49"/>
      <c r="AQ6" s="49"/>
      <c r="AR6" s="49"/>
      <c r="AS6" s="49"/>
      <c r="AT6" s="49"/>
      <c r="AU6" s="49"/>
      <c r="AV6" s="49"/>
    </row>
    <row r="7" spans="1:48" ht="15.75"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</row>
    <row r="8" spans="1:48" ht="15.75">
      <c r="B8" s="468" t="s">
        <v>255</v>
      </c>
      <c r="C8" s="468"/>
      <c r="D8" s="540"/>
      <c r="E8" s="540"/>
      <c r="F8" s="540"/>
      <c r="G8" s="540"/>
      <c r="H8" s="540"/>
      <c r="I8" s="468"/>
      <c r="J8" s="541"/>
      <c r="K8" s="541"/>
      <c r="L8" s="541"/>
      <c r="M8" s="541"/>
      <c r="N8" s="541"/>
      <c r="O8" s="541"/>
      <c r="P8" s="541"/>
      <c r="R8" s="468" t="s">
        <v>256</v>
      </c>
      <c r="S8" s="468"/>
      <c r="T8" s="540"/>
      <c r="U8" s="540"/>
      <c r="V8" s="540"/>
      <c r="W8" s="540"/>
      <c r="X8" s="540"/>
      <c r="Y8" s="468"/>
      <c r="Z8" s="541"/>
      <c r="AA8" s="541"/>
      <c r="AB8" s="541"/>
      <c r="AC8" s="541"/>
      <c r="AD8" s="541"/>
      <c r="AE8" s="541"/>
      <c r="AF8" s="541"/>
      <c r="AH8" s="468" t="s">
        <v>257</v>
      </c>
      <c r="AI8" s="468"/>
      <c r="AJ8" s="540"/>
      <c r="AK8" s="540"/>
      <c r="AL8" s="540"/>
      <c r="AM8" s="540"/>
      <c r="AN8" s="540"/>
      <c r="AO8" s="468"/>
      <c r="AP8" s="541"/>
      <c r="AQ8" s="541"/>
      <c r="AR8" s="541"/>
      <c r="AS8" s="541"/>
      <c r="AT8" s="541"/>
      <c r="AU8" s="541"/>
      <c r="AV8" s="541"/>
    </row>
    <row r="9" spans="1:48" ht="15.75">
      <c r="B9" s="81" t="s">
        <v>1062</v>
      </c>
      <c r="C9" s="82">
        <f>+INDEX(Assumptions!$F$29:$H$29,1,MATCH('Taxes and TIF'!B8,Assumptions!$F$26:$H$26,0))</f>
        <v>45657</v>
      </c>
      <c r="D9" s="49"/>
      <c r="E9" s="49"/>
      <c r="F9" s="81" t="s">
        <v>1063</v>
      </c>
      <c r="H9" s="82">
        <f>+INDEX(Assumptions!$F$31:$H$31,1,MATCH('Taxes and TIF'!B8,Assumptions!$F$26:$H$26,0))</f>
        <v>46752</v>
      </c>
      <c r="I9" s="49"/>
      <c r="J9" s="81" t="s">
        <v>1064</v>
      </c>
      <c r="K9" s="83">
        <f ca="1">+SUM('Loan Sizing'!$F$22:$F$31,'Loan Sizing'!$F$50,'Loan Sizing'!$F$66)/$H$5</f>
        <v>316643931.23468578</v>
      </c>
      <c r="L9" s="83"/>
      <c r="M9" s="83"/>
      <c r="N9" s="49"/>
      <c r="O9" s="49"/>
      <c r="P9" s="49"/>
      <c r="R9" s="81" t="s">
        <v>1062</v>
      </c>
      <c r="S9" s="82">
        <f>+INDEX(Assumptions!$F$29:$H$29,1,MATCH('Taxes and TIF'!R8,Assumptions!$F$26:$H$26,0))</f>
        <v>46752</v>
      </c>
      <c r="T9" s="49"/>
      <c r="U9" s="49"/>
      <c r="V9" s="81" t="s">
        <v>1063</v>
      </c>
      <c r="W9" s="82">
        <f>+INDEX(Assumptions!$F$31:$H$31,1,MATCH('Taxes and TIF'!R8,Assumptions!$F$26:$H$26,0))</f>
        <v>47483</v>
      </c>
      <c r="X9" s="82"/>
      <c r="Y9" s="49"/>
      <c r="Z9" s="81" t="s">
        <v>1065</v>
      </c>
      <c r="AA9" s="83">
        <f ca="1">+SUM('Loan Sizing'!$G$22:$G$31,'Loan Sizing'!$G$50,'Loan Sizing'!$G$66)/$H$5</f>
        <v>287215470.02022082</v>
      </c>
      <c r="AB9" s="83"/>
      <c r="AC9" s="83"/>
      <c r="AD9" s="49"/>
      <c r="AE9" s="49"/>
      <c r="AF9" s="49"/>
      <c r="AH9" s="81" t="s">
        <v>1062</v>
      </c>
      <c r="AI9" s="82">
        <f>+INDEX(Assumptions!$F$29:$H$29,1,MATCH('Taxes and TIF'!AH8,Assumptions!$F$26:$H$26,0))</f>
        <v>47483</v>
      </c>
      <c r="AJ9" s="49"/>
      <c r="AK9" s="49"/>
      <c r="AL9" s="81" t="s">
        <v>1063</v>
      </c>
      <c r="AM9" s="82">
        <f>+INDEX(Assumptions!$F$31:$H$31,1,MATCH('Taxes and TIF'!AH8,Assumptions!$F$26:$H$26,0))</f>
        <v>48213</v>
      </c>
      <c r="AN9" s="82"/>
      <c r="AO9" s="81" t="s">
        <v>1065</v>
      </c>
      <c r="AP9" s="83">
        <f ca="1">+SUM('Loan Sizing'!$H$22:$H$31,'Loan Sizing'!$H$50,'Loan Sizing'!$H$66)/$H$5</f>
        <v>292415155.64325267</v>
      </c>
      <c r="AQ9" s="83"/>
      <c r="AR9" s="83"/>
      <c r="AS9" s="83"/>
      <c r="AT9" s="49"/>
      <c r="AU9" s="49"/>
      <c r="AV9" s="49"/>
    </row>
    <row r="10" spans="1:48" ht="63.6" customHeight="1" thickBot="1">
      <c r="B10" s="84" t="s">
        <v>1066</v>
      </c>
      <c r="C10" s="84" t="s">
        <v>1067</v>
      </c>
      <c r="D10" s="84" t="s">
        <v>1068</v>
      </c>
      <c r="E10" s="84" t="s">
        <v>1055</v>
      </c>
      <c r="F10" s="84" t="s">
        <v>1064</v>
      </c>
      <c r="G10" s="84" t="s">
        <v>1058</v>
      </c>
      <c r="H10" s="84" t="s">
        <v>1069</v>
      </c>
      <c r="I10" s="84" t="s">
        <v>1056</v>
      </c>
      <c r="J10" s="84" t="s">
        <v>1070</v>
      </c>
      <c r="K10" s="84" t="s">
        <v>1059</v>
      </c>
      <c r="L10" s="84" t="s">
        <v>1071</v>
      </c>
      <c r="M10" s="84" t="s">
        <v>1072</v>
      </c>
      <c r="N10" s="84" t="s">
        <v>1073</v>
      </c>
      <c r="O10" s="84" t="s">
        <v>1074</v>
      </c>
      <c r="P10" s="85"/>
      <c r="R10" s="84" t="s">
        <v>1066</v>
      </c>
      <c r="S10" s="84" t="s">
        <v>1067</v>
      </c>
      <c r="T10" s="84" t="s">
        <v>1068</v>
      </c>
      <c r="U10" s="84" t="s">
        <v>1055</v>
      </c>
      <c r="V10" s="84" t="s">
        <v>1064</v>
      </c>
      <c r="W10" s="84" t="s">
        <v>1058</v>
      </c>
      <c r="X10" s="84" t="s">
        <v>1069</v>
      </c>
      <c r="Y10" s="84" t="s">
        <v>1056</v>
      </c>
      <c r="Z10" s="84" t="s">
        <v>1070</v>
      </c>
      <c r="AA10" s="84" t="s">
        <v>1059</v>
      </c>
      <c r="AB10" s="84" t="s">
        <v>1071</v>
      </c>
      <c r="AC10" s="84" t="s">
        <v>1072</v>
      </c>
      <c r="AD10" s="84" t="s">
        <v>1073</v>
      </c>
      <c r="AE10" s="84" t="s">
        <v>1074</v>
      </c>
      <c r="AF10" s="85"/>
      <c r="AH10" s="84" t="s">
        <v>1066</v>
      </c>
      <c r="AI10" s="84" t="s">
        <v>1067</v>
      </c>
      <c r="AJ10" s="84" t="s">
        <v>1068</v>
      </c>
      <c r="AK10" s="84" t="s">
        <v>1055</v>
      </c>
      <c r="AL10" s="84" t="s">
        <v>1064</v>
      </c>
      <c r="AM10" s="84" t="s">
        <v>1058</v>
      </c>
      <c r="AN10" s="84" t="s">
        <v>1069</v>
      </c>
      <c r="AO10" s="84" t="s">
        <v>1056</v>
      </c>
      <c r="AP10" s="84" t="s">
        <v>1070</v>
      </c>
      <c r="AQ10" s="84" t="s">
        <v>1059</v>
      </c>
      <c r="AR10" s="84" t="s">
        <v>1071</v>
      </c>
      <c r="AS10" s="84" t="s">
        <v>1072</v>
      </c>
      <c r="AT10" s="84" t="s">
        <v>1073</v>
      </c>
      <c r="AU10" s="84" t="s">
        <v>1074</v>
      </c>
      <c r="AV10" s="85"/>
    </row>
    <row r="11" spans="1:48" ht="15.75">
      <c r="A11" s="136">
        <v>0</v>
      </c>
      <c r="B11" s="1083">
        <f>+C9</f>
        <v>45657</v>
      </c>
      <c r="C11" s="699">
        <v>0</v>
      </c>
      <c r="D11" s="86">
        <f>+INDEX(Budget!$H$35:$J$35,1,MATCH('Taxes and TIF'!B8,Budget!$H$31:$J$31,0))</f>
        <v>57533874.841383234</v>
      </c>
      <c r="E11" s="926">
        <v>1</v>
      </c>
      <c r="F11" s="83">
        <f>+IF(B11&gt;=H$9,K$9,0)*E11</f>
        <v>0</v>
      </c>
      <c r="G11" s="87">
        <f>+$H$3</f>
        <v>1</v>
      </c>
      <c r="H11" s="83">
        <f>+F11*G11</f>
        <v>0</v>
      </c>
      <c r="I11" s="88">
        <f>+$H$2</f>
        <v>13.741</v>
      </c>
      <c r="J11" s="83">
        <f>+MAX(I11*H11/1000-L11,0)</f>
        <v>0</v>
      </c>
      <c r="K11" s="87">
        <f>+$H$4</f>
        <v>0.16089999999999999</v>
      </c>
      <c r="L11" s="83">
        <f>+D11*G11*I11/1000</f>
        <v>790572.97419544694</v>
      </c>
      <c r="M11" s="83">
        <f>+L11+J11</f>
        <v>790572.97419544694</v>
      </c>
      <c r="N11" s="83">
        <f>+J11*(1-K11)</f>
        <v>0</v>
      </c>
      <c r="O11" s="83">
        <f>+N11/$D$4</f>
        <v>0</v>
      </c>
      <c r="P11" s="89" t="str">
        <f>+IF(O11=0,"",O11)</f>
        <v/>
      </c>
      <c r="R11" s="1083">
        <f>+S9</f>
        <v>46752</v>
      </c>
      <c r="S11" s="699">
        <v>0</v>
      </c>
      <c r="T11" s="86">
        <f>+INDEX(Budget!$H$35:$J$35,1,MATCH('Taxes and TIF'!R8,Budget!$H$31:$J$31,0))</f>
        <v>4691009.3245623549</v>
      </c>
      <c r="U11" s="926">
        <v>1</v>
      </c>
      <c r="V11" s="83">
        <f>+IF(R11&gt;=W$9,AA$9,0)*U11</f>
        <v>0</v>
      </c>
      <c r="W11" s="87">
        <f>+$H$3</f>
        <v>1</v>
      </c>
      <c r="X11" s="83">
        <f>+V11*W11</f>
        <v>0</v>
      </c>
      <c r="Y11" s="88">
        <f>+$H$2</f>
        <v>13.741</v>
      </c>
      <c r="Z11" s="83">
        <f>+MAX(Y11*X11/1000-AB11,0)</f>
        <v>0</v>
      </c>
      <c r="AA11" s="87">
        <f>+$H$4</f>
        <v>0.16089999999999999</v>
      </c>
      <c r="AB11" s="83">
        <f>+T11*W11*Y11/1000</f>
        <v>64459.159128811312</v>
      </c>
      <c r="AC11" s="83">
        <f>+AB11+Z11</f>
        <v>64459.159128811312</v>
      </c>
      <c r="AD11" s="83">
        <f>+Z11*(1-AA11)</f>
        <v>0</v>
      </c>
      <c r="AE11" s="83">
        <f>+AD11/$D$4</f>
        <v>0</v>
      </c>
      <c r="AF11" s="89" t="str">
        <f>+IF(AE11=0,"",AE11)</f>
        <v/>
      </c>
      <c r="AH11" s="1083">
        <f>+AI9</f>
        <v>47483</v>
      </c>
      <c r="AI11" s="699">
        <v>0</v>
      </c>
      <c r="AJ11" s="86">
        <f>+INDEX(Budget!$H$35:$J$35,1,MATCH('Taxes and TIF'!AH8,Budget!$H$31:$J$31,0))</f>
        <v>8202838.3909464516</v>
      </c>
      <c r="AK11" s="926">
        <v>1</v>
      </c>
      <c r="AL11" s="83">
        <f>+IF(AH11&gt;=AM$9,AP$9,0)*AK11</f>
        <v>0</v>
      </c>
      <c r="AM11" s="87">
        <f>+$H$3</f>
        <v>1</v>
      </c>
      <c r="AN11" s="83">
        <f>+AL11*AM11</f>
        <v>0</v>
      </c>
      <c r="AO11" s="88">
        <f>+$H$2</f>
        <v>13.741</v>
      </c>
      <c r="AP11" s="83">
        <f>+MAX(AO11*AN11/1000-AR11,0)</f>
        <v>0</v>
      </c>
      <c r="AQ11" s="87">
        <f>+$H$4</f>
        <v>0.16089999999999999</v>
      </c>
      <c r="AR11" s="83">
        <f>+AJ11*AM11*AO11/1000</f>
        <v>112715.20232999518</v>
      </c>
      <c r="AS11" s="83">
        <f>+AR11+AP11</f>
        <v>112715.20232999518</v>
      </c>
      <c r="AT11" s="83">
        <f>+AP11*(1-AQ11)</f>
        <v>0</v>
      </c>
      <c r="AU11" s="83">
        <f>+AT11/$D$4</f>
        <v>0</v>
      </c>
      <c r="AV11" s="89" t="str">
        <f>+IF(AU11=0,"",AU11)</f>
        <v/>
      </c>
    </row>
    <row r="12" spans="1:48" ht="15.75">
      <c r="A12" s="136">
        <f>+MOD(A11+1,$D$3)</f>
        <v>1</v>
      </c>
      <c r="B12" s="1083">
        <f>+EOMONTH(B11,12)</f>
        <v>46022</v>
      </c>
      <c r="C12" s="699">
        <f>+IF(B12&gt;=H$9,C11+1,C11)</f>
        <v>0</v>
      </c>
      <c r="D12" s="90">
        <f>+$D$11*E12</f>
        <v>57533874.841383234</v>
      </c>
      <c r="E12" s="91">
        <f>+E11*(1+IF($A12=0,$D$2,0))</f>
        <v>1</v>
      </c>
      <c r="F12" s="83">
        <f>+IF(B12&gt;=H$9,K$9,0)*E12</f>
        <v>0</v>
      </c>
      <c r="G12" s="87">
        <f>G11</f>
        <v>1</v>
      </c>
      <c r="H12" s="83">
        <f t="shared" ref="H12:H45" si="0">+F12*G12</f>
        <v>0</v>
      </c>
      <c r="I12" s="88">
        <f>+I11</f>
        <v>13.741</v>
      </c>
      <c r="J12" s="83">
        <f t="shared" ref="J12:J45" si="1">+MAX(I12*H12/1000-L12,0)</f>
        <v>0</v>
      </c>
      <c r="K12" s="87">
        <f>+K11</f>
        <v>0.16089999999999999</v>
      </c>
      <c r="L12" s="83">
        <f t="shared" ref="L12:L45" si="2">+D12*G12*I12/1000</f>
        <v>790572.97419544694</v>
      </c>
      <c r="M12" s="83">
        <f t="shared" ref="M12:M45" si="3">+L12+J12</f>
        <v>790572.97419544694</v>
      </c>
      <c r="N12" s="83">
        <f t="shared" ref="N12:N45" si="4">+J12*(1-K12)</f>
        <v>0</v>
      </c>
      <c r="O12" s="83">
        <f t="shared" ref="O12:O45" si="5">+N12/$D$4</f>
        <v>0</v>
      </c>
      <c r="P12" s="89" t="str">
        <f t="shared" ref="P12:P47" si="6">+IF(O12=0,"",O12)</f>
        <v/>
      </c>
      <c r="R12" s="1083">
        <f>+EOMONTH(R11,12)</f>
        <v>47118</v>
      </c>
      <c r="S12" s="699">
        <f>+IF(R12&gt;=X$9,S11+1,S11)</f>
        <v>1</v>
      </c>
      <c r="T12" s="90">
        <f>+T11</f>
        <v>4691009.3245623549</v>
      </c>
      <c r="U12" s="91">
        <f>+U11*(1+IF($A12=0,$D$2,0))</f>
        <v>1</v>
      </c>
      <c r="V12" s="83">
        <f t="shared" ref="V12:V45" si="7">+IF(R12&gt;=W$9,AA$9,0)*U12</f>
        <v>0</v>
      </c>
      <c r="W12" s="87">
        <f>W11</f>
        <v>1</v>
      </c>
      <c r="X12" s="83">
        <f t="shared" ref="X12:X45" si="8">+V12*W12</f>
        <v>0</v>
      </c>
      <c r="Y12" s="88">
        <f>+Y11</f>
        <v>13.741</v>
      </c>
      <c r="Z12" s="83">
        <f t="shared" ref="Z12:Z45" si="9">+MAX(Y12*X12/1000-AB12,0)</f>
        <v>0</v>
      </c>
      <c r="AA12" s="87">
        <f>+AA11</f>
        <v>0.16089999999999999</v>
      </c>
      <c r="AB12" s="83">
        <f t="shared" ref="AB12:AB45" si="10">+T12*W12*Y12/1000</f>
        <v>64459.159128811312</v>
      </c>
      <c r="AC12" s="83">
        <f t="shared" ref="AC12:AC45" si="11">+AB12+Z12</f>
        <v>64459.159128811312</v>
      </c>
      <c r="AD12" s="83">
        <f t="shared" ref="AD12:AD45" si="12">+Z12*(1-AA12)</f>
        <v>0</v>
      </c>
      <c r="AE12" s="83">
        <f t="shared" ref="AE12:AE45" si="13">+AD12/$D$4</f>
        <v>0</v>
      </c>
      <c r="AF12" s="89" t="str">
        <f t="shared" ref="AF12:AF47" si="14">+IF(AE12=0,"",AE12)</f>
        <v/>
      </c>
      <c r="AH12" s="1083">
        <f>+EOMONTH(AH11,12)</f>
        <v>47848</v>
      </c>
      <c r="AI12" s="699">
        <f>+IF(AH12&gt;=AN$9,AI11+1,AI11)</f>
        <v>1</v>
      </c>
      <c r="AJ12" s="90">
        <f>+AJ11</f>
        <v>8202838.3909464516</v>
      </c>
      <c r="AK12" s="91">
        <f>+AK11*(1+IF($A12=0,$D$2,0))</f>
        <v>1</v>
      </c>
      <c r="AL12" s="83">
        <f t="shared" ref="AL12:AL45" si="15">+IF(AH12&gt;=AM$9,AP$9,0)*AK12</f>
        <v>0</v>
      </c>
      <c r="AM12" s="87">
        <f>AM11</f>
        <v>1</v>
      </c>
      <c r="AN12" s="83">
        <f t="shared" ref="AN12:AN45" si="16">+AL12*AM12</f>
        <v>0</v>
      </c>
      <c r="AO12" s="88">
        <f>+AO11</f>
        <v>13.741</v>
      </c>
      <c r="AP12" s="83">
        <f t="shared" ref="AP12:AP45" si="17">+MAX(AO12*AN12/1000-AR12,0)</f>
        <v>0</v>
      </c>
      <c r="AQ12" s="87">
        <f>+AQ11</f>
        <v>0.16089999999999999</v>
      </c>
      <c r="AR12" s="83">
        <f t="shared" ref="AR12:AR45" si="18">+AJ12*AM12*AO12/1000</f>
        <v>112715.20232999518</v>
      </c>
      <c r="AS12" s="83">
        <f t="shared" ref="AS12:AS45" si="19">+AR12+AP12</f>
        <v>112715.20232999518</v>
      </c>
      <c r="AT12" s="83">
        <f t="shared" ref="AT12:AT45" si="20">+AP12*(1-AQ12)</f>
        <v>0</v>
      </c>
      <c r="AU12" s="83">
        <f t="shared" ref="AU12:AU45" si="21">+AT12/$D$4</f>
        <v>0</v>
      </c>
      <c r="AV12" s="89" t="str">
        <f t="shared" ref="AV12:AV47" si="22">+IF(AU12=0,"",AU12)</f>
        <v/>
      </c>
    </row>
    <row r="13" spans="1:48" ht="15.75">
      <c r="A13" s="136">
        <f t="shared" ref="A13:A45" si="23">+MOD(A12+1,$D$3)</f>
        <v>2</v>
      </c>
      <c r="B13" s="1083">
        <f t="shared" ref="B13:B45" si="24">+EOMONTH(B12,12)</f>
        <v>46387</v>
      </c>
      <c r="C13" s="699">
        <f t="shared" ref="C13:C45" si="25">+IF(B13&gt;=H$9,C12+1,C12)</f>
        <v>0</v>
      </c>
      <c r="D13" s="90">
        <f t="shared" ref="D13:D45" si="26">+$D$11*E13</f>
        <v>57533874.841383234</v>
      </c>
      <c r="E13" s="91">
        <f t="shared" ref="E13:E45" si="27">+E12*(1+IF($A13=0,$D$2,0))</f>
        <v>1</v>
      </c>
      <c r="F13" s="83">
        <f>+IF(B13&gt;=H$9,K$9,0)*E13</f>
        <v>0</v>
      </c>
      <c r="G13" s="87">
        <f t="shared" ref="G13:G45" si="28">G12</f>
        <v>1</v>
      </c>
      <c r="H13" s="83">
        <f t="shared" si="0"/>
        <v>0</v>
      </c>
      <c r="I13" s="88">
        <f t="shared" ref="I13:I45" si="29">+I12</f>
        <v>13.741</v>
      </c>
      <c r="J13" s="83">
        <f t="shared" si="1"/>
        <v>0</v>
      </c>
      <c r="K13" s="87">
        <f t="shared" ref="K13:K45" si="30">+K12</f>
        <v>0.16089999999999999</v>
      </c>
      <c r="L13" s="83">
        <f t="shared" si="2"/>
        <v>790572.97419544694</v>
      </c>
      <c r="M13" s="83">
        <f t="shared" si="3"/>
        <v>790572.97419544694</v>
      </c>
      <c r="N13" s="83">
        <f t="shared" si="4"/>
        <v>0</v>
      </c>
      <c r="O13" s="83">
        <f t="shared" si="5"/>
        <v>0</v>
      </c>
      <c r="P13" s="89" t="str">
        <f t="shared" si="6"/>
        <v/>
      </c>
      <c r="R13" s="1083">
        <f t="shared" ref="R13:R45" si="31">+EOMONTH(R12,12)</f>
        <v>47483</v>
      </c>
      <c r="S13" s="699">
        <f t="shared" ref="S13:S45" si="32">+IF(R13&gt;=X$9,S12+1,S12)</f>
        <v>2</v>
      </c>
      <c r="T13" s="90">
        <f t="shared" ref="T13:T45" si="33">+T12</f>
        <v>4691009.3245623549</v>
      </c>
      <c r="U13" s="91">
        <f t="shared" ref="U13:U45" si="34">+U12*(1+IF($A13=0,$D$2,0))</f>
        <v>1</v>
      </c>
      <c r="V13" s="83">
        <f ca="1">+IF(R13&gt;=W$9,AA$9,0)*U13</f>
        <v>287215470.02022082</v>
      </c>
      <c r="W13" s="87">
        <f t="shared" ref="W13:W45" si="35">W12</f>
        <v>1</v>
      </c>
      <c r="X13" s="83">
        <f ca="1">+V13*W13</f>
        <v>287215470.02022082</v>
      </c>
      <c r="Y13" s="88">
        <f t="shared" ref="Y13:Y45" si="36">+Y12</f>
        <v>13.741</v>
      </c>
      <c r="Z13" s="83">
        <f ca="1">+MAX(Y13*X13/1000-AB13,0)</f>
        <v>3882168.6144190426</v>
      </c>
      <c r="AA13" s="87">
        <f t="shared" ref="AA13:AA45" si="37">+AA12</f>
        <v>0.16089999999999999</v>
      </c>
      <c r="AB13" s="83">
        <f>+T13*W13*Y13/1000</f>
        <v>64459.159128811312</v>
      </c>
      <c r="AC13" s="83">
        <f ca="1">+AB13+Z13</f>
        <v>3946627.7735478538</v>
      </c>
      <c r="AD13" s="83">
        <f t="shared" ca="1" si="12"/>
        <v>3257527.6843590187</v>
      </c>
      <c r="AE13" s="83">
        <f t="shared" ca="1" si="13"/>
        <v>2606022.1474872148</v>
      </c>
      <c r="AF13" s="89">
        <f t="shared" ca="1" si="14"/>
        <v>2606022.1474872148</v>
      </c>
      <c r="AH13" s="1083">
        <f t="shared" ref="AH13:AH45" si="38">+EOMONTH(AH12,12)</f>
        <v>48213</v>
      </c>
      <c r="AI13" s="699">
        <f t="shared" ref="AI13:AI45" si="39">+IF(AH13&gt;=AN$9,AI12+1,AI12)</f>
        <v>2</v>
      </c>
      <c r="AJ13" s="90">
        <f t="shared" ref="AJ13:AJ45" si="40">+AJ12</f>
        <v>8202838.3909464516</v>
      </c>
      <c r="AK13" s="91">
        <f t="shared" ref="AK13:AK45" si="41">+AK12*(1+IF($A13=0,$D$2,0))</f>
        <v>1</v>
      </c>
      <c r="AL13" s="83">
        <f t="shared" ca="1" si="15"/>
        <v>292415155.64325267</v>
      </c>
      <c r="AM13" s="87">
        <f t="shared" ref="AM13:AM45" si="42">AM12</f>
        <v>1</v>
      </c>
      <c r="AN13" s="83">
        <f ca="1">+AL13*AM13</f>
        <v>292415155.64325267</v>
      </c>
      <c r="AO13" s="88">
        <f t="shared" ref="AO13:AO45" si="43">+AO12</f>
        <v>13.741</v>
      </c>
      <c r="AP13" s="83">
        <f t="shared" ca="1" si="17"/>
        <v>3905361.4513639398</v>
      </c>
      <c r="AQ13" s="87">
        <f t="shared" ref="AQ13:AQ45" si="44">+AQ12</f>
        <v>0.16089999999999999</v>
      </c>
      <c r="AR13" s="83">
        <f>+AJ13*AM13*AO13/1000</f>
        <v>112715.20232999518</v>
      </c>
      <c r="AS13" s="83">
        <f t="shared" ca="1" si="19"/>
        <v>4018076.6536939349</v>
      </c>
      <c r="AT13" s="83">
        <f ca="1">+AP13*(1-AQ13)</f>
        <v>3276988.7938394817</v>
      </c>
      <c r="AU13" s="83">
        <f ca="1">+AT13/$D$4</f>
        <v>2621591.0350715853</v>
      </c>
      <c r="AV13" s="89">
        <f t="shared" ca="1" si="22"/>
        <v>2621591.0350715853</v>
      </c>
    </row>
    <row r="14" spans="1:48" ht="15.75">
      <c r="A14" s="136">
        <f t="shared" si="23"/>
        <v>0</v>
      </c>
      <c r="B14" s="1083">
        <f t="shared" si="24"/>
        <v>46752</v>
      </c>
      <c r="C14" s="699">
        <f t="shared" si="25"/>
        <v>1</v>
      </c>
      <c r="D14" s="90">
        <f t="shared" si="26"/>
        <v>59259891.086624734</v>
      </c>
      <c r="E14" s="91">
        <f t="shared" si="27"/>
        <v>1.03</v>
      </c>
      <c r="F14" s="83">
        <f t="shared" ref="F14:F45" ca="1" si="45">+IF(B14&gt;=H$9,K$9,0)*E14</f>
        <v>326143249.17172635</v>
      </c>
      <c r="G14" s="87">
        <f t="shared" si="28"/>
        <v>1</v>
      </c>
      <c r="H14" s="83">
        <f ca="1">+F14*G14</f>
        <v>326143249.17172635</v>
      </c>
      <c r="I14" s="88">
        <f t="shared" si="29"/>
        <v>13.741</v>
      </c>
      <c r="J14" s="83">
        <f ca="1">+MAX(I14*H14/1000-L14,0)</f>
        <v>3667244.2234473806</v>
      </c>
      <c r="K14" s="87">
        <f t="shared" si="30"/>
        <v>0.16089999999999999</v>
      </c>
      <c r="L14" s="83">
        <f t="shared" si="2"/>
        <v>814290.16342131037</v>
      </c>
      <c r="M14" s="83">
        <f t="shared" ca="1" si="3"/>
        <v>4481534.3868686911</v>
      </c>
      <c r="N14" s="83">
        <f t="shared" ca="1" si="4"/>
        <v>3077184.6278946968</v>
      </c>
      <c r="O14" s="83">
        <f t="shared" ca="1" si="5"/>
        <v>2461747.7023157575</v>
      </c>
      <c r="P14" s="89">
        <f t="shared" ca="1" si="6"/>
        <v>2461747.7023157575</v>
      </c>
      <c r="R14" s="1083">
        <f t="shared" si="31"/>
        <v>47848</v>
      </c>
      <c r="S14" s="699">
        <f t="shared" si="32"/>
        <v>3</v>
      </c>
      <c r="T14" s="90">
        <f t="shared" si="33"/>
        <v>4691009.3245623549</v>
      </c>
      <c r="U14" s="91">
        <f t="shared" si="34"/>
        <v>1.03</v>
      </c>
      <c r="V14" s="83">
        <f t="shared" ca="1" si="7"/>
        <v>295831934.12082744</v>
      </c>
      <c r="W14" s="87">
        <f t="shared" si="35"/>
        <v>1</v>
      </c>
      <c r="X14" s="83">
        <f t="shared" ca="1" si="8"/>
        <v>295831934.12082744</v>
      </c>
      <c r="Y14" s="88">
        <f t="shared" si="36"/>
        <v>13.741</v>
      </c>
      <c r="Z14" s="83">
        <f t="shared" ca="1" si="9"/>
        <v>4000567.4476254783</v>
      </c>
      <c r="AA14" s="87">
        <f t="shared" si="37"/>
        <v>0.16089999999999999</v>
      </c>
      <c r="AB14" s="83">
        <f t="shared" si="10"/>
        <v>64459.159128811312</v>
      </c>
      <c r="AC14" s="83">
        <f t="shared" ca="1" si="11"/>
        <v>4065026.6067542895</v>
      </c>
      <c r="AD14" s="83">
        <f t="shared" ca="1" si="12"/>
        <v>3356876.1453025388</v>
      </c>
      <c r="AE14" s="83">
        <f t="shared" ca="1" si="13"/>
        <v>2685500.9162420309</v>
      </c>
      <c r="AF14" s="89">
        <f t="shared" ca="1" si="14"/>
        <v>2685500.9162420309</v>
      </c>
      <c r="AH14" s="1083">
        <f t="shared" si="38"/>
        <v>48579</v>
      </c>
      <c r="AI14" s="699">
        <f t="shared" si="39"/>
        <v>3</v>
      </c>
      <c r="AJ14" s="90">
        <f t="shared" si="40"/>
        <v>8202838.3909464516</v>
      </c>
      <c r="AK14" s="91">
        <f t="shared" si="41"/>
        <v>1.03</v>
      </c>
      <c r="AL14" s="83">
        <f t="shared" ca="1" si="15"/>
        <v>301187610.31255025</v>
      </c>
      <c r="AM14" s="87">
        <f t="shared" si="42"/>
        <v>1</v>
      </c>
      <c r="AN14" s="83">
        <f t="shared" ca="1" si="16"/>
        <v>301187610.31255025</v>
      </c>
      <c r="AO14" s="88">
        <f t="shared" si="43"/>
        <v>13.741</v>
      </c>
      <c r="AP14" s="83">
        <f t="shared" ca="1" si="17"/>
        <v>4025903.7509747576</v>
      </c>
      <c r="AQ14" s="87">
        <f t="shared" si="44"/>
        <v>0.16089999999999999</v>
      </c>
      <c r="AR14" s="83">
        <f t="shared" si="18"/>
        <v>112715.20232999518</v>
      </c>
      <c r="AS14" s="83">
        <f t="shared" ca="1" si="19"/>
        <v>4138618.9533047527</v>
      </c>
      <c r="AT14" s="83">
        <f t="shared" ca="1" si="20"/>
        <v>3378135.8374429191</v>
      </c>
      <c r="AU14" s="83">
        <f t="shared" ca="1" si="21"/>
        <v>2702508.6699543353</v>
      </c>
      <c r="AV14" s="89">
        <f t="shared" ca="1" si="22"/>
        <v>2702508.6699543353</v>
      </c>
    </row>
    <row r="15" spans="1:48" ht="15.75">
      <c r="A15" s="136">
        <f t="shared" si="23"/>
        <v>1</v>
      </c>
      <c r="B15" s="1083">
        <f t="shared" si="24"/>
        <v>47118</v>
      </c>
      <c r="C15" s="699">
        <f t="shared" si="25"/>
        <v>2</v>
      </c>
      <c r="D15" s="90">
        <f t="shared" si="26"/>
        <v>59259891.086624734</v>
      </c>
      <c r="E15" s="91">
        <f t="shared" si="27"/>
        <v>1.03</v>
      </c>
      <c r="F15" s="83">
        <f t="shared" ca="1" si="45"/>
        <v>326143249.17172635</v>
      </c>
      <c r="G15" s="87">
        <f t="shared" si="28"/>
        <v>1</v>
      </c>
      <c r="H15" s="83">
        <f t="shared" ca="1" si="0"/>
        <v>326143249.17172635</v>
      </c>
      <c r="I15" s="88">
        <f t="shared" si="29"/>
        <v>13.741</v>
      </c>
      <c r="J15" s="83">
        <f ca="1">+MAX(I15*H15/1000-L15,0)</f>
        <v>3667244.2234473806</v>
      </c>
      <c r="K15" s="87">
        <f t="shared" si="30"/>
        <v>0.16089999999999999</v>
      </c>
      <c r="L15" s="83">
        <f t="shared" si="2"/>
        <v>814290.16342131037</v>
      </c>
      <c r="M15" s="83">
        <f t="shared" ca="1" si="3"/>
        <v>4481534.3868686911</v>
      </c>
      <c r="N15" s="83">
        <f ca="1">+J15*(1-K15)</f>
        <v>3077184.6278946968</v>
      </c>
      <c r="O15" s="83">
        <f t="shared" ca="1" si="5"/>
        <v>2461747.7023157575</v>
      </c>
      <c r="P15" s="89">
        <f t="shared" ca="1" si="6"/>
        <v>2461747.7023157575</v>
      </c>
      <c r="R15" s="1083">
        <f t="shared" si="31"/>
        <v>48213</v>
      </c>
      <c r="S15" s="699">
        <f t="shared" si="32"/>
        <v>4</v>
      </c>
      <c r="T15" s="90">
        <f t="shared" si="33"/>
        <v>4691009.3245623549</v>
      </c>
      <c r="U15" s="91">
        <f t="shared" si="34"/>
        <v>1.03</v>
      </c>
      <c r="V15" s="83">
        <f t="shared" ca="1" si="7"/>
        <v>295831934.12082744</v>
      </c>
      <c r="W15" s="87">
        <f t="shared" si="35"/>
        <v>1</v>
      </c>
      <c r="X15" s="83">
        <f t="shared" ca="1" si="8"/>
        <v>295831934.12082744</v>
      </c>
      <c r="Y15" s="88">
        <f t="shared" si="36"/>
        <v>13.741</v>
      </c>
      <c r="Z15" s="83">
        <f t="shared" ca="1" si="9"/>
        <v>4000567.4476254783</v>
      </c>
      <c r="AA15" s="87">
        <f t="shared" si="37"/>
        <v>0.16089999999999999</v>
      </c>
      <c r="AB15" s="83">
        <f>+T15*W15*Y15/1000</f>
        <v>64459.159128811312</v>
      </c>
      <c r="AC15" s="83">
        <f t="shared" ca="1" si="11"/>
        <v>4065026.6067542895</v>
      </c>
      <c r="AD15" s="83">
        <f t="shared" ca="1" si="12"/>
        <v>3356876.1453025388</v>
      </c>
      <c r="AE15" s="83">
        <f t="shared" ca="1" si="13"/>
        <v>2685500.9162420309</v>
      </c>
      <c r="AF15" s="89">
        <f t="shared" ca="1" si="14"/>
        <v>2685500.9162420309</v>
      </c>
      <c r="AH15" s="1083">
        <f t="shared" si="38"/>
        <v>48944</v>
      </c>
      <c r="AI15" s="699">
        <f t="shared" si="39"/>
        <v>4</v>
      </c>
      <c r="AJ15" s="90">
        <f t="shared" si="40"/>
        <v>8202838.3909464516</v>
      </c>
      <c r="AK15" s="91">
        <f t="shared" si="41"/>
        <v>1.03</v>
      </c>
      <c r="AL15" s="83">
        <f t="shared" ca="1" si="15"/>
        <v>301187610.31255025</v>
      </c>
      <c r="AM15" s="87">
        <f t="shared" si="42"/>
        <v>1</v>
      </c>
      <c r="AN15" s="83">
        <f t="shared" ca="1" si="16"/>
        <v>301187610.31255025</v>
      </c>
      <c r="AO15" s="88">
        <f t="shared" si="43"/>
        <v>13.741</v>
      </c>
      <c r="AP15" s="83">
        <f t="shared" ca="1" si="17"/>
        <v>4025903.7509747576</v>
      </c>
      <c r="AQ15" s="87">
        <f t="shared" si="44"/>
        <v>0.16089999999999999</v>
      </c>
      <c r="AR15" s="83">
        <f t="shared" si="18"/>
        <v>112715.20232999518</v>
      </c>
      <c r="AS15" s="83">
        <f t="shared" ca="1" si="19"/>
        <v>4138618.9533047527</v>
      </c>
      <c r="AT15" s="83">
        <f t="shared" ca="1" si="20"/>
        <v>3378135.8374429191</v>
      </c>
      <c r="AU15" s="83">
        <f t="shared" ca="1" si="21"/>
        <v>2702508.6699543353</v>
      </c>
      <c r="AV15" s="89">
        <f t="shared" ca="1" si="22"/>
        <v>2702508.6699543353</v>
      </c>
    </row>
    <row r="16" spans="1:48" ht="15.75">
      <c r="A16" s="136">
        <f t="shared" si="23"/>
        <v>2</v>
      </c>
      <c r="B16" s="1083">
        <f t="shared" si="24"/>
        <v>47483</v>
      </c>
      <c r="C16" s="699">
        <f t="shared" si="25"/>
        <v>3</v>
      </c>
      <c r="D16" s="90">
        <f t="shared" si="26"/>
        <v>59259891.086624734</v>
      </c>
      <c r="E16" s="91">
        <f t="shared" si="27"/>
        <v>1.03</v>
      </c>
      <c r="F16" s="83">
        <f t="shared" ca="1" si="45"/>
        <v>326143249.17172635</v>
      </c>
      <c r="G16" s="87">
        <f t="shared" si="28"/>
        <v>1</v>
      </c>
      <c r="H16" s="83">
        <f t="shared" ca="1" si="0"/>
        <v>326143249.17172635</v>
      </c>
      <c r="I16" s="88">
        <f t="shared" si="29"/>
        <v>13.741</v>
      </c>
      <c r="J16" s="83">
        <f t="shared" ca="1" si="1"/>
        <v>3667244.2234473806</v>
      </c>
      <c r="K16" s="87">
        <f t="shared" si="30"/>
        <v>0.16089999999999999</v>
      </c>
      <c r="L16" s="83">
        <f t="shared" si="2"/>
        <v>814290.16342131037</v>
      </c>
      <c r="M16" s="83">
        <f t="shared" ca="1" si="3"/>
        <v>4481534.3868686911</v>
      </c>
      <c r="N16" s="83">
        <f t="shared" ca="1" si="4"/>
        <v>3077184.6278946968</v>
      </c>
      <c r="O16" s="83">
        <f t="shared" ca="1" si="5"/>
        <v>2461747.7023157575</v>
      </c>
      <c r="P16" s="89">
        <f t="shared" ca="1" si="6"/>
        <v>2461747.7023157575</v>
      </c>
      <c r="R16" s="1083">
        <f t="shared" si="31"/>
        <v>48579</v>
      </c>
      <c r="S16" s="699">
        <f t="shared" si="32"/>
        <v>5</v>
      </c>
      <c r="T16" s="90">
        <f t="shared" si="33"/>
        <v>4691009.3245623549</v>
      </c>
      <c r="U16" s="91">
        <f t="shared" si="34"/>
        <v>1.03</v>
      </c>
      <c r="V16" s="83">
        <f t="shared" ca="1" si="7"/>
        <v>295831934.12082744</v>
      </c>
      <c r="W16" s="87">
        <f t="shared" si="35"/>
        <v>1</v>
      </c>
      <c r="X16" s="83">
        <f t="shared" ca="1" si="8"/>
        <v>295831934.12082744</v>
      </c>
      <c r="Y16" s="88">
        <f t="shared" si="36"/>
        <v>13.741</v>
      </c>
      <c r="Z16" s="83">
        <f t="shared" ca="1" si="9"/>
        <v>4000567.4476254783</v>
      </c>
      <c r="AA16" s="87">
        <f t="shared" si="37"/>
        <v>0.16089999999999999</v>
      </c>
      <c r="AB16" s="83">
        <f t="shared" si="10"/>
        <v>64459.159128811312</v>
      </c>
      <c r="AC16" s="83">
        <f t="shared" ca="1" si="11"/>
        <v>4065026.6067542895</v>
      </c>
      <c r="AD16" s="83">
        <f t="shared" ca="1" si="12"/>
        <v>3356876.1453025388</v>
      </c>
      <c r="AE16" s="83">
        <f t="shared" ca="1" si="13"/>
        <v>2685500.9162420309</v>
      </c>
      <c r="AF16" s="89">
        <f t="shared" ca="1" si="14"/>
        <v>2685500.9162420309</v>
      </c>
      <c r="AH16" s="1083">
        <f t="shared" si="38"/>
        <v>49309</v>
      </c>
      <c r="AI16" s="699">
        <f t="shared" si="39"/>
        <v>5</v>
      </c>
      <c r="AJ16" s="90">
        <f t="shared" si="40"/>
        <v>8202838.3909464516</v>
      </c>
      <c r="AK16" s="91">
        <f t="shared" si="41"/>
        <v>1.03</v>
      </c>
      <c r="AL16" s="83">
        <f t="shared" ca="1" si="15"/>
        <v>301187610.31255025</v>
      </c>
      <c r="AM16" s="87">
        <f t="shared" si="42"/>
        <v>1</v>
      </c>
      <c r="AN16" s="83">
        <f t="shared" ca="1" si="16"/>
        <v>301187610.31255025</v>
      </c>
      <c r="AO16" s="88">
        <f t="shared" si="43"/>
        <v>13.741</v>
      </c>
      <c r="AP16" s="83">
        <f t="shared" ca="1" si="17"/>
        <v>4025903.7509747576</v>
      </c>
      <c r="AQ16" s="87">
        <f t="shared" si="44"/>
        <v>0.16089999999999999</v>
      </c>
      <c r="AR16" s="83">
        <f t="shared" si="18"/>
        <v>112715.20232999518</v>
      </c>
      <c r="AS16" s="83">
        <f t="shared" ca="1" si="19"/>
        <v>4138618.9533047527</v>
      </c>
      <c r="AT16" s="83">
        <f t="shared" ca="1" si="20"/>
        <v>3378135.8374429191</v>
      </c>
      <c r="AU16" s="83">
        <f t="shared" ca="1" si="21"/>
        <v>2702508.6699543353</v>
      </c>
      <c r="AV16" s="89">
        <f t="shared" ca="1" si="22"/>
        <v>2702508.6699543353</v>
      </c>
    </row>
    <row r="17" spans="1:48" ht="15.75">
      <c r="A17" s="136">
        <f t="shared" si="23"/>
        <v>0</v>
      </c>
      <c r="B17" s="1083">
        <f t="shared" si="24"/>
        <v>47848</v>
      </c>
      <c r="C17" s="699">
        <f t="shared" si="25"/>
        <v>4</v>
      </c>
      <c r="D17" s="90">
        <f t="shared" si="26"/>
        <v>61037687.819223471</v>
      </c>
      <c r="E17" s="91">
        <f t="shared" si="27"/>
        <v>1.0609</v>
      </c>
      <c r="F17" s="83">
        <f t="shared" ca="1" si="45"/>
        <v>335927546.64687812</v>
      </c>
      <c r="G17" s="87">
        <f t="shared" si="28"/>
        <v>1</v>
      </c>
      <c r="H17" s="83">
        <f t="shared" ca="1" si="0"/>
        <v>335927546.64687812</v>
      </c>
      <c r="I17" s="88">
        <f t="shared" si="29"/>
        <v>13.741</v>
      </c>
      <c r="J17" s="83">
        <f t="shared" ca="1" si="1"/>
        <v>3777261.5501508028</v>
      </c>
      <c r="K17" s="87">
        <f t="shared" si="30"/>
        <v>0.16089999999999999</v>
      </c>
      <c r="L17" s="83">
        <f t="shared" si="2"/>
        <v>838718.86832394975</v>
      </c>
      <c r="M17" s="83">
        <f t="shared" ca="1" si="3"/>
        <v>4615980.4184747525</v>
      </c>
      <c r="N17" s="83">
        <f t="shared" ca="1" si="4"/>
        <v>3169500.1667315387</v>
      </c>
      <c r="O17" s="83">
        <f t="shared" ca="1" si="5"/>
        <v>2535600.1333852308</v>
      </c>
      <c r="P17" s="89">
        <f t="shared" ca="1" si="6"/>
        <v>2535600.1333852308</v>
      </c>
      <c r="R17" s="1083">
        <f t="shared" si="31"/>
        <v>48944</v>
      </c>
      <c r="S17" s="699">
        <f t="shared" si="32"/>
        <v>6</v>
      </c>
      <c r="T17" s="90">
        <f t="shared" si="33"/>
        <v>4691009.3245623549</v>
      </c>
      <c r="U17" s="91">
        <f t="shared" si="34"/>
        <v>1.0609</v>
      </c>
      <c r="V17" s="83">
        <f t="shared" ca="1" si="7"/>
        <v>304706892.14445227</v>
      </c>
      <c r="W17" s="87">
        <f t="shared" si="35"/>
        <v>1</v>
      </c>
      <c r="X17" s="83">
        <f t="shared" ca="1" si="8"/>
        <v>304706892.14445227</v>
      </c>
      <c r="Y17" s="88">
        <f t="shared" si="36"/>
        <v>13.741</v>
      </c>
      <c r="Z17" s="83">
        <f t="shared" ca="1" si="9"/>
        <v>4122518.2458281075</v>
      </c>
      <c r="AA17" s="87">
        <f t="shared" si="37"/>
        <v>0.16089999999999999</v>
      </c>
      <c r="AB17" s="83">
        <f t="shared" si="10"/>
        <v>64459.159128811312</v>
      </c>
      <c r="AC17" s="83">
        <f t="shared" ca="1" si="11"/>
        <v>4186977.4049569187</v>
      </c>
      <c r="AD17" s="83">
        <f t="shared" ca="1" si="12"/>
        <v>3459205.0600743648</v>
      </c>
      <c r="AE17" s="83">
        <f t="shared" ca="1" si="13"/>
        <v>2767364.0480594919</v>
      </c>
      <c r="AF17" s="89">
        <f t="shared" ca="1" si="14"/>
        <v>2767364.0480594919</v>
      </c>
      <c r="AH17" s="1083">
        <f t="shared" si="38"/>
        <v>49674</v>
      </c>
      <c r="AI17" s="699">
        <f t="shared" si="39"/>
        <v>6</v>
      </c>
      <c r="AJ17" s="90">
        <f t="shared" si="40"/>
        <v>8202838.3909464516</v>
      </c>
      <c r="AK17" s="91">
        <f t="shared" si="41"/>
        <v>1.0609</v>
      </c>
      <c r="AL17" s="83">
        <f t="shared" ca="1" si="15"/>
        <v>310223238.62192672</v>
      </c>
      <c r="AM17" s="87">
        <f t="shared" si="42"/>
        <v>1</v>
      </c>
      <c r="AN17" s="83">
        <f t="shared" ca="1" si="16"/>
        <v>310223238.62192672</v>
      </c>
      <c r="AO17" s="88">
        <f t="shared" si="43"/>
        <v>13.741</v>
      </c>
      <c r="AP17" s="83">
        <f t="shared" ca="1" si="17"/>
        <v>4150062.3195738997</v>
      </c>
      <c r="AQ17" s="87">
        <f t="shared" si="44"/>
        <v>0.16089999999999999</v>
      </c>
      <c r="AR17" s="83">
        <f t="shared" si="18"/>
        <v>112715.20232999518</v>
      </c>
      <c r="AS17" s="83">
        <f t="shared" ca="1" si="19"/>
        <v>4262777.5219038948</v>
      </c>
      <c r="AT17" s="83">
        <f t="shared" ca="1" si="20"/>
        <v>3482317.2923544589</v>
      </c>
      <c r="AU17" s="83">
        <f t="shared" ca="1" si="21"/>
        <v>2785853.8338835672</v>
      </c>
      <c r="AV17" s="89">
        <f t="shared" ca="1" si="22"/>
        <v>2785853.8338835672</v>
      </c>
    </row>
    <row r="18" spans="1:48" ht="15.75">
      <c r="A18" s="136">
        <f t="shared" si="23"/>
        <v>1</v>
      </c>
      <c r="B18" s="1083">
        <f t="shared" si="24"/>
        <v>48213</v>
      </c>
      <c r="C18" s="699">
        <f t="shared" si="25"/>
        <v>5</v>
      </c>
      <c r="D18" s="90">
        <f t="shared" si="26"/>
        <v>61037687.819223471</v>
      </c>
      <c r="E18" s="91">
        <f t="shared" si="27"/>
        <v>1.0609</v>
      </c>
      <c r="F18" s="83">
        <f t="shared" ca="1" si="45"/>
        <v>335927546.64687812</v>
      </c>
      <c r="G18" s="87">
        <f t="shared" si="28"/>
        <v>1</v>
      </c>
      <c r="H18" s="83">
        <f t="shared" ca="1" si="0"/>
        <v>335927546.64687812</v>
      </c>
      <c r="I18" s="88">
        <f t="shared" si="29"/>
        <v>13.741</v>
      </c>
      <c r="J18" s="83">
        <f t="shared" ca="1" si="1"/>
        <v>3777261.5501508028</v>
      </c>
      <c r="K18" s="87">
        <f t="shared" si="30"/>
        <v>0.16089999999999999</v>
      </c>
      <c r="L18" s="83">
        <f t="shared" si="2"/>
        <v>838718.86832394975</v>
      </c>
      <c r="M18" s="83">
        <f t="shared" ca="1" si="3"/>
        <v>4615980.4184747525</v>
      </c>
      <c r="N18" s="83">
        <f t="shared" ca="1" si="4"/>
        <v>3169500.1667315387</v>
      </c>
      <c r="O18" s="83">
        <f t="shared" ca="1" si="5"/>
        <v>2535600.1333852308</v>
      </c>
      <c r="P18" s="89">
        <f t="shared" ca="1" si="6"/>
        <v>2535600.1333852308</v>
      </c>
      <c r="R18" s="1083">
        <f t="shared" si="31"/>
        <v>49309</v>
      </c>
      <c r="S18" s="699">
        <f t="shared" si="32"/>
        <v>7</v>
      </c>
      <c r="T18" s="90">
        <f t="shared" si="33"/>
        <v>4691009.3245623549</v>
      </c>
      <c r="U18" s="91">
        <f t="shared" si="34"/>
        <v>1.0609</v>
      </c>
      <c r="V18" s="83">
        <f t="shared" ca="1" si="7"/>
        <v>304706892.14445227</v>
      </c>
      <c r="W18" s="87">
        <f t="shared" si="35"/>
        <v>1</v>
      </c>
      <c r="X18" s="83">
        <f t="shared" ca="1" si="8"/>
        <v>304706892.14445227</v>
      </c>
      <c r="Y18" s="88">
        <f t="shared" si="36"/>
        <v>13.741</v>
      </c>
      <c r="Z18" s="83">
        <f t="shared" ca="1" si="9"/>
        <v>4122518.2458281075</v>
      </c>
      <c r="AA18" s="87">
        <f t="shared" si="37"/>
        <v>0.16089999999999999</v>
      </c>
      <c r="AB18" s="83">
        <f t="shared" si="10"/>
        <v>64459.159128811312</v>
      </c>
      <c r="AC18" s="83">
        <f t="shared" ca="1" si="11"/>
        <v>4186977.4049569187</v>
      </c>
      <c r="AD18" s="83">
        <f t="shared" ca="1" si="12"/>
        <v>3459205.0600743648</v>
      </c>
      <c r="AE18" s="83">
        <f t="shared" ca="1" si="13"/>
        <v>2767364.0480594919</v>
      </c>
      <c r="AF18" s="89">
        <f t="shared" ca="1" si="14"/>
        <v>2767364.0480594919</v>
      </c>
      <c r="AH18" s="1083">
        <f t="shared" si="38"/>
        <v>50040</v>
      </c>
      <c r="AI18" s="699">
        <f t="shared" si="39"/>
        <v>7</v>
      </c>
      <c r="AJ18" s="90">
        <f t="shared" si="40"/>
        <v>8202838.3909464516</v>
      </c>
      <c r="AK18" s="91">
        <f t="shared" si="41"/>
        <v>1.0609</v>
      </c>
      <c r="AL18" s="83">
        <f t="shared" ca="1" si="15"/>
        <v>310223238.62192672</v>
      </c>
      <c r="AM18" s="87">
        <f t="shared" si="42"/>
        <v>1</v>
      </c>
      <c r="AN18" s="83">
        <f t="shared" ca="1" si="16"/>
        <v>310223238.62192672</v>
      </c>
      <c r="AO18" s="88">
        <f t="shared" si="43"/>
        <v>13.741</v>
      </c>
      <c r="AP18" s="83">
        <f t="shared" ca="1" si="17"/>
        <v>4150062.3195738997</v>
      </c>
      <c r="AQ18" s="87">
        <f t="shared" si="44"/>
        <v>0.16089999999999999</v>
      </c>
      <c r="AR18" s="83">
        <f t="shared" si="18"/>
        <v>112715.20232999518</v>
      </c>
      <c r="AS18" s="83">
        <f t="shared" ca="1" si="19"/>
        <v>4262777.5219038948</v>
      </c>
      <c r="AT18" s="83">
        <f t="shared" ca="1" si="20"/>
        <v>3482317.2923544589</v>
      </c>
      <c r="AU18" s="83">
        <f t="shared" ca="1" si="21"/>
        <v>2785853.8338835672</v>
      </c>
      <c r="AV18" s="89">
        <f t="shared" ca="1" si="22"/>
        <v>2785853.8338835672</v>
      </c>
    </row>
    <row r="19" spans="1:48" ht="15.75">
      <c r="A19" s="136">
        <f t="shared" si="23"/>
        <v>2</v>
      </c>
      <c r="B19" s="1083">
        <f t="shared" si="24"/>
        <v>48579</v>
      </c>
      <c r="C19" s="699">
        <f t="shared" si="25"/>
        <v>6</v>
      </c>
      <c r="D19" s="90">
        <f t="shared" si="26"/>
        <v>61037687.819223471</v>
      </c>
      <c r="E19" s="91">
        <f t="shared" si="27"/>
        <v>1.0609</v>
      </c>
      <c r="F19" s="83">
        <f t="shared" ca="1" si="45"/>
        <v>335927546.64687812</v>
      </c>
      <c r="G19" s="87">
        <f t="shared" si="28"/>
        <v>1</v>
      </c>
      <c r="H19" s="83">
        <f t="shared" ca="1" si="0"/>
        <v>335927546.64687812</v>
      </c>
      <c r="I19" s="88">
        <f t="shared" si="29"/>
        <v>13.741</v>
      </c>
      <c r="J19" s="83">
        <f t="shared" ca="1" si="1"/>
        <v>3777261.5501508028</v>
      </c>
      <c r="K19" s="87">
        <f t="shared" si="30"/>
        <v>0.16089999999999999</v>
      </c>
      <c r="L19" s="83">
        <f t="shared" si="2"/>
        <v>838718.86832394975</v>
      </c>
      <c r="M19" s="83">
        <f t="shared" ca="1" si="3"/>
        <v>4615980.4184747525</v>
      </c>
      <c r="N19" s="83">
        <f t="shared" ca="1" si="4"/>
        <v>3169500.1667315387</v>
      </c>
      <c r="O19" s="83">
        <f t="shared" ca="1" si="5"/>
        <v>2535600.1333852308</v>
      </c>
      <c r="P19" s="89">
        <f t="shared" ca="1" si="6"/>
        <v>2535600.1333852308</v>
      </c>
      <c r="R19" s="1083">
        <f t="shared" si="31"/>
        <v>49674</v>
      </c>
      <c r="S19" s="699">
        <f t="shared" si="32"/>
        <v>8</v>
      </c>
      <c r="T19" s="90">
        <f t="shared" si="33"/>
        <v>4691009.3245623549</v>
      </c>
      <c r="U19" s="91">
        <f t="shared" si="34"/>
        <v>1.0609</v>
      </c>
      <c r="V19" s="83">
        <f t="shared" ca="1" si="7"/>
        <v>304706892.14445227</v>
      </c>
      <c r="W19" s="87">
        <f t="shared" si="35"/>
        <v>1</v>
      </c>
      <c r="X19" s="83">
        <f t="shared" ca="1" si="8"/>
        <v>304706892.14445227</v>
      </c>
      <c r="Y19" s="88">
        <f t="shared" si="36"/>
        <v>13.741</v>
      </c>
      <c r="Z19" s="83">
        <f t="shared" ca="1" si="9"/>
        <v>4122518.2458281075</v>
      </c>
      <c r="AA19" s="87">
        <f t="shared" si="37"/>
        <v>0.16089999999999999</v>
      </c>
      <c r="AB19" s="83">
        <f t="shared" si="10"/>
        <v>64459.159128811312</v>
      </c>
      <c r="AC19" s="83">
        <f t="shared" ca="1" si="11"/>
        <v>4186977.4049569187</v>
      </c>
      <c r="AD19" s="83">
        <f t="shared" ca="1" si="12"/>
        <v>3459205.0600743648</v>
      </c>
      <c r="AE19" s="83">
        <f t="shared" ca="1" si="13"/>
        <v>2767364.0480594919</v>
      </c>
      <c r="AF19" s="89">
        <f t="shared" ca="1" si="14"/>
        <v>2767364.0480594919</v>
      </c>
      <c r="AH19" s="1083">
        <f t="shared" si="38"/>
        <v>50405</v>
      </c>
      <c r="AI19" s="699">
        <f t="shared" si="39"/>
        <v>8</v>
      </c>
      <c r="AJ19" s="90">
        <f t="shared" si="40"/>
        <v>8202838.3909464516</v>
      </c>
      <c r="AK19" s="91">
        <f t="shared" si="41"/>
        <v>1.0609</v>
      </c>
      <c r="AL19" s="83">
        <f t="shared" ca="1" si="15"/>
        <v>310223238.62192672</v>
      </c>
      <c r="AM19" s="87">
        <f t="shared" si="42"/>
        <v>1</v>
      </c>
      <c r="AN19" s="83">
        <f t="shared" ca="1" si="16"/>
        <v>310223238.62192672</v>
      </c>
      <c r="AO19" s="88">
        <f t="shared" si="43"/>
        <v>13.741</v>
      </c>
      <c r="AP19" s="83">
        <f t="shared" ca="1" si="17"/>
        <v>4150062.3195738997</v>
      </c>
      <c r="AQ19" s="87">
        <f t="shared" si="44"/>
        <v>0.16089999999999999</v>
      </c>
      <c r="AR19" s="83">
        <f t="shared" si="18"/>
        <v>112715.20232999518</v>
      </c>
      <c r="AS19" s="83">
        <f t="shared" ca="1" si="19"/>
        <v>4262777.5219038948</v>
      </c>
      <c r="AT19" s="83">
        <f t="shared" ca="1" si="20"/>
        <v>3482317.2923544589</v>
      </c>
      <c r="AU19" s="83">
        <f t="shared" ca="1" si="21"/>
        <v>2785853.8338835672</v>
      </c>
      <c r="AV19" s="89">
        <f t="shared" ca="1" si="22"/>
        <v>2785853.8338835672</v>
      </c>
    </row>
    <row r="20" spans="1:48" ht="15.75">
      <c r="A20" s="136">
        <f t="shared" si="23"/>
        <v>0</v>
      </c>
      <c r="B20" s="1083">
        <f t="shared" si="24"/>
        <v>48944</v>
      </c>
      <c r="C20" s="699">
        <f t="shared" si="25"/>
        <v>7</v>
      </c>
      <c r="D20" s="90">
        <f t="shared" si="26"/>
        <v>62868818.453800179</v>
      </c>
      <c r="E20" s="91">
        <f t="shared" si="27"/>
        <v>1.092727</v>
      </c>
      <c r="F20" s="83">
        <f t="shared" ca="1" si="45"/>
        <v>346005373.0462845</v>
      </c>
      <c r="G20" s="87">
        <f t="shared" si="28"/>
        <v>1</v>
      </c>
      <c r="H20" s="83">
        <f t="shared" ca="1" si="0"/>
        <v>346005373.0462845</v>
      </c>
      <c r="I20" s="88">
        <f t="shared" si="29"/>
        <v>13.741</v>
      </c>
      <c r="J20" s="83">
        <f t="shared" ca="1" si="1"/>
        <v>3890579.3966553267</v>
      </c>
      <c r="K20" s="87">
        <f t="shared" si="30"/>
        <v>0.16089999999999999</v>
      </c>
      <c r="L20" s="83">
        <f t="shared" si="2"/>
        <v>863880.43437366816</v>
      </c>
      <c r="M20" s="83">
        <f t="shared" ca="1" si="3"/>
        <v>4754459.8310289951</v>
      </c>
      <c r="N20" s="83">
        <f t="shared" ca="1" si="4"/>
        <v>3264585.1717334846</v>
      </c>
      <c r="O20" s="83">
        <f t="shared" ca="1" si="5"/>
        <v>2611668.1373867877</v>
      </c>
      <c r="P20" s="89">
        <f t="shared" ca="1" si="6"/>
        <v>2611668.1373867877</v>
      </c>
      <c r="R20" s="1083">
        <f t="shared" si="31"/>
        <v>50040</v>
      </c>
      <c r="S20" s="699">
        <f t="shared" si="32"/>
        <v>9</v>
      </c>
      <c r="T20" s="90">
        <f t="shared" si="33"/>
        <v>4691009.3245623549</v>
      </c>
      <c r="U20" s="91">
        <f t="shared" si="34"/>
        <v>1.092727</v>
      </c>
      <c r="V20" s="83">
        <f t="shared" ca="1" si="7"/>
        <v>313848098.90878582</v>
      </c>
      <c r="W20" s="87">
        <f t="shared" si="35"/>
        <v>1</v>
      </c>
      <c r="X20" s="83">
        <f t="shared" ca="1" si="8"/>
        <v>313848098.90878582</v>
      </c>
      <c r="Y20" s="88">
        <f t="shared" si="36"/>
        <v>13.741</v>
      </c>
      <c r="Z20" s="83">
        <f t="shared" ca="1" si="9"/>
        <v>4248127.5679768147</v>
      </c>
      <c r="AA20" s="87">
        <f t="shared" si="37"/>
        <v>0.16089999999999999</v>
      </c>
      <c r="AB20" s="83">
        <f t="shared" si="10"/>
        <v>64459.159128811312</v>
      </c>
      <c r="AC20" s="83">
        <f t="shared" ca="1" si="11"/>
        <v>4312586.7271056259</v>
      </c>
      <c r="AD20" s="83">
        <f t="shared" ca="1" si="12"/>
        <v>3564603.8422893449</v>
      </c>
      <c r="AE20" s="83">
        <f t="shared" ca="1" si="13"/>
        <v>2851683.0738314758</v>
      </c>
      <c r="AF20" s="89">
        <f t="shared" ca="1" si="14"/>
        <v>2851683.0738314758</v>
      </c>
      <c r="AH20" s="1083">
        <f t="shared" si="38"/>
        <v>50770</v>
      </c>
      <c r="AI20" s="699">
        <f t="shared" si="39"/>
        <v>9</v>
      </c>
      <c r="AJ20" s="90">
        <f t="shared" si="40"/>
        <v>8202838.3909464516</v>
      </c>
      <c r="AK20" s="91">
        <f t="shared" si="41"/>
        <v>1.092727</v>
      </c>
      <c r="AL20" s="83">
        <f t="shared" ca="1" si="15"/>
        <v>319529935.78058457</v>
      </c>
      <c r="AM20" s="87">
        <f t="shared" si="42"/>
        <v>1</v>
      </c>
      <c r="AN20" s="83">
        <f t="shared" ca="1" si="16"/>
        <v>319529935.78058457</v>
      </c>
      <c r="AO20" s="88">
        <f t="shared" si="43"/>
        <v>13.741</v>
      </c>
      <c r="AP20" s="83">
        <f t="shared" ca="1" si="17"/>
        <v>4277945.6452310169</v>
      </c>
      <c r="AQ20" s="87">
        <f t="shared" si="44"/>
        <v>0.16089999999999999</v>
      </c>
      <c r="AR20" s="83">
        <f t="shared" si="18"/>
        <v>112715.20232999518</v>
      </c>
      <c r="AS20" s="83">
        <f t="shared" ca="1" si="19"/>
        <v>4390660.847561012</v>
      </c>
      <c r="AT20" s="83">
        <f t="shared" ca="1" si="20"/>
        <v>3589624.1909133461</v>
      </c>
      <c r="AU20" s="83">
        <f t="shared" ca="1" si="21"/>
        <v>2871699.352730677</v>
      </c>
      <c r="AV20" s="89">
        <f t="shared" ca="1" si="22"/>
        <v>2871699.352730677</v>
      </c>
    </row>
    <row r="21" spans="1:48" ht="15.75">
      <c r="A21" s="136">
        <f t="shared" si="23"/>
        <v>1</v>
      </c>
      <c r="B21" s="1083">
        <f t="shared" si="24"/>
        <v>49309</v>
      </c>
      <c r="C21" s="699">
        <f t="shared" si="25"/>
        <v>8</v>
      </c>
      <c r="D21" s="90">
        <f t="shared" si="26"/>
        <v>62868818.453800179</v>
      </c>
      <c r="E21" s="91">
        <f t="shared" si="27"/>
        <v>1.092727</v>
      </c>
      <c r="F21" s="83">
        <f t="shared" ca="1" si="45"/>
        <v>346005373.0462845</v>
      </c>
      <c r="G21" s="87">
        <f t="shared" si="28"/>
        <v>1</v>
      </c>
      <c r="H21" s="83">
        <f t="shared" ca="1" si="0"/>
        <v>346005373.0462845</v>
      </c>
      <c r="I21" s="88">
        <f t="shared" si="29"/>
        <v>13.741</v>
      </c>
      <c r="J21" s="83">
        <f t="shared" ca="1" si="1"/>
        <v>3890579.3966553267</v>
      </c>
      <c r="K21" s="87">
        <f t="shared" si="30"/>
        <v>0.16089999999999999</v>
      </c>
      <c r="L21" s="83">
        <f t="shared" si="2"/>
        <v>863880.43437366816</v>
      </c>
      <c r="M21" s="83">
        <f t="shared" ca="1" si="3"/>
        <v>4754459.8310289951</v>
      </c>
      <c r="N21" s="83">
        <f t="shared" ca="1" si="4"/>
        <v>3264585.1717334846</v>
      </c>
      <c r="O21" s="83">
        <f t="shared" ca="1" si="5"/>
        <v>2611668.1373867877</v>
      </c>
      <c r="P21" s="89">
        <f t="shared" ca="1" si="6"/>
        <v>2611668.1373867877</v>
      </c>
      <c r="R21" s="1083">
        <f t="shared" si="31"/>
        <v>50405</v>
      </c>
      <c r="S21" s="699">
        <f t="shared" si="32"/>
        <v>10</v>
      </c>
      <c r="T21" s="90">
        <f t="shared" si="33"/>
        <v>4691009.3245623549</v>
      </c>
      <c r="U21" s="91">
        <f t="shared" si="34"/>
        <v>1.092727</v>
      </c>
      <c r="V21" s="83">
        <f t="shared" ca="1" si="7"/>
        <v>313848098.90878582</v>
      </c>
      <c r="W21" s="87">
        <f t="shared" si="35"/>
        <v>1</v>
      </c>
      <c r="X21" s="83">
        <f t="shared" ca="1" si="8"/>
        <v>313848098.90878582</v>
      </c>
      <c r="Y21" s="88">
        <f t="shared" si="36"/>
        <v>13.741</v>
      </c>
      <c r="Z21" s="83">
        <f t="shared" ca="1" si="9"/>
        <v>4248127.5679768147</v>
      </c>
      <c r="AA21" s="87">
        <f t="shared" si="37"/>
        <v>0.16089999999999999</v>
      </c>
      <c r="AB21" s="83">
        <f t="shared" si="10"/>
        <v>64459.159128811312</v>
      </c>
      <c r="AC21" s="83">
        <f t="shared" ca="1" si="11"/>
        <v>4312586.7271056259</v>
      </c>
      <c r="AD21" s="83">
        <f t="shared" ca="1" si="12"/>
        <v>3564603.8422893449</v>
      </c>
      <c r="AE21" s="83">
        <f t="shared" ca="1" si="13"/>
        <v>2851683.0738314758</v>
      </c>
      <c r="AF21" s="89">
        <f t="shared" ca="1" si="14"/>
        <v>2851683.0738314758</v>
      </c>
      <c r="AH21" s="1083">
        <f t="shared" si="38"/>
        <v>51135</v>
      </c>
      <c r="AI21" s="699">
        <f t="shared" si="39"/>
        <v>10</v>
      </c>
      <c r="AJ21" s="90">
        <f t="shared" si="40"/>
        <v>8202838.3909464516</v>
      </c>
      <c r="AK21" s="91">
        <f t="shared" si="41"/>
        <v>1.092727</v>
      </c>
      <c r="AL21" s="83">
        <f t="shared" ca="1" si="15"/>
        <v>319529935.78058457</v>
      </c>
      <c r="AM21" s="87">
        <f t="shared" si="42"/>
        <v>1</v>
      </c>
      <c r="AN21" s="83">
        <f t="shared" ca="1" si="16"/>
        <v>319529935.78058457</v>
      </c>
      <c r="AO21" s="88">
        <f t="shared" si="43"/>
        <v>13.741</v>
      </c>
      <c r="AP21" s="83">
        <f t="shared" ca="1" si="17"/>
        <v>4277945.6452310169</v>
      </c>
      <c r="AQ21" s="87">
        <f t="shared" si="44"/>
        <v>0.16089999999999999</v>
      </c>
      <c r="AR21" s="83">
        <f t="shared" si="18"/>
        <v>112715.20232999518</v>
      </c>
      <c r="AS21" s="83">
        <f t="shared" ca="1" si="19"/>
        <v>4390660.847561012</v>
      </c>
      <c r="AT21" s="83">
        <f t="shared" ca="1" si="20"/>
        <v>3589624.1909133461</v>
      </c>
      <c r="AU21" s="83">
        <f t="shared" ca="1" si="21"/>
        <v>2871699.352730677</v>
      </c>
      <c r="AV21" s="89">
        <f t="shared" ca="1" si="22"/>
        <v>2871699.352730677</v>
      </c>
    </row>
    <row r="22" spans="1:48" ht="15.75">
      <c r="A22" s="136">
        <f t="shared" si="23"/>
        <v>2</v>
      </c>
      <c r="B22" s="1083">
        <f t="shared" si="24"/>
        <v>49674</v>
      </c>
      <c r="C22" s="699">
        <f t="shared" si="25"/>
        <v>9</v>
      </c>
      <c r="D22" s="90">
        <f t="shared" si="26"/>
        <v>62868818.453800179</v>
      </c>
      <c r="E22" s="91">
        <f t="shared" si="27"/>
        <v>1.092727</v>
      </c>
      <c r="F22" s="83">
        <f t="shared" ca="1" si="45"/>
        <v>346005373.0462845</v>
      </c>
      <c r="G22" s="87">
        <f t="shared" si="28"/>
        <v>1</v>
      </c>
      <c r="H22" s="83">
        <f t="shared" ca="1" si="0"/>
        <v>346005373.0462845</v>
      </c>
      <c r="I22" s="88">
        <f t="shared" si="29"/>
        <v>13.741</v>
      </c>
      <c r="J22" s="83">
        <f t="shared" ca="1" si="1"/>
        <v>3890579.3966553267</v>
      </c>
      <c r="K22" s="87">
        <f t="shared" si="30"/>
        <v>0.16089999999999999</v>
      </c>
      <c r="L22" s="83">
        <f t="shared" si="2"/>
        <v>863880.43437366816</v>
      </c>
      <c r="M22" s="83">
        <f t="shared" ca="1" si="3"/>
        <v>4754459.8310289951</v>
      </c>
      <c r="N22" s="83">
        <f t="shared" ca="1" si="4"/>
        <v>3264585.1717334846</v>
      </c>
      <c r="O22" s="83">
        <f t="shared" ca="1" si="5"/>
        <v>2611668.1373867877</v>
      </c>
      <c r="P22" s="89">
        <f t="shared" ca="1" si="6"/>
        <v>2611668.1373867877</v>
      </c>
      <c r="R22" s="1083">
        <f t="shared" si="31"/>
        <v>50770</v>
      </c>
      <c r="S22" s="699">
        <f t="shared" si="32"/>
        <v>11</v>
      </c>
      <c r="T22" s="90">
        <f t="shared" si="33"/>
        <v>4691009.3245623549</v>
      </c>
      <c r="U22" s="91">
        <f t="shared" si="34"/>
        <v>1.092727</v>
      </c>
      <c r="V22" s="83">
        <f t="shared" ca="1" si="7"/>
        <v>313848098.90878582</v>
      </c>
      <c r="W22" s="87">
        <f t="shared" si="35"/>
        <v>1</v>
      </c>
      <c r="X22" s="83">
        <f t="shared" ca="1" si="8"/>
        <v>313848098.90878582</v>
      </c>
      <c r="Y22" s="88">
        <f t="shared" si="36"/>
        <v>13.741</v>
      </c>
      <c r="Z22" s="83">
        <f t="shared" ca="1" si="9"/>
        <v>4248127.5679768147</v>
      </c>
      <c r="AA22" s="87">
        <f t="shared" si="37"/>
        <v>0.16089999999999999</v>
      </c>
      <c r="AB22" s="83">
        <f t="shared" si="10"/>
        <v>64459.159128811312</v>
      </c>
      <c r="AC22" s="83">
        <f t="shared" ca="1" si="11"/>
        <v>4312586.7271056259</v>
      </c>
      <c r="AD22" s="83">
        <f t="shared" ca="1" si="12"/>
        <v>3564603.8422893449</v>
      </c>
      <c r="AE22" s="83">
        <f t="shared" ca="1" si="13"/>
        <v>2851683.0738314758</v>
      </c>
      <c r="AF22" s="89">
        <f t="shared" ca="1" si="14"/>
        <v>2851683.0738314758</v>
      </c>
      <c r="AH22" s="1083">
        <f t="shared" si="38"/>
        <v>51501</v>
      </c>
      <c r="AI22" s="699">
        <f t="shared" si="39"/>
        <v>11</v>
      </c>
      <c r="AJ22" s="90">
        <f t="shared" si="40"/>
        <v>8202838.3909464516</v>
      </c>
      <c r="AK22" s="91">
        <f t="shared" si="41"/>
        <v>1.092727</v>
      </c>
      <c r="AL22" s="83">
        <f t="shared" ca="1" si="15"/>
        <v>319529935.78058457</v>
      </c>
      <c r="AM22" s="87">
        <f t="shared" si="42"/>
        <v>1</v>
      </c>
      <c r="AN22" s="83">
        <f t="shared" ca="1" si="16"/>
        <v>319529935.78058457</v>
      </c>
      <c r="AO22" s="88">
        <f t="shared" si="43"/>
        <v>13.741</v>
      </c>
      <c r="AP22" s="83">
        <f t="shared" ca="1" si="17"/>
        <v>4277945.6452310169</v>
      </c>
      <c r="AQ22" s="87">
        <f t="shared" si="44"/>
        <v>0.16089999999999999</v>
      </c>
      <c r="AR22" s="83">
        <f t="shared" si="18"/>
        <v>112715.20232999518</v>
      </c>
      <c r="AS22" s="83">
        <f t="shared" ca="1" si="19"/>
        <v>4390660.847561012</v>
      </c>
      <c r="AT22" s="83">
        <f t="shared" ca="1" si="20"/>
        <v>3589624.1909133461</v>
      </c>
      <c r="AU22" s="83">
        <f t="shared" ca="1" si="21"/>
        <v>2871699.352730677</v>
      </c>
      <c r="AV22" s="89">
        <f t="shared" ca="1" si="22"/>
        <v>2871699.352730677</v>
      </c>
    </row>
    <row r="23" spans="1:48" ht="15.75">
      <c r="A23" s="136">
        <f t="shared" si="23"/>
        <v>0</v>
      </c>
      <c r="B23" s="1083">
        <f t="shared" si="24"/>
        <v>50040</v>
      </c>
      <c r="C23" s="699">
        <f t="shared" si="25"/>
        <v>10</v>
      </c>
      <c r="D23" s="90">
        <f t="shared" si="26"/>
        <v>64754883.007414192</v>
      </c>
      <c r="E23" s="91">
        <f t="shared" si="27"/>
        <v>1.1255088100000001</v>
      </c>
      <c r="F23" s="83">
        <f t="shared" ca="1" si="45"/>
        <v>356385534.23767304</v>
      </c>
      <c r="G23" s="87">
        <f t="shared" si="28"/>
        <v>1</v>
      </c>
      <c r="H23" s="83">
        <f t="shared" ca="1" si="0"/>
        <v>356385534.23767304</v>
      </c>
      <c r="I23" s="88">
        <f t="shared" si="29"/>
        <v>13.741</v>
      </c>
      <c r="J23" s="83">
        <f t="shared" ca="1" si="1"/>
        <v>4007296.7785549872</v>
      </c>
      <c r="K23" s="87">
        <f t="shared" si="30"/>
        <v>0.16089999999999999</v>
      </c>
      <c r="L23" s="83">
        <f t="shared" si="2"/>
        <v>889796.84740487835</v>
      </c>
      <c r="M23" s="83">
        <f t="shared" ca="1" si="3"/>
        <v>4897093.6259598657</v>
      </c>
      <c r="N23" s="83">
        <f t="shared" ca="1" si="4"/>
        <v>3362522.7268854897</v>
      </c>
      <c r="O23" s="83">
        <f t="shared" ca="1" si="5"/>
        <v>2690018.1815083916</v>
      </c>
      <c r="P23" s="89">
        <f t="shared" ca="1" si="6"/>
        <v>2690018.1815083916</v>
      </c>
      <c r="R23" s="1083">
        <f t="shared" si="31"/>
        <v>51135</v>
      </c>
      <c r="S23" s="699">
        <f t="shared" si="32"/>
        <v>12</v>
      </c>
      <c r="T23" s="90">
        <f t="shared" si="33"/>
        <v>4691009.3245623549</v>
      </c>
      <c r="U23" s="91">
        <f t="shared" si="34"/>
        <v>1.1255088100000001</v>
      </c>
      <c r="V23" s="83">
        <f t="shared" ca="1" si="7"/>
        <v>323263541.87604946</v>
      </c>
      <c r="W23" s="87">
        <f t="shared" si="35"/>
        <v>1</v>
      </c>
      <c r="X23" s="83">
        <f t="shared" ca="1" si="8"/>
        <v>323263541.87604946</v>
      </c>
      <c r="Y23" s="88">
        <f t="shared" si="36"/>
        <v>13.741</v>
      </c>
      <c r="Z23" s="83">
        <f t="shared" ca="1" si="9"/>
        <v>4377505.1697899848</v>
      </c>
      <c r="AA23" s="87">
        <f t="shared" si="37"/>
        <v>0.16089999999999999</v>
      </c>
      <c r="AB23" s="83">
        <f t="shared" si="10"/>
        <v>64459.159128811312</v>
      </c>
      <c r="AC23" s="83">
        <f t="shared" ca="1" si="11"/>
        <v>4441964.328918796</v>
      </c>
      <c r="AD23" s="83">
        <f t="shared" ca="1" si="12"/>
        <v>3673164.587970776</v>
      </c>
      <c r="AE23" s="83">
        <f t="shared" ca="1" si="13"/>
        <v>2938531.6703766207</v>
      </c>
      <c r="AF23" s="89">
        <f t="shared" ca="1" si="14"/>
        <v>2938531.6703766207</v>
      </c>
      <c r="AH23" s="1083">
        <f t="shared" si="38"/>
        <v>51866</v>
      </c>
      <c r="AI23" s="699">
        <f t="shared" si="39"/>
        <v>12</v>
      </c>
      <c r="AJ23" s="90">
        <f t="shared" si="40"/>
        <v>8202838.3909464516</v>
      </c>
      <c r="AK23" s="91">
        <f t="shared" si="41"/>
        <v>1.1255088100000001</v>
      </c>
      <c r="AL23" s="83">
        <f t="shared" ca="1" si="15"/>
        <v>329115833.85400212</v>
      </c>
      <c r="AM23" s="87">
        <f t="shared" si="42"/>
        <v>1</v>
      </c>
      <c r="AN23" s="83">
        <f t="shared" ca="1" si="16"/>
        <v>329115833.85400212</v>
      </c>
      <c r="AO23" s="88">
        <f t="shared" si="43"/>
        <v>13.741</v>
      </c>
      <c r="AP23" s="83">
        <f t="shared" ca="1" si="17"/>
        <v>4409665.4706578478</v>
      </c>
      <c r="AQ23" s="87">
        <f t="shared" si="44"/>
        <v>0.16089999999999999</v>
      </c>
      <c r="AR23" s="83">
        <f t="shared" si="18"/>
        <v>112715.20232999518</v>
      </c>
      <c r="AS23" s="83">
        <f t="shared" ca="1" si="19"/>
        <v>4522380.6729878429</v>
      </c>
      <c r="AT23" s="83">
        <f t="shared" ca="1" si="20"/>
        <v>3700150.2964289999</v>
      </c>
      <c r="AU23" s="83">
        <f t="shared" ca="1" si="21"/>
        <v>2960120.2371431999</v>
      </c>
      <c r="AV23" s="89">
        <f t="shared" ca="1" si="22"/>
        <v>2960120.2371431999</v>
      </c>
    </row>
    <row r="24" spans="1:48" ht="15.75">
      <c r="A24" s="136">
        <f t="shared" si="23"/>
        <v>1</v>
      </c>
      <c r="B24" s="1083">
        <f t="shared" si="24"/>
        <v>50405</v>
      </c>
      <c r="C24" s="699">
        <f t="shared" si="25"/>
        <v>11</v>
      </c>
      <c r="D24" s="90">
        <f t="shared" si="26"/>
        <v>64754883.007414192</v>
      </c>
      <c r="E24" s="91">
        <f t="shared" si="27"/>
        <v>1.1255088100000001</v>
      </c>
      <c r="F24" s="83">
        <f t="shared" ca="1" si="45"/>
        <v>356385534.23767304</v>
      </c>
      <c r="G24" s="87">
        <f t="shared" si="28"/>
        <v>1</v>
      </c>
      <c r="H24" s="83">
        <f t="shared" ca="1" si="0"/>
        <v>356385534.23767304</v>
      </c>
      <c r="I24" s="88">
        <f t="shared" si="29"/>
        <v>13.741</v>
      </c>
      <c r="J24" s="83">
        <f t="shared" ca="1" si="1"/>
        <v>4007296.7785549872</v>
      </c>
      <c r="K24" s="87">
        <f t="shared" si="30"/>
        <v>0.16089999999999999</v>
      </c>
      <c r="L24" s="83">
        <f t="shared" si="2"/>
        <v>889796.84740487835</v>
      </c>
      <c r="M24" s="83">
        <f t="shared" ca="1" si="3"/>
        <v>4897093.6259598657</v>
      </c>
      <c r="N24" s="83">
        <f t="shared" ca="1" si="4"/>
        <v>3362522.7268854897</v>
      </c>
      <c r="O24" s="83">
        <f t="shared" ca="1" si="5"/>
        <v>2690018.1815083916</v>
      </c>
      <c r="P24" s="89">
        <f t="shared" ca="1" si="6"/>
        <v>2690018.1815083916</v>
      </c>
      <c r="R24" s="1083">
        <f t="shared" si="31"/>
        <v>51501</v>
      </c>
      <c r="S24" s="699">
        <f t="shared" si="32"/>
        <v>13</v>
      </c>
      <c r="T24" s="90">
        <f t="shared" si="33"/>
        <v>4691009.3245623549</v>
      </c>
      <c r="U24" s="91">
        <f t="shared" si="34"/>
        <v>1.1255088100000001</v>
      </c>
      <c r="V24" s="83">
        <f t="shared" ca="1" si="7"/>
        <v>323263541.87604946</v>
      </c>
      <c r="W24" s="87">
        <f t="shared" si="35"/>
        <v>1</v>
      </c>
      <c r="X24" s="83">
        <f t="shared" ca="1" si="8"/>
        <v>323263541.87604946</v>
      </c>
      <c r="Y24" s="88">
        <f t="shared" si="36"/>
        <v>13.741</v>
      </c>
      <c r="Z24" s="83">
        <f t="shared" ca="1" si="9"/>
        <v>4377505.1697899848</v>
      </c>
      <c r="AA24" s="87">
        <f t="shared" si="37"/>
        <v>0.16089999999999999</v>
      </c>
      <c r="AB24" s="83">
        <f t="shared" si="10"/>
        <v>64459.159128811312</v>
      </c>
      <c r="AC24" s="83">
        <f t="shared" ca="1" si="11"/>
        <v>4441964.328918796</v>
      </c>
      <c r="AD24" s="83">
        <f t="shared" ca="1" si="12"/>
        <v>3673164.587970776</v>
      </c>
      <c r="AE24" s="83">
        <f t="shared" ca="1" si="13"/>
        <v>2938531.6703766207</v>
      </c>
      <c r="AF24" s="89">
        <f t="shared" ca="1" si="14"/>
        <v>2938531.6703766207</v>
      </c>
      <c r="AH24" s="1083">
        <f t="shared" si="38"/>
        <v>52231</v>
      </c>
      <c r="AI24" s="699">
        <f t="shared" si="39"/>
        <v>13</v>
      </c>
      <c r="AJ24" s="90">
        <f t="shared" si="40"/>
        <v>8202838.3909464516</v>
      </c>
      <c r="AK24" s="91">
        <f t="shared" si="41"/>
        <v>1.1255088100000001</v>
      </c>
      <c r="AL24" s="83">
        <f t="shared" ca="1" si="15"/>
        <v>329115833.85400212</v>
      </c>
      <c r="AM24" s="87">
        <f t="shared" si="42"/>
        <v>1</v>
      </c>
      <c r="AN24" s="83">
        <f t="shared" ca="1" si="16"/>
        <v>329115833.85400212</v>
      </c>
      <c r="AO24" s="88">
        <f t="shared" si="43"/>
        <v>13.741</v>
      </c>
      <c r="AP24" s="83">
        <f t="shared" ca="1" si="17"/>
        <v>4409665.4706578478</v>
      </c>
      <c r="AQ24" s="87">
        <f t="shared" si="44"/>
        <v>0.16089999999999999</v>
      </c>
      <c r="AR24" s="83">
        <f t="shared" si="18"/>
        <v>112715.20232999518</v>
      </c>
      <c r="AS24" s="83">
        <f t="shared" ca="1" si="19"/>
        <v>4522380.6729878429</v>
      </c>
      <c r="AT24" s="83">
        <f t="shared" ca="1" si="20"/>
        <v>3700150.2964289999</v>
      </c>
      <c r="AU24" s="83">
        <f t="shared" ca="1" si="21"/>
        <v>2960120.2371431999</v>
      </c>
      <c r="AV24" s="89">
        <f t="shared" ca="1" si="22"/>
        <v>2960120.2371431999</v>
      </c>
    </row>
    <row r="25" spans="1:48" ht="15.75">
      <c r="A25" s="136">
        <f t="shared" si="23"/>
        <v>2</v>
      </c>
      <c r="B25" s="1083">
        <f t="shared" si="24"/>
        <v>50770</v>
      </c>
      <c r="C25" s="699">
        <f t="shared" si="25"/>
        <v>12</v>
      </c>
      <c r="D25" s="90">
        <f t="shared" si="26"/>
        <v>64754883.007414192</v>
      </c>
      <c r="E25" s="91">
        <f t="shared" si="27"/>
        <v>1.1255088100000001</v>
      </c>
      <c r="F25" s="83">
        <f t="shared" ca="1" si="45"/>
        <v>356385534.23767304</v>
      </c>
      <c r="G25" s="87">
        <f t="shared" si="28"/>
        <v>1</v>
      </c>
      <c r="H25" s="83">
        <f t="shared" ca="1" si="0"/>
        <v>356385534.23767304</v>
      </c>
      <c r="I25" s="88">
        <f t="shared" si="29"/>
        <v>13.741</v>
      </c>
      <c r="J25" s="83">
        <f t="shared" ca="1" si="1"/>
        <v>4007296.7785549872</v>
      </c>
      <c r="K25" s="87">
        <f t="shared" si="30"/>
        <v>0.16089999999999999</v>
      </c>
      <c r="L25" s="83">
        <f t="shared" si="2"/>
        <v>889796.84740487835</v>
      </c>
      <c r="M25" s="83">
        <f t="shared" ca="1" si="3"/>
        <v>4897093.6259598657</v>
      </c>
      <c r="N25" s="83">
        <f t="shared" ca="1" si="4"/>
        <v>3362522.7268854897</v>
      </c>
      <c r="O25" s="83">
        <f t="shared" ca="1" si="5"/>
        <v>2690018.1815083916</v>
      </c>
      <c r="P25" s="89">
        <f t="shared" ca="1" si="6"/>
        <v>2690018.1815083916</v>
      </c>
      <c r="R25" s="1083">
        <f t="shared" si="31"/>
        <v>51866</v>
      </c>
      <c r="S25" s="699">
        <f t="shared" si="32"/>
        <v>14</v>
      </c>
      <c r="T25" s="90">
        <f t="shared" si="33"/>
        <v>4691009.3245623549</v>
      </c>
      <c r="U25" s="91">
        <f t="shared" si="34"/>
        <v>1.1255088100000001</v>
      </c>
      <c r="V25" s="83">
        <f t="shared" ca="1" si="7"/>
        <v>323263541.87604946</v>
      </c>
      <c r="W25" s="87">
        <f t="shared" si="35"/>
        <v>1</v>
      </c>
      <c r="X25" s="83">
        <f t="shared" ca="1" si="8"/>
        <v>323263541.87604946</v>
      </c>
      <c r="Y25" s="88">
        <f t="shared" si="36"/>
        <v>13.741</v>
      </c>
      <c r="Z25" s="83">
        <f t="shared" ca="1" si="9"/>
        <v>4377505.1697899848</v>
      </c>
      <c r="AA25" s="87">
        <f t="shared" si="37"/>
        <v>0.16089999999999999</v>
      </c>
      <c r="AB25" s="83">
        <f t="shared" si="10"/>
        <v>64459.159128811312</v>
      </c>
      <c r="AC25" s="83">
        <f t="shared" ca="1" si="11"/>
        <v>4441964.328918796</v>
      </c>
      <c r="AD25" s="83">
        <f t="shared" ca="1" si="12"/>
        <v>3673164.587970776</v>
      </c>
      <c r="AE25" s="83">
        <f t="shared" ca="1" si="13"/>
        <v>2938531.6703766207</v>
      </c>
      <c r="AF25" s="89">
        <f t="shared" ca="1" si="14"/>
        <v>2938531.6703766207</v>
      </c>
      <c r="AH25" s="1083">
        <f t="shared" si="38"/>
        <v>52596</v>
      </c>
      <c r="AI25" s="699">
        <f t="shared" si="39"/>
        <v>14</v>
      </c>
      <c r="AJ25" s="90">
        <f t="shared" si="40"/>
        <v>8202838.3909464516</v>
      </c>
      <c r="AK25" s="91">
        <f t="shared" si="41"/>
        <v>1.1255088100000001</v>
      </c>
      <c r="AL25" s="83">
        <f t="shared" ca="1" si="15"/>
        <v>329115833.85400212</v>
      </c>
      <c r="AM25" s="87">
        <f t="shared" si="42"/>
        <v>1</v>
      </c>
      <c r="AN25" s="83">
        <f t="shared" ca="1" si="16"/>
        <v>329115833.85400212</v>
      </c>
      <c r="AO25" s="88">
        <f t="shared" si="43"/>
        <v>13.741</v>
      </c>
      <c r="AP25" s="83">
        <f t="shared" ca="1" si="17"/>
        <v>4409665.4706578478</v>
      </c>
      <c r="AQ25" s="87">
        <f t="shared" si="44"/>
        <v>0.16089999999999999</v>
      </c>
      <c r="AR25" s="83">
        <f t="shared" si="18"/>
        <v>112715.20232999518</v>
      </c>
      <c r="AS25" s="83">
        <f t="shared" ca="1" si="19"/>
        <v>4522380.6729878429</v>
      </c>
      <c r="AT25" s="83">
        <f t="shared" ca="1" si="20"/>
        <v>3700150.2964289999</v>
      </c>
      <c r="AU25" s="83">
        <f t="shared" ca="1" si="21"/>
        <v>2960120.2371431999</v>
      </c>
      <c r="AV25" s="89">
        <f t="shared" ca="1" si="22"/>
        <v>2960120.2371431999</v>
      </c>
    </row>
    <row r="26" spans="1:48" ht="15.75">
      <c r="A26" s="136">
        <f t="shared" si="23"/>
        <v>0</v>
      </c>
      <c r="B26" s="1083">
        <f t="shared" si="24"/>
        <v>51135</v>
      </c>
      <c r="C26" s="699">
        <f t="shared" si="25"/>
        <v>13</v>
      </c>
      <c r="D26" s="90">
        <f t="shared" si="26"/>
        <v>66697529.497636609</v>
      </c>
      <c r="E26" s="91">
        <f t="shared" si="27"/>
        <v>1.1592740743000001</v>
      </c>
      <c r="F26" s="83">
        <f t="shared" ca="1" si="45"/>
        <v>367077100.26480323</v>
      </c>
      <c r="G26" s="87">
        <f t="shared" si="28"/>
        <v>1</v>
      </c>
      <c r="H26" s="83">
        <f t="shared" ca="1" si="0"/>
        <v>367077100.26480323</v>
      </c>
      <c r="I26" s="88">
        <f t="shared" si="29"/>
        <v>13.741</v>
      </c>
      <c r="J26" s="83">
        <f t="shared" ca="1" si="1"/>
        <v>4127515.6819116366</v>
      </c>
      <c r="K26" s="87">
        <f t="shared" si="30"/>
        <v>0.16089999999999999</v>
      </c>
      <c r="L26" s="83">
        <f t="shared" si="2"/>
        <v>916490.75282702455</v>
      </c>
      <c r="M26" s="83">
        <f t="shared" ca="1" si="3"/>
        <v>5044006.4347386612</v>
      </c>
      <c r="N26" s="83">
        <f t="shared" ca="1" si="4"/>
        <v>3463398.408692054</v>
      </c>
      <c r="O26" s="83">
        <f t="shared" ca="1" si="5"/>
        <v>2770718.7269536434</v>
      </c>
      <c r="P26" s="89">
        <f t="shared" ca="1" si="6"/>
        <v>2770718.7269536434</v>
      </c>
      <c r="R26" s="1083">
        <f t="shared" si="31"/>
        <v>52231</v>
      </c>
      <c r="S26" s="699">
        <f t="shared" si="32"/>
        <v>15</v>
      </c>
      <c r="T26" s="90">
        <f t="shared" si="33"/>
        <v>4691009.3245623549</v>
      </c>
      <c r="U26" s="91">
        <f t="shared" si="34"/>
        <v>1.1592740743000001</v>
      </c>
      <c r="V26" s="83">
        <f t="shared" ca="1" si="7"/>
        <v>332961448.13233089</v>
      </c>
      <c r="W26" s="87">
        <f t="shared" si="35"/>
        <v>1</v>
      </c>
      <c r="X26" s="83">
        <f t="shared" ca="1" si="8"/>
        <v>332961448.13233089</v>
      </c>
      <c r="Y26" s="88">
        <f t="shared" si="36"/>
        <v>13.741</v>
      </c>
      <c r="Z26" s="83">
        <f t="shared" ca="1" si="9"/>
        <v>4510764.0996575477</v>
      </c>
      <c r="AA26" s="87">
        <f t="shared" si="37"/>
        <v>0.16089999999999999</v>
      </c>
      <c r="AB26" s="83">
        <f t="shared" si="10"/>
        <v>64459.159128811312</v>
      </c>
      <c r="AC26" s="83">
        <f t="shared" ca="1" si="11"/>
        <v>4575223.2587863589</v>
      </c>
      <c r="AD26" s="83">
        <f t="shared" ca="1" si="12"/>
        <v>3784982.1560226479</v>
      </c>
      <c r="AE26" s="83">
        <f t="shared" ca="1" si="13"/>
        <v>3027985.7248181184</v>
      </c>
      <c r="AF26" s="89">
        <f t="shared" ca="1" si="14"/>
        <v>3027985.7248181184</v>
      </c>
      <c r="AH26" s="1083">
        <f t="shared" si="38"/>
        <v>52962</v>
      </c>
      <c r="AI26" s="699">
        <f t="shared" si="39"/>
        <v>15</v>
      </c>
      <c r="AJ26" s="90">
        <f t="shared" si="40"/>
        <v>8202838.3909464516</v>
      </c>
      <c r="AK26" s="91">
        <f t="shared" si="41"/>
        <v>1.1592740743000001</v>
      </c>
      <c r="AL26" s="83">
        <f t="shared" ca="1" si="15"/>
        <v>338989308.86962217</v>
      </c>
      <c r="AM26" s="87">
        <f t="shared" si="42"/>
        <v>1</v>
      </c>
      <c r="AN26" s="83">
        <f t="shared" ca="1" si="16"/>
        <v>338989308.86962217</v>
      </c>
      <c r="AO26" s="88">
        <f t="shared" si="43"/>
        <v>13.741</v>
      </c>
      <c r="AP26" s="83">
        <f t="shared" ca="1" si="17"/>
        <v>4545336.8908474827</v>
      </c>
      <c r="AQ26" s="87">
        <f t="shared" si="44"/>
        <v>0.16089999999999999</v>
      </c>
      <c r="AR26" s="83">
        <f t="shared" si="18"/>
        <v>112715.20232999518</v>
      </c>
      <c r="AS26" s="83">
        <f t="shared" ca="1" si="19"/>
        <v>4658052.0931774778</v>
      </c>
      <c r="AT26" s="83">
        <f t="shared" ca="1" si="20"/>
        <v>3813992.1851101224</v>
      </c>
      <c r="AU26" s="83">
        <f t="shared" ca="1" si="21"/>
        <v>3051193.7480880981</v>
      </c>
      <c r="AV26" s="89">
        <f t="shared" ca="1" si="22"/>
        <v>3051193.7480880981</v>
      </c>
    </row>
    <row r="27" spans="1:48" ht="15.75">
      <c r="A27" s="136">
        <f t="shared" si="23"/>
        <v>1</v>
      </c>
      <c r="B27" s="1083">
        <f t="shared" si="24"/>
        <v>51501</v>
      </c>
      <c r="C27" s="699">
        <f t="shared" si="25"/>
        <v>14</v>
      </c>
      <c r="D27" s="90">
        <f t="shared" si="26"/>
        <v>66697529.497636609</v>
      </c>
      <c r="E27" s="91">
        <f t="shared" si="27"/>
        <v>1.1592740743000001</v>
      </c>
      <c r="F27" s="83">
        <f t="shared" ca="1" si="45"/>
        <v>367077100.26480323</v>
      </c>
      <c r="G27" s="87">
        <f t="shared" si="28"/>
        <v>1</v>
      </c>
      <c r="H27" s="83">
        <f t="shared" ca="1" si="0"/>
        <v>367077100.26480323</v>
      </c>
      <c r="I27" s="88">
        <f t="shared" si="29"/>
        <v>13.741</v>
      </c>
      <c r="J27" s="83">
        <f t="shared" ca="1" si="1"/>
        <v>4127515.6819116366</v>
      </c>
      <c r="K27" s="87">
        <f t="shared" si="30"/>
        <v>0.16089999999999999</v>
      </c>
      <c r="L27" s="83">
        <f t="shared" si="2"/>
        <v>916490.75282702455</v>
      </c>
      <c r="M27" s="83">
        <f t="shared" ca="1" si="3"/>
        <v>5044006.4347386612</v>
      </c>
      <c r="N27" s="83">
        <f t="shared" ca="1" si="4"/>
        <v>3463398.408692054</v>
      </c>
      <c r="O27" s="83">
        <f t="shared" ca="1" si="5"/>
        <v>2770718.7269536434</v>
      </c>
      <c r="P27" s="89">
        <f t="shared" ca="1" si="6"/>
        <v>2770718.7269536434</v>
      </c>
      <c r="R27" s="1083">
        <f t="shared" si="31"/>
        <v>52596</v>
      </c>
      <c r="S27" s="699">
        <f t="shared" si="32"/>
        <v>16</v>
      </c>
      <c r="T27" s="90">
        <f t="shared" si="33"/>
        <v>4691009.3245623549</v>
      </c>
      <c r="U27" s="91">
        <f t="shared" si="34"/>
        <v>1.1592740743000001</v>
      </c>
      <c r="V27" s="83">
        <f t="shared" ca="1" si="7"/>
        <v>332961448.13233089</v>
      </c>
      <c r="W27" s="87">
        <f t="shared" si="35"/>
        <v>1</v>
      </c>
      <c r="X27" s="83">
        <f t="shared" ca="1" si="8"/>
        <v>332961448.13233089</v>
      </c>
      <c r="Y27" s="88">
        <f t="shared" si="36"/>
        <v>13.741</v>
      </c>
      <c r="Z27" s="83">
        <f t="shared" ca="1" si="9"/>
        <v>4510764.0996575477</v>
      </c>
      <c r="AA27" s="87">
        <f t="shared" si="37"/>
        <v>0.16089999999999999</v>
      </c>
      <c r="AB27" s="83">
        <f t="shared" si="10"/>
        <v>64459.159128811312</v>
      </c>
      <c r="AC27" s="83">
        <f t="shared" ca="1" si="11"/>
        <v>4575223.2587863589</v>
      </c>
      <c r="AD27" s="83">
        <f t="shared" ca="1" si="12"/>
        <v>3784982.1560226479</v>
      </c>
      <c r="AE27" s="83">
        <f t="shared" ca="1" si="13"/>
        <v>3027985.7248181184</v>
      </c>
      <c r="AF27" s="89">
        <f t="shared" ca="1" si="14"/>
        <v>3027985.7248181184</v>
      </c>
      <c r="AH27" s="1083">
        <f t="shared" si="38"/>
        <v>53327</v>
      </c>
      <c r="AI27" s="699">
        <f t="shared" si="39"/>
        <v>16</v>
      </c>
      <c r="AJ27" s="90">
        <f t="shared" si="40"/>
        <v>8202838.3909464516</v>
      </c>
      <c r="AK27" s="91">
        <f t="shared" si="41"/>
        <v>1.1592740743000001</v>
      </c>
      <c r="AL27" s="83">
        <f t="shared" ca="1" si="15"/>
        <v>338989308.86962217</v>
      </c>
      <c r="AM27" s="87">
        <f t="shared" si="42"/>
        <v>1</v>
      </c>
      <c r="AN27" s="83">
        <f t="shared" ca="1" si="16"/>
        <v>338989308.86962217</v>
      </c>
      <c r="AO27" s="88">
        <f t="shared" si="43"/>
        <v>13.741</v>
      </c>
      <c r="AP27" s="83">
        <f t="shared" ca="1" si="17"/>
        <v>4545336.8908474827</v>
      </c>
      <c r="AQ27" s="87">
        <f t="shared" si="44"/>
        <v>0.16089999999999999</v>
      </c>
      <c r="AR27" s="83">
        <f t="shared" si="18"/>
        <v>112715.20232999518</v>
      </c>
      <c r="AS27" s="83">
        <f t="shared" ca="1" si="19"/>
        <v>4658052.0931774778</v>
      </c>
      <c r="AT27" s="83">
        <f t="shared" ca="1" si="20"/>
        <v>3813992.1851101224</v>
      </c>
      <c r="AU27" s="83">
        <f t="shared" ca="1" si="21"/>
        <v>3051193.7480880981</v>
      </c>
      <c r="AV27" s="89">
        <f t="shared" ca="1" si="22"/>
        <v>3051193.7480880981</v>
      </c>
    </row>
    <row r="28" spans="1:48" ht="15.75">
      <c r="A28" s="136">
        <f t="shared" si="23"/>
        <v>2</v>
      </c>
      <c r="B28" s="1083">
        <f t="shared" si="24"/>
        <v>51866</v>
      </c>
      <c r="C28" s="699">
        <f t="shared" si="25"/>
        <v>15</v>
      </c>
      <c r="D28" s="90">
        <f t="shared" si="26"/>
        <v>66697529.497636609</v>
      </c>
      <c r="E28" s="91">
        <f t="shared" si="27"/>
        <v>1.1592740743000001</v>
      </c>
      <c r="F28" s="83">
        <f t="shared" ca="1" si="45"/>
        <v>367077100.26480323</v>
      </c>
      <c r="G28" s="87">
        <f t="shared" si="28"/>
        <v>1</v>
      </c>
      <c r="H28" s="83">
        <f t="shared" ca="1" si="0"/>
        <v>367077100.26480323</v>
      </c>
      <c r="I28" s="88">
        <f t="shared" si="29"/>
        <v>13.741</v>
      </c>
      <c r="J28" s="83">
        <f t="shared" ca="1" si="1"/>
        <v>4127515.6819116366</v>
      </c>
      <c r="K28" s="87">
        <f t="shared" si="30"/>
        <v>0.16089999999999999</v>
      </c>
      <c r="L28" s="83">
        <f t="shared" si="2"/>
        <v>916490.75282702455</v>
      </c>
      <c r="M28" s="83">
        <f t="shared" ca="1" si="3"/>
        <v>5044006.4347386612</v>
      </c>
      <c r="N28" s="83">
        <f t="shared" ca="1" si="4"/>
        <v>3463398.408692054</v>
      </c>
      <c r="O28" s="83">
        <f t="shared" ca="1" si="5"/>
        <v>2770718.7269536434</v>
      </c>
      <c r="P28" s="89">
        <f t="shared" ca="1" si="6"/>
        <v>2770718.7269536434</v>
      </c>
      <c r="R28" s="1083">
        <f t="shared" si="31"/>
        <v>52962</v>
      </c>
      <c r="S28" s="699">
        <f t="shared" si="32"/>
        <v>17</v>
      </c>
      <c r="T28" s="90">
        <f t="shared" si="33"/>
        <v>4691009.3245623549</v>
      </c>
      <c r="U28" s="91">
        <f t="shared" si="34"/>
        <v>1.1592740743000001</v>
      </c>
      <c r="V28" s="83">
        <f t="shared" ca="1" si="7"/>
        <v>332961448.13233089</v>
      </c>
      <c r="W28" s="87">
        <f t="shared" si="35"/>
        <v>1</v>
      </c>
      <c r="X28" s="83">
        <f t="shared" ca="1" si="8"/>
        <v>332961448.13233089</v>
      </c>
      <c r="Y28" s="88">
        <f t="shared" si="36"/>
        <v>13.741</v>
      </c>
      <c r="Z28" s="83">
        <f t="shared" ca="1" si="9"/>
        <v>4510764.0996575477</v>
      </c>
      <c r="AA28" s="87">
        <f t="shared" si="37"/>
        <v>0.16089999999999999</v>
      </c>
      <c r="AB28" s="83">
        <f t="shared" si="10"/>
        <v>64459.159128811312</v>
      </c>
      <c r="AC28" s="83">
        <f t="shared" ca="1" si="11"/>
        <v>4575223.2587863589</v>
      </c>
      <c r="AD28" s="83">
        <f t="shared" ca="1" si="12"/>
        <v>3784982.1560226479</v>
      </c>
      <c r="AE28" s="83">
        <f t="shared" ca="1" si="13"/>
        <v>3027985.7248181184</v>
      </c>
      <c r="AF28" s="89">
        <f t="shared" ca="1" si="14"/>
        <v>3027985.7248181184</v>
      </c>
      <c r="AH28" s="1083">
        <f t="shared" si="38"/>
        <v>53692</v>
      </c>
      <c r="AI28" s="699">
        <f t="shared" si="39"/>
        <v>17</v>
      </c>
      <c r="AJ28" s="90">
        <f t="shared" si="40"/>
        <v>8202838.3909464516</v>
      </c>
      <c r="AK28" s="91">
        <f t="shared" si="41"/>
        <v>1.1592740743000001</v>
      </c>
      <c r="AL28" s="83">
        <f t="shared" ca="1" si="15"/>
        <v>338989308.86962217</v>
      </c>
      <c r="AM28" s="87">
        <f t="shared" si="42"/>
        <v>1</v>
      </c>
      <c r="AN28" s="83">
        <f t="shared" ca="1" si="16"/>
        <v>338989308.86962217</v>
      </c>
      <c r="AO28" s="88">
        <f t="shared" si="43"/>
        <v>13.741</v>
      </c>
      <c r="AP28" s="83">
        <f t="shared" ca="1" si="17"/>
        <v>4545336.8908474827</v>
      </c>
      <c r="AQ28" s="87">
        <f t="shared" si="44"/>
        <v>0.16089999999999999</v>
      </c>
      <c r="AR28" s="83">
        <f t="shared" si="18"/>
        <v>112715.20232999518</v>
      </c>
      <c r="AS28" s="83">
        <f t="shared" ca="1" si="19"/>
        <v>4658052.0931774778</v>
      </c>
      <c r="AT28" s="83">
        <f t="shared" ca="1" si="20"/>
        <v>3813992.1851101224</v>
      </c>
      <c r="AU28" s="83">
        <f t="shared" ca="1" si="21"/>
        <v>3051193.7480880981</v>
      </c>
      <c r="AV28" s="89">
        <f t="shared" ca="1" si="22"/>
        <v>3051193.7480880981</v>
      </c>
    </row>
    <row r="29" spans="1:48" ht="15.75">
      <c r="A29" s="136">
        <f t="shared" si="23"/>
        <v>0</v>
      </c>
      <c r="B29" s="1083">
        <f t="shared" si="24"/>
        <v>52231</v>
      </c>
      <c r="C29" s="699">
        <f t="shared" si="25"/>
        <v>16</v>
      </c>
      <c r="D29" s="90">
        <f t="shared" si="26"/>
        <v>68698455.382565707</v>
      </c>
      <c r="E29" s="91">
        <f t="shared" si="27"/>
        <v>1.1940522965290001</v>
      </c>
      <c r="F29" s="83">
        <f t="shared" ca="1" si="45"/>
        <v>378089413.27274734</v>
      </c>
      <c r="G29" s="87">
        <f t="shared" si="28"/>
        <v>1</v>
      </c>
      <c r="H29" s="83">
        <f t="shared" ca="1" si="0"/>
        <v>378089413.27274734</v>
      </c>
      <c r="I29" s="88">
        <f t="shared" si="29"/>
        <v>13.741</v>
      </c>
      <c r="J29" s="83">
        <f t="shared" ca="1" si="1"/>
        <v>4251341.152368986</v>
      </c>
      <c r="K29" s="87">
        <f t="shared" si="30"/>
        <v>0.16089999999999999</v>
      </c>
      <c r="L29" s="83">
        <f t="shared" si="2"/>
        <v>943985.47541183536</v>
      </c>
      <c r="M29" s="83">
        <f t="shared" ca="1" si="3"/>
        <v>5195326.6277808212</v>
      </c>
      <c r="N29" s="83">
        <f t="shared" ca="1" si="4"/>
        <v>3567300.360952816</v>
      </c>
      <c r="O29" s="83">
        <f t="shared" ca="1" si="5"/>
        <v>2853840.2887622528</v>
      </c>
      <c r="P29" s="89">
        <f t="shared" ca="1" si="6"/>
        <v>2853840.2887622528</v>
      </c>
      <c r="R29" s="1083">
        <f t="shared" si="31"/>
        <v>53327</v>
      </c>
      <c r="S29" s="699">
        <f t="shared" si="32"/>
        <v>18</v>
      </c>
      <c r="T29" s="90">
        <f t="shared" si="33"/>
        <v>4691009.3245623549</v>
      </c>
      <c r="U29" s="91">
        <f t="shared" si="34"/>
        <v>1.1940522965290001</v>
      </c>
      <c r="V29" s="83">
        <f t="shared" ca="1" si="7"/>
        <v>342950291.57630086</v>
      </c>
      <c r="W29" s="87">
        <f t="shared" si="35"/>
        <v>1</v>
      </c>
      <c r="X29" s="83">
        <f t="shared" ca="1" si="8"/>
        <v>342950291.57630086</v>
      </c>
      <c r="Y29" s="88">
        <f t="shared" si="36"/>
        <v>13.741</v>
      </c>
      <c r="Z29" s="83">
        <f t="shared" ca="1" si="9"/>
        <v>4648020.7974211387</v>
      </c>
      <c r="AA29" s="87">
        <f t="shared" si="37"/>
        <v>0.16089999999999999</v>
      </c>
      <c r="AB29" s="83">
        <f t="shared" si="10"/>
        <v>64459.159128811312</v>
      </c>
      <c r="AC29" s="83">
        <f t="shared" ca="1" si="11"/>
        <v>4712479.9565499499</v>
      </c>
      <c r="AD29" s="83">
        <f t="shared" ca="1" si="12"/>
        <v>3900154.2511160774</v>
      </c>
      <c r="AE29" s="83">
        <f t="shared" ca="1" si="13"/>
        <v>3120123.4008928621</v>
      </c>
      <c r="AF29" s="89">
        <f t="shared" ca="1" si="14"/>
        <v>3120123.4008928621</v>
      </c>
      <c r="AH29" s="1083">
        <f t="shared" si="38"/>
        <v>54057</v>
      </c>
      <c r="AI29" s="699">
        <f t="shared" si="39"/>
        <v>18</v>
      </c>
      <c r="AJ29" s="90">
        <f t="shared" si="40"/>
        <v>8202838.3909464516</v>
      </c>
      <c r="AK29" s="91">
        <f t="shared" si="41"/>
        <v>1.1940522965290001</v>
      </c>
      <c r="AL29" s="83">
        <f t="shared" ca="1" si="15"/>
        <v>349158988.13571084</v>
      </c>
      <c r="AM29" s="87">
        <f t="shared" si="42"/>
        <v>1</v>
      </c>
      <c r="AN29" s="83">
        <f t="shared" ca="1" si="16"/>
        <v>349158988.13571084</v>
      </c>
      <c r="AO29" s="88">
        <f t="shared" si="43"/>
        <v>13.741</v>
      </c>
      <c r="AP29" s="83">
        <f t="shared" ca="1" si="17"/>
        <v>4685078.453642807</v>
      </c>
      <c r="AQ29" s="87">
        <f t="shared" si="44"/>
        <v>0.16089999999999999</v>
      </c>
      <c r="AR29" s="83">
        <f t="shared" si="18"/>
        <v>112715.20232999518</v>
      </c>
      <c r="AS29" s="83">
        <f t="shared" ca="1" si="19"/>
        <v>4797793.6559728021</v>
      </c>
      <c r="AT29" s="83">
        <f t="shared" ca="1" si="20"/>
        <v>3931249.330451679</v>
      </c>
      <c r="AU29" s="83">
        <f t="shared" ca="1" si="21"/>
        <v>3144999.4643613431</v>
      </c>
      <c r="AV29" s="89">
        <f t="shared" ca="1" si="22"/>
        <v>3144999.4643613431</v>
      </c>
    </row>
    <row r="30" spans="1:48" ht="15.75">
      <c r="A30" s="136">
        <f t="shared" si="23"/>
        <v>1</v>
      </c>
      <c r="B30" s="1083">
        <f t="shared" si="24"/>
        <v>52596</v>
      </c>
      <c r="C30" s="699">
        <f t="shared" si="25"/>
        <v>17</v>
      </c>
      <c r="D30" s="90">
        <f t="shared" si="26"/>
        <v>68698455.382565707</v>
      </c>
      <c r="E30" s="91">
        <f t="shared" si="27"/>
        <v>1.1940522965290001</v>
      </c>
      <c r="F30" s="83">
        <f t="shared" ca="1" si="45"/>
        <v>378089413.27274734</v>
      </c>
      <c r="G30" s="87">
        <f t="shared" si="28"/>
        <v>1</v>
      </c>
      <c r="H30" s="83">
        <f t="shared" ca="1" si="0"/>
        <v>378089413.27274734</v>
      </c>
      <c r="I30" s="88">
        <f t="shared" si="29"/>
        <v>13.741</v>
      </c>
      <c r="J30" s="83">
        <f t="shared" ca="1" si="1"/>
        <v>4251341.152368986</v>
      </c>
      <c r="K30" s="87">
        <f t="shared" si="30"/>
        <v>0.16089999999999999</v>
      </c>
      <c r="L30" s="83">
        <f t="shared" si="2"/>
        <v>943985.47541183536</v>
      </c>
      <c r="M30" s="83">
        <f t="shared" ca="1" si="3"/>
        <v>5195326.6277808212</v>
      </c>
      <c r="N30" s="83">
        <f t="shared" ca="1" si="4"/>
        <v>3567300.360952816</v>
      </c>
      <c r="O30" s="83">
        <f t="shared" ca="1" si="5"/>
        <v>2853840.2887622528</v>
      </c>
      <c r="P30" s="89">
        <f t="shared" ca="1" si="6"/>
        <v>2853840.2887622528</v>
      </c>
      <c r="R30" s="1083">
        <f t="shared" si="31"/>
        <v>53692</v>
      </c>
      <c r="S30" s="699">
        <f t="shared" si="32"/>
        <v>19</v>
      </c>
      <c r="T30" s="90">
        <f t="shared" si="33"/>
        <v>4691009.3245623549</v>
      </c>
      <c r="U30" s="91">
        <f t="shared" si="34"/>
        <v>1.1940522965290001</v>
      </c>
      <c r="V30" s="83">
        <f t="shared" ca="1" si="7"/>
        <v>342950291.57630086</v>
      </c>
      <c r="W30" s="87">
        <f t="shared" si="35"/>
        <v>1</v>
      </c>
      <c r="X30" s="83">
        <f t="shared" ca="1" si="8"/>
        <v>342950291.57630086</v>
      </c>
      <c r="Y30" s="88">
        <f t="shared" si="36"/>
        <v>13.741</v>
      </c>
      <c r="Z30" s="83">
        <f t="shared" ca="1" si="9"/>
        <v>4648020.7974211387</v>
      </c>
      <c r="AA30" s="87">
        <f t="shared" si="37"/>
        <v>0.16089999999999999</v>
      </c>
      <c r="AB30" s="83">
        <f t="shared" si="10"/>
        <v>64459.159128811312</v>
      </c>
      <c r="AC30" s="83">
        <f t="shared" ca="1" si="11"/>
        <v>4712479.9565499499</v>
      </c>
      <c r="AD30" s="83">
        <f t="shared" ca="1" si="12"/>
        <v>3900154.2511160774</v>
      </c>
      <c r="AE30" s="83">
        <f t="shared" ca="1" si="13"/>
        <v>3120123.4008928621</v>
      </c>
      <c r="AF30" s="89">
        <f t="shared" ca="1" si="14"/>
        <v>3120123.4008928621</v>
      </c>
      <c r="AH30" s="1083">
        <f t="shared" si="38"/>
        <v>54423</v>
      </c>
      <c r="AI30" s="699">
        <f t="shared" si="39"/>
        <v>19</v>
      </c>
      <c r="AJ30" s="90">
        <f t="shared" si="40"/>
        <v>8202838.3909464516</v>
      </c>
      <c r="AK30" s="91">
        <f t="shared" si="41"/>
        <v>1.1940522965290001</v>
      </c>
      <c r="AL30" s="83">
        <f t="shared" ca="1" si="15"/>
        <v>349158988.13571084</v>
      </c>
      <c r="AM30" s="87">
        <f t="shared" si="42"/>
        <v>1</v>
      </c>
      <c r="AN30" s="83">
        <f t="shared" ca="1" si="16"/>
        <v>349158988.13571084</v>
      </c>
      <c r="AO30" s="88">
        <f t="shared" si="43"/>
        <v>13.741</v>
      </c>
      <c r="AP30" s="83">
        <f t="shared" ca="1" si="17"/>
        <v>4685078.453642807</v>
      </c>
      <c r="AQ30" s="87">
        <f t="shared" si="44"/>
        <v>0.16089999999999999</v>
      </c>
      <c r="AR30" s="83">
        <f t="shared" si="18"/>
        <v>112715.20232999518</v>
      </c>
      <c r="AS30" s="83">
        <f t="shared" ca="1" si="19"/>
        <v>4797793.6559728021</v>
      </c>
      <c r="AT30" s="83">
        <f t="shared" ca="1" si="20"/>
        <v>3931249.330451679</v>
      </c>
      <c r="AU30" s="83">
        <f t="shared" ca="1" si="21"/>
        <v>3144999.4643613431</v>
      </c>
      <c r="AV30" s="89">
        <f t="shared" ca="1" si="22"/>
        <v>3144999.4643613431</v>
      </c>
    </row>
    <row r="31" spans="1:48" ht="15.75">
      <c r="A31" s="136">
        <f t="shared" si="23"/>
        <v>2</v>
      </c>
      <c r="B31" s="1083">
        <f t="shared" si="24"/>
        <v>52962</v>
      </c>
      <c r="C31" s="699">
        <f t="shared" si="25"/>
        <v>18</v>
      </c>
      <c r="D31" s="90">
        <f t="shared" si="26"/>
        <v>68698455.382565707</v>
      </c>
      <c r="E31" s="91">
        <f t="shared" si="27"/>
        <v>1.1940522965290001</v>
      </c>
      <c r="F31" s="83">
        <f t="shared" ca="1" si="45"/>
        <v>378089413.27274734</v>
      </c>
      <c r="G31" s="87">
        <f t="shared" si="28"/>
        <v>1</v>
      </c>
      <c r="H31" s="83">
        <f t="shared" ca="1" si="0"/>
        <v>378089413.27274734</v>
      </c>
      <c r="I31" s="88">
        <f t="shared" si="29"/>
        <v>13.741</v>
      </c>
      <c r="J31" s="83">
        <f t="shared" ca="1" si="1"/>
        <v>4251341.152368986</v>
      </c>
      <c r="K31" s="87">
        <f t="shared" si="30"/>
        <v>0.16089999999999999</v>
      </c>
      <c r="L31" s="83">
        <f t="shared" si="2"/>
        <v>943985.47541183536</v>
      </c>
      <c r="M31" s="83">
        <f t="shared" ca="1" si="3"/>
        <v>5195326.6277808212</v>
      </c>
      <c r="N31" s="83">
        <f t="shared" ca="1" si="4"/>
        <v>3567300.360952816</v>
      </c>
      <c r="O31" s="83">
        <f t="shared" ca="1" si="5"/>
        <v>2853840.2887622528</v>
      </c>
      <c r="P31" s="89">
        <f t="shared" ca="1" si="6"/>
        <v>2853840.2887622528</v>
      </c>
      <c r="R31" s="1083">
        <f t="shared" si="31"/>
        <v>54057</v>
      </c>
      <c r="S31" s="699">
        <f t="shared" si="32"/>
        <v>20</v>
      </c>
      <c r="T31" s="90">
        <f t="shared" si="33"/>
        <v>4691009.3245623549</v>
      </c>
      <c r="U31" s="91">
        <f t="shared" si="34"/>
        <v>1.1940522965290001</v>
      </c>
      <c r="V31" s="83">
        <f t="shared" ca="1" si="7"/>
        <v>342950291.57630086</v>
      </c>
      <c r="W31" s="87">
        <f t="shared" si="35"/>
        <v>1</v>
      </c>
      <c r="X31" s="83">
        <f t="shared" ca="1" si="8"/>
        <v>342950291.57630086</v>
      </c>
      <c r="Y31" s="88">
        <f t="shared" si="36"/>
        <v>13.741</v>
      </c>
      <c r="Z31" s="83">
        <f t="shared" ca="1" si="9"/>
        <v>4648020.7974211387</v>
      </c>
      <c r="AA31" s="87">
        <f t="shared" si="37"/>
        <v>0.16089999999999999</v>
      </c>
      <c r="AB31" s="83">
        <f t="shared" si="10"/>
        <v>64459.159128811312</v>
      </c>
      <c r="AC31" s="83">
        <f t="shared" ca="1" si="11"/>
        <v>4712479.9565499499</v>
      </c>
      <c r="AD31" s="83">
        <f t="shared" ca="1" si="12"/>
        <v>3900154.2511160774</v>
      </c>
      <c r="AE31" s="83">
        <f t="shared" ca="1" si="13"/>
        <v>3120123.4008928621</v>
      </c>
      <c r="AF31" s="89">
        <f t="shared" ca="1" si="14"/>
        <v>3120123.4008928621</v>
      </c>
      <c r="AH31" s="1083">
        <f t="shared" si="38"/>
        <v>54788</v>
      </c>
      <c r="AI31" s="699">
        <f t="shared" si="39"/>
        <v>20</v>
      </c>
      <c r="AJ31" s="90">
        <f t="shared" si="40"/>
        <v>8202838.3909464516</v>
      </c>
      <c r="AK31" s="91">
        <f t="shared" si="41"/>
        <v>1.1940522965290001</v>
      </c>
      <c r="AL31" s="83">
        <f t="shared" ca="1" si="15"/>
        <v>349158988.13571084</v>
      </c>
      <c r="AM31" s="87">
        <f t="shared" si="42"/>
        <v>1</v>
      </c>
      <c r="AN31" s="83">
        <f t="shared" ca="1" si="16"/>
        <v>349158988.13571084</v>
      </c>
      <c r="AO31" s="88">
        <f t="shared" si="43"/>
        <v>13.741</v>
      </c>
      <c r="AP31" s="83">
        <f t="shared" ca="1" si="17"/>
        <v>4685078.453642807</v>
      </c>
      <c r="AQ31" s="87">
        <f t="shared" si="44"/>
        <v>0.16089999999999999</v>
      </c>
      <c r="AR31" s="83">
        <f t="shared" si="18"/>
        <v>112715.20232999518</v>
      </c>
      <c r="AS31" s="83">
        <f t="shared" ca="1" si="19"/>
        <v>4797793.6559728021</v>
      </c>
      <c r="AT31" s="83">
        <f t="shared" ca="1" si="20"/>
        <v>3931249.330451679</v>
      </c>
      <c r="AU31" s="83">
        <f t="shared" ca="1" si="21"/>
        <v>3144999.4643613431</v>
      </c>
      <c r="AV31" s="89">
        <f t="shared" ca="1" si="22"/>
        <v>3144999.4643613431</v>
      </c>
    </row>
    <row r="32" spans="1:48" ht="15.75">
      <c r="A32" s="136">
        <f t="shared" si="23"/>
        <v>0</v>
      </c>
      <c r="B32" s="1083">
        <f t="shared" si="24"/>
        <v>53327</v>
      </c>
      <c r="C32" s="699">
        <f t="shared" si="25"/>
        <v>19</v>
      </c>
      <c r="D32" s="90">
        <f t="shared" si="26"/>
        <v>70759409.044042692</v>
      </c>
      <c r="E32" s="91">
        <f t="shared" si="27"/>
        <v>1.2298738654248702</v>
      </c>
      <c r="F32" s="83">
        <f t="shared" ca="1" si="45"/>
        <v>389432095.67092979</v>
      </c>
      <c r="G32" s="87">
        <f t="shared" si="28"/>
        <v>1</v>
      </c>
      <c r="H32" s="83">
        <f t="shared" ca="1" si="0"/>
        <v>389432095.67092979</v>
      </c>
      <c r="I32" s="88">
        <f t="shared" si="29"/>
        <v>13.741</v>
      </c>
      <c r="J32" s="83">
        <f t="shared" ca="1" si="1"/>
        <v>4378881.3869400555</v>
      </c>
      <c r="K32" s="87">
        <f t="shared" si="30"/>
        <v>0.16089999999999999</v>
      </c>
      <c r="L32" s="83">
        <f t="shared" si="2"/>
        <v>972305.03967419069</v>
      </c>
      <c r="M32" s="83">
        <f t="shared" ca="1" si="3"/>
        <v>5351186.4266142463</v>
      </c>
      <c r="N32" s="83">
        <f t="shared" ca="1" si="4"/>
        <v>3674319.3717814004</v>
      </c>
      <c r="O32" s="83">
        <f t="shared" ca="1" si="5"/>
        <v>2939455.4974251203</v>
      </c>
      <c r="P32" s="89">
        <f t="shared" ca="1" si="6"/>
        <v>2939455.4974251203</v>
      </c>
      <c r="R32" s="1083">
        <f t="shared" si="31"/>
        <v>54423</v>
      </c>
      <c r="S32" s="699">
        <f t="shared" si="32"/>
        <v>21</v>
      </c>
      <c r="T32" s="90">
        <f t="shared" si="33"/>
        <v>4691009.3245623549</v>
      </c>
      <c r="U32" s="91">
        <f t="shared" si="34"/>
        <v>1.2298738654248702</v>
      </c>
      <c r="V32" s="83">
        <f t="shared" ca="1" si="7"/>
        <v>353238800.32358992</v>
      </c>
      <c r="W32" s="87">
        <f t="shared" si="35"/>
        <v>1</v>
      </c>
      <c r="X32" s="83">
        <f t="shared" ca="1" si="8"/>
        <v>353238800.32358992</v>
      </c>
      <c r="Y32" s="88">
        <f t="shared" si="36"/>
        <v>13.741</v>
      </c>
      <c r="Z32" s="83">
        <f t="shared" ca="1" si="9"/>
        <v>4789395.1961176377</v>
      </c>
      <c r="AA32" s="87">
        <f t="shared" si="37"/>
        <v>0.16089999999999999</v>
      </c>
      <c r="AB32" s="83">
        <f t="shared" si="10"/>
        <v>64459.159128811312</v>
      </c>
      <c r="AC32" s="83">
        <f t="shared" ca="1" si="11"/>
        <v>4853854.3552464489</v>
      </c>
      <c r="AD32" s="83">
        <f t="shared" ca="1" si="12"/>
        <v>4018781.5090623097</v>
      </c>
      <c r="AE32" s="83">
        <f t="shared" ca="1" si="13"/>
        <v>3215025.2072498477</v>
      </c>
      <c r="AF32" s="89">
        <f t="shared" ca="1" si="14"/>
        <v>3215025.2072498477</v>
      </c>
      <c r="AH32" s="1083">
        <f t="shared" si="38"/>
        <v>55153</v>
      </c>
      <c r="AI32" s="699">
        <f t="shared" si="39"/>
        <v>21</v>
      </c>
      <c r="AJ32" s="90">
        <f t="shared" si="40"/>
        <v>8202838.3909464516</v>
      </c>
      <c r="AK32" s="91">
        <f t="shared" si="41"/>
        <v>1.2298738654248702</v>
      </c>
      <c r="AL32" s="83">
        <f t="shared" ca="1" si="15"/>
        <v>359633757.77978224</v>
      </c>
      <c r="AM32" s="87">
        <f t="shared" si="42"/>
        <v>1</v>
      </c>
      <c r="AN32" s="83">
        <f t="shared" ca="1" si="16"/>
        <v>359633757.77978224</v>
      </c>
      <c r="AO32" s="88">
        <f t="shared" si="43"/>
        <v>13.741</v>
      </c>
      <c r="AP32" s="83">
        <f t="shared" ca="1" si="17"/>
        <v>4829012.2633219929</v>
      </c>
      <c r="AQ32" s="87">
        <f t="shared" si="44"/>
        <v>0.16089999999999999</v>
      </c>
      <c r="AR32" s="83">
        <f t="shared" si="18"/>
        <v>112715.20232999518</v>
      </c>
      <c r="AS32" s="83">
        <f t="shared" ca="1" si="19"/>
        <v>4941727.4656519881</v>
      </c>
      <c r="AT32" s="83">
        <f t="shared" ca="1" si="20"/>
        <v>4052024.1901534842</v>
      </c>
      <c r="AU32" s="83">
        <f t="shared" ca="1" si="21"/>
        <v>3241619.3521227874</v>
      </c>
      <c r="AV32" s="89">
        <f t="shared" ca="1" si="22"/>
        <v>3241619.3521227874</v>
      </c>
    </row>
    <row r="33" spans="1:48" ht="15.75">
      <c r="A33" s="136">
        <f t="shared" si="23"/>
        <v>1</v>
      </c>
      <c r="B33" s="1083">
        <f t="shared" si="24"/>
        <v>53692</v>
      </c>
      <c r="C33" s="699">
        <f t="shared" si="25"/>
        <v>20</v>
      </c>
      <c r="D33" s="90">
        <f t="shared" si="26"/>
        <v>70759409.044042692</v>
      </c>
      <c r="E33" s="91">
        <f t="shared" si="27"/>
        <v>1.2298738654248702</v>
      </c>
      <c r="F33" s="83">
        <f t="shared" ca="1" si="45"/>
        <v>389432095.67092979</v>
      </c>
      <c r="G33" s="87">
        <f t="shared" si="28"/>
        <v>1</v>
      </c>
      <c r="H33" s="83">
        <f t="shared" ca="1" si="0"/>
        <v>389432095.67092979</v>
      </c>
      <c r="I33" s="88">
        <f t="shared" si="29"/>
        <v>13.741</v>
      </c>
      <c r="J33" s="83">
        <f t="shared" ca="1" si="1"/>
        <v>4378881.3869400555</v>
      </c>
      <c r="K33" s="87">
        <f t="shared" si="30"/>
        <v>0.16089999999999999</v>
      </c>
      <c r="L33" s="83">
        <f t="shared" si="2"/>
        <v>972305.03967419069</v>
      </c>
      <c r="M33" s="83">
        <f t="shared" ca="1" si="3"/>
        <v>5351186.4266142463</v>
      </c>
      <c r="N33" s="83">
        <f t="shared" ca="1" si="4"/>
        <v>3674319.3717814004</v>
      </c>
      <c r="O33" s="83">
        <f t="shared" ca="1" si="5"/>
        <v>2939455.4974251203</v>
      </c>
      <c r="P33" s="89">
        <f t="shared" ca="1" si="6"/>
        <v>2939455.4974251203</v>
      </c>
      <c r="R33" s="1083">
        <f t="shared" si="31"/>
        <v>54788</v>
      </c>
      <c r="S33" s="699">
        <f t="shared" si="32"/>
        <v>22</v>
      </c>
      <c r="T33" s="90">
        <f t="shared" si="33"/>
        <v>4691009.3245623549</v>
      </c>
      <c r="U33" s="91">
        <f t="shared" si="34"/>
        <v>1.2298738654248702</v>
      </c>
      <c r="V33" s="83">
        <f t="shared" ca="1" si="7"/>
        <v>353238800.32358992</v>
      </c>
      <c r="W33" s="87">
        <f t="shared" si="35"/>
        <v>1</v>
      </c>
      <c r="X33" s="83">
        <f t="shared" ca="1" si="8"/>
        <v>353238800.32358992</v>
      </c>
      <c r="Y33" s="88">
        <f t="shared" si="36"/>
        <v>13.741</v>
      </c>
      <c r="Z33" s="83">
        <f t="shared" ca="1" si="9"/>
        <v>4789395.1961176377</v>
      </c>
      <c r="AA33" s="87">
        <f t="shared" si="37"/>
        <v>0.16089999999999999</v>
      </c>
      <c r="AB33" s="83">
        <f t="shared" si="10"/>
        <v>64459.159128811312</v>
      </c>
      <c r="AC33" s="83">
        <f t="shared" ca="1" si="11"/>
        <v>4853854.3552464489</v>
      </c>
      <c r="AD33" s="83">
        <f t="shared" ca="1" si="12"/>
        <v>4018781.5090623097</v>
      </c>
      <c r="AE33" s="83">
        <f t="shared" ca="1" si="13"/>
        <v>3215025.2072498477</v>
      </c>
      <c r="AF33" s="89">
        <f t="shared" ca="1" si="14"/>
        <v>3215025.2072498477</v>
      </c>
      <c r="AH33" s="1083">
        <f t="shared" si="38"/>
        <v>55518</v>
      </c>
      <c r="AI33" s="699">
        <f t="shared" si="39"/>
        <v>22</v>
      </c>
      <c r="AJ33" s="90">
        <f t="shared" si="40"/>
        <v>8202838.3909464516</v>
      </c>
      <c r="AK33" s="91">
        <f t="shared" si="41"/>
        <v>1.2298738654248702</v>
      </c>
      <c r="AL33" s="83">
        <f t="shared" ca="1" si="15"/>
        <v>359633757.77978224</v>
      </c>
      <c r="AM33" s="87">
        <f t="shared" si="42"/>
        <v>1</v>
      </c>
      <c r="AN33" s="83">
        <f t="shared" ca="1" si="16"/>
        <v>359633757.77978224</v>
      </c>
      <c r="AO33" s="88">
        <f t="shared" si="43"/>
        <v>13.741</v>
      </c>
      <c r="AP33" s="83">
        <f t="shared" ca="1" si="17"/>
        <v>4829012.2633219929</v>
      </c>
      <c r="AQ33" s="87">
        <f t="shared" si="44"/>
        <v>0.16089999999999999</v>
      </c>
      <c r="AR33" s="83">
        <f t="shared" si="18"/>
        <v>112715.20232999518</v>
      </c>
      <c r="AS33" s="83">
        <f t="shared" ca="1" si="19"/>
        <v>4941727.4656519881</v>
      </c>
      <c r="AT33" s="83">
        <f t="shared" ca="1" si="20"/>
        <v>4052024.1901534842</v>
      </c>
      <c r="AU33" s="83">
        <f t="shared" ca="1" si="21"/>
        <v>3241619.3521227874</v>
      </c>
      <c r="AV33" s="89">
        <f t="shared" ca="1" si="22"/>
        <v>3241619.3521227874</v>
      </c>
    </row>
    <row r="34" spans="1:48" ht="15.75">
      <c r="A34" s="136">
        <f t="shared" si="23"/>
        <v>2</v>
      </c>
      <c r="B34" s="1083">
        <f t="shared" si="24"/>
        <v>54057</v>
      </c>
      <c r="C34" s="699">
        <f t="shared" si="25"/>
        <v>21</v>
      </c>
      <c r="D34" s="90">
        <f t="shared" si="26"/>
        <v>70759409.044042692</v>
      </c>
      <c r="E34" s="91">
        <f t="shared" si="27"/>
        <v>1.2298738654248702</v>
      </c>
      <c r="F34" s="83">
        <f t="shared" ca="1" si="45"/>
        <v>389432095.67092979</v>
      </c>
      <c r="G34" s="87">
        <f t="shared" si="28"/>
        <v>1</v>
      </c>
      <c r="H34" s="83">
        <f t="shared" ca="1" si="0"/>
        <v>389432095.67092979</v>
      </c>
      <c r="I34" s="88">
        <f t="shared" si="29"/>
        <v>13.741</v>
      </c>
      <c r="J34" s="83">
        <f t="shared" ca="1" si="1"/>
        <v>4378881.3869400555</v>
      </c>
      <c r="K34" s="87">
        <f t="shared" si="30"/>
        <v>0.16089999999999999</v>
      </c>
      <c r="L34" s="83">
        <f t="shared" si="2"/>
        <v>972305.03967419069</v>
      </c>
      <c r="M34" s="83">
        <f t="shared" ca="1" si="3"/>
        <v>5351186.4266142463</v>
      </c>
      <c r="N34" s="83">
        <f t="shared" ca="1" si="4"/>
        <v>3674319.3717814004</v>
      </c>
      <c r="O34" s="83">
        <f t="shared" ca="1" si="5"/>
        <v>2939455.4974251203</v>
      </c>
      <c r="P34" s="89">
        <f t="shared" ca="1" si="6"/>
        <v>2939455.4974251203</v>
      </c>
      <c r="R34" s="1083">
        <f t="shared" si="31"/>
        <v>55153</v>
      </c>
      <c r="S34" s="699">
        <f t="shared" si="32"/>
        <v>23</v>
      </c>
      <c r="T34" s="90">
        <f t="shared" si="33"/>
        <v>4691009.3245623549</v>
      </c>
      <c r="U34" s="91">
        <f t="shared" si="34"/>
        <v>1.2298738654248702</v>
      </c>
      <c r="V34" s="83">
        <f t="shared" ca="1" si="7"/>
        <v>353238800.32358992</v>
      </c>
      <c r="W34" s="87">
        <f t="shared" si="35"/>
        <v>1</v>
      </c>
      <c r="X34" s="83">
        <f t="shared" ca="1" si="8"/>
        <v>353238800.32358992</v>
      </c>
      <c r="Y34" s="88">
        <f t="shared" si="36"/>
        <v>13.741</v>
      </c>
      <c r="Z34" s="83">
        <f t="shared" ca="1" si="9"/>
        <v>4789395.1961176377</v>
      </c>
      <c r="AA34" s="87">
        <f t="shared" si="37"/>
        <v>0.16089999999999999</v>
      </c>
      <c r="AB34" s="83">
        <f t="shared" si="10"/>
        <v>64459.159128811312</v>
      </c>
      <c r="AC34" s="83">
        <f t="shared" ca="1" si="11"/>
        <v>4853854.3552464489</v>
      </c>
      <c r="AD34" s="83">
        <f t="shared" ca="1" si="12"/>
        <v>4018781.5090623097</v>
      </c>
      <c r="AE34" s="83">
        <f t="shared" ca="1" si="13"/>
        <v>3215025.2072498477</v>
      </c>
      <c r="AF34" s="89">
        <f t="shared" ca="1" si="14"/>
        <v>3215025.2072498477</v>
      </c>
      <c r="AH34" s="1083">
        <f t="shared" si="38"/>
        <v>55884</v>
      </c>
      <c r="AI34" s="699">
        <f t="shared" si="39"/>
        <v>23</v>
      </c>
      <c r="AJ34" s="90">
        <f t="shared" si="40"/>
        <v>8202838.3909464516</v>
      </c>
      <c r="AK34" s="91">
        <f t="shared" si="41"/>
        <v>1.2298738654248702</v>
      </c>
      <c r="AL34" s="83">
        <f t="shared" ca="1" si="15"/>
        <v>359633757.77978224</v>
      </c>
      <c r="AM34" s="87">
        <f t="shared" si="42"/>
        <v>1</v>
      </c>
      <c r="AN34" s="83">
        <f t="shared" ca="1" si="16"/>
        <v>359633757.77978224</v>
      </c>
      <c r="AO34" s="88">
        <f t="shared" si="43"/>
        <v>13.741</v>
      </c>
      <c r="AP34" s="83">
        <f t="shared" ca="1" si="17"/>
        <v>4829012.2633219929</v>
      </c>
      <c r="AQ34" s="87">
        <f t="shared" si="44"/>
        <v>0.16089999999999999</v>
      </c>
      <c r="AR34" s="83">
        <f t="shared" si="18"/>
        <v>112715.20232999518</v>
      </c>
      <c r="AS34" s="83">
        <f t="shared" ca="1" si="19"/>
        <v>4941727.4656519881</v>
      </c>
      <c r="AT34" s="83">
        <f t="shared" ca="1" si="20"/>
        <v>4052024.1901534842</v>
      </c>
      <c r="AU34" s="83">
        <f t="shared" ca="1" si="21"/>
        <v>3241619.3521227874</v>
      </c>
      <c r="AV34" s="89">
        <f t="shared" ca="1" si="22"/>
        <v>3241619.3521227874</v>
      </c>
    </row>
    <row r="35" spans="1:48" ht="15.75">
      <c r="A35" s="136">
        <f t="shared" si="23"/>
        <v>0</v>
      </c>
      <c r="B35" s="1083">
        <f t="shared" si="24"/>
        <v>54423</v>
      </c>
      <c r="C35" s="699">
        <f t="shared" si="25"/>
        <v>22</v>
      </c>
      <c r="D35" s="90">
        <f t="shared" si="26"/>
        <v>72882191.315363973</v>
      </c>
      <c r="E35" s="91">
        <f t="shared" si="27"/>
        <v>1.2667700813876164</v>
      </c>
      <c r="F35" s="83">
        <f t="shared" ca="1" si="45"/>
        <v>401115058.54105771</v>
      </c>
      <c r="G35" s="87">
        <f t="shared" si="28"/>
        <v>1</v>
      </c>
      <c r="H35" s="83">
        <f t="shared" ca="1" si="0"/>
        <v>401115058.54105771</v>
      </c>
      <c r="I35" s="88">
        <f t="shared" si="29"/>
        <v>13.741</v>
      </c>
      <c r="J35" s="83">
        <f t="shared" ca="1" si="1"/>
        <v>4510247.8285482582</v>
      </c>
      <c r="K35" s="87">
        <f t="shared" si="30"/>
        <v>0.16089999999999999</v>
      </c>
      <c r="L35" s="83">
        <f t="shared" si="2"/>
        <v>1001474.1908644163</v>
      </c>
      <c r="M35" s="83">
        <f t="shared" ca="1" si="3"/>
        <v>5511722.019412674</v>
      </c>
      <c r="N35" s="83">
        <f t="shared" ca="1" si="4"/>
        <v>3784548.952934843</v>
      </c>
      <c r="O35" s="83">
        <f t="shared" ca="1" si="5"/>
        <v>3027639.1623478746</v>
      </c>
      <c r="P35" s="89">
        <f t="shared" ca="1" si="6"/>
        <v>3027639.1623478746</v>
      </c>
      <c r="R35" s="1083">
        <f t="shared" si="31"/>
        <v>55518</v>
      </c>
      <c r="S35" s="699">
        <f t="shared" si="32"/>
        <v>24</v>
      </c>
      <c r="T35" s="90">
        <f t="shared" si="33"/>
        <v>4691009.3245623549</v>
      </c>
      <c r="U35" s="91">
        <f t="shared" si="34"/>
        <v>1.2667700813876164</v>
      </c>
      <c r="V35" s="83">
        <f t="shared" ca="1" si="7"/>
        <v>363835964.33329761</v>
      </c>
      <c r="W35" s="87">
        <f t="shared" si="35"/>
        <v>1</v>
      </c>
      <c r="X35" s="83">
        <f t="shared" ca="1" si="8"/>
        <v>363835964.33329761</v>
      </c>
      <c r="Y35" s="88">
        <f t="shared" si="36"/>
        <v>13.741</v>
      </c>
      <c r="Z35" s="83">
        <f t="shared" ca="1" si="9"/>
        <v>4935010.8267750312</v>
      </c>
      <c r="AA35" s="87">
        <f t="shared" si="37"/>
        <v>0.16089999999999999</v>
      </c>
      <c r="AB35" s="83">
        <f t="shared" si="10"/>
        <v>64459.159128811312</v>
      </c>
      <c r="AC35" s="83">
        <f t="shared" ca="1" si="11"/>
        <v>4999469.9859038424</v>
      </c>
      <c r="AD35" s="83">
        <f t="shared" ca="1" si="12"/>
        <v>4140967.5847469284</v>
      </c>
      <c r="AE35" s="83">
        <f t="shared" ca="1" si="13"/>
        <v>3312774.0677975425</v>
      </c>
      <c r="AF35" s="89">
        <f t="shared" ca="1" si="14"/>
        <v>3312774.0677975425</v>
      </c>
      <c r="AH35" s="1083">
        <f t="shared" si="38"/>
        <v>56249</v>
      </c>
      <c r="AI35" s="699">
        <f t="shared" si="39"/>
        <v>24</v>
      </c>
      <c r="AJ35" s="90">
        <f t="shared" si="40"/>
        <v>8202838.3909464516</v>
      </c>
      <c r="AK35" s="91">
        <f t="shared" si="41"/>
        <v>1.2667700813876164</v>
      </c>
      <c r="AL35" s="83">
        <f t="shared" ca="1" si="15"/>
        <v>370422770.51317567</v>
      </c>
      <c r="AM35" s="87">
        <f t="shared" si="42"/>
        <v>1</v>
      </c>
      <c r="AN35" s="83">
        <f t="shared" ca="1" si="16"/>
        <v>370422770.51317567</v>
      </c>
      <c r="AO35" s="88">
        <f t="shared" si="43"/>
        <v>13.741</v>
      </c>
      <c r="AP35" s="83">
        <f t="shared" ca="1" si="17"/>
        <v>4977264.0872915518</v>
      </c>
      <c r="AQ35" s="87">
        <f t="shared" si="44"/>
        <v>0.16089999999999999</v>
      </c>
      <c r="AR35" s="83">
        <f t="shared" si="18"/>
        <v>112715.20232999518</v>
      </c>
      <c r="AS35" s="83">
        <f t="shared" ca="1" si="19"/>
        <v>5089979.2896215469</v>
      </c>
      <c r="AT35" s="83">
        <f t="shared" ca="1" si="20"/>
        <v>4176422.2956463411</v>
      </c>
      <c r="AU35" s="83">
        <f t="shared" ca="1" si="21"/>
        <v>3341137.8365170727</v>
      </c>
      <c r="AV35" s="89">
        <f t="shared" ca="1" si="22"/>
        <v>3341137.8365170727</v>
      </c>
    </row>
    <row r="36" spans="1:48" ht="15.75">
      <c r="A36" s="136">
        <f t="shared" si="23"/>
        <v>1</v>
      </c>
      <c r="B36" s="1083">
        <f t="shared" si="24"/>
        <v>54788</v>
      </c>
      <c r="C36" s="699">
        <f t="shared" si="25"/>
        <v>23</v>
      </c>
      <c r="D36" s="90">
        <f t="shared" si="26"/>
        <v>72882191.315363973</v>
      </c>
      <c r="E36" s="91">
        <f t="shared" si="27"/>
        <v>1.2667700813876164</v>
      </c>
      <c r="F36" s="83">
        <f t="shared" ca="1" si="45"/>
        <v>401115058.54105771</v>
      </c>
      <c r="G36" s="87">
        <f t="shared" si="28"/>
        <v>1</v>
      </c>
      <c r="H36" s="83">
        <f t="shared" ca="1" si="0"/>
        <v>401115058.54105771</v>
      </c>
      <c r="I36" s="88">
        <f t="shared" si="29"/>
        <v>13.741</v>
      </c>
      <c r="J36" s="83">
        <f t="shared" ca="1" si="1"/>
        <v>4510247.8285482582</v>
      </c>
      <c r="K36" s="87">
        <f t="shared" si="30"/>
        <v>0.16089999999999999</v>
      </c>
      <c r="L36" s="83">
        <f t="shared" si="2"/>
        <v>1001474.1908644163</v>
      </c>
      <c r="M36" s="83">
        <f t="shared" ca="1" si="3"/>
        <v>5511722.019412674</v>
      </c>
      <c r="N36" s="83">
        <f t="shared" ca="1" si="4"/>
        <v>3784548.952934843</v>
      </c>
      <c r="O36" s="83">
        <f t="shared" ca="1" si="5"/>
        <v>3027639.1623478746</v>
      </c>
      <c r="P36" s="89">
        <f t="shared" ca="1" si="6"/>
        <v>3027639.1623478746</v>
      </c>
      <c r="R36" s="1083">
        <f t="shared" si="31"/>
        <v>55884</v>
      </c>
      <c r="S36" s="699">
        <f t="shared" si="32"/>
        <v>25</v>
      </c>
      <c r="T36" s="90">
        <f t="shared" si="33"/>
        <v>4691009.3245623549</v>
      </c>
      <c r="U36" s="91">
        <f t="shared" si="34"/>
        <v>1.2667700813876164</v>
      </c>
      <c r="V36" s="83">
        <f t="shared" ca="1" si="7"/>
        <v>363835964.33329761</v>
      </c>
      <c r="W36" s="87">
        <f t="shared" si="35"/>
        <v>1</v>
      </c>
      <c r="X36" s="83">
        <f t="shared" ca="1" si="8"/>
        <v>363835964.33329761</v>
      </c>
      <c r="Y36" s="88">
        <f t="shared" si="36"/>
        <v>13.741</v>
      </c>
      <c r="Z36" s="83">
        <f t="shared" ca="1" si="9"/>
        <v>4935010.8267750312</v>
      </c>
      <c r="AA36" s="87">
        <f t="shared" si="37"/>
        <v>0.16089999999999999</v>
      </c>
      <c r="AB36" s="83">
        <f t="shared" si="10"/>
        <v>64459.159128811312</v>
      </c>
      <c r="AC36" s="83">
        <f t="shared" ca="1" si="11"/>
        <v>4999469.9859038424</v>
      </c>
      <c r="AD36" s="83">
        <f t="shared" ca="1" si="12"/>
        <v>4140967.5847469284</v>
      </c>
      <c r="AE36" s="83">
        <f t="shared" ca="1" si="13"/>
        <v>3312774.0677975425</v>
      </c>
      <c r="AF36" s="89">
        <f t="shared" ca="1" si="14"/>
        <v>3312774.0677975425</v>
      </c>
      <c r="AH36" s="1083">
        <f t="shared" si="38"/>
        <v>56614</v>
      </c>
      <c r="AI36" s="699">
        <f t="shared" si="39"/>
        <v>25</v>
      </c>
      <c r="AJ36" s="90">
        <f t="shared" si="40"/>
        <v>8202838.3909464516</v>
      </c>
      <c r="AK36" s="91">
        <f t="shared" si="41"/>
        <v>1.2667700813876164</v>
      </c>
      <c r="AL36" s="83">
        <f t="shared" ca="1" si="15"/>
        <v>370422770.51317567</v>
      </c>
      <c r="AM36" s="87">
        <f t="shared" si="42"/>
        <v>1</v>
      </c>
      <c r="AN36" s="83">
        <f t="shared" ca="1" si="16"/>
        <v>370422770.51317567</v>
      </c>
      <c r="AO36" s="88">
        <f t="shared" si="43"/>
        <v>13.741</v>
      </c>
      <c r="AP36" s="83">
        <f t="shared" ca="1" si="17"/>
        <v>4977264.0872915518</v>
      </c>
      <c r="AQ36" s="87">
        <f t="shared" si="44"/>
        <v>0.16089999999999999</v>
      </c>
      <c r="AR36" s="83">
        <f t="shared" si="18"/>
        <v>112715.20232999518</v>
      </c>
      <c r="AS36" s="83">
        <f t="shared" ca="1" si="19"/>
        <v>5089979.2896215469</v>
      </c>
      <c r="AT36" s="83">
        <f t="shared" ca="1" si="20"/>
        <v>4176422.2956463411</v>
      </c>
      <c r="AU36" s="83">
        <f t="shared" ca="1" si="21"/>
        <v>3341137.8365170727</v>
      </c>
      <c r="AV36" s="89">
        <f t="shared" ca="1" si="22"/>
        <v>3341137.8365170727</v>
      </c>
    </row>
    <row r="37" spans="1:48" ht="15.75">
      <c r="A37" s="136">
        <f t="shared" si="23"/>
        <v>2</v>
      </c>
      <c r="B37" s="1083">
        <f t="shared" si="24"/>
        <v>55153</v>
      </c>
      <c r="C37" s="699">
        <f t="shared" si="25"/>
        <v>24</v>
      </c>
      <c r="D37" s="90">
        <f t="shared" si="26"/>
        <v>72882191.315363973</v>
      </c>
      <c r="E37" s="91">
        <f t="shared" si="27"/>
        <v>1.2667700813876164</v>
      </c>
      <c r="F37" s="83">
        <f t="shared" ca="1" si="45"/>
        <v>401115058.54105771</v>
      </c>
      <c r="G37" s="87">
        <f t="shared" si="28"/>
        <v>1</v>
      </c>
      <c r="H37" s="83">
        <f t="shared" ca="1" si="0"/>
        <v>401115058.54105771</v>
      </c>
      <c r="I37" s="88">
        <f t="shared" si="29"/>
        <v>13.741</v>
      </c>
      <c r="J37" s="83">
        <f t="shared" ca="1" si="1"/>
        <v>4510247.8285482582</v>
      </c>
      <c r="K37" s="87">
        <f t="shared" si="30"/>
        <v>0.16089999999999999</v>
      </c>
      <c r="L37" s="83">
        <f t="shared" si="2"/>
        <v>1001474.1908644163</v>
      </c>
      <c r="M37" s="83">
        <f t="shared" ca="1" si="3"/>
        <v>5511722.019412674</v>
      </c>
      <c r="N37" s="83">
        <f t="shared" ca="1" si="4"/>
        <v>3784548.952934843</v>
      </c>
      <c r="O37" s="83">
        <f t="shared" ca="1" si="5"/>
        <v>3027639.1623478746</v>
      </c>
      <c r="P37" s="89">
        <f t="shared" ca="1" si="6"/>
        <v>3027639.1623478746</v>
      </c>
      <c r="R37" s="1083">
        <f t="shared" si="31"/>
        <v>56249</v>
      </c>
      <c r="S37" s="699">
        <f t="shared" si="32"/>
        <v>26</v>
      </c>
      <c r="T37" s="90">
        <f t="shared" si="33"/>
        <v>4691009.3245623549</v>
      </c>
      <c r="U37" s="91">
        <f t="shared" si="34"/>
        <v>1.2667700813876164</v>
      </c>
      <c r="V37" s="83">
        <f t="shared" ca="1" si="7"/>
        <v>363835964.33329761</v>
      </c>
      <c r="W37" s="87">
        <f t="shared" si="35"/>
        <v>1</v>
      </c>
      <c r="X37" s="83">
        <f t="shared" ca="1" si="8"/>
        <v>363835964.33329761</v>
      </c>
      <c r="Y37" s="88">
        <f t="shared" si="36"/>
        <v>13.741</v>
      </c>
      <c r="Z37" s="83">
        <f t="shared" ca="1" si="9"/>
        <v>4935010.8267750312</v>
      </c>
      <c r="AA37" s="87">
        <f t="shared" si="37"/>
        <v>0.16089999999999999</v>
      </c>
      <c r="AB37" s="83">
        <f t="shared" si="10"/>
        <v>64459.159128811312</v>
      </c>
      <c r="AC37" s="83">
        <f t="shared" ca="1" si="11"/>
        <v>4999469.9859038424</v>
      </c>
      <c r="AD37" s="83">
        <f t="shared" ca="1" si="12"/>
        <v>4140967.5847469284</v>
      </c>
      <c r="AE37" s="83">
        <f t="shared" ca="1" si="13"/>
        <v>3312774.0677975425</v>
      </c>
      <c r="AF37" s="89">
        <f t="shared" ca="1" si="14"/>
        <v>3312774.0677975425</v>
      </c>
      <c r="AH37" s="1083">
        <f t="shared" si="38"/>
        <v>56979</v>
      </c>
      <c r="AI37" s="699">
        <f t="shared" si="39"/>
        <v>26</v>
      </c>
      <c r="AJ37" s="90">
        <f t="shared" si="40"/>
        <v>8202838.3909464516</v>
      </c>
      <c r="AK37" s="91">
        <f t="shared" si="41"/>
        <v>1.2667700813876164</v>
      </c>
      <c r="AL37" s="83">
        <f t="shared" ca="1" si="15"/>
        <v>370422770.51317567</v>
      </c>
      <c r="AM37" s="87">
        <f t="shared" si="42"/>
        <v>1</v>
      </c>
      <c r="AN37" s="83">
        <f t="shared" ca="1" si="16"/>
        <v>370422770.51317567</v>
      </c>
      <c r="AO37" s="88">
        <f t="shared" si="43"/>
        <v>13.741</v>
      </c>
      <c r="AP37" s="83">
        <f t="shared" ca="1" si="17"/>
        <v>4977264.0872915518</v>
      </c>
      <c r="AQ37" s="87">
        <f t="shared" si="44"/>
        <v>0.16089999999999999</v>
      </c>
      <c r="AR37" s="83">
        <f t="shared" si="18"/>
        <v>112715.20232999518</v>
      </c>
      <c r="AS37" s="83">
        <f t="shared" ca="1" si="19"/>
        <v>5089979.2896215469</v>
      </c>
      <c r="AT37" s="83">
        <f t="shared" ca="1" si="20"/>
        <v>4176422.2956463411</v>
      </c>
      <c r="AU37" s="83">
        <f t="shared" ca="1" si="21"/>
        <v>3341137.8365170727</v>
      </c>
      <c r="AV37" s="89">
        <f t="shared" ca="1" si="22"/>
        <v>3341137.8365170727</v>
      </c>
    </row>
    <row r="38" spans="1:48" ht="15.75">
      <c r="A38" s="136">
        <f t="shared" si="23"/>
        <v>0</v>
      </c>
      <c r="B38" s="1083">
        <f t="shared" si="24"/>
        <v>55518</v>
      </c>
      <c r="C38" s="699">
        <f t="shared" si="25"/>
        <v>25</v>
      </c>
      <c r="D38" s="90">
        <f t="shared" si="26"/>
        <v>75068657.054824889</v>
      </c>
      <c r="E38" s="91">
        <f t="shared" si="27"/>
        <v>1.3047731838292449</v>
      </c>
      <c r="F38" s="83">
        <f t="shared" ca="1" si="45"/>
        <v>413148510.29728943</v>
      </c>
      <c r="G38" s="87">
        <f t="shared" si="28"/>
        <v>1</v>
      </c>
      <c r="H38" s="83">
        <f t="shared" ca="1" si="0"/>
        <v>413148510.29728943</v>
      </c>
      <c r="I38" s="88">
        <f t="shared" si="29"/>
        <v>13.741</v>
      </c>
      <c r="J38" s="83">
        <f t="shared" ca="1" si="1"/>
        <v>4645555.2634047056</v>
      </c>
      <c r="K38" s="87">
        <f t="shared" si="30"/>
        <v>0.16089999999999999</v>
      </c>
      <c r="L38" s="83">
        <f t="shared" si="2"/>
        <v>1031518.4165903487</v>
      </c>
      <c r="M38" s="83">
        <f t="shared" ca="1" si="3"/>
        <v>5677073.6799950544</v>
      </c>
      <c r="N38" s="83">
        <f t="shared" ca="1" si="4"/>
        <v>3898085.4215228884</v>
      </c>
      <c r="O38" s="83">
        <f t="shared" ca="1" si="5"/>
        <v>3118468.3372183107</v>
      </c>
      <c r="P38" s="89">
        <f t="shared" ca="1" si="6"/>
        <v>3118468.3372183107</v>
      </c>
      <c r="R38" s="1083">
        <f t="shared" si="31"/>
        <v>56614</v>
      </c>
      <c r="S38" s="699">
        <f t="shared" si="32"/>
        <v>27</v>
      </c>
      <c r="T38" s="90">
        <f t="shared" si="33"/>
        <v>4691009.3245623549</v>
      </c>
      <c r="U38" s="91">
        <f t="shared" si="34"/>
        <v>1.3047731838292449</v>
      </c>
      <c r="V38" s="83">
        <f t="shared" ca="1" si="7"/>
        <v>374751043.26329654</v>
      </c>
      <c r="W38" s="87">
        <f t="shared" si="35"/>
        <v>1</v>
      </c>
      <c r="X38" s="83">
        <f t="shared" ca="1" si="8"/>
        <v>374751043.26329654</v>
      </c>
      <c r="Y38" s="88">
        <f t="shared" si="36"/>
        <v>13.741</v>
      </c>
      <c r="Z38" s="83">
        <f t="shared" ca="1" si="9"/>
        <v>5084994.926352147</v>
      </c>
      <c r="AA38" s="87">
        <f t="shared" si="37"/>
        <v>0.16089999999999999</v>
      </c>
      <c r="AB38" s="83">
        <f t="shared" si="10"/>
        <v>64459.159128811312</v>
      </c>
      <c r="AC38" s="83">
        <f t="shared" ca="1" si="11"/>
        <v>5149454.0854809582</v>
      </c>
      <c r="AD38" s="83">
        <f t="shared" ca="1" si="12"/>
        <v>4266819.2427020865</v>
      </c>
      <c r="AE38" s="83">
        <f t="shared" ca="1" si="13"/>
        <v>3413455.3941616691</v>
      </c>
      <c r="AF38" s="89">
        <f t="shared" ca="1" si="14"/>
        <v>3413455.3941616691</v>
      </c>
      <c r="AH38" s="1083">
        <f t="shared" si="38"/>
        <v>57345</v>
      </c>
      <c r="AI38" s="699">
        <f t="shared" si="39"/>
        <v>27</v>
      </c>
      <c r="AJ38" s="90">
        <f t="shared" si="40"/>
        <v>8202838.3909464516</v>
      </c>
      <c r="AK38" s="91">
        <f t="shared" si="41"/>
        <v>1.3047731838292449</v>
      </c>
      <c r="AL38" s="83">
        <f t="shared" ca="1" si="15"/>
        <v>381535453.62857097</v>
      </c>
      <c r="AM38" s="87">
        <f t="shared" si="42"/>
        <v>1</v>
      </c>
      <c r="AN38" s="83">
        <f t="shared" ca="1" si="16"/>
        <v>381535453.62857097</v>
      </c>
      <c r="AO38" s="88">
        <f t="shared" si="43"/>
        <v>13.741</v>
      </c>
      <c r="AP38" s="83">
        <f t="shared" ca="1" si="17"/>
        <v>5129963.4659801992</v>
      </c>
      <c r="AQ38" s="87">
        <f t="shared" si="44"/>
        <v>0.16089999999999999</v>
      </c>
      <c r="AR38" s="83">
        <f t="shared" si="18"/>
        <v>112715.20232999518</v>
      </c>
      <c r="AS38" s="83">
        <f t="shared" ca="1" si="19"/>
        <v>5242678.6683101943</v>
      </c>
      <c r="AT38" s="83">
        <f t="shared" ca="1" si="20"/>
        <v>4304552.3443039851</v>
      </c>
      <c r="AU38" s="83">
        <f t="shared" ca="1" si="21"/>
        <v>3443641.875443188</v>
      </c>
      <c r="AV38" s="89">
        <f t="shared" ca="1" si="22"/>
        <v>3443641.875443188</v>
      </c>
    </row>
    <row r="39" spans="1:48" ht="15.75">
      <c r="A39" s="136">
        <f t="shared" si="23"/>
        <v>1</v>
      </c>
      <c r="B39" s="1083">
        <f t="shared" si="24"/>
        <v>55884</v>
      </c>
      <c r="C39" s="699">
        <f t="shared" si="25"/>
        <v>26</v>
      </c>
      <c r="D39" s="90">
        <f t="shared" si="26"/>
        <v>75068657.054824889</v>
      </c>
      <c r="E39" s="91">
        <f t="shared" si="27"/>
        <v>1.3047731838292449</v>
      </c>
      <c r="F39" s="83">
        <f t="shared" ca="1" si="45"/>
        <v>413148510.29728943</v>
      </c>
      <c r="G39" s="87">
        <f t="shared" si="28"/>
        <v>1</v>
      </c>
      <c r="H39" s="83">
        <f t="shared" ca="1" si="0"/>
        <v>413148510.29728943</v>
      </c>
      <c r="I39" s="88">
        <f t="shared" si="29"/>
        <v>13.741</v>
      </c>
      <c r="J39" s="83">
        <f t="shared" ca="1" si="1"/>
        <v>4645555.2634047056</v>
      </c>
      <c r="K39" s="87">
        <f t="shared" si="30"/>
        <v>0.16089999999999999</v>
      </c>
      <c r="L39" s="83">
        <f t="shared" si="2"/>
        <v>1031518.4165903487</v>
      </c>
      <c r="M39" s="83">
        <f t="shared" ca="1" si="3"/>
        <v>5677073.6799950544</v>
      </c>
      <c r="N39" s="83">
        <f t="shared" ca="1" si="4"/>
        <v>3898085.4215228884</v>
      </c>
      <c r="O39" s="83">
        <f t="shared" ca="1" si="5"/>
        <v>3118468.3372183107</v>
      </c>
      <c r="P39" s="89">
        <f t="shared" ca="1" si="6"/>
        <v>3118468.3372183107</v>
      </c>
      <c r="R39" s="1083">
        <f t="shared" si="31"/>
        <v>56979</v>
      </c>
      <c r="S39" s="699">
        <f t="shared" si="32"/>
        <v>28</v>
      </c>
      <c r="T39" s="90">
        <f t="shared" si="33"/>
        <v>4691009.3245623549</v>
      </c>
      <c r="U39" s="91">
        <f t="shared" si="34"/>
        <v>1.3047731838292449</v>
      </c>
      <c r="V39" s="83">
        <f t="shared" ca="1" si="7"/>
        <v>374751043.26329654</v>
      </c>
      <c r="W39" s="87">
        <f t="shared" si="35"/>
        <v>1</v>
      </c>
      <c r="X39" s="83">
        <f t="shared" ca="1" si="8"/>
        <v>374751043.26329654</v>
      </c>
      <c r="Y39" s="88">
        <f t="shared" si="36"/>
        <v>13.741</v>
      </c>
      <c r="Z39" s="83">
        <f t="shared" ca="1" si="9"/>
        <v>5084994.926352147</v>
      </c>
      <c r="AA39" s="87">
        <f t="shared" si="37"/>
        <v>0.16089999999999999</v>
      </c>
      <c r="AB39" s="83">
        <f t="shared" si="10"/>
        <v>64459.159128811312</v>
      </c>
      <c r="AC39" s="83">
        <f t="shared" ca="1" si="11"/>
        <v>5149454.0854809582</v>
      </c>
      <c r="AD39" s="83">
        <f t="shared" ca="1" si="12"/>
        <v>4266819.2427020865</v>
      </c>
      <c r="AE39" s="83">
        <f t="shared" ca="1" si="13"/>
        <v>3413455.3941616691</v>
      </c>
      <c r="AF39" s="89">
        <f t="shared" ca="1" si="14"/>
        <v>3413455.3941616691</v>
      </c>
      <c r="AH39" s="1083">
        <f t="shared" si="38"/>
        <v>57710</v>
      </c>
      <c r="AI39" s="699">
        <f t="shared" si="39"/>
        <v>28</v>
      </c>
      <c r="AJ39" s="90">
        <f t="shared" si="40"/>
        <v>8202838.3909464516</v>
      </c>
      <c r="AK39" s="91">
        <f t="shared" si="41"/>
        <v>1.3047731838292449</v>
      </c>
      <c r="AL39" s="83">
        <f t="shared" ca="1" si="15"/>
        <v>381535453.62857097</v>
      </c>
      <c r="AM39" s="87">
        <f t="shared" si="42"/>
        <v>1</v>
      </c>
      <c r="AN39" s="83">
        <f t="shared" ca="1" si="16"/>
        <v>381535453.62857097</v>
      </c>
      <c r="AO39" s="88">
        <f t="shared" si="43"/>
        <v>13.741</v>
      </c>
      <c r="AP39" s="83">
        <f t="shared" ca="1" si="17"/>
        <v>5129963.4659801992</v>
      </c>
      <c r="AQ39" s="87">
        <f t="shared" si="44"/>
        <v>0.16089999999999999</v>
      </c>
      <c r="AR39" s="83">
        <f t="shared" si="18"/>
        <v>112715.20232999518</v>
      </c>
      <c r="AS39" s="83">
        <f t="shared" ca="1" si="19"/>
        <v>5242678.6683101943</v>
      </c>
      <c r="AT39" s="83">
        <f t="shared" ca="1" si="20"/>
        <v>4304552.3443039851</v>
      </c>
      <c r="AU39" s="83">
        <f t="shared" ca="1" si="21"/>
        <v>3443641.875443188</v>
      </c>
      <c r="AV39" s="89">
        <f t="shared" ca="1" si="22"/>
        <v>3443641.875443188</v>
      </c>
    </row>
    <row r="40" spans="1:48" ht="15.75">
      <c r="A40" s="136">
        <f t="shared" si="23"/>
        <v>2</v>
      </c>
      <c r="B40" s="1083">
        <f t="shared" si="24"/>
        <v>56249</v>
      </c>
      <c r="C40" s="699">
        <f t="shared" si="25"/>
        <v>27</v>
      </c>
      <c r="D40" s="90">
        <f t="shared" si="26"/>
        <v>75068657.054824889</v>
      </c>
      <c r="E40" s="91">
        <f t="shared" si="27"/>
        <v>1.3047731838292449</v>
      </c>
      <c r="F40" s="83">
        <f t="shared" ca="1" si="45"/>
        <v>413148510.29728943</v>
      </c>
      <c r="G40" s="87">
        <f t="shared" si="28"/>
        <v>1</v>
      </c>
      <c r="H40" s="83">
        <f t="shared" ca="1" si="0"/>
        <v>413148510.29728943</v>
      </c>
      <c r="I40" s="88">
        <f t="shared" si="29"/>
        <v>13.741</v>
      </c>
      <c r="J40" s="83">
        <f t="shared" ca="1" si="1"/>
        <v>4645555.2634047056</v>
      </c>
      <c r="K40" s="87">
        <f t="shared" si="30"/>
        <v>0.16089999999999999</v>
      </c>
      <c r="L40" s="83">
        <f t="shared" si="2"/>
        <v>1031518.4165903487</v>
      </c>
      <c r="M40" s="83">
        <f t="shared" ca="1" si="3"/>
        <v>5677073.6799950544</v>
      </c>
      <c r="N40" s="83">
        <f t="shared" ca="1" si="4"/>
        <v>3898085.4215228884</v>
      </c>
      <c r="O40" s="83">
        <f t="shared" ca="1" si="5"/>
        <v>3118468.3372183107</v>
      </c>
      <c r="P40" s="89">
        <f t="shared" ca="1" si="6"/>
        <v>3118468.3372183107</v>
      </c>
      <c r="R40" s="1083">
        <f t="shared" si="31"/>
        <v>57345</v>
      </c>
      <c r="S40" s="699">
        <f t="shared" si="32"/>
        <v>29</v>
      </c>
      <c r="T40" s="90">
        <f t="shared" si="33"/>
        <v>4691009.3245623549</v>
      </c>
      <c r="U40" s="91">
        <f t="shared" si="34"/>
        <v>1.3047731838292449</v>
      </c>
      <c r="V40" s="83">
        <f t="shared" ca="1" si="7"/>
        <v>374751043.26329654</v>
      </c>
      <c r="W40" s="87">
        <f t="shared" si="35"/>
        <v>1</v>
      </c>
      <c r="X40" s="83">
        <f t="shared" ca="1" si="8"/>
        <v>374751043.26329654</v>
      </c>
      <c r="Y40" s="88">
        <f t="shared" si="36"/>
        <v>13.741</v>
      </c>
      <c r="Z40" s="83">
        <f t="shared" ca="1" si="9"/>
        <v>5084994.926352147</v>
      </c>
      <c r="AA40" s="87">
        <f t="shared" si="37"/>
        <v>0.16089999999999999</v>
      </c>
      <c r="AB40" s="83">
        <f t="shared" si="10"/>
        <v>64459.159128811312</v>
      </c>
      <c r="AC40" s="83">
        <f t="shared" ca="1" si="11"/>
        <v>5149454.0854809582</v>
      </c>
      <c r="AD40" s="83">
        <f t="shared" ca="1" si="12"/>
        <v>4266819.2427020865</v>
      </c>
      <c r="AE40" s="83">
        <f t="shared" ca="1" si="13"/>
        <v>3413455.3941616691</v>
      </c>
      <c r="AF40" s="89">
        <f t="shared" ca="1" si="14"/>
        <v>3413455.3941616691</v>
      </c>
      <c r="AH40" s="1083">
        <f t="shared" si="38"/>
        <v>58075</v>
      </c>
      <c r="AI40" s="699">
        <f t="shared" si="39"/>
        <v>29</v>
      </c>
      <c r="AJ40" s="90">
        <f t="shared" si="40"/>
        <v>8202838.3909464516</v>
      </c>
      <c r="AK40" s="91">
        <f t="shared" si="41"/>
        <v>1.3047731838292449</v>
      </c>
      <c r="AL40" s="83">
        <f t="shared" ca="1" si="15"/>
        <v>381535453.62857097</v>
      </c>
      <c r="AM40" s="87">
        <f t="shared" si="42"/>
        <v>1</v>
      </c>
      <c r="AN40" s="83">
        <f t="shared" ca="1" si="16"/>
        <v>381535453.62857097</v>
      </c>
      <c r="AO40" s="88">
        <f t="shared" si="43"/>
        <v>13.741</v>
      </c>
      <c r="AP40" s="83">
        <f t="shared" ca="1" si="17"/>
        <v>5129963.4659801992</v>
      </c>
      <c r="AQ40" s="87">
        <f t="shared" si="44"/>
        <v>0.16089999999999999</v>
      </c>
      <c r="AR40" s="83">
        <f t="shared" si="18"/>
        <v>112715.20232999518</v>
      </c>
      <c r="AS40" s="83">
        <f t="shared" ca="1" si="19"/>
        <v>5242678.6683101943</v>
      </c>
      <c r="AT40" s="83">
        <f t="shared" ca="1" si="20"/>
        <v>4304552.3443039851</v>
      </c>
      <c r="AU40" s="83">
        <f t="shared" ca="1" si="21"/>
        <v>3443641.875443188</v>
      </c>
      <c r="AV40" s="89">
        <f t="shared" ca="1" si="22"/>
        <v>3443641.875443188</v>
      </c>
    </row>
    <row r="41" spans="1:48" ht="15.75">
      <c r="A41" s="136">
        <f t="shared" si="23"/>
        <v>0</v>
      </c>
      <c r="B41" s="1083">
        <f t="shared" si="24"/>
        <v>56614</v>
      </c>
      <c r="C41" s="699">
        <f t="shared" si="25"/>
        <v>28</v>
      </c>
      <c r="D41" s="90">
        <f t="shared" si="26"/>
        <v>77320716.766469643</v>
      </c>
      <c r="E41" s="91">
        <f t="shared" si="27"/>
        <v>1.3439163793441222</v>
      </c>
      <c r="F41" s="83">
        <f t="shared" ca="1" si="45"/>
        <v>425542965.60620815</v>
      </c>
      <c r="G41" s="87">
        <f t="shared" si="28"/>
        <v>1</v>
      </c>
      <c r="H41" s="83">
        <f t="shared" ca="1" si="0"/>
        <v>425542965.60620815</v>
      </c>
      <c r="I41" s="88">
        <f t="shared" si="29"/>
        <v>13.741</v>
      </c>
      <c r="J41" s="83">
        <f t="shared" ca="1" si="1"/>
        <v>4784921.9213068467</v>
      </c>
      <c r="K41" s="87">
        <f t="shared" si="30"/>
        <v>0.16089999999999999</v>
      </c>
      <c r="L41" s="83">
        <f t="shared" si="2"/>
        <v>1062463.9690880594</v>
      </c>
      <c r="M41" s="83">
        <f t="shared" ca="1" si="3"/>
        <v>5847385.8903949056</v>
      </c>
      <c r="N41" s="83">
        <f t="shared" ca="1" si="4"/>
        <v>4015027.9841685747</v>
      </c>
      <c r="O41" s="83">
        <f t="shared" ca="1" si="5"/>
        <v>3212022.3873348599</v>
      </c>
      <c r="P41" s="89">
        <f t="shared" ca="1" si="6"/>
        <v>3212022.3873348599</v>
      </c>
      <c r="R41" s="1083">
        <f t="shared" si="31"/>
        <v>57710</v>
      </c>
      <c r="S41" s="699">
        <f t="shared" si="32"/>
        <v>30</v>
      </c>
      <c r="T41" s="90">
        <f t="shared" si="33"/>
        <v>4691009.3245623549</v>
      </c>
      <c r="U41" s="91">
        <f t="shared" si="34"/>
        <v>1.3439163793441222</v>
      </c>
      <c r="V41" s="83">
        <f t="shared" ca="1" si="7"/>
        <v>385993574.56119543</v>
      </c>
      <c r="W41" s="87">
        <f t="shared" si="35"/>
        <v>1</v>
      </c>
      <c r="X41" s="83">
        <f t="shared" ca="1" si="8"/>
        <v>385993574.56119543</v>
      </c>
      <c r="Y41" s="88">
        <f t="shared" si="36"/>
        <v>13.741</v>
      </c>
      <c r="Z41" s="83">
        <f t="shared" ca="1" si="9"/>
        <v>5239478.5489165755</v>
      </c>
      <c r="AA41" s="87">
        <f t="shared" si="37"/>
        <v>0.16089999999999999</v>
      </c>
      <c r="AB41" s="83">
        <f t="shared" si="10"/>
        <v>64459.159128811312</v>
      </c>
      <c r="AC41" s="83">
        <f t="shared" ca="1" si="11"/>
        <v>5303937.7080453867</v>
      </c>
      <c r="AD41" s="83">
        <f t="shared" ca="1" si="12"/>
        <v>4396446.450395898</v>
      </c>
      <c r="AE41" s="83">
        <f t="shared" ca="1" si="13"/>
        <v>3517157.1603167183</v>
      </c>
      <c r="AF41" s="89">
        <f t="shared" ca="1" si="14"/>
        <v>3517157.1603167183</v>
      </c>
      <c r="AH41" s="1083">
        <f t="shared" si="38"/>
        <v>58440</v>
      </c>
      <c r="AI41" s="699">
        <f t="shared" si="39"/>
        <v>30</v>
      </c>
      <c r="AJ41" s="90">
        <f t="shared" si="40"/>
        <v>8202838.3909464516</v>
      </c>
      <c r="AK41" s="91">
        <f t="shared" si="41"/>
        <v>1.3439163793441222</v>
      </c>
      <c r="AL41" s="83">
        <f t="shared" ca="1" si="15"/>
        <v>392981517.23742813</v>
      </c>
      <c r="AM41" s="87">
        <f t="shared" si="42"/>
        <v>1</v>
      </c>
      <c r="AN41" s="83">
        <f t="shared" ca="1" si="16"/>
        <v>392981517.23742813</v>
      </c>
      <c r="AO41" s="88">
        <f t="shared" si="43"/>
        <v>13.741</v>
      </c>
      <c r="AP41" s="83">
        <f t="shared" ca="1" si="17"/>
        <v>5287243.8260295046</v>
      </c>
      <c r="AQ41" s="87">
        <f t="shared" si="44"/>
        <v>0.16089999999999999</v>
      </c>
      <c r="AR41" s="83">
        <f t="shared" si="18"/>
        <v>112715.20232999518</v>
      </c>
      <c r="AS41" s="83">
        <f t="shared" ca="1" si="19"/>
        <v>5399959.0283594998</v>
      </c>
      <c r="AT41" s="83">
        <f t="shared" ca="1" si="20"/>
        <v>4436526.2944213571</v>
      </c>
      <c r="AU41" s="83">
        <f t="shared" ca="1" si="21"/>
        <v>3549221.0355370855</v>
      </c>
      <c r="AV41" s="89">
        <f t="shared" ca="1" si="22"/>
        <v>3549221.0355370855</v>
      </c>
    </row>
    <row r="42" spans="1:48" ht="15.75">
      <c r="A42" s="136">
        <f t="shared" si="23"/>
        <v>1</v>
      </c>
      <c r="B42" s="1083">
        <f t="shared" si="24"/>
        <v>56979</v>
      </c>
      <c r="C42" s="699">
        <f t="shared" si="25"/>
        <v>29</v>
      </c>
      <c r="D42" s="90">
        <f t="shared" si="26"/>
        <v>77320716.766469643</v>
      </c>
      <c r="E42" s="91">
        <f t="shared" si="27"/>
        <v>1.3439163793441222</v>
      </c>
      <c r="F42" s="83">
        <f t="shared" ca="1" si="45"/>
        <v>425542965.60620815</v>
      </c>
      <c r="G42" s="87">
        <f t="shared" si="28"/>
        <v>1</v>
      </c>
      <c r="H42" s="83">
        <f t="shared" ca="1" si="0"/>
        <v>425542965.60620815</v>
      </c>
      <c r="I42" s="88">
        <f t="shared" si="29"/>
        <v>13.741</v>
      </c>
      <c r="J42" s="83">
        <f t="shared" ca="1" si="1"/>
        <v>4784921.9213068467</v>
      </c>
      <c r="K42" s="87">
        <f t="shared" si="30"/>
        <v>0.16089999999999999</v>
      </c>
      <c r="L42" s="83">
        <f t="shared" si="2"/>
        <v>1062463.9690880594</v>
      </c>
      <c r="M42" s="83">
        <f t="shared" ca="1" si="3"/>
        <v>5847385.8903949056</v>
      </c>
      <c r="N42" s="83">
        <f t="shared" ca="1" si="4"/>
        <v>4015027.9841685747</v>
      </c>
      <c r="O42" s="83">
        <f t="shared" ca="1" si="5"/>
        <v>3212022.3873348599</v>
      </c>
      <c r="P42" s="89">
        <f t="shared" ca="1" si="6"/>
        <v>3212022.3873348599</v>
      </c>
      <c r="R42" s="1083">
        <f t="shared" si="31"/>
        <v>58075</v>
      </c>
      <c r="S42" s="699">
        <f t="shared" si="32"/>
        <v>31</v>
      </c>
      <c r="T42" s="90">
        <f t="shared" si="33"/>
        <v>4691009.3245623549</v>
      </c>
      <c r="U42" s="91">
        <f t="shared" si="34"/>
        <v>1.3439163793441222</v>
      </c>
      <c r="V42" s="83">
        <f t="shared" ca="1" si="7"/>
        <v>385993574.56119543</v>
      </c>
      <c r="W42" s="87">
        <f t="shared" si="35"/>
        <v>1</v>
      </c>
      <c r="X42" s="83">
        <f t="shared" ca="1" si="8"/>
        <v>385993574.56119543</v>
      </c>
      <c r="Y42" s="88">
        <f t="shared" si="36"/>
        <v>13.741</v>
      </c>
      <c r="Z42" s="83">
        <f t="shared" ca="1" si="9"/>
        <v>5239478.5489165755</v>
      </c>
      <c r="AA42" s="87">
        <f t="shared" si="37"/>
        <v>0.16089999999999999</v>
      </c>
      <c r="AB42" s="83">
        <f t="shared" si="10"/>
        <v>64459.159128811312</v>
      </c>
      <c r="AC42" s="83">
        <f t="shared" ca="1" si="11"/>
        <v>5303937.7080453867</v>
      </c>
      <c r="AD42" s="83">
        <f t="shared" ca="1" si="12"/>
        <v>4396446.450395898</v>
      </c>
      <c r="AE42" s="83">
        <f t="shared" ca="1" si="13"/>
        <v>3517157.1603167183</v>
      </c>
      <c r="AF42" s="89">
        <f t="shared" ca="1" si="14"/>
        <v>3517157.1603167183</v>
      </c>
      <c r="AH42" s="1083">
        <f t="shared" si="38"/>
        <v>58806</v>
      </c>
      <c r="AI42" s="699">
        <f t="shared" si="39"/>
        <v>31</v>
      </c>
      <c r="AJ42" s="90">
        <f t="shared" si="40"/>
        <v>8202838.3909464516</v>
      </c>
      <c r="AK42" s="91">
        <f t="shared" si="41"/>
        <v>1.3439163793441222</v>
      </c>
      <c r="AL42" s="83">
        <f t="shared" ca="1" si="15"/>
        <v>392981517.23742813</v>
      </c>
      <c r="AM42" s="87">
        <f t="shared" si="42"/>
        <v>1</v>
      </c>
      <c r="AN42" s="83">
        <f t="shared" ca="1" si="16"/>
        <v>392981517.23742813</v>
      </c>
      <c r="AO42" s="88">
        <f t="shared" si="43"/>
        <v>13.741</v>
      </c>
      <c r="AP42" s="83">
        <f t="shared" ca="1" si="17"/>
        <v>5287243.8260295046</v>
      </c>
      <c r="AQ42" s="87">
        <f t="shared" si="44"/>
        <v>0.16089999999999999</v>
      </c>
      <c r="AR42" s="83">
        <f t="shared" si="18"/>
        <v>112715.20232999518</v>
      </c>
      <c r="AS42" s="83">
        <f t="shared" ca="1" si="19"/>
        <v>5399959.0283594998</v>
      </c>
      <c r="AT42" s="83">
        <f t="shared" ca="1" si="20"/>
        <v>4436526.2944213571</v>
      </c>
      <c r="AU42" s="83">
        <f t="shared" ca="1" si="21"/>
        <v>3549221.0355370855</v>
      </c>
      <c r="AV42" s="89">
        <f t="shared" ca="1" si="22"/>
        <v>3549221.0355370855</v>
      </c>
    </row>
    <row r="43" spans="1:48" ht="15.75">
      <c r="A43" s="136">
        <f t="shared" si="23"/>
        <v>2</v>
      </c>
      <c r="B43" s="1083">
        <f t="shared" si="24"/>
        <v>57345</v>
      </c>
      <c r="C43" s="699">
        <f t="shared" si="25"/>
        <v>30</v>
      </c>
      <c r="D43" s="90">
        <f t="shared" si="26"/>
        <v>77320716.766469643</v>
      </c>
      <c r="E43" s="91">
        <f t="shared" si="27"/>
        <v>1.3439163793441222</v>
      </c>
      <c r="F43" s="83">
        <f t="shared" ca="1" si="45"/>
        <v>425542965.60620815</v>
      </c>
      <c r="G43" s="87">
        <f t="shared" si="28"/>
        <v>1</v>
      </c>
      <c r="H43" s="83">
        <f t="shared" ca="1" si="0"/>
        <v>425542965.60620815</v>
      </c>
      <c r="I43" s="88">
        <f t="shared" si="29"/>
        <v>13.741</v>
      </c>
      <c r="J43" s="83">
        <f t="shared" ca="1" si="1"/>
        <v>4784921.9213068467</v>
      </c>
      <c r="K43" s="87">
        <f t="shared" si="30"/>
        <v>0.16089999999999999</v>
      </c>
      <c r="L43" s="83">
        <f t="shared" si="2"/>
        <v>1062463.9690880594</v>
      </c>
      <c r="M43" s="83">
        <f t="shared" ca="1" si="3"/>
        <v>5847385.8903949056</v>
      </c>
      <c r="N43" s="83">
        <f t="shared" ca="1" si="4"/>
        <v>4015027.9841685747</v>
      </c>
      <c r="O43" s="83">
        <f t="shared" ca="1" si="5"/>
        <v>3212022.3873348599</v>
      </c>
      <c r="P43" s="89">
        <f t="shared" ca="1" si="6"/>
        <v>3212022.3873348599</v>
      </c>
      <c r="R43" s="1083">
        <f t="shared" si="31"/>
        <v>58440</v>
      </c>
      <c r="S43" s="699">
        <f t="shared" si="32"/>
        <v>32</v>
      </c>
      <c r="T43" s="90">
        <f t="shared" si="33"/>
        <v>4691009.3245623549</v>
      </c>
      <c r="U43" s="91">
        <f t="shared" si="34"/>
        <v>1.3439163793441222</v>
      </c>
      <c r="V43" s="83">
        <f t="shared" ca="1" si="7"/>
        <v>385993574.56119543</v>
      </c>
      <c r="W43" s="87">
        <f t="shared" si="35"/>
        <v>1</v>
      </c>
      <c r="X43" s="83">
        <f t="shared" ca="1" si="8"/>
        <v>385993574.56119543</v>
      </c>
      <c r="Y43" s="88">
        <f t="shared" si="36"/>
        <v>13.741</v>
      </c>
      <c r="Z43" s="83">
        <f t="shared" ca="1" si="9"/>
        <v>5239478.5489165755</v>
      </c>
      <c r="AA43" s="87">
        <f t="shared" si="37"/>
        <v>0.16089999999999999</v>
      </c>
      <c r="AB43" s="83">
        <f t="shared" si="10"/>
        <v>64459.159128811312</v>
      </c>
      <c r="AC43" s="83">
        <f t="shared" ca="1" si="11"/>
        <v>5303937.7080453867</v>
      </c>
      <c r="AD43" s="83">
        <f t="shared" ca="1" si="12"/>
        <v>4396446.450395898</v>
      </c>
      <c r="AE43" s="83">
        <f t="shared" ca="1" si="13"/>
        <v>3517157.1603167183</v>
      </c>
      <c r="AF43" s="89">
        <f t="shared" ca="1" si="14"/>
        <v>3517157.1603167183</v>
      </c>
      <c r="AH43" s="1083">
        <f t="shared" si="38"/>
        <v>59171</v>
      </c>
      <c r="AI43" s="699">
        <f t="shared" si="39"/>
        <v>32</v>
      </c>
      <c r="AJ43" s="90">
        <f t="shared" si="40"/>
        <v>8202838.3909464516</v>
      </c>
      <c r="AK43" s="91">
        <f t="shared" si="41"/>
        <v>1.3439163793441222</v>
      </c>
      <c r="AL43" s="83">
        <f t="shared" ca="1" si="15"/>
        <v>392981517.23742813</v>
      </c>
      <c r="AM43" s="87">
        <f t="shared" si="42"/>
        <v>1</v>
      </c>
      <c r="AN43" s="83">
        <f t="shared" ca="1" si="16"/>
        <v>392981517.23742813</v>
      </c>
      <c r="AO43" s="88">
        <f t="shared" si="43"/>
        <v>13.741</v>
      </c>
      <c r="AP43" s="83">
        <f t="shared" ca="1" si="17"/>
        <v>5287243.8260295046</v>
      </c>
      <c r="AQ43" s="87">
        <f t="shared" si="44"/>
        <v>0.16089999999999999</v>
      </c>
      <c r="AR43" s="83">
        <f t="shared" si="18"/>
        <v>112715.20232999518</v>
      </c>
      <c r="AS43" s="83">
        <f t="shared" ca="1" si="19"/>
        <v>5399959.0283594998</v>
      </c>
      <c r="AT43" s="83">
        <f t="shared" ca="1" si="20"/>
        <v>4436526.2944213571</v>
      </c>
      <c r="AU43" s="83">
        <f t="shared" ca="1" si="21"/>
        <v>3549221.0355370855</v>
      </c>
      <c r="AV43" s="89">
        <f t="shared" ca="1" si="22"/>
        <v>3549221.0355370855</v>
      </c>
    </row>
    <row r="44" spans="1:48" ht="15.75">
      <c r="A44" s="136">
        <f t="shared" si="23"/>
        <v>0</v>
      </c>
      <c r="B44" s="1083">
        <f t="shared" si="24"/>
        <v>57710</v>
      </c>
      <c r="C44" s="699">
        <f t="shared" si="25"/>
        <v>31</v>
      </c>
      <c r="D44" s="90">
        <f t="shared" si="26"/>
        <v>79640338.269463733</v>
      </c>
      <c r="E44" s="91">
        <f t="shared" si="27"/>
        <v>1.3842338707244459</v>
      </c>
      <c r="F44" s="83">
        <f t="shared" ca="1" si="45"/>
        <v>438309254.5743944</v>
      </c>
      <c r="G44" s="87">
        <f t="shared" si="28"/>
        <v>1</v>
      </c>
      <c r="H44" s="83">
        <f t="shared" ca="1" si="0"/>
        <v>438309254.5743944</v>
      </c>
      <c r="I44" s="88">
        <f t="shared" si="29"/>
        <v>13.741</v>
      </c>
      <c r="J44" s="83">
        <f t="shared" ca="1" si="1"/>
        <v>4928469.5789460521</v>
      </c>
      <c r="K44" s="87">
        <f t="shared" si="30"/>
        <v>0.16089999999999999</v>
      </c>
      <c r="L44" s="83">
        <f t="shared" si="2"/>
        <v>1094337.8881607011</v>
      </c>
      <c r="M44" s="83">
        <f t="shared" ca="1" si="3"/>
        <v>6022807.467106753</v>
      </c>
      <c r="N44" s="83">
        <f t="shared" ca="1" si="4"/>
        <v>4135478.8236936321</v>
      </c>
      <c r="O44" s="83">
        <f t="shared" ca="1" si="5"/>
        <v>3308383.0589549057</v>
      </c>
      <c r="P44" s="89">
        <f t="shared" ca="1" si="6"/>
        <v>3308383.0589549057</v>
      </c>
      <c r="R44" s="1083">
        <f t="shared" si="31"/>
        <v>58806</v>
      </c>
      <c r="S44" s="699">
        <f t="shared" si="32"/>
        <v>33</v>
      </c>
      <c r="T44" s="90">
        <f t="shared" si="33"/>
        <v>4691009.3245623549</v>
      </c>
      <c r="U44" s="91">
        <f t="shared" si="34"/>
        <v>1.3842338707244459</v>
      </c>
      <c r="V44" s="83">
        <f t="shared" ca="1" si="7"/>
        <v>397573381.79803133</v>
      </c>
      <c r="W44" s="87">
        <f t="shared" si="35"/>
        <v>1</v>
      </c>
      <c r="X44" s="83">
        <f t="shared" ca="1" si="8"/>
        <v>397573381.79803133</v>
      </c>
      <c r="Y44" s="88">
        <f t="shared" si="36"/>
        <v>13.741</v>
      </c>
      <c r="Z44" s="83">
        <f t="shared" ca="1" si="9"/>
        <v>5398596.6801579371</v>
      </c>
      <c r="AA44" s="87">
        <f t="shared" si="37"/>
        <v>0.16089999999999999</v>
      </c>
      <c r="AB44" s="83">
        <f t="shared" si="10"/>
        <v>64459.159128811312</v>
      </c>
      <c r="AC44" s="83">
        <f t="shared" ca="1" si="11"/>
        <v>5463055.8392867483</v>
      </c>
      <c r="AD44" s="83">
        <f t="shared" ca="1" si="12"/>
        <v>4529962.4743205244</v>
      </c>
      <c r="AE44" s="83">
        <f t="shared" ca="1" si="13"/>
        <v>3623969.9794564196</v>
      </c>
      <c r="AF44" s="89">
        <f t="shared" ca="1" si="14"/>
        <v>3623969.9794564196</v>
      </c>
      <c r="AH44" s="1083">
        <f t="shared" si="38"/>
        <v>59536</v>
      </c>
      <c r="AI44" s="699">
        <f t="shared" si="39"/>
        <v>33</v>
      </c>
      <c r="AJ44" s="90">
        <f t="shared" si="40"/>
        <v>8202838.3909464516</v>
      </c>
      <c r="AK44" s="91">
        <f t="shared" si="41"/>
        <v>1.3842338707244459</v>
      </c>
      <c r="AL44" s="83">
        <f t="shared" ca="1" si="15"/>
        <v>404770962.75455093</v>
      </c>
      <c r="AM44" s="87">
        <f t="shared" si="42"/>
        <v>1</v>
      </c>
      <c r="AN44" s="83">
        <f t="shared" ca="1" si="16"/>
        <v>404770962.75455093</v>
      </c>
      <c r="AO44" s="88">
        <f t="shared" si="43"/>
        <v>13.741</v>
      </c>
      <c r="AP44" s="83">
        <f t="shared" ca="1" si="17"/>
        <v>5449242.5968802888</v>
      </c>
      <c r="AQ44" s="87">
        <f t="shared" si="44"/>
        <v>0.16089999999999999</v>
      </c>
      <c r="AR44" s="83">
        <f t="shared" si="18"/>
        <v>112715.20232999518</v>
      </c>
      <c r="AS44" s="83">
        <f t="shared" ca="1" si="19"/>
        <v>5561957.7992102839</v>
      </c>
      <c r="AT44" s="83">
        <f t="shared" ca="1" si="20"/>
        <v>4572459.4630422499</v>
      </c>
      <c r="AU44" s="83">
        <f t="shared" ca="1" si="21"/>
        <v>3657967.5704338001</v>
      </c>
      <c r="AV44" s="89">
        <f t="shared" ca="1" si="22"/>
        <v>3657967.5704338001</v>
      </c>
    </row>
    <row r="45" spans="1:48" ht="15.75">
      <c r="A45" s="136">
        <f t="shared" si="23"/>
        <v>1</v>
      </c>
      <c r="B45" s="1083">
        <f t="shared" si="24"/>
        <v>58075</v>
      </c>
      <c r="C45" s="699">
        <f t="shared" si="25"/>
        <v>32</v>
      </c>
      <c r="D45" s="90">
        <f t="shared" si="26"/>
        <v>79640338.269463733</v>
      </c>
      <c r="E45" s="91">
        <f t="shared" si="27"/>
        <v>1.3842338707244459</v>
      </c>
      <c r="F45" s="83">
        <f t="shared" ca="1" si="45"/>
        <v>438309254.5743944</v>
      </c>
      <c r="G45" s="87">
        <f t="shared" si="28"/>
        <v>1</v>
      </c>
      <c r="H45" s="83">
        <f t="shared" ca="1" si="0"/>
        <v>438309254.5743944</v>
      </c>
      <c r="I45" s="88">
        <f t="shared" si="29"/>
        <v>13.741</v>
      </c>
      <c r="J45" s="83">
        <f t="shared" ca="1" si="1"/>
        <v>4928469.5789460521</v>
      </c>
      <c r="K45" s="87">
        <f t="shared" si="30"/>
        <v>0.16089999999999999</v>
      </c>
      <c r="L45" s="83">
        <f t="shared" si="2"/>
        <v>1094337.8881607011</v>
      </c>
      <c r="M45" s="83">
        <f t="shared" ca="1" si="3"/>
        <v>6022807.467106753</v>
      </c>
      <c r="N45" s="83">
        <f t="shared" ca="1" si="4"/>
        <v>4135478.8236936321</v>
      </c>
      <c r="O45" s="83">
        <f t="shared" ca="1" si="5"/>
        <v>3308383.0589549057</v>
      </c>
      <c r="P45" s="89">
        <f t="shared" ca="1" si="6"/>
        <v>3308383.0589549057</v>
      </c>
      <c r="R45" s="1083">
        <f t="shared" si="31"/>
        <v>59171</v>
      </c>
      <c r="S45" s="699">
        <f t="shared" si="32"/>
        <v>34</v>
      </c>
      <c r="T45" s="90">
        <f t="shared" si="33"/>
        <v>4691009.3245623549</v>
      </c>
      <c r="U45" s="91">
        <f t="shared" si="34"/>
        <v>1.3842338707244459</v>
      </c>
      <c r="V45" s="83">
        <f t="shared" ca="1" si="7"/>
        <v>397573381.79803133</v>
      </c>
      <c r="W45" s="87">
        <f t="shared" si="35"/>
        <v>1</v>
      </c>
      <c r="X45" s="83">
        <f t="shared" ca="1" si="8"/>
        <v>397573381.79803133</v>
      </c>
      <c r="Y45" s="88">
        <f t="shared" si="36"/>
        <v>13.741</v>
      </c>
      <c r="Z45" s="83">
        <f t="shared" ca="1" si="9"/>
        <v>5398596.6801579371</v>
      </c>
      <c r="AA45" s="87">
        <f t="shared" si="37"/>
        <v>0.16089999999999999</v>
      </c>
      <c r="AB45" s="83">
        <f t="shared" si="10"/>
        <v>64459.159128811312</v>
      </c>
      <c r="AC45" s="83">
        <f t="shared" ca="1" si="11"/>
        <v>5463055.8392867483</v>
      </c>
      <c r="AD45" s="83">
        <f t="shared" ca="1" si="12"/>
        <v>4529962.4743205244</v>
      </c>
      <c r="AE45" s="83">
        <f t="shared" ca="1" si="13"/>
        <v>3623969.9794564196</v>
      </c>
      <c r="AF45" s="89">
        <f t="shared" ca="1" si="14"/>
        <v>3623969.9794564196</v>
      </c>
      <c r="AH45" s="1083">
        <f t="shared" si="38"/>
        <v>59901</v>
      </c>
      <c r="AI45" s="699">
        <f t="shared" si="39"/>
        <v>34</v>
      </c>
      <c r="AJ45" s="90">
        <f t="shared" si="40"/>
        <v>8202838.3909464516</v>
      </c>
      <c r="AK45" s="91">
        <f t="shared" si="41"/>
        <v>1.3842338707244459</v>
      </c>
      <c r="AL45" s="83">
        <f t="shared" ca="1" si="15"/>
        <v>404770962.75455093</v>
      </c>
      <c r="AM45" s="87">
        <f t="shared" si="42"/>
        <v>1</v>
      </c>
      <c r="AN45" s="83">
        <f t="shared" ca="1" si="16"/>
        <v>404770962.75455093</v>
      </c>
      <c r="AO45" s="88">
        <f t="shared" si="43"/>
        <v>13.741</v>
      </c>
      <c r="AP45" s="83">
        <f t="shared" ca="1" si="17"/>
        <v>5449242.5968802888</v>
      </c>
      <c r="AQ45" s="87">
        <f t="shared" si="44"/>
        <v>0.16089999999999999</v>
      </c>
      <c r="AR45" s="83">
        <f t="shared" si="18"/>
        <v>112715.20232999518</v>
      </c>
      <c r="AS45" s="83">
        <f t="shared" ca="1" si="19"/>
        <v>5561957.7992102839</v>
      </c>
      <c r="AT45" s="83">
        <f t="shared" ca="1" si="20"/>
        <v>4572459.4630422499</v>
      </c>
      <c r="AU45" s="83">
        <f t="shared" ca="1" si="21"/>
        <v>3657967.5704338001</v>
      </c>
      <c r="AV45" s="89">
        <f t="shared" ca="1" si="22"/>
        <v>3657967.5704338001</v>
      </c>
    </row>
    <row r="46" spans="1:48" ht="15.75">
      <c r="B46" s="92" t="s">
        <v>1075</v>
      </c>
      <c r="C46" s="92"/>
      <c r="D46" s="92"/>
      <c r="E46" s="92"/>
      <c r="F46" s="92"/>
      <c r="G46" s="92"/>
      <c r="H46" s="92"/>
      <c r="I46" s="92"/>
      <c r="J46" s="92"/>
      <c r="K46" s="92"/>
      <c r="L46" s="92"/>
      <c r="M46" s="92"/>
      <c r="N46" s="92"/>
      <c r="O46" s="93">
        <f ca="1">+MIN(P13:P45)</f>
        <v>2461747.7023157575</v>
      </c>
      <c r="P46" s="94">
        <f t="shared" ca="1" si="6"/>
        <v>2461747.7023157575</v>
      </c>
      <c r="R46" s="92" t="s">
        <v>1075</v>
      </c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92"/>
      <c r="AD46" s="92"/>
      <c r="AE46" s="93">
        <f ca="1">+MIN(AF13:AF45)</f>
        <v>2606022.1474872148</v>
      </c>
      <c r="AF46" s="94">
        <f t="shared" ca="1" si="14"/>
        <v>2606022.1474872148</v>
      </c>
      <c r="AH46" s="92" t="s">
        <v>1075</v>
      </c>
      <c r="AI46" s="92"/>
      <c r="AJ46" s="92"/>
      <c r="AK46" s="92"/>
      <c r="AL46" s="92"/>
      <c r="AM46" s="92"/>
      <c r="AN46" s="92"/>
      <c r="AO46" s="92"/>
      <c r="AP46" s="92"/>
      <c r="AQ46" s="92"/>
      <c r="AR46" s="92"/>
      <c r="AS46" s="92"/>
      <c r="AT46" s="92"/>
      <c r="AU46" s="93">
        <f ca="1">+MIN(AV13:AV45)</f>
        <v>2621591.0350715853</v>
      </c>
      <c r="AV46" s="94">
        <f t="shared" ca="1" si="22"/>
        <v>2621591.0350715853</v>
      </c>
    </row>
    <row r="47" spans="1:48" ht="15.75">
      <c r="B47" s="95" t="s">
        <v>1076</v>
      </c>
      <c r="C47" s="95"/>
      <c r="D47" s="95"/>
      <c r="E47" s="95"/>
      <c r="F47" s="95"/>
      <c r="G47" s="95"/>
      <c r="H47" s="95"/>
      <c r="I47" s="95"/>
      <c r="J47" s="95"/>
      <c r="K47" s="95"/>
      <c r="L47" s="95"/>
      <c r="M47" s="95"/>
      <c r="N47" s="95"/>
      <c r="O47" s="96">
        <f ca="1">+PV($D$6,$D$5,-O$46)</f>
        <v>47890047.656001143</v>
      </c>
      <c r="P47" s="94">
        <f t="shared" ca="1" si="6"/>
        <v>47890047.656001143</v>
      </c>
      <c r="R47" s="95" t="s">
        <v>1076</v>
      </c>
      <c r="S47" s="95"/>
      <c r="T47" s="95"/>
      <c r="U47" s="95"/>
      <c r="V47" s="95"/>
      <c r="W47" s="95"/>
      <c r="X47" s="95"/>
      <c r="Y47" s="95"/>
      <c r="Z47" s="95"/>
      <c r="AA47" s="95"/>
      <c r="AB47" s="95"/>
      <c r="AC47" s="95"/>
      <c r="AD47" s="95"/>
      <c r="AE47" s="96">
        <f ca="1">+PV($D$6,$D$5,-AE$46)</f>
        <v>50696716.287520386</v>
      </c>
      <c r="AF47" s="94">
        <f t="shared" ca="1" si="14"/>
        <v>50696716.287520386</v>
      </c>
      <c r="AH47" s="95" t="s">
        <v>1076</v>
      </c>
      <c r="AI47" s="95"/>
      <c r="AJ47" s="95"/>
      <c r="AK47" s="95"/>
      <c r="AL47" s="95"/>
      <c r="AM47" s="95"/>
      <c r="AN47" s="95"/>
      <c r="AO47" s="95"/>
      <c r="AP47" s="95"/>
      <c r="AQ47" s="95"/>
      <c r="AR47" s="95"/>
      <c r="AS47" s="95"/>
      <c r="AT47" s="95"/>
      <c r="AU47" s="96">
        <f ca="1">+PV($D$6,$D$5,-AU$46)</f>
        <v>50999588.416806847</v>
      </c>
      <c r="AV47" s="94">
        <f t="shared" ca="1" si="22"/>
        <v>50999588.416806847</v>
      </c>
    </row>
    <row r="48" spans="1:48" ht="15.75">
      <c r="O48" s="135" t="str">
        <f>+B8</f>
        <v>I</v>
      </c>
      <c r="AE48" s="137" t="s">
        <v>256</v>
      </c>
      <c r="AU48" s="137" t="s">
        <v>257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A5F10C-9512-4A07-82C5-693257A14732}">
  <sheetPr>
    <tabColor rgb="FF7030A0"/>
    <pageSetUpPr fitToPage="1"/>
  </sheetPr>
  <dimension ref="A1:O81"/>
  <sheetViews>
    <sheetView zoomScale="70" zoomScaleNormal="70" workbookViewId="0">
      <selection activeCell="U39" sqref="U39"/>
    </sheetView>
  </sheetViews>
  <sheetFormatPr defaultColWidth="8.85546875" defaultRowHeight="15"/>
  <cols>
    <col min="1" max="1" width="8.85546875" style="5"/>
    <col min="2" max="2" width="31.42578125" style="5" bestFit="1" customWidth="1"/>
    <col min="3" max="4" width="8.85546875" style="5"/>
    <col min="5" max="5" width="18.28515625" style="5" customWidth="1"/>
    <col min="6" max="6" width="23.85546875" style="5" customWidth="1"/>
    <col min="7" max="7" width="17.28515625" style="5" customWidth="1"/>
    <col min="8" max="8" width="17.85546875" style="5" customWidth="1"/>
    <col min="9" max="14" width="11.85546875" style="5" customWidth="1"/>
    <col min="15" max="18" width="8.85546875" style="5"/>
    <col min="19" max="23" width="18.140625" style="5" customWidth="1"/>
    <col min="24" max="16384" width="8.85546875" style="5"/>
  </cols>
  <sheetData>
    <row r="1" spans="1:14" ht="15.75">
      <c r="A1" s="132" t="s">
        <v>250</v>
      </c>
    </row>
    <row r="3" spans="1:14" ht="15.75">
      <c r="B3" s="468" t="s">
        <v>1077</v>
      </c>
      <c r="C3" s="540"/>
      <c r="D3" s="540"/>
      <c r="E3" s="468" t="s">
        <v>219</v>
      </c>
      <c r="F3" s="541" t="str">
        <f t="shared" ref="F3:H4" si="0">+F$3</f>
        <v>I</v>
      </c>
      <c r="G3" s="541" t="str">
        <f t="shared" si="0"/>
        <v>II</v>
      </c>
      <c r="H3" s="541" t="str">
        <f t="shared" si="0"/>
        <v>III</v>
      </c>
      <c r="I3" s="1135" t="s">
        <v>255</v>
      </c>
      <c r="J3" s="1135"/>
      <c r="K3" s="1135" t="s">
        <v>256</v>
      </c>
      <c r="L3" s="1135"/>
      <c r="M3" s="1135" t="s">
        <v>257</v>
      </c>
      <c r="N3" s="1135"/>
    </row>
    <row r="4" spans="1:14" ht="15.75">
      <c r="B4" s="98" t="s">
        <v>1078</v>
      </c>
      <c r="C4" s="99"/>
      <c r="D4" s="100"/>
      <c r="E4" s="101"/>
      <c r="F4" s="102" t="str">
        <f t="shared" si="0"/>
        <v>I</v>
      </c>
      <c r="G4" s="102" t="str">
        <f t="shared" si="0"/>
        <v>II</v>
      </c>
      <c r="H4" s="102" t="str">
        <f t="shared" si="0"/>
        <v>III</v>
      </c>
      <c r="I4" s="541" t="s">
        <v>1079</v>
      </c>
      <c r="J4" s="541" t="s">
        <v>1080</v>
      </c>
      <c r="K4" s="541" t="s">
        <v>1079</v>
      </c>
      <c r="L4" s="541" t="s">
        <v>1080</v>
      </c>
      <c r="M4" s="541" t="s">
        <v>1079</v>
      </c>
      <c r="N4" s="541" t="s">
        <v>1080</v>
      </c>
    </row>
    <row r="5" spans="1:14" ht="15.75">
      <c r="B5" s="699" t="s">
        <v>1081</v>
      </c>
      <c r="C5" s="699"/>
      <c r="D5" s="103"/>
      <c r="E5" s="94">
        <f t="shared" ref="E5:E17" ca="1" si="1">+SUM(F5:H5)</f>
        <v>82011719.707518756</v>
      </c>
      <c r="F5" s="83">
        <f ca="1">+IFERROR(INDEX('Phase 1 Pro Forma'!$F$28:$Z$28,1,MATCH(1,'Phase 1 Pro Forma'!$F$3:$Z$3,0)),0)</f>
        <v>35268674.709968328</v>
      </c>
      <c r="G5" s="83">
        <f ca="1">+IFERROR(INDEX('Phase 2 Pro Forma'!$F$32:$Z$32,1,MATCH(1,'Phase 2 Pro Forma'!$F$3:$Z$3,0)),0)</f>
        <v>29586347.194157921</v>
      </c>
      <c r="H5" s="83">
        <f ca="1">+IFERROR(INDEX('Phase 3 Pro Forma'!$F$32:$Z$32,1,MATCH(1,'Phase 3 Pro Forma'!$F$3:$Z$3,0)),0)</f>
        <v>17156697.8033925</v>
      </c>
      <c r="I5" s="49"/>
      <c r="J5" s="91">
        <f t="shared" ref="J5:J17" ca="1" si="2">+F5/$F$77</f>
        <v>7.6655847574981298E-2</v>
      </c>
      <c r="K5" s="49"/>
      <c r="L5" s="91">
        <f t="shared" ref="L5:L17" ca="1" si="3">+G5/$G$77</f>
        <v>7.1990108622256299E-2</v>
      </c>
      <c r="M5" s="49"/>
      <c r="N5" s="91">
        <f ca="1">+H5/$H$77</f>
        <v>8.316887067946388E-2</v>
      </c>
    </row>
    <row r="6" spans="1:14" ht="15.75">
      <c r="B6" s="699" t="s">
        <v>1082</v>
      </c>
      <c r="C6" s="699"/>
      <c r="D6" s="103"/>
      <c r="E6" s="94">
        <f t="shared" ca="1" si="1"/>
        <v>602644676.52721918</v>
      </c>
      <c r="F6" s="83">
        <f ca="1">+IFERROR(INDEX('Phase 1 Pro Forma'!$F$51:$Z$51,1,MATCH(1,'Phase 1 Pro Forma'!$F$3:$Z$3,0)),0)</f>
        <v>265920534.91325358</v>
      </c>
      <c r="G6" s="83">
        <f ca="1">+IFERROR(INDEX('Phase 2 Pro Forma'!$F$59:$Z$59,1,MATCH(1,'Phase 2 Pro Forma'!$F$3:$Z$3,0)),0)</f>
        <v>213017954.72668663</v>
      </c>
      <c r="H6" s="83">
        <f ca="1">+IFERROR(INDEX('Phase 3 Pro Forma'!$F$59:$Z$59,1,MATCH(1,'Phase 3 Pro Forma'!$F$3:$Z$3,0)),0)</f>
        <v>123706186.88727902</v>
      </c>
      <c r="I6" s="49"/>
      <c r="J6" s="91">
        <f t="shared" ca="1" si="2"/>
        <v>0.57797363124638268</v>
      </c>
      <c r="K6" s="49"/>
      <c r="L6" s="91">
        <f t="shared" ca="1" si="3"/>
        <v>0.51831966949583796</v>
      </c>
      <c r="M6" s="49"/>
      <c r="N6" s="91">
        <f t="shared" ref="N6:N17" ca="1" si="4">+H6/$H$77</f>
        <v>0.59967856153783217</v>
      </c>
    </row>
    <row r="7" spans="1:14" ht="15.75">
      <c r="B7" s="699" t="s">
        <v>1083</v>
      </c>
      <c r="C7" s="699"/>
      <c r="D7" s="103"/>
      <c r="E7" s="94">
        <f t="shared" si="1"/>
        <v>0</v>
      </c>
      <c r="F7" s="83">
        <f>+IFERROR(INDEX('Phase 1 Pro Forma'!$AQ$116:$BK$116,1,MATCH(1,'Phase 1 Pro Forma'!$F$3:$Z$3,0)),0)</f>
        <v>0</v>
      </c>
      <c r="G7" s="83">
        <f>+IFERROR(INDEX('Phase 2 Pro Forma'!$BD$145:$BQ$145,1,MATCH(1,'Phase 2 Pro Forma'!$F$3:$Z$3,0)),0)</f>
        <v>0</v>
      </c>
      <c r="H7" s="83">
        <f>+IFERROR(INDEX('Phase 3 Pro Forma'!$F$191:$Z$191,1,MATCH(1,'Phase 3 Pro Forma'!$F$3:$Z$3,0)),0)</f>
        <v>0</v>
      </c>
      <c r="I7" s="49"/>
      <c r="J7" s="91">
        <f t="shared" ca="1" si="2"/>
        <v>0</v>
      </c>
      <c r="K7" s="49"/>
      <c r="L7" s="91">
        <f t="shared" ca="1" si="3"/>
        <v>0</v>
      </c>
      <c r="M7" s="49"/>
      <c r="N7" s="91">
        <f t="shared" ca="1" si="4"/>
        <v>0</v>
      </c>
    </row>
    <row r="8" spans="1:14" ht="15.75">
      <c r="B8" s="699" t="s">
        <v>1084</v>
      </c>
      <c r="C8" s="699"/>
      <c r="D8" s="103"/>
      <c r="E8" s="94">
        <f t="shared" si="1"/>
        <v>0</v>
      </c>
      <c r="F8" s="83">
        <f>+IFERROR(INDEX('Phase 1 Pro Forma'!$AQ$139:$BK$139,1,MATCH(1,'Phase 1 Pro Forma'!$F$3:$Z$3,0)),0)</f>
        <v>0</v>
      </c>
      <c r="G8" s="83">
        <f>+IFERROR(INDEX('Phase 2 Pro Forma'!$AW$169:$BQ$169,1,MATCH(1,'Phase 2 Pro Forma'!$F$3:$Z$3,0)),0)</f>
        <v>0</v>
      </c>
      <c r="H8" s="83">
        <f>+IFERROR(INDEX('Phase 3 Pro Forma'!$F$215:$Z$215,1,MATCH(1,'Phase 3 Pro Forma'!$F$3:$Z$3,0)),0)</f>
        <v>0</v>
      </c>
      <c r="I8" s="49"/>
      <c r="J8" s="91">
        <f t="shared" ca="1" si="2"/>
        <v>0</v>
      </c>
      <c r="K8" s="49"/>
      <c r="L8" s="91">
        <f t="shared" ca="1" si="3"/>
        <v>0</v>
      </c>
      <c r="M8" s="49"/>
      <c r="N8" s="91">
        <f t="shared" ca="1" si="4"/>
        <v>0</v>
      </c>
    </row>
    <row r="9" spans="1:14" ht="15.75">
      <c r="B9" s="699" t="s">
        <v>1085</v>
      </c>
      <c r="C9" s="699"/>
      <c r="D9" s="103"/>
      <c r="E9" s="94">
        <f t="shared" ca="1" si="1"/>
        <v>135319773.7595509</v>
      </c>
      <c r="F9" s="83">
        <f ca="1">+IFERROR(INDEX('Phase 1 Pro Forma'!$F$77:$Z$77,1,MATCH(1,'Phase 1 Pro Forma'!$F$3:$Z$3,0)),0)</f>
        <v>40353474.712211922</v>
      </c>
      <c r="G9" s="83">
        <f ca="1">+IFERROR(INDEX('Phase 2 Pro Forma'!$F$85:$Z$85,1,MATCH(1,'Phase 2 Pro Forma'!$F$3:$Z$3,0)),0)</f>
        <v>81698243.887023568</v>
      </c>
      <c r="H9" s="83">
        <f ca="1">+IFERROR(INDEX('Phase 3 Pro Forma'!$F$241:$Z$241,1,MATCH(1,'Phase 3 Pro Forma'!$F$3:$Z$3,0)),0)</f>
        <v>13268055.1603154</v>
      </c>
      <c r="I9" s="49"/>
      <c r="J9" s="91">
        <f t="shared" ca="1" si="2"/>
        <v>8.7707571438341611E-2</v>
      </c>
      <c r="K9" s="49"/>
      <c r="L9" s="91">
        <f t="shared" ca="1" si="3"/>
        <v>0.19878984766445787</v>
      </c>
      <c r="M9" s="49"/>
      <c r="N9" s="91">
        <f t="shared" ca="1" si="4"/>
        <v>6.4318272457889028E-2</v>
      </c>
    </row>
    <row r="10" spans="1:14" ht="15.75">
      <c r="B10" s="699" t="s">
        <v>1086</v>
      </c>
      <c r="C10" s="699"/>
      <c r="D10" s="103"/>
      <c r="E10" s="94">
        <f t="shared" ca="1" si="1"/>
        <v>199063430.86606592</v>
      </c>
      <c r="F10" s="83">
        <f ca="1">+IFERROR(INDEX('Phase 1 Pro Forma'!$F$103:$Z$103,1,MATCH(1,'Phase 1 Pro Forma'!$F$3:$Z$3,0)),0)</f>
        <v>97872699.152849182</v>
      </c>
      <c r="G10" s="83">
        <f ca="1">+IFERROR(INDEX('Phase 2 Pro Forma'!$F$111:$Z$111,1,MATCH(1,'Phase 2 Pro Forma'!$F$3:$Z$3,0)),0)</f>
        <v>61535950.268954456</v>
      </c>
      <c r="H10" s="83">
        <f ca="1">+IFERROR(INDEX('Phase 3 Pro Forma'!$F$267:$Z$267,1,MATCH(1,'Phase 3 Pro Forma'!$F$3:$Z$3,0)),0)</f>
        <v>39654781.444262311</v>
      </c>
      <c r="I10" s="49"/>
      <c r="J10" s="91">
        <f t="shared" ca="1" si="2"/>
        <v>0.21272459965421664</v>
      </c>
      <c r="K10" s="49"/>
      <c r="L10" s="91">
        <f t="shared" ca="1" si="3"/>
        <v>0.14973054006851277</v>
      </c>
      <c r="M10" s="49"/>
      <c r="N10" s="91">
        <f t="shared" ca="1" si="4"/>
        <v>0.19223066277405165</v>
      </c>
    </row>
    <row r="11" spans="1:14" ht="15.75">
      <c r="B11" s="699" t="s">
        <v>1087</v>
      </c>
      <c r="C11" s="699"/>
      <c r="D11" s="103"/>
      <c r="E11" s="94">
        <f t="shared" ca="1" si="1"/>
        <v>0</v>
      </c>
      <c r="F11" s="83">
        <f ca="1">+IFERROR(INDEX('Phase 1 Pro Forma'!$F$477:$Z$477,1,MATCH(1,'Phase 1 Pro Forma'!$F$3:$Z$3,0)),0)</f>
        <v>0</v>
      </c>
      <c r="G11" s="83">
        <f ca="1">+IFERROR(INDEX('Phase 2 Pro Forma'!$AI$131:$BC$131,1,MATCH(1,'Phase 2 Pro Forma'!$F$3:$Z$3,0)),0)</f>
        <v>0</v>
      </c>
      <c r="H11" s="83">
        <f ca="1">+IFERROR(INDEX('Phase 3 Pro Forma'!$F$288:$Z$288,1,MATCH(1,'Phase 3 Pro Forma'!$F$3:$Z$3,0)),0)</f>
        <v>0</v>
      </c>
      <c r="I11" s="49"/>
      <c r="J11" s="91">
        <f t="shared" ca="1" si="2"/>
        <v>0</v>
      </c>
      <c r="K11" s="49"/>
      <c r="L11" s="91">
        <f t="shared" ca="1" si="3"/>
        <v>0</v>
      </c>
      <c r="M11" s="49"/>
      <c r="N11" s="91">
        <f t="shared" ca="1" si="4"/>
        <v>0</v>
      </c>
    </row>
    <row r="12" spans="1:14" ht="15.75">
      <c r="B12" s="699" t="s">
        <v>1088</v>
      </c>
      <c r="C12" s="699"/>
      <c r="D12" s="103"/>
      <c r="E12" s="94">
        <f t="shared" ca="1" si="1"/>
        <v>58316960.180035397</v>
      </c>
      <c r="F12" s="83">
        <f ca="1">+IFERROR(INDEX('Phase 1 Pro Forma'!$F$125:$Z$125,1,MATCH(1,'Phase 1 Pro Forma'!$F$3:$Z$3,0)),0)</f>
        <v>20675735.789605156</v>
      </c>
      <c r="G12" s="83">
        <f ca="1">+IFERROR(INDEX('Phase 2 Pro Forma'!$F$133:$Z$133,1,MATCH(1,'Phase 2 Pro Forma'!$F$3:$Z$3,0)),0)</f>
        <v>25139452.982849676</v>
      </c>
      <c r="H12" s="83">
        <f ca="1">+IFERROR(INDEX('Phase 3 Pro Forma'!$F$331:$Z$331,1,MATCH(1,'Phase 3 Pro Forma'!$F$3:$Z$3,0)),0)</f>
        <v>12501771.407580566</v>
      </c>
      <c r="I12" s="49"/>
      <c r="J12" s="91">
        <f t="shared" ca="1" si="2"/>
        <v>4.493835008607789E-2</v>
      </c>
      <c r="K12" s="49"/>
      <c r="L12" s="91">
        <f t="shared" ca="1" si="3"/>
        <v>6.1169834148935169E-2</v>
      </c>
      <c r="M12" s="49"/>
      <c r="N12" s="91">
        <f t="shared" ca="1" si="4"/>
        <v>6.0603632550763321E-2</v>
      </c>
    </row>
    <row r="13" spans="1:14" ht="15.75">
      <c r="B13" s="699" t="s">
        <v>1089</v>
      </c>
      <c r="C13" s="699"/>
      <c r="D13" s="103"/>
      <c r="E13" s="94">
        <f t="shared" ca="1" si="1"/>
        <v>0</v>
      </c>
      <c r="F13" s="83">
        <f ca="1">+IFERROR(INDEX('Phase 1 Pro Forma'!$AQ$23:$BK$23,1,MATCH(1,'Phase 1 Pro Forma'!$F$3:$Z$3,0)),0)</f>
        <v>0</v>
      </c>
      <c r="G13" s="83">
        <f ca="1">+IFERROR(INDEX('Phase 2 Pro Forma'!$AW$40:$BQ$40,1,MATCH(1,'Phase 2 Pro Forma'!$F$3:$Z$3,0)),0)</f>
        <v>0</v>
      </c>
      <c r="H13" s="83">
        <f ca="1">+IFERROR(INDEX('Phase 3 Pro Forma'!$F$86:$Z$86,1,MATCH(1,'Phase 3 Pro Forma'!$F$3:$Z$3,0)),0)</f>
        <v>0</v>
      </c>
      <c r="I13" s="49"/>
      <c r="J13" s="91">
        <f t="shared" ca="1" si="2"/>
        <v>0</v>
      </c>
      <c r="K13" s="49"/>
      <c r="L13" s="91">
        <f t="shared" ca="1" si="3"/>
        <v>0</v>
      </c>
      <c r="M13" s="49"/>
      <c r="N13" s="91">
        <f t="shared" ca="1" si="4"/>
        <v>0</v>
      </c>
    </row>
    <row r="14" spans="1:14" ht="15.75">
      <c r="B14" s="699" t="s">
        <v>1090</v>
      </c>
      <c r="C14" s="699"/>
      <c r="D14" s="103"/>
      <c r="E14" s="94">
        <f t="shared" ca="1" si="1"/>
        <v>0</v>
      </c>
      <c r="F14" s="83">
        <f ca="1">+IFERROR(INDEX('Phase 1 Pro Forma'!$AQ$46:$BK$46,1,MATCH(1,'Phase 1 Pro Forma'!$F$3:$Z$3,0)),0)</f>
        <v>0</v>
      </c>
      <c r="G14" s="83">
        <f ca="1">+IFERROR(INDEX('Phase 2 Pro Forma'!$AW$67:$BQ$67,1,MATCH(1,'Phase 2 Pro Forma'!$F$3:$Z$3,0)),0)</f>
        <v>0</v>
      </c>
      <c r="H14" s="83">
        <f ca="1">+IFERROR(INDEX('Phase 3 Pro Forma'!$F$113:$Z$113,1,MATCH(1,'Phase 3 Pro Forma'!$F$3:$Z$3,0)),0)</f>
        <v>0</v>
      </c>
      <c r="I14" s="49"/>
      <c r="J14" s="91">
        <f t="shared" ca="1" si="2"/>
        <v>0</v>
      </c>
      <c r="K14" s="49"/>
      <c r="L14" s="91">
        <f t="shared" ca="1" si="3"/>
        <v>0</v>
      </c>
      <c r="M14" s="49"/>
      <c r="N14" s="91">
        <f t="shared" ca="1" si="4"/>
        <v>0</v>
      </c>
    </row>
    <row r="15" spans="1:14" ht="15.75">
      <c r="B15" s="699" t="s">
        <v>1091</v>
      </c>
      <c r="C15" s="699"/>
      <c r="D15" s="103"/>
      <c r="E15" s="94">
        <f t="shared" ca="1" si="1"/>
        <v>0</v>
      </c>
      <c r="F15" s="83">
        <f ca="1">+IFERROR(INDEX('Phase 1 Pro Forma'!$AQ$69:$BK$69,1,MATCH(1,'Phase 1 Pro Forma'!$F$3:$Z$3,0)),0)</f>
        <v>0</v>
      </c>
      <c r="G15" s="83">
        <f ca="1">+IFERROR(INDEX('Phase 2 Pro Forma'!$AW$94:$BQ$94,1,MATCH(1,'Phase 2 Pro Forma'!$F$3:$Z$3,0)),0)</f>
        <v>0</v>
      </c>
      <c r="H15" s="83">
        <f ca="1">+IFERROR(INDEX('Phase 3 Pro Forma'!$F$140:$Z$140,1,MATCH(1,'Phase 3 Pro Forma'!$F$3:$Z$3,0)),0)</f>
        <v>0</v>
      </c>
      <c r="I15" s="49"/>
      <c r="J15" s="91">
        <f t="shared" ca="1" si="2"/>
        <v>0</v>
      </c>
      <c r="K15" s="49"/>
      <c r="L15" s="91">
        <f t="shared" ca="1" si="3"/>
        <v>0</v>
      </c>
      <c r="M15" s="49"/>
      <c r="N15" s="91">
        <f t="shared" ca="1" si="4"/>
        <v>0</v>
      </c>
    </row>
    <row r="16" spans="1:14" ht="15.75">
      <c r="B16" s="699" t="s">
        <v>1092</v>
      </c>
      <c r="C16" s="699"/>
      <c r="D16" s="103"/>
      <c r="E16" s="94">
        <f t="shared" ca="1" si="1"/>
        <v>0</v>
      </c>
      <c r="F16" s="83">
        <f ca="1">+IFERROR(INDEX('Phase 1 Pro Forma'!$AQ$92:$BK$92,1,MATCH(1,'Phase 1 Pro Forma'!$F$3:$Z$3,0)),0)</f>
        <v>0</v>
      </c>
      <c r="G16" s="83">
        <f ca="1">+IFERROR(INDEX('Phase 2 Pro Forma'!$BD$121:$BQ$121,1,MATCH(1,'Phase 2 Pro Forma'!$F$3:$Z$3,0)),0)</f>
        <v>0</v>
      </c>
      <c r="H16" s="83">
        <f ca="1">+IFERROR(INDEX('Phase 3 Pro Forma'!$F$167:$Z$167,1,MATCH(1,'Phase 3 Pro Forma'!$F$3:$Z$3,0)),0)</f>
        <v>0</v>
      </c>
      <c r="I16" s="49"/>
      <c r="J16" s="91">
        <f t="shared" ca="1" si="2"/>
        <v>0</v>
      </c>
      <c r="K16" s="49"/>
      <c r="L16" s="91">
        <f t="shared" ca="1" si="3"/>
        <v>0</v>
      </c>
      <c r="M16" s="49"/>
      <c r="N16" s="91">
        <f t="shared" ca="1" si="4"/>
        <v>0</v>
      </c>
    </row>
    <row r="17" spans="2:14" ht="15.6" customHeight="1">
      <c r="B17" s="699" t="s">
        <v>1093</v>
      </c>
      <c r="C17" s="699"/>
      <c r="D17" s="103"/>
      <c r="E17" s="94">
        <f t="shared" ca="1" si="1"/>
        <v>0</v>
      </c>
      <c r="F17" s="83">
        <v>0</v>
      </c>
      <c r="G17" s="83">
        <v>0</v>
      </c>
      <c r="H17" s="83">
        <f ca="1">+IFERROR(INDEX('Phase 3 Pro Forma'!$F$309:$Z$309,1,MATCH(1,'Phase 3 Pro Forma'!$F$3:$Z$3,0)),0)</f>
        <v>0</v>
      </c>
      <c r="I17" s="49"/>
      <c r="J17" s="91">
        <f t="shared" ca="1" si="2"/>
        <v>0</v>
      </c>
      <c r="K17" s="49"/>
      <c r="L17" s="91">
        <f t="shared" ca="1" si="3"/>
        <v>0</v>
      </c>
      <c r="M17" s="49"/>
      <c r="N17" s="91">
        <f t="shared" ca="1" si="4"/>
        <v>0</v>
      </c>
    </row>
    <row r="18" spans="2:14" ht="15.75">
      <c r="B18" s="699"/>
      <c r="C18" s="699"/>
      <c r="D18" s="103"/>
      <c r="E18" s="94"/>
      <c r="F18" s="83"/>
      <c r="G18" s="83"/>
      <c r="H18" s="83"/>
      <c r="I18" s="49"/>
      <c r="J18" s="49"/>
      <c r="K18" s="49"/>
      <c r="L18" s="49"/>
      <c r="M18" s="49"/>
      <c r="N18" s="49"/>
    </row>
    <row r="19" spans="2:14" ht="15.75">
      <c r="B19" s="699" t="s">
        <v>669</v>
      </c>
      <c r="C19" s="699"/>
      <c r="D19" s="73"/>
      <c r="E19" s="104"/>
      <c r="F19" s="105">
        <f>+Assumptions!N142</f>
        <v>0.7</v>
      </c>
      <c r="G19" s="105">
        <f>+Assumptions!O142</f>
        <v>0.7</v>
      </c>
      <c r="H19" s="105">
        <f>+Assumptions!P142</f>
        <v>0.7</v>
      </c>
      <c r="I19" s="91"/>
      <c r="J19" s="49"/>
      <c r="K19" s="91"/>
      <c r="L19" s="49"/>
      <c r="M19" s="91"/>
      <c r="N19" s="49"/>
    </row>
    <row r="20" spans="2:14" ht="15.75">
      <c r="B20" s="61" t="s">
        <v>1094</v>
      </c>
      <c r="C20" s="61"/>
      <c r="D20" s="61"/>
      <c r="E20" s="62">
        <f ca="1">+SUM(F20:H20)</f>
        <v>754149592.72827315</v>
      </c>
      <c r="F20" s="64">
        <f ca="1">+F19*SUM(F5:F17)</f>
        <v>322063783.49452168</v>
      </c>
      <c r="G20" s="64">
        <f ca="1">+G19*SUM(G5:G17)</f>
        <v>287684564.34177053</v>
      </c>
      <c r="H20" s="64">
        <f ca="1">+H19*SUM(H5:H17)</f>
        <v>144401244.89198083</v>
      </c>
      <c r="I20" s="91"/>
      <c r="J20" s="49"/>
      <c r="K20" s="91"/>
      <c r="L20" s="49"/>
      <c r="M20" s="91"/>
      <c r="N20" s="49"/>
    </row>
    <row r="21" spans="2:14" ht="15.75">
      <c r="B21" s="108"/>
      <c r="D21" s="109"/>
      <c r="E21" s="110"/>
      <c r="N21" s="49"/>
    </row>
    <row r="22" spans="2:14" ht="15.75">
      <c r="B22" s="699" t="s">
        <v>1095</v>
      </c>
      <c r="C22" s="699"/>
      <c r="D22" s="103"/>
      <c r="E22" s="94">
        <f t="shared" ref="E22:E34" ca="1" si="5">+SUM(F22:H22)</f>
        <v>3485498.0875695474</v>
      </c>
      <c r="F22" s="83">
        <f ca="1">+IFERROR(INDEX('Phase 1 Pro Forma'!$F$26:$Z$26,1,MATCH(1,'Phase 1 Pro Forma'!$F$3:$Z$3,0)),0)</f>
        <v>1498918.6751736542</v>
      </c>
      <c r="G22" s="83">
        <f ca="1">+IFERROR(INDEX('Phase 2 Pro Forma'!$F$30:$Z$30,1,MATCH(1,'Phase 2 Pro Forma'!$F$3:$Z$3,0)),0)</f>
        <v>1257419.7557517118</v>
      </c>
      <c r="H22" s="83">
        <f ca="1">+IFERROR(INDEX('Phase 3 Pro Forma'!$F$30:$Z$30,1,MATCH(1,'Phase 3 Pro Forma'!$F$3:$Z$3,0)),0)</f>
        <v>729159.65664418123</v>
      </c>
      <c r="I22" s="91">
        <f t="shared" ref="I22:I34" ca="1" si="6">+F22/$F$76</f>
        <v>7.0971023408059844E-2</v>
      </c>
      <c r="J22" s="49"/>
      <c r="K22" s="91">
        <f t="shared" ref="K22:K34" ca="1" si="7">+G22/$G$76</f>
        <v>6.5636681755853604E-2</v>
      </c>
      <c r="L22" s="49"/>
      <c r="M22" s="91">
        <f ca="1">+H22/$H$76</f>
        <v>3.7384959959315837E-2</v>
      </c>
      <c r="N22" s="49"/>
    </row>
    <row r="23" spans="2:14" ht="15.75">
      <c r="B23" s="699" t="s">
        <v>1096</v>
      </c>
      <c r="C23" s="699"/>
      <c r="D23" s="103"/>
      <c r="E23" s="94">
        <f t="shared" ca="1" si="5"/>
        <v>25612398.752406821</v>
      </c>
      <c r="F23" s="83">
        <f ca="1">+IFERROR(INDEX('Phase 1 Pro Forma'!$F$49:$Z$49,1,MATCH(1,'Phase 1 Pro Forma'!$F$3:$Z$3,0)),0)</f>
        <v>11301622.733813278</v>
      </c>
      <c r="G23" s="83">
        <f ca="1">+IFERROR(INDEX('Phase 2 Pro Forma'!$F$57:$Z$57,1,MATCH(1,'Phase 2 Pro Forma'!$F$3:$Z$3,0)),0)</f>
        <v>9053263.075884182</v>
      </c>
      <c r="H23" s="83">
        <f ca="1">+IFERROR(INDEX('Phase 3 Pro Forma'!$F$57:$Z$57,1,MATCH(1,'Phase 3 Pro Forma'!$F$3:$Z$3,0)),0)</f>
        <v>5257512.9427093584</v>
      </c>
      <c r="I23" s="91">
        <f t="shared" ca="1" si="6"/>
        <v>0.5351109068659774</v>
      </c>
      <c r="J23" s="49"/>
      <c r="K23" s="91">
        <f t="shared" ca="1" si="7"/>
        <v>0.47257580028125895</v>
      </c>
      <c r="L23" s="49"/>
      <c r="M23" s="91">
        <f t="shared" ref="M23:M34" ca="1" si="8">+H23/$H$76</f>
        <v>0.26955949778319738</v>
      </c>
      <c r="N23" s="49"/>
    </row>
    <row r="24" spans="2:14" ht="15.75">
      <c r="B24" s="699" t="s">
        <v>1097</v>
      </c>
      <c r="C24" s="699"/>
      <c r="D24" s="103"/>
      <c r="E24" s="94">
        <f t="shared" ca="1" si="5"/>
        <v>0</v>
      </c>
      <c r="F24" s="83">
        <f ca="1">+IFERROR(INDEX('Phase 1 Pro Forma'!$AQ$114:$BK$114,1,MATCH(1,'Phase 1 Pro Forma'!$F$3:$Z$3,0)),0)</f>
        <v>0</v>
      </c>
      <c r="G24" s="83">
        <f ca="1">+IFERROR(INDEX('Phase 2 Pro Forma'!$BD$143:$BQ$143,1,MATCH(1,'Phase 2 Pro Forma'!$F$3:$Z$3,0)),0)</f>
        <v>0</v>
      </c>
      <c r="H24" s="83">
        <f ca="1">+IFERROR(INDEX('Phase 3 Pro Forma'!$F$189:$Z$189,1,MATCH(1,'Phase 3 Pro Forma'!$F$3:$Z$3,0)),0)</f>
        <v>0</v>
      </c>
      <c r="I24" s="91">
        <f t="shared" ca="1" si="6"/>
        <v>0</v>
      </c>
      <c r="J24" s="49"/>
      <c r="K24" s="91">
        <f t="shared" ca="1" si="7"/>
        <v>0</v>
      </c>
      <c r="L24" s="49"/>
      <c r="M24" s="91">
        <f t="shared" ca="1" si="8"/>
        <v>0</v>
      </c>
      <c r="N24" s="49"/>
    </row>
    <row r="25" spans="2:14" ht="15.75">
      <c r="B25" s="699" t="s">
        <v>1098</v>
      </c>
      <c r="C25" s="699"/>
      <c r="D25" s="103"/>
      <c r="E25" s="94">
        <f t="shared" ca="1" si="5"/>
        <v>0</v>
      </c>
      <c r="F25" s="83">
        <f ca="1">+IFERROR(INDEX('Phase 1 Pro Forma'!$AQ$137:$BK$137,1,MATCH(1,'Phase 1 Pro Forma'!$F$3:$Z$3,0)),0)</f>
        <v>0</v>
      </c>
      <c r="G25" s="83">
        <f>+IFERROR(INDEX('Phase 2 Pro Forma'!$AW$167:$BQ$167,1,MATCH(1,'Phase 2 Pro Forma'!$F$3:$Z$3,0)),0)</f>
        <v>0</v>
      </c>
      <c r="H25" s="83">
        <f ca="1">+IFERROR(INDEX('Phase 3 Pro Forma'!$F$213:$Z$213,1,MATCH(1,'Phase 3 Pro Forma'!$F$3:$Z$3,0)),0)</f>
        <v>0</v>
      </c>
      <c r="I25" s="91">
        <f t="shared" ca="1" si="6"/>
        <v>0</v>
      </c>
      <c r="J25" s="49"/>
      <c r="K25" s="91">
        <f t="shared" ca="1" si="7"/>
        <v>0</v>
      </c>
      <c r="L25" s="49"/>
      <c r="M25" s="91">
        <f t="shared" ca="1" si="8"/>
        <v>0</v>
      </c>
      <c r="N25" s="49"/>
    </row>
    <row r="26" spans="2:14" ht="15.75">
      <c r="B26" s="699" t="s">
        <v>1099</v>
      </c>
      <c r="C26" s="699"/>
      <c r="D26" s="103"/>
      <c r="E26" s="94">
        <f t="shared" ca="1" si="5"/>
        <v>7009564.2807447361</v>
      </c>
      <c r="F26" s="83">
        <f ca="1">+IFERROR(INDEX('Phase 1 Pro Forma'!$F$70:$Z$70,1,MATCH(1,'Phase 1 Pro Forma'!$F$3:$Z$3,0)),0)</f>
        <v>2090309.9900925774</v>
      </c>
      <c r="G26" s="83">
        <f ca="1">+IFERROR(INDEX('Phase 2 Pro Forma'!$F$78:$Z$78,1,MATCH(1,'Phase 2 Pro Forma'!$F$3:$Z$3,0)),0)</f>
        <v>4231969.0333478209</v>
      </c>
      <c r="H26" s="83">
        <f ca="1">+IFERROR(INDEX('Phase 3 Pro Forma'!$F$234:$Z$234,1,MATCH(1,'Phase 3 Pro Forma'!$F$3:$Z$3,0)),0)</f>
        <v>687285.25730433769</v>
      </c>
      <c r="I26" s="91">
        <f t="shared" ca="1" si="6"/>
        <v>9.8972306966403426E-2</v>
      </c>
      <c r="J26" s="49"/>
      <c r="K26" s="91">
        <f t="shared" ca="1" si="7"/>
        <v>0.22090666491590169</v>
      </c>
      <c r="L26" s="49"/>
      <c r="M26" s="91">
        <f t="shared" ca="1" si="8"/>
        <v>3.5238005271990919E-2</v>
      </c>
      <c r="N26" s="49"/>
    </row>
    <row r="27" spans="2:14" ht="15.75">
      <c r="B27" s="699" t="s">
        <v>1100</v>
      </c>
      <c r="C27" s="699"/>
      <c r="D27" s="103"/>
      <c r="E27" s="94">
        <f t="shared" ca="1" si="5"/>
        <v>10251766.689602396</v>
      </c>
      <c r="F27" s="83">
        <f ca="1">+IFERROR(INDEX('Phase 1 Pro Forma'!$F$96:$Z$96,1,MATCH(1,'Phase 1 Pro Forma'!$F$3:$Z$3,0)),0)</f>
        <v>5040444.0063717328</v>
      </c>
      <c r="G27" s="83">
        <f ca="1">+IFERROR(INDEX('Phase 2 Pro Forma'!$F$104:$Z$104,1,MATCH(1,'Phase 2 Pro Forma'!$F$3:$Z$3,0)),0)</f>
        <v>3169101.4388511544</v>
      </c>
      <c r="H27" s="83">
        <f ca="1">+IFERROR(INDEX('Phase 3 Pro Forma'!$F$260:$Z$260,1,MATCH(1,'Phase 3 Pro Forma'!$F$3:$Z$3,0)),0)</f>
        <v>2042221.2443795088</v>
      </c>
      <c r="I27" s="91">
        <f t="shared" ca="1" si="6"/>
        <v>0.23865568925664338</v>
      </c>
      <c r="J27" s="49"/>
      <c r="K27" s="91">
        <f t="shared" ca="1" si="7"/>
        <v>0.16542550858009913</v>
      </c>
      <c r="L27" s="49"/>
      <c r="M27" s="91">
        <f t="shared" ca="1" si="8"/>
        <v>0.10470732815988602</v>
      </c>
      <c r="N27" s="49"/>
    </row>
    <row r="28" spans="2:14" ht="15.75">
      <c r="B28" s="699" t="s">
        <v>1101</v>
      </c>
      <c r="C28" s="699"/>
      <c r="D28" s="103"/>
      <c r="E28" s="94">
        <f t="shared" ca="1" si="5"/>
        <v>0</v>
      </c>
      <c r="F28" s="83">
        <f ca="1">+IFERROR(INDEX('Phase 1 Pro Forma'!$F$475:$Z$475,1,MATCH(1,'Phase 1 Pro Forma'!$F$3:$Z$3,0)),0)</f>
        <v>0</v>
      </c>
      <c r="G28" s="83">
        <f ca="1">+IFERROR(INDEX('Phase 2 Pro Forma'!$AI$129:$BC$129,1,MATCH(1,'Phase 2 Pro Forma'!$F$3:$Z$3,0)),0)</f>
        <v>0</v>
      </c>
      <c r="H28" s="83">
        <f ca="1">+IFERROR(INDEX('Phase 3 Pro Forma'!$F$286:$Z$286,1,MATCH(1,'Phase 3 Pro Forma'!$F$3:$Z$3,0)),0)</f>
        <v>0</v>
      </c>
      <c r="I28" s="91">
        <f t="shared" ca="1" si="6"/>
        <v>0</v>
      </c>
      <c r="J28" s="49"/>
      <c r="K28" s="91">
        <f t="shared" ca="1" si="7"/>
        <v>0</v>
      </c>
      <c r="L28" s="49"/>
      <c r="M28" s="91">
        <f t="shared" ca="1" si="8"/>
        <v>0</v>
      </c>
      <c r="N28" s="49"/>
    </row>
    <row r="29" spans="2:14" ht="15.75">
      <c r="B29" s="699" t="s">
        <v>1102</v>
      </c>
      <c r="C29" s="699"/>
      <c r="D29" s="103"/>
      <c r="E29" s="94">
        <f t="shared" ca="1" si="5"/>
        <v>3353225.2103520352</v>
      </c>
      <c r="F29" s="83">
        <f ca="1">+IFERROR(INDEX('Phase 1 Pro Forma'!$F$123:$Z$123,1,MATCH(1,'Phase 1 Pro Forma'!$F$3:$Z$3,0)),0)</f>
        <v>1188854.8079022965</v>
      </c>
      <c r="G29" s="83">
        <f ca="1">+IFERROR(INDEX('Phase 2 Pro Forma'!$F$131:$Z$131,1,MATCH(1,'Phase 2 Pro Forma'!$F$3:$Z$3,0)),0)</f>
        <v>1445518.5465138564</v>
      </c>
      <c r="H29" s="83">
        <f ca="1">+IFERROR(INDEX('Phase 3 Pro Forma'!$F$329:$Z$329,1,MATCH(1,'Phase 3 Pro Forma'!$F$3:$Z$3,0)),0)</f>
        <v>718851.85593588254</v>
      </c>
      <c r="I29" s="91">
        <f t="shared" ca="1" si="6"/>
        <v>5.6290073502915941E-2</v>
      </c>
      <c r="J29" s="49"/>
      <c r="K29" s="91">
        <f t="shared" ca="1" si="7"/>
        <v>7.5455344466886787E-2</v>
      </c>
      <c r="L29" s="49"/>
      <c r="M29" s="91">
        <f t="shared" ca="1" si="8"/>
        <v>3.6856465666965814E-2</v>
      </c>
      <c r="N29" s="49"/>
    </row>
    <row r="30" spans="2:14" ht="15.75">
      <c r="B30" s="699" t="s">
        <v>1103</v>
      </c>
      <c r="C30" s="699"/>
      <c r="D30" s="103"/>
      <c r="E30" s="94">
        <f t="shared" ca="1" si="5"/>
        <v>0</v>
      </c>
      <c r="F30" s="83">
        <f ca="1">+IFERROR(INDEX('Phase 1 Pro Forma'!$AQ$21:$BK$21,1,MATCH(1,'Phase 1 Pro Forma'!$F$3:$Z$3,0)),0)</f>
        <v>0</v>
      </c>
      <c r="G30" s="83">
        <f ca="1">+IFERROR(INDEX('Phase 2 Pro Forma'!$AW$38:$BQ$38,1,MATCH(1,'Phase 2 Pro Forma'!$F$3:$Z$3,0)),0)</f>
        <v>0</v>
      </c>
      <c r="H30" s="83">
        <f ca="1">+IFERROR(INDEX('Phase 3 Pro Forma'!$F$84:$Z$84,1,MATCH(1,'Phase 3 Pro Forma'!$F$3:$Z$3,0)),0)</f>
        <v>0</v>
      </c>
      <c r="I30" s="91">
        <f t="shared" ca="1" si="6"/>
        <v>0</v>
      </c>
      <c r="J30" s="49"/>
      <c r="K30" s="91">
        <f t="shared" ca="1" si="7"/>
        <v>0</v>
      </c>
      <c r="L30" s="49"/>
      <c r="M30" s="91">
        <f t="shared" ca="1" si="8"/>
        <v>0</v>
      </c>
      <c r="N30" s="49"/>
    </row>
    <row r="31" spans="2:14" ht="15.75">
      <c r="B31" s="699" t="s">
        <v>1104</v>
      </c>
      <c r="C31" s="699"/>
      <c r="D31" s="103"/>
      <c r="E31" s="94">
        <f t="shared" ca="1" si="5"/>
        <v>0</v>
      </c>
      <c r="F31" s="83">
        <f ca="1">+IFERROR(INDEX('Phase 1 Pro Forma'!$AQ$44:$BK$44,1,MATCH(1,'Phase 1 Pro Forma'!$F$3:$Z$3,0)),0)</f>
        <v>0</v>
      </c>
      <c r="G31" s="83">
        <f ca="1">+IFERROR(INDEX('Phase 2 Pro Forma'!$AW$65:$BQ$65,1,MATCH(1,'Phase 2 Pro Forma'!$F$3:$Z$3,0)),0)</f>
        <v>0</v>
      </c>
      <c r="H31" s="83">
        <f ca="1">+IFERROR(INDEX('Phase 3 Pro Forma'!$F$111:$Z$111,1,MATCH(1,'Phase 3 Pro Forma'!$F$3:$Z$3,0)),0)</f>
        <v>0</v>
      </c>
      <c r="I31" s="91">
        <f t="shared" ca="1" si="6"/>
        <v>0</v>
      </c>
      <c r="J31" s="49"/>
      <c r="K31" s="91">
        <f t="shared" ca="1" si="7"/>
        <v>0</v>
      </c>
      <c r="L31" s="49"/>
      <c r="M31" s="91">
        <f t="shared" ca="1" si="8"/>
        <v>0</v>
      </c>
      <c r="N31" s="49"/>
    </row>
    <row r="32" spans="2:14" ht="15.6" customHeight="1">
      <c r="B32" s="699" t="s">
        <v>1105</v>
      </c>
      <c r="C32" s="699"/>
      <c r="D32" s="103"/>
      <c r="E32" s="94">
        <f t="shared" ca="1" si="5"/>
        <v>0</v>
      </c>
      <c r="F32" s="83">
        <f ca="1">+IFERROR(INDEX('Phase 1 Pro Forma'!$AQ$67:$BK$67,1,MATCH(1,'Phase 1 Pro Forma'!$F$3:$Z$3,0)),0)</f>
        <v>0</v>
      </c>
      <c r="G32" s="83">
        <f ca="1">+IFERROR(INDEX('Phase 2 Pro Forma'!$AW$92:$BQ$92,1,MATCH(1,'Phase 2 Pro Forma'!$F$3:$Z$3,0)),0)</f>
        <v>0</v>
      </c>
      <c r="H32" s="83">
        <f ca="1">+IFERROR(INDEX('Phase 3 Pro Forma'!$F$138:$Z$138,1,MATCH(1,'Phase 3 Pro Forma'!$F$3:$Z$3,0)),0)</f>
        <v>0</v>
      </c>
      <c r="I32" s="91">
        <f t="shared" ca="1" si="6"/>
        <v>0</v>
      </c>
      <c r="J32" s="49"/>
      <c r="K32" s="91">
        <f t="shared" ca="1" si="7"/>
        <v>0</v>
      </c>
      <c r="L32" s="49"/>
      <c r="M32" s="91">
        <f t="shared" ca="1" si="8"/>
        <v>0</v>
      </c>
    </row>
    <row r="33" spans="2:15" ht="15.6" customHeight="1">
      <c r="B33" s="699" t="s">
        <v>1106</v>
      </c>
      <c r="C33" s="699"/>
      <c r="D33" s="103"/>
      <c r="E33" s="94">
        <f t="shared" ca="1" si="5"/>
        <v>0</v>
      </c>
      <c r="F33" s="83">
        <f ca="1">+IFERROR(INDEX('Phase 1 Pro Forma'!$AQ$90:$BK$90,1,MATCH(1,'Phase 1 Pro Forma'!$F$3:$Z$3,0)),0)</f>
        <v>0</v>
      </c>
      <c r="G33" s="83">
        <f ca="1">+IFERROR(INDEX('Phase 2 Pro Forma'!$BD$119:$BQ$119,1,MATCH(1,'Phase 2 Pro Forma'!$F$3:$Z$3,0)),0)</f>
        <v>0</v>
      </c>
      <c r="H33" s="83">
        <f ca="1">+IFERROR(INDEX('Phase 3 Pro Forma'!$F$165:$Z$165,1,MATCH(1,'Phase 3 Pro Forma'!$F$3:$Z$3,0)),0)</f>
        <v>0</v>
      </c>
      <c r="I33" s="91">
        <f t="shared" ca="1" si="6"/>
        <v>0</v>
      </c>
      <c r="K33" s="91">
        <f t="shared" ca="1" si="7"/>
        <v>0</v>
      </c>
      <c r="M33" s="91">
        <f t="shared" ca="1" si="8"/>
        <v>0</v>
      </c>
    </row>
    <row r="34" spans="2:15" ht="15.75">
      <c r="B34" s="699" t="s">
        <v>1107</v>
      </c>
      <c r="C34" s="699"/>
      <c r="D34" s="103"/>
      <c r="E34" s="94">
        <f t="shared" ca="1" si="5"/>
        <v>0</v>
      </c>
      <c r="F34" s="83">
        <v>0</v>
      </c>
      <c r="G34" s="83">
        <v>0</v>
      </c>
      <c r="H34" s="83">
        <f ca="1">+IFERROR(INDEX('Phase 3 Pro Forma'!$F$307:$Z$307,1,MATCH(1,'Phase 3 Pro Forma'!$F$3:$Z$3,0)),0)</f>
        <v>0</v>
      </c>
      <c r="I34" s="91">
        <f t="shared" ca="1" si="6"/>
        <v>0</v>
      </c>
      <c r="K34" s="91">
        <f t="shared" ca="1" si="7"/>
        <v>0</v>
      </c>
      <c r="M34" s="91">
        <f t="shared" ca="1" si="8"/>
        <v>0</v>
      </c>
    </row>
    <row r="35" spans="2:15" ht="15.75">
      <c r="B35" s="699"/>
      <c r="C35" s="699"/>
      <c r="D35" s="103"/>
      <c r="E35" s="94"/>
      <c r="F35" s="83"/>
      <c r="G35" s="83"/>
      <c r="H35" s="83"/>
    </row>
    <row r="36" spans="2:15" ht="15.75">
      <c r="B36" s="699" t="s">
        <v>670</v>
      </c>
      <c r="C36" s="699"/>
      <c r="D36" s="73"/>
      <c r="E36" s="104"/>
      <c r="F36" s="76">
        <f>+Assumptions!N143</f>
        <v>1.25</v>
      </c>
      <c r="G36" s="76">
        <f>+Assumptions!O143</f>
        <v>1.25</v>
      </c>
      <c r="H36" s="76">
        <f>+Assumptions!P143</f>
        <v>1.25</v>
      </c>
    </row>
    <row r="37" spans="2:15" ht="15.75">
      <c r="B37" s="699" t="s">
        <v>1108</v>
      </c>
      <c r="C37" s="699"/>
      <c r="D37" s="73"/>
      <c r="E37" s="94"/>
      <c r="F37" s="83">
        <f ca="1">+SUM(F22:F34)/F36</f>
        <v>16896120.170682833</v>
      </c>
      <c r="G37" s="83">
        <f ca="1">+SUM(G22:G34)/G36</f>
        <v>15325817.48027898</v>
      </c>
      <c r="H37" s="83">
        <f ca="1">+SUM(H22:H34)/H36</f>
        <v>7548024.7655786155</v>
      </c>
    </row>
    <row r="38" spans="2:15" ht="15.75">
      <c r="B38" s="699" t="s">
        <v>682</v>
      </c>
      <c r="C38" s="699"/>
      <c r="D38" s="73"/>
      <c r="E38" s="104"/>
      <c r="F38" s="77">
        <f>+Assumptions!N147</f>
        <v>30</v>
      </c>
      <c r="G38" s="77">
        <f>+Assumptions!O147</f>
        <v>30</v>
      </c>
      <c r="H38" s="77">
        <f>+Assumptions!P147</f>
        <v>30</v>
      </c>
    </row>
    <row r="39" spans="2:15" ht="15.75">
      <c r="B39" s="699" t="s">
        <v>1061</v>
      </c>
      <c r="C39" s="699"/>
      <c r="D39" s="73"/>
      <c r="E39" s="104"/>
      <c r="F39" s="111">
        <f>+Assumptions!N145</f>
        <v>4.4999999999999998E-2</v>
      </c>
      <c r="G39" s="111">
        <f>+Assumptions!O145</f>
        <v>4.4999999999999998E-2</v>
      </c>
      <c r="H39" s="111">
        <f>+Assumptions!P145</f>
        <v>4.4999999999999998E-2</v>
      </c>
    </row>
    <row r="40" spans="2:15" ht="15.75">
      <c r="B40" s="61" t="s">
        <v>1109</v>
      </c>
      <c r="C40" s="61"/>
      <c r="D40" s="61"/>
      <c r="E40" s="62">
        <f ca="1">+SUM(F40:H40)</f>
        <v>647808485.2135824</v>
      </c>
      <c r="F40" s="64">
        <f ca="1">+PV(F39,F38,-F37)</f>
        <v>275219018.29116291</v>
      </c>
      <c r="G40" s="64">
        <f t="shared" ref="G40:H40" ca="1" si="9">+PV(G39,G38,-G37)</f>
        <v>249640532.78637764</v>
      </c>
      <c r="H40" s="64">
        <f t="shared" ca="1" si="9"/>
        <v>122948934.13604183</v>
      </c>
    </row>
    <row r="41" spans="2:15">
      <c r="B41" s="108"/>
      <c r="D41" s="109"/>
      <c r="E41" s="110"/>
    </row>
    <row r="42" spans="2:15" ht="15.75">
      <c r="B42" s="65" t="s">
        <v>1110</v>
      </c>
      <c r="C42" s="65"/>
      <c r="D42" s="65"/>
      <c r="E42" s="62">
        <f ca="1">+SUM(F42:H42)</f>
        <v>647808485.2135824</v>
      </c>
      <c r="F42" s="62">
        <f ca="1">+IFERROR(MIN(F40,F20),0)</f>
        <v>275219018.29116291</v>
      </c>
      <c r="G42" s="62">
        <f ca="1">+IFERROR(MIN(G40,G20),0)</f>
        <v>249640532.78637764</v>
      </c>
      <c r="H42" s="62">
        <f ca="1">+IFERROR(MIN(H40,H20),0)</f>
        <v>122948934.13604183</v>
      </c>
    </row>
    <row r="43" spans="2:15">
      <c r="B43" s="108"/>
      <c r="D43" s="109"/>
      <c r="E43" s="110"/>
    </row>
    <row r="44" spans="2:15" ht="15.75">
      <c r="B44" s="718" t="s">
        <v>327</v>
      </c>
      <c r="C44" s="951"/>
      <c r="D44" s="952"/>
      <c r="E44" s="953"/>
      <c r="F44" s="954"/>
      <c r="G44" s="954"/>
      <c r="H44" s="954"/>
      <c r="I44" s="689"/>
      <c r="J44" s="689"/>
      <c r="K44" s="689"/>
      <c r="L44" s="689"/>
      <c r="M44" s="689"/>
      <c r="N44" s="689"/>
      <c r="O44" s="689"/>
    </row>
    <row r="45" spans="2:15" ht="15.75">
      <c r="B45" s="151" t="s">
        <v>1111</v>
      </c>
      <c r="C45" s="151"/>
      <c r="D45" s="946"/>
      <c r="E45" s="948">
        <f ca="1">+SUM(F45:H45)</f>
        <v>0</v>
      </c>
      <c r="F45" s="946">
        <f ca="1">+IFERROR(INDEX('Phase 1 Pro Forma'!$F$196:$Z$196,1,MATCH(1,'Phase 1 Pro Forma'!$F$3:$Z$3,0)),0)</f>
        <v>0</v>
      </c>
      <c r="G45" s="946">
        <f ca="1">+IFERROR(INDEX('Phase 2 Pro Forma'!$F$205:$Z$205,1,MATCH(1,'Phase 2 Pro Forma'!$F$3:$Z$3,0)),0)</f>
        <v>0</v>
      </c>
      <c r="H45" s="946"/>
      <c r="I45" s="689"/>
      <c r="J45" s="955">
        <f ca="1">+F45/$F$77</f>
        <v>0</v>
      </c>
      <c r="K45" s="689"/>
      <c r="L45" s="955">
        <f ca="1">+G45/$G$77</f>
        <v>0</v>
      </c>
      <c r="M45" s="689"/>
      <c r="N45" s="955">
        <f ca="1">+H45/$H$77</f>
        <v>0</v>
      </c>
      <c r="O45" s="689"/>
    </row>
    <row r="46" spans="2:15" ht="15.75">
      <c r="B46" s="151"/>
      <c r="C46" s="151"/>
      <c r="D46" s="946"/>
      <c r="E46" s="948"/>
      <c r="F46" s="946"/>
      <c r="G46" s="946"/>
      <c r="H46" s="946"/>
      <c r="I46" s="689"/>
      <c r="J46" s="689"/>
      <c r="K46" s="689"/>
      <c r="L46" s="689"/>
      <c r="M46" s="689"/>
      <c r="N46" s="689"/>
      <c r="O46" s="689"/>
    </row>
    <row r="47" spans="2:15" ht="15.75">
      <c r="B47" s="151" t="s">
        <v>669</v>
      </c>
      <c r="C47" s="151"/>
      <c r="D47" s="748"/>
      <c r="E47" s="956"/>
      <c r="F47" s="748">
        <f>+Assumptions!N149</f>
        <v>0.8</v>
      </c>
      <c r="G47" s="748">
        <f>+Assumptions!O149</f>
        <v>0.8</v>
      </c>
      <c r="H47" s="748">
        <f>+Assumptions!P149</f>
        <v>0.8</v>
      </c>
      <c r="I47" s="689"/>
      <c r="J47" s="689"/>
      <c r="K47" s="689"/>
      <c r="L47" s="689"/>
      <c r="M47" s="689"/>
      <c r="N47" s="689"/>
      <c r="O47" s="689"/>
    </row>
    <row r="48" spans="2:15" ht="15.75">
      <c r="B48" s="151" t="s">
        <v>1094</v>
      </c>
      <c r="C48" s="151"/>
      <c r="D48" s="151"/>
      <c r="E48" s="948">
        <f ca="1">+SUM(F48:H48)</f>
        <v>0</v>
      </c>
      <c r="F48" s="946">
        <f ca="1">+F47*SUM(F45)</f>
        <v>0</v>
      </c>
      <c r="G48" s="946">
        <f t="shared" ref="G48:H48" ca="1" si="10">+G47*SUM(G45)</f>
        <v>0</v>
      </c>
      <c r="H48" s="946">
        <f t="shared" si="10"/>
        <v>0</v>
      </c>
      <c r="I48" s="689"/>
      <c r="J48" s="689"/>
      <c r="K48" s="689"/>
      <c r="L48" s="689"/>
      <c r="M48" s="689"/>
      <c r="N48" s="689"/>
      <c r="O48" s="689"/>
    </row>
    <row r="49" spans="2:15">
      <c r="B49" s="957"/>
      <c r="C49" s="689"/>
      <c r="D49" s="958"/>
      <c r="E49" s="689"/>
      <c r="F49" s="689"/>
      <c r="G49" s="689"/>
      <c r="H49" s="689"/>
      <c r="I49" s="689"/>
      <c r="J49" s="689"/>
      <c r="K49" s="689"/>
      <c r="L49" s="689"/>
      <c r="M49" s="689"/>
      <c r="N49" s="689"/>
      <c r="O49" s="689"/>
    </row>
    <row r="50" spans="2:15" ht="15.75">
      <c r="B50" s="151" t="s">
        <v>1112</v>
      </c>
      <c r="C50" s="151"/>
      <c r="D50" s="946"/>
      <c r="E50" s="948">
        <f ca="1">+SUM(F50:H50)</f>
        <v>10069059.924431682</v>
      </c>
      <c r="F50" s="946">
        <f ca="1">+IFERROR(INDEX('Phase 1 Pro Forma'!$F$194:$Z$194,1,MATCH(1,'Phase 1 Pro Forma'!$F$3:$Z$3,0)),0)</f>
        <v>0</v>
      </c>
      <c r="G50" s="946">
        <f ca="1">+IFERROR(INDEX('Phase 2 Pro Forma'!$F$203:$Z$203,1,MATCH(1,'Phase 2 Pro Forma'!$F$3:$Z$3,0)),0)</f>
        <v>0</v>
      </c>
      <c r="H50" s="946">
        <f ca="1">+IFERROR(INDEX('Phase 3 Pro Forma'!$F$401:$Z$401,1,MATCH(1,'Phase 3 Pro Forma'!$F$3:$Z$3,0)),0)</f>
        <v>10069059.924431682</v>
      </c>
      <c r="I50" s="955">
        <f ca="1">+F50/F76</f>
        <v>0</v>
      </c>
      <c r="J50" s="689"/>
      <c r="K50" s="955">
        <f ca="1">+G50/G76</f>
        <v>0</v>
      </c>
      <c r="L50" s="689"/>
      <c r="M50" s="955">
        <f ca="1">+H50/$H$76</f>
        <v>0.51625374315864392</v>
      </c>
      <c r="N50" s="689"/>
      <c r="O50" s="689"/>
    </row>
    <row r="51" spans="2:15">
      <c r="B51" s="957"/>
      <c r="C51" s="689"/>
      <c r="D51" s="958"/>
      <c r="E51" s="689"/>
      <c r="F51" s="689"/>
      <c r="G51" s="689"/>
      <c r="H51" s="689"/>
      <c r="I51" s="689"/>
      <c r="J51" s="689"/>
      <c r="K51" s="689"/>
      <c r="L51" s="689"/>
      <c r="M51" s="689"/>
      <c r="N51" s="689"/>
      <c r="O51" s="689"/>
    </row>
    <row r="52" spans="2:15" ht="15.75">
      <c r="B52" s="151" t="s">
        <v>670</v>
      </c>
      <c r="C52" s="151"/>
      <c r="D52" s="748"/>
      <c r="E52" s="956"/>
      <c r="F52" s="959"/>
      <c r="G52" s="959"/>
      <c r="H52" s="959"/>
      <c r="I52" s="689"/>
      <c r="J52" s="689"/>
      <c r="K52" s="689"/>
      <c r="L52" s="689"/>
      <c r="M52" s="689"/>
      <c r="N52" s="689"/>
      <c r="O52" s="689"/>
    </row>
    <row r="53" spans="2:15" ht="15.75">
      <c r="B53" s="151" t="s">
        <v>1108</v>
      </c>
      <c r="C53" s="151"/>
      <c r="D53" s="748"/>
      <c r="E53" s="948"/>
      <c r="F53" s="946"/>
      <c r="G53" s="946"/>
      <c r="H53" s="946"/>
      <c r="I53" s="689"/>
      <c r="J53" s="689"/>
      <c r="K53" s="689"/>
      <c r="L53" s="689"/>
      <c r="M53" s="689"/>
      <c r="N53" s="689"/>
      <c r="O53" s="689"/>
    </row>
    <row r="54" spans="2:15" ht="15.75">
      <c r="B54" s="151" t="s">
        <v>682</v>
      </c>
      <c r="C54" s="151"/>
      <c r="D54" s="748"/>
      <c r="E54" s="956"/>
      <c r="F54" s="960"/>
      <c r="G54" s="960"/>
      <c r="H54" s="960"/>
      <c r="I54" s="689"/>
      <c r="J54" s="689"/>
      <c r="K54" s="689"/>
      <c r="L54" s="689"/>
      <c r="M54" s="689"/>
      <c r="N54" s="689"/>
      <c r="O54" s="689"/>
    </row>
    <row r="55" spans="2:15" ht="15.75">
      <c r="B55" s="151" t="s">
        <v>1061</v>
      </c>
      <c r="C55" s="151"/>
      <c r="D55" s="748"/>
      <c r="E55" s="956"/>
      <c r="F55" s="855"/>
      <c r="G55" s="855"/>
      <c r="H55" s="855"/>
      <c r="I55" s="689"/>
      <c r="J55" s="689"/>
      <c r="K55" s="689"/>
      <c r="L55" s="689"/>
      <c r="M55" s="689"/>
      <c r="N55" s="689"/>
      <c r="O55" s="689"/>
    </row>
    <row r="56" spans="2:15" ht="15.75">
      <c r="B56" s="151" t="s">
        <v>1109</v>
      </c>
      <c r="C56" s="151"/>
      <c r="D56" s="151"/>
      <c r="E56" s="948">
        <f>+SUM(F56:H56)</f>
        <v>0</v>
      </c>
      <c r="F56" s="946"/>
      <c r="G56" s="946"/>
      <c r="H56" s="946"/>
      <c r="I56" s="689"/>
      <c r="J56" s="689"/>
      <c r="K56" s="689"/>
      <c r="L56" s="689"/>
      <c r="M56" s="689"/>
      <c r="N56" s="689"/>
      <c r="O56" s="689"/>
    </row>
    <row r="57" spans="2:15">
      <c r="B57" s="961"/>
      <c r="C57" s="689"/>
      <c r="D57" s="962"/>
      <c r="E57" s="688"/>
      <c r="F57" s="689"/>
      <c r="G57" s="689"/>
      <c r="H57" s="689"/>
      <c r="I57" s="689"/>
      <c r="J57" s="689"/>
      <c r="K57" s="689"/>
      <c r="L57" s="689"/>
      <c r="M57" s="689"/>
      <c r="N57" s="689"/>
      <c r="O57" s="689"/>
    </row>
    <row r="58" spans="2:15" ht="15.75">
      <c r="B58" s="718" t="s">
        <v>1110</v>
      </c>
      <c r="C58" s="718"/>
      <c r="D58" s="718"/>
      <c r="E58" s="948">
        <f ca="1">+SUM(F58:H58)</f>
        <v>0</v>
      </c>
      <c r="F58" s="948">
        <f ca="1">+IFERROR(MIN(F56,F48),0)</f>
        <v>0</v>
      </c>
      <c r="G58" s="948">
        <f t="shared" ref="G58:H58" ca="1" si="11">+IFERROR(MIN(G56,G48),0)</f>
        <v>0</v>
      </c>
      <c r="H58" s="948">
        <f t="shared" si="11"/>
        <v>0</v>
      </c>
      <c r="I58" s="689"/>
      <c r="J58" s="689"/>
      <c r="K58" s="689"/>
      <c r="L58" s="689"/>
      <c r="M58" s="689"/>
      <c r="N58" s="689"/>
      <c r="O58" s="689"/>
    </row>
    <row r="59" spans="2:15">
      <c r="B59" s="957"/>
      <c r="C59" s="689"/>
      <c r="D59" s="689"/>
      <c r="E59" s="689"/>
      <c r="F59" s="689"/>
      <c r="G59" s="689"/>
      <c r="H59" s="689"/>
      <c r="I59" s="689"/>
      <c r="J59" s="689"/>
      <c r="K59" s="689"/>
      <c r="L59" s="689"/>
      <c r="M59" s="689"/>
      <c r="N59" s="689"/>
      <c r="O59" s="689"/>
    </row>
    <row r="60" spans="2:15" ht="15.75">
      <c r="B60" s="718" t="s">
        <v>1113</v>
      </c>
      <c r="C60" s="951"/>
      <c r="D60" s="952"/>
      <c r="E60" s="953"/>
      <c r="F60" s="954"/>
      <c r="G60" s="954"/>
      <c r="H60" s="954"/>
      <c r="I60" s="689"/>
      <c r="J60" s="689"/>
      <c r="K60" s="689"/>
      <c r="L60" s="689"/>
      <c r="M60" s="689"/>
      <c r="N60" s="689"/>
      <c r="O60" s="689"/>
    </row>
    <row r="61" spans="2:15" ht="15.75">
      <c r="B61" s="151" t="s">
        <v>1114</v>
      </c>
      <c r="C61" s="151"/>
      <c r="D61" s="946"/>
      <c r="E61" s="948">
        <f ca="1">+SUM(F61:H61)</f>
        <v>0</v>
      </c>
      <c r="F61" s="946">
        <f>+IFERROR(INDEX('Phase 1 Pro Forma'!#REF!,1,MATCH(1,'Phase 1 Pro Forma'!$F$3:$Z$3,0)),0)</f>
        <v>0</v>
      </c>
      <c r="G61" s="946">
        <f>+IFERROR(INDEX('Phase 2 Pro Forma'!$AI$152:$BC$152,1,MATCH(1,'Phase 2 Pro Forma'!$F$3:$Z$3,0)),0)</f>
        <v>0</v>
      </c>
      <c r="H61" s="946">
        <f ca="1">+IFERROR(INDEX('Phase 3 Pro Forma'!$F$309:$Z$309,1,MATCH(1,'Phase 3 Pro Forma'!$F$3:$Z$3,0)),0)</f>
        <v>0</v>
      </c>
      <c r="I61" s="689"/>
      <c r="J61" s="955">
        <f ca="1">+F61/$F$77</f>
        <v>0</v>
      </c>
      <c r="K61" s="689"/>
      <c r="L61" s="955">
        <f ca="1">+G61/$G$77</f>
        <v>0</v>
      </c>
      <c r="M61" s="689"/>
      <c r="N61" s="955">
        <f ca="1">+H61/$H$77</f>
        <v>0</v>
      </c>
      <c r="O61" s="689"/>
    </row>
    <row r="62" spans="2:15" ht="15.75">
      <c r="B62" s="151"/>
      <c r="C62" s="151"/>
      <c r="D62" s="946"/>
      <c r="E62" s="948"/>
      <c r="F62" s="946"/>
      <c r="G62" s="946"/>
      <c r="H62" s="946"/>
      <c r="I62" s="689"/>
      <c r="J62" s="689"/>
      <c r="K62" s="689"/>
      <c r="L62" s="689"/>
      <c r="M62" s="689"/>
      <c r="N62" s="689"/>
      <c r="O62" s="689"/>
    </row>
    <row r="63" spans="2:15" ht="15.75">
      <c r="B63" s="151" t="s">
        <v>669</v>
      </c>
      <c r="C63" s="151"/>
      <c r="D63" s="748"/>
      <c r="E63" s="956"/>
      <c r="F63" s="748">
        <f>+Assumptions!N155</f>
        <v>0</v>
      </c>
      <c r="G63" s="748">
        <f>+Assumptions!O155</f>
        <v>0</v>
      </c>
      <c r="H63" s="748">
        <f>+Assumptions!P155</f>
        <v>0</v>
      </c>
      <c r="I63" s="689"/>
      <c r="J63" s="689"/>
      <c r="K63" s="689"/>
      <c r="L63" s="689"/>
      <c r="M63" s="689"/>
      <c r="N63" s="689"/>
      <c r="O63" s="689"/>
    </row>
    <row r="64" spans="2:15" ht="15.75">
      <c r="B64" s="151" t="s">
        <v>1094</v>
      </c>
      <c r="C64" s="151"/>
      <c r="D64" s="151"/>
      <c r="E64" s="948">
        <f ca="1">+SUM(F64:H64)</f>
        <v>0</v>
      </c>
      <c r="F64" s="946">
        <f>+F63*SUM(F61)</f>
        <v>0</v>
      </c>
      <c r="G64" s="946">
        <f t="shared" ref="G64:H64" si="12">+G63*SUM(G61)</f>
        <v>0</v>
      </c>
      <c r="H64" s="946">
        <f t="shared" ca="1" si="12"/>
        <v>0</v>
      </c>
      <c r="I64" s="689"/>
      <c r="J64" s="689"/>
      <c r="K64" s="689"/>
      <c r="L64" s="689"/>
      <c r="M64" s="689"/>
      <c r="N64" s="689"/>
      <c r="O64" s="689"/>
    </row>
    <row r="65" spans="2:15">
      <c r="B65" s="957"/>
      <c r="C65" s="689"/>
      <c r="D65" s="958"/>
      <c r="E65" s="689"/>
      <c r="F65" s="689"/>
      <c r="G65" s="689"/>
      <c r="H65" s="689"/>
      <c r="I65" s="689"/>
      <c r="J65" s="689"/>
      <c r="K65" s="689"/>
      <c r="L65" s="689"/>
      <c r="M65" s="689"/>
      <c r="N65" s="689"/>
      <c r="O65" s="689"/>
    </row>
    <row r="66" spans="2:15" ht="15.75">
      <c r="B66" s="151" t="s">
        <v>673</v>
      </c>
      <c r="C66" s="151"/>
      <c r="D66" s="946"/>
      <c r="E66" s="948">
        <f>+SUM(F66:H66)</f>
        <v>0</v>
      </c>
      <c r="F66" s="946">
        <f>+IFERROR(INDEX('Phase 1 Pro Forma'!#REF!,1,MATCH(1,'Phase 1 Pro Forma'!$F$3:$Z$3,0)),0)</f>
        <v>0</v>
      </c>
      <c r="G66" s="946">
        <f>+IFERROR(INDEX('Phase 2 Pro Forma'!$AI$150:$BC$150,1,MATCH(1,'Phase 2 Pro Forma'!$F$3:$Z$3,0)),0)</f>
        <v>0</v>
      </c>
      <c r="H66" s="946">
        <v>0</v>
      </c>
      <c r="I66" s="955">
        <f ca="1">+F66/$F$76</f>
        <v>0</v>
      </c>
      <c r="J66" s="689"/>
      <c r="K66" s="955">
        <f ca="1">+G66/$G$76</f>
        <v>0</v>
      </c>
      <c r="L66" s="689"/>
      <c r="M66" s="955">
        <f ca="1">+H66/$H$76</f>
        <v>0</v>
      </c>
      <c r="N66" s="689"/>
      <c r="O66" s="689"/>
    </row>
    <row r="67" spans="2:15">
      <c r="B67" s="957"/>
      <c r="C67" s="689"/>
      <c r="D67" s="958"/>
      <c r="E67" s="689"/>
      <c r="F67" s="689"/>
      <c r="G67" s="689"/>
      <c r="H67" s="689"/>
      <c r="I67" s="689"/>
      <c r="J67" s="689"/>
      <c r="K67" s="689"/>
      <c r="L67" s="689"/>
      <c r="M67" s="689"/>
      <c r="N67" s="689"/>
      <c r="O67" s="689"/>
    </row>
    <row r="68" spans="2:15" ht="15.75">
      <c r="B68" s="151" t="s">
        <v>670</v>
      </c>
      <c r="C68" s="151"/>
      <c r="D68" s="748"/>
      <c r="E68" s="956"/>
      <c r="F68" s="959">
        <f>+Assumptions!N156</f>
        <v>0</v>
      </c>
      <c r="G68" s="959">
        <f>+Assumptions!O156</f>
        <v>0</v>
      </c>
      <c r="H68" s="959">
        <f>+Assumptions!P156</f>
        <v>0</v>
      </c>
      <c r="I68" s="689"/>
      <c r="J68" s="689"/>
      <c r="K68" s="689"/>
      <c r="L68" s="689"/>
      <c r="M68" s="689"/>
      <c r="N68" s="689"/>
      <c r="O68" s="689"/>
    </row>
    <row r="69" spans="2:15" ht="15.75">
      <c r="B69" s="151" t="s">
        <v>1108</v>
      </c>
      <c r="C69" s="151"/>
      <c r="D69" s="748"/>
      <c r="E69" s="948"/>
      <c r="F69" s="946"/>
      <c r="G69" s="946"/>
      <c r="H69" s="946"/>
      <c r="I69" s="689"/>
      <c r="J69" s="689"/>
      <c r="K69" s="689"/>
      <c r="L69" s="689"/>
      <c r="M69" s="689"/>
      <c r="N69" s="689"/>
      <c r="O69" s="689"/>
    </row>
    <row r="70" spans="2:15" ht="15.75">
      <c r="B70" s="151" t="s">
        <v>682</v>
      </c>
      <c r="C70" s="151"/>
      <c r="D70" s="748"/>
      <c r="E70" s="956"/>
      <c r="F70" s="960">
        <f>+Assumptions!N159</f>
        <v>0</v>
      </c>
      <c r="G70" s="960">
        <f>+Assumptions!O159</f>
        <v>0</v>
      </c>
      <c r="H70" s="960">
        <f>+Assumptions!P159</f>
        <v>0</v>
      </c>
      <c r="I70" s="689"/>
      <c r="J70" s="689"/>
      <c r="K70" s="689"/>
      <c r="L70" s="689"/>
      <c r="M70" s="689"/>
      <c r="N70" s="689"/>
      <c r="O70" s="689"/>
    </row>
    <row r="71" spans="2:15" ht="15.75">
      <c r="B71" s="151" t="s">
        <v>1061</v>
      </c>
      <c r="C71" s="151"/>
      <c r="D71" s="748"/>
      <c r="E71" s="956"/>
      <c r="F71" s="855">
        <f>+Assumptions!N157</f>
        <v>0</v>
      </c>
      <c r="G71" s="855">
        <f>+Assumptions!O157</f>
        <v>0</v>
      </c>
      <c r="H71" s="855">
        <f>+Assumptions!P157</f>
        <v>0</v>
      </c>
      <c r="I71" s="689"/>
      <c r="J71" s="689"/>
      <c r="K71" s="689"/>
      <c r="L71" s="689"/>
      <c r="M71" s="689"/>
      <c r="N71" s="689"/>
      <c r="O71" s="689"/>
    </row>
    <row r="72" spans="2:15" ht="16.7" customHeight="1">
      <c r="B72" s="151" t="s">
        <v>1109</v>
      </c>
      <c r="C72" s="151"/>
      <c r="D72" s="151"/>
      <c r="E72" s="948">
        <v>0</v>
      </c>
      <c r="F72" s="946">
        <v>0</v>
      </c>
      <c r="G72" s="946">
        <v>0</v>
      </c>
      <c r="H72" s="946">
        <v>0</v>
      </c>
      <c r="I72" s="689"/>
      <c r="J72" s="689"/>
      <c r="K72" s="689"/>
      <c r="L72" s="689"/>
      <c r="M72" s="689"/>
      <c r="N72" s="689"/>
      <c r="O72" s="689"/>
    </row>
    <row r="73" spans="2:15" ht="16.7" customHeight="1">
      <c r="B73" s="961"/>
      <c r="C73" s="689"/>
      <c r="D73" s="962"/>
      <c r="E73" s="688"/>
      <c r="F73" s="689"/>
      <c r="G73" s="689"/>
      <c r="H73" s="689"/>
      <c r="I73" s="689"/>
      <c r="J73" s="689"/>
      <c r="K73" s="689"/>
      <c r="L73" s="689"/>
      <c r="M73" s="689"/>
      <c r="N73" s="689"/>
      <c r="O73" s="689"/>
    </row>
    <row r="74" spans="2:15" ht="15.75">
      <c r="B74" s="718" t="s">
        <v>1110</v>
      </c>
      <c r="C74" s="718"/>
      <c r="D74" s="718"/>
      <c r="E74" s="948">
        <f ca="1">+SUM(F74:H74)</f>
        <v>0</v>
      </c>
      <c r="F74" s="948">
        <f>+IFERROR(MIN(F72,F64),0)</f>
        <v>0</v>
      </c>
      <c r="G74" s="948">
        <f t="shared" ref="G74:H74" si="13">+IFERROR(MIN(G72,G64),0)</f>
        <v>0</v>
      </c>
      <c r="H74" s="948">
        <f t="shared" ca="1" si="13"/>
        <v>0</v>
      </c>
      <c r="I74" s="689"/>
      <c r="J74" s="689"/>
      <c r="K74" s="689"/>
      <c r="L74" s="689"/>
      <c r="M74" s="689"/>
      <c r="N74" s="689"/>
      <c r="O74" s="689"/>
    </row>
    <row r="75" spans="2:15" ht="15.75">
      <c r="B75" s="81"/>
      <c r="C75" s="81"/>
      <c r="D75" s="81"/>
      <c r="E75" s="94"/>
      <c r="F75" s="94"/>
      <c r="G75" s="94"/>
      <c r="H75" s="94"/>
    </row>
    <row r="76" spans="2:15" ht="15.75">
      <c r="B76" s="106" t="s">
        <v>1115</v>
      </c>
      <c r="C76" s="106"/>
      <c r="D76" s="106"/>
      <c r="E76" s="55">
        <f ca="1">+SUM(F76:H76)</f>
        <v>59781512.945107214</v>
      </c>
      <c r="F76" s="107">
        <f ca="1">+SUM(F22:F34,F50,F66)</f>
        <v>21120150.213353541</v>
      </c>
      <c r="G76" s="107">
        <f t="shared" ref="G76:H76" ca="1" si="14">+SUM(G22:G34,G50,G66)</f>
        <v>19157271.850348726</v>
      </c>
      <c r="H76" s="107">
        <f t="shared" ca="1" si="14"/>
        <v>19504090.881404951</v>
      </c>
      <c r="I76" s="1074">
        <f ca="1">+SUM(I5:I75)</f>
        <v>1</v>
      </c>
      <c r="J76" s="1074"/>
      <c r="K76" s="1074">
        <f ca="1">+SUM(K5:K75)</f>
        <v>1.0000000000000002</v>
      </c>
      <c r="L76" s="1074"/>
      <c r="M76" s="1074">
        <f ca="1">+SUM(M5:M75)</f>
        <v>1</v>
      </c>
      <c r="N76" s="1074"/>
    </row>
    <row r="77" spans="2:15" ht="15.75">
      <c r="B77" s="106" t="s">
        <v>1116</v>
      </c>
      <c r="C77" s="106"/>
      <c r="D77" s="106"/>
      <c r="E77" s="55">
        <f ca="1">+SUM(F77:H77)</f>
        <v>1077356561.0403903</v>
      </c>
      <c r="F77" s="107">
        <f ca="1">+SUM(F5:F17,F45,F61)</f>
        <v>460091119.27788812</v>
      </c>
      <c r="G77" s="107">
        <f t="shared" ref="G77:H77" ca="1" si="15">+SUM(G5:G17,G45,G61)</f>
        <v>410977949.05967224</v>
      </c>
      <c r="H77" s="107">
        <f t="shared" ca="1" si="15"/>
        <v>206287492.70282978</v>
      </c>
      <c r="I77" s="1074"/>
      <c r="J77" s="1074">
        <f ca="1">+SUM(J5:J76)</f>
        <v>1.0000000000000002</v>
      </c>
      <c r="K77" s="1074"/>
      <c r="L77" s="1074">
        <f ca="1">+SUM(L5:L76)</f>
        <v>1</v>
      </c>
      <c r="M77" s="1074"/>
      <c r="N77" s="1074">
        <f ca="1">+SUM(N5:N76)</f>
        <v>1</v>
      </c>
    </row>
    <row r="78" spans="2:15" ht="15.75">
      <c r="B78" s="106" t="s">
        <v>1117</v>
      </c>
      <c r="C78" s="106"/>
      <c r="D78" s="106"/>
      <c r="E78" s="55">
        <f ca="1">+SUM(F78:H78)</f>
        <v>647808485.2135824</v>
      </c>
      <c r="F78" s="107">
        <f ca="1">+F74+F58+F42</f>
        <v>275219018.29116291</v>
      </c>
      <c r="G78" s="107">
        <f ca="1">+G74+G58+G42</f>
        <v>249640532.78637764</v>
      </c>
      <c r="H78" s="107">
        <f ca="1">+H74+H58+H42</f>
        <v>122948934.13604183</v>
      </c>
    </row>
    <row r="81" spans="6:6">
      <c r="F81" s="143"/>
    </row>
  </sheetData>
  <mergeCells count="3">
    <mergeCell ref="I3:J3"/>
    <mergeCell ref="K3:L3"/>
    <mergeCell ref="M3:N3"/>
  </mergeCells>
  <pageMargins left="0.7" right="0.7" top="0.75" bottom="0.75" header="0.3" footer="0.3"/>
  <pageSetup scale="41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761214-01AE-4B54-BEE9-7CCA5CF808C4}">
  <sheetPr>
    <tabColor rgb="FF00B050"/>
  </sheetPr>
  <dimension ref="A1:BN638"/>
  <sheetViews>
    <sheetView topLeftCell="A292" zoomScale="30" zoomScaleNormal="30" workbookViewId="0">
      <selection activeCell="K388" sqref="K388"/>
    </sheetView>
  </sheetViews>
  <sheetFormatPr defaultColWidth="8.85546875" defaultRowHeight="15"/>
  <cols>
    <col min="1" max="1" width="8.85546875" style="33"/>
    <col min="2" max="2" width="20.85546875" style="33" customWidth="1"/>
    <col min="3" max="3" width="22.85546875" style="33" customWidth="1"/>
    <col min="4" max="4" width="22" style="33" customWidth="1"/>
    <col min="5" max="5" width="8.85546875" style="33"/>
    <col min="6" max="6" width="20.7109375" style="33" customWidth="1"/>
    <col min="7" max="7" width="22.140625" style="33" customWidth="1"/>
    <col min="8" max="8" width="20.140625" style="33" customWidth="1"/>
    <col min="9" max="9" width="18.28515625" style="33" bestFit="1" customWidth="1"/>
    <col min="10" max="10" width="18.85546875" style="33" bestFit="1" customWidth="1"/>
    <col min="11" max="11" width="19.28515625" style="33" bestFit="1" customWidth="1"/>
    <col min="12" max="12" width="20" style="33" bestFit="1" customWidth="1"/>
    <col min="13" max="13" width="18.85546875" style="33" bestFit="1" customWidth="1"/>
    <col min="14" max="15" width="20" style="33" bestFit="1" customWidth="1"/>
    <col min="16" max="16" width="19.42578125" style="33" customWidth="1"/>
    <col min="17" max="17" width="19.28515625" style="33" bestFit="1" customWidth="1"/>
    <col min="18" max="20" width="20" style="33" bestFit="1" customWidth="1"/>
    <col min="21" max="22" width="18.85546875" style="33" bestFit="1" customWidth="1"/>
    <col min="23" max="25" width="19.28515625" style="33" bestFit="1" customWidth="1"/>
    <col min="26" max="26" width="18.42578125" style="33" bestFit="1" customWidth="1"/>
    <col min="27" max="28" width="8.85546875" style="33"/>
    <col min="29" max="29" width="16" style="33" bestFit="1" customWidth="1"/>
    <col min="30" max="41" width="8.85546875" style="33"/>
    <col min="42" max="42" width="9" style="33" bestFit="1" customWidth="1"/>
    <col min="43" max="50" width="16.5703125" style="33" bestFit="1" customWidth="1"/>
    <col min="51" max="51" width="15.85546875" style="33" bestFit="1" customWidth="1"/>
    <col min="52" max="60" width="16.5703125" style="33" bestFit="1" customWidth="1"/>
    <col min="61" max="61" width="15.85546875" style="33" bestFit="1" customWidth="1"/>
    <col min="62" max="63" width="16.5703125" style="33" bestFit="1" customWidth="1"/>
    <col min="64" max="16384" width="8.85546875" style="33"/>
  </cols>
  <sheetData>
    <row r="1" spans="1:66" ht="15.75">
      <c r="A1" s="132" t="s">
        <v>250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  <c r="AA1" s="699"/>
      <c r="AB1" s="699"/>
      <c r="AC1" s="699"/>
      <c r="AD1" s="69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</row>
    <row r="2" spans="1:66" ht="15.75">
      <c r="A2" s="699" t="s">
        <v>511</v>
      </c>
      <c r="B2" s="699" t="s">
        <v>1118</v>
      </c>
      <c r="C2" s="699"/>
      <c r="D2" s="699"/>
      <c r="E2" s="699">
        <v>0</v>
      </c>
      <c r="F2" s="699">
        <f>+IF(F7&gt;=Assumptions!$F$31,E2+1,E2)</f>
        <v>0</v>
      </c>
      <c r="G2" s="699">
        <f>+IF(G7&gt;=Assumptions!$F$31,F2+1,F2)</f>
        <v>0</v>
      </c>
      <c r="H2" s="699">
        <f>+IF(H7&gt;=Assumptions!$F$31,G2+1,G2)</f>
        <v>0</v>
      </c>
      <c r="I2" s="699">
        <f>+IF(I7&gt;=Assumptions!$F$31,H2+1,H2)</f>
        <v>0</v>
      </c>
      <c r="J2" s="699">
        <f>+IF(J7&gt;=Assumptions!$F$31,I2+1,I2)</f>
        <v>1</v>
      </c>
      <c r="K2" s="699">
        <f>+IF(K7&gt;=Assumptions!$F$31,J2+1,J2)</f>
        <v>2</v>
      </c>
      <c r="L2" s="699">
        <f>+IF(L7&gt;=Assumptions!$F$31,K2+1,K2)</f>
        <v>3</v>
      </c>
      <c r="M2" s="699">
        <f>+IF(M7&gt;=Assumptions!$F$31,L2+1,L2)</f>
        <v>4</v>
      </c>
      <c r="N2" s="699">
        <f>+IF(N7&gt;=Assumptions!$F$31,M2+1,M2)</f>
        <v>5</v>
      </c>
      <c r="O2" s="699">
        <f>+IF(O7&gt;=Assumptions!$F$31,N2+1,N2)</f>
        <v>6</v>
      </c>
      <c r="P2" s="699">
        <f>+IF(P7&gt;=Assumptions!$F$31,O2+1,O2)</f>
        <v>7</v>
      </c>
      <c r="Q2" s="699">
        <f>+IF(Q7&gt;=Assumptions!$F$31,P2+1,P2)</f>
        <v>8</v>
      </c>
      <c r="R2" s="699">
        <f>+IF(R7&gt;=Assumptions!$F$31,Q2+1,Q2)</f>
        <v>9</v>
      </c>
      <c r="S2" s="699">
        <f>+IF(S7&gt;=Assumptions!$F$31,R2+1,R2)</f>
        <v>10</v>
      </c>
      <c r="T2" s="699">
        <f>+IF(T7&gt;=Assumptions!$F$31,S2+1,S2)</f>
        <v>11</v>
      </c>
      <c r="U2" s="699">
        <f>+IF(U7&gt;=Assumptions!$F$31,T2+1,T2)</f>
        <v>12</v>
      </c>
      <c r="V2" s="699">
        <f>+IF(V7&gt;=Assumptions!$F$31,U2+1,U2)</f>
        <v>13</v>
      </c>
      <c r="W2" s="699">
        <f>+IF(W7&gt;=Assumptions!$F$31,V2+1,V2)</f>
        <v>14</v>
      </c>
      <c r="X2" s="699">
        <f>+IF(X7&gt;=Assumptions!$F$31,W2+1,W2)</f>
        <v>15</v>
      </c>
      <c r="Y2" s="699">
        <f>+IF(Y7&gt;=Assumptions!$F$31,X2+1,X2)</f>
        <v>16</v>
      </c>
      <c r="Z2" s="699">
        <f>+IF(Z7&gt;=Assumptions!$F$31,Y2+1,Y2)</f>
        <v>17</v>
      </c>
      <c r="AA2" s="699"/>
      <c r="AB2" s="699"/>
      <c r="AC2" s="699"/>
      <c r="AD2" s="699"/>
      <c r="AE2" s="49"/>
      <c r="AF2" s="49"/>
      <c r="AG2" s="49"/>
      <c r="AH2" s="49"/>
      <c r="AI2" s="49"/>
      <c r="AJ2" s="49"/>
      <c r="AK2" s="49"/>
      <c r="AL2" s="49"/>
      <c r="AM2" s="81" t="s">
        <v>328</v>
      </c>
      <c r="AN2" s="49"/>
      <c r="AO2" s="49"/>
      <c r="AP2" s="49"/>
      <c r="AQ2" s="768">
        <f>+Assumptions!$F$27</f>
        <v>45291</v>
      </c>
      <c r="AR2" s="768">
        <f>+EOMONTH(AQ2,12)</f>
        <v>45657</v>
      </c>
      <c r="AS2" s="768">
        <f t="shared" ref="AS2" si="0">+EOMONTH(AR2,12)</f>
        <v>46022</v>
      </c>
      <c r="AT2" s="768">
        <f t="shared" ref="AT2" si="1">+EOMONTH(AS2,12)</f>
        <v>46387</v>
      </c>
      <c r="AU2" s="768">
        <f t="shared" ref="AU2" si="2">+EOMONTH(AT2,12)</f>
        <v>46752</v>
      </c>
      <c r="AV2" s="768">
        <f t="shared" ref="AV2" si="3">+EOMONTH(AU2,12)</f>
        <v>47118</v>
      </c>
      <c r="AW2" s="768">
        <f t="shared" ref="AW2" si="4">+EOMONTH(AV2,12)</f>
        <v>47483</v>
      </c>
      <c r="AX2" s="768">
        <f t="shared" ref="AX2" si="5">+EOMONTH(AW2,12)</f>
        <v>47848</v>
      </c>
      <c r="AY2" s="768">
        <f t="shared" ref="AY2" si="6">+EOMONTH(AX2,12)</f>
        <v>48213</v>
      </c>
      <c r="AZ2" s="768">
        <f t="shared" ref="AZ2" si="7">+EOMONTH(AY2,12)</f>
        <v>48579</v>
      </c>
      <c r="BA2" s="768">
        <f t="shared" ref="BA2" si="8">+EOMONTH(AZ2,12)</f>
        <v>48944</v>
      </c>
      <c r="BB2" s="768">
        <f t="shared" ref="BB2" si="9">+EOMONTH(BA2,12)</f>
        <v>49309</v>
      </c>
      <c r="BC2" s="768">
        <f t="shared" ref="BC2" si="10">+EOMONTH(BB2,12)</f>
        <v>49674</v>
      </c>
      <c r="BD2" s="768">
        <f t="shared" ref="BD2" si="11">+EOMONTH(BC2,12)</f>
        <v>50040</v>
      </c>
      <c r="BE2" s="768">
        <f t="shared" ref="BE2" si="12">+EOMONTH(BD2,12)</f>
        <v>50405</v>
      </c>
      <c r="BF2" s="768">
        <f t="shared" ref="BF2" si="13">+EOMONTH(BE2,12)</f>
        <v>50770</v>
      </c>
      <c r="BG2" s="768">
        <f t="shared" ref="BG2" si="14">+EOMONTH(BF2,12)</f>
        <v>51135</v>
      </c>
      <c r="BH2" s="768">
        <f t="shared" ref="BH2" si="15">+EOMONTH(BG2,12)</f>
        <v>51501</v>
      </c>
      <c r="BI2" s="768">
        <f t="shared" ref="BI2" si="16">+EOMONTH(BH2,12)</f>
        <v>51866</v>
      </c>
      <c r="BJ2" s="768">
        <f t="shared" ref="BJ2" si="17">+EOMONTH(BI2,12)</f>
        <v>52231</v>
      </c>
      <c r="BK2" s="768">
        <f t="shared" ref="BK2" si="18">+EOMONTH(BJ2,12)</f>
        <v>52596</v>
      </c>
      <c r="BL2" s="49"/>
      <c r="BM2" s="49"/>
      <c r="BN2" s="49"/>
    </row>
    <row r="3" spans="1:66">
      <c r="A3" s="699"/>
      <c r="B3" s="699" t="s">
        <v>1119</v>
      </c>
      <c r="C3" s="699"/>
      <c r="D3" s="699"/>
      <c r="E3" s="699">
        <v>0</v>
      </c>
      <c r="F3" s="699">
        <f>+IF(F7&gt;=Assumptions!$F$33,E3+1,E3)</f>
        <v>0</v>
      </c>
      <c r="G3" s="699">
        <f>+IF(G7&gt;=Assumptions!$F$33,F3+1,F3)</f>
        <v>0</v>
      </c>
      <c r="H3" s="699">
        <f>+IF(H7&gt;=Assumptions!$F$33,G3+1,G3)</f>
        <v>0</v>
      </c>
      <c r="I3" s="699">
        <f>+IF(I7&gt;=Assumptions!$F$33,H3+1,H3)</f>
        <v>0</v>
      </c>
      <c r="J3" s="699">
        <f>+IF(J7&gt;=Assumptions!$F$33,I3+1,I3)</f>
        <v>0</v>
      </c>
      <c r="K3" s="699">
        <f>+IF(K7&gt;=Assumptions!$F$33,J3+1,J3)</f>
        <v>0</v>
      </c>
      <c r="L3" s="699">
        <f>+IF(L7&gt;=Assumptions!$F$33,K3+1,K3)</f>
        <v>1</v>
      </c>
      <c r="M3" s="699">
        <f>+IF(M7&gt;=Assumptions!$F$33,L3+1,L3)</f>
        <v>2</v>
      </c>
      <c r="N3" s="699">
        <f>+IF(N7&gt;=Assumptions!$F$33,M3+1,M3)</f>
        <v>3</v>
      </c>
      <c r="O3" s="699">
        <f>+IF(O7&gt;=Assumptions!$F$33,N3+1,N3)</f>
        <v>4</v>
      </c>
      <c r="P3" s="699">
        <f>+IF(P7&gt;=Assumptions!$F$33,O3+1,O3)</f>
        <v>5</v>
      </c>
      <c r="Q3" s="699">
        <f>+IF(Q7&gt;=Assumptions!$F$33,P3+1,P3)</f>
        <v>6</v>
      </c>
      <c r="R3" s="699">
        <f>+IF(R7&gt;=Assumptions!$F$33,Q3+1,Q3)</f>
        <v>7</v>
      </c>
      <c r="S3" s="699">
        <f>+IF(S7&gt;=Assumptions!$F$33,R3+1,R3)</f>
        <v>8</v>
      </c>
      <c r="T3" s="699">
        <f>+IF(T7&gt;=Assumptions!$F$33,S3+1,S3)</f>
        <v>9</v>
      </c>
      <c r="U3" s="699">
        <f>+IF(U7&gt;=Assumptions!$F$33,T3+1,T3)</f>
        <v>10</v>
      </c>
      <c r="V3" s="699">
        <f>+IF(V7&gt;=Assumptions!$F$33,U3+1,U3)</f>
        <v>11</v>
      </c>
      <c r="W3" s="699">
        <f>+IF(W7&gt;=Assumptions!$F$33,V3+1,V3)</f>
        <v>12</v>
      </c>
      <c r="X3" s="699">
        <f>+IF(X7&gt;=Assumptions!$F$33,W3+1,W3)</f>
        <v>13</v>
      </c>
      <c r="Y3" s="699">
        <f>+IF(Y7&gt;=Assumptions!$F$33,X3+1,X3)</f>
        <v>14</v>
      </c>
      <c r="Z3" s="699">
        <f>+IF(Z7&gt;=Assumptions!$F$33,Y3+1,Y3)</f>
        <v>15</v>
      </c>
      <c r="AA3" s="699"/>
      <c r="AB3" s="699"/>
      <c r="AC3" s="699"/>
      <c r="AD3" s="699"/>
      <c r="AE3" s="49"/>
      <c r="AF3" s="49"/>
      <c r="AG3" s="49"/>
      <c r="AH3" s="49"/>
      <c r="AI3" s="49"/>
      <c r="AJ3" s="49"/>
      <c r="AK3" s="49"/>
      <c r="AL3" s="49"/>
      <c r="AM3" s="49" t="s">
        <v>1120</v>
      </c>
      <c r="AN3" s="49"/>
      <c r="AO3" s="49"/>
      <c r="AP3" s="253"/>
      <c r="AQ3" s="253">
        <f>+IF(AQ2=Assumptions!$F$31,Assumptions!$AE$59/ROUNDUP((12/12),0),)</f>
        <v>0</v>
      </c>
      <c r="AR3" s="253">
        <f>+IF(AR2=Assumptions!$F$31,Assumptions!$AE$59/ROUNDUP((12/12),0),)</f>
        <v>0</v>
      </c>
      <c r="AS3" s="253">
        <f>+IF(AS2=Assumptions!$F$31,Assumptions!$AE$59/ROUNDUP((12/12),0),)</f>
        <v>0</v>
      </c>
      <c r="AT3" s="253">
        <f>+IF(AT2=Assumptions!$F$31,Assumptions!$AE$59/ROUNDUP((12/12),0),)</f>
        <v>0</v>
      </c>
      <c r="AU3" s="253">
        <f>+IF(AU2=Assumptions!$F$31,Assumptions!$AE$59/ROUNDUP((12/12),0),)</f>
        <v>0</v>
      </c>
      <c r="AV3" s="253">
        <f>+IF(AV2=Assumptions!$F$31,Assumptions!$AE$59/ROUNDUP((12/12),0),)</f>
        <v>0</v>
      </c>
      <c r="AW3" s="253">
        <f>+IF(AW2=Assumptions!$F$31,Assumptions!$AE$59/ROUNDUP((12/12),0),)</f>
        <v>0</v>
      </c>
      <c r="AX3" s="253">
        <f>+IF(AX2=Assumptions!$F$31,Assumptions!$AE$59/ROUNDUP((12/12),0),)</f>
        <v>0</v>
      </c>
      <c r="AY3" s="253">
        <f>+IF(AY2=Assumptions!$F$31,Assumptions!$AE$59/ROUNDUP((12/12),0),)</f>
        <v>0</v>
      </c>
      <c r="AZ3" s="253">
        <f>+IF(AZ2=Assumptions!$F$31,Assumptions!$AE$59/ROUNDUP((12/12),0),)</f>
        <v>0</v>
      </c>
      <c r="BA3" s="253">
        <f>+IF(BA2=Assumptions!$F$31,Assumptions!$AE$59/ROUNDUP((12/12),0),)</f>
        <v>0</v>
      </c>
      <c r="BB3" s="253">
        <f>+IF(BB2=Assumptions!$F$31,Assumptions!$AE$59/ROUNDUP((12/12),0),)</f>
        <v>0</v>
      </c>
      <c r="BC3" s="253">
        <f>+IF(BC2=Assumptions!$F$31,Assumptions!$AE$59/ROUNDUP((12/12),0),)</f>
        <v>0</v>
      </c>
      <c r="BD3" s="253">
        <f>+IF(BD2=Assumptions!$F$31,Assumptions!$AE$59/ROUNDUP((12/12),0),)</f>
        <v>0</v>
      </c>
      <c r="BE3" s="253">
        <f>+IF(BE2=Assumptions!$F$31,Assumptions!$AE$59/ROUNDUP((12/12),0),)</f>
        <v>0</v>
      </c>
      <c r="BF3" s="253">
        <f>+IF(BF2=Assumptions!$F$31,Assumptions!$AE$59/ROUNDUP((12/12),0),)</f>
        <v>0</v>
      </c>
      <c r="BG3" s="253">
        <f>+IF(BG2=Assumptions!$F$31,Assumptions!$AE$59/ROUNDUP((12/12),0),)</f>
        <v>0</v>
      </c>
      <c r="BH3" s="253">
        <f>+IF(BH2=Assumptions!$F$31,Assumptions!$AE$59/ROUNDUP((12/12),0),)</f>
        <v>0</v>
      </c>
      <c r="BI3" s="253">
        <f>+IF(BI2=Assumptions!$F$31,Assumptions!$AE$59/ROUNDUP((12/12),0),)</f>
        <v>0</v>
      </c>
      <c r="BJ3" s="253">
        <f>+IF(BJ2=Assumptions!$F$31,Assumptions!$AE$59/ROUNDUP((12/12),0),)</f>
        <v>0</v>
      </c>
      <c r="BK3" s="253">
        <f>+IF(BK2=Assumptions!$F$31,Assumptions!$AE$59/ROUNDUP((12/12),0),)</f>
        <v>0</v>
      </c>
      <c r="BL3" s="49"/>
      <c r="BM3" s="49"/>
      <c r="BN3" s="49"/>
    </row>
    <row r="4" spans="1:66">
      <c r="A4" s="699"/>
      <c r="B4" s="699"/>
      <c r="C4" s="699"/>
      <c r="D4" s="699"/>
      <c r="E4" s="699"/>
      <c r="F4" s="699"/>
      <c r="G4" s="699"/>
      <c r="H4" s="699"/>
      <c r="I4" s="699"/>
      <c r="J4" s="699"/>
      <c r="K4" s="699"/>
      <c r="L4" s="699"/>
      <c r="M4" s="699"/>
      <c r="N4" s="699"/>
      <c r="O4" s="699"/>
      <c r="P4" s="699"/>
      <c r="Q4" s="699"/>
      <c r="R4" s="699"/>
      <c r="S4" s="699"/>
      <c r="T4" s="699"/>
      <c r="U4" s="699"/>
      <c r="V4" s="699"/>
      <c r="W4" s="699"/>
      <c r="X4" s="699"/>
      <c r="Y4" s="699"/>
      <c r="Z4" s="699"/>
      <c r="AA4" s="699"/>
      <c r="AB4" s="699"/>
      <c r="AC4" s="699"/>
      <c r="AD4" s="699"/>
      <c r="AE4" s="49"/>
      <c r="AF4" s="49"/>
      <c r="AG4" s="49"/>
      <c r="AH4" s="49"/>
      <c r="AI4" s="49"/>
      <c r="AJ4" s="49"/>
      <c r="AK4" s="49"/>
      <c r="AL4" s="49"/>
      <c r="AM4" s="49" t="s">
        <v>1121</v>
      </c>
      <c r="AN4" s="49"/>
      <c r="AO4" s="49"/>
      <c r="AP4" s="253">
        <v>0</v>
      </c>
      <c r="AQ4" s="253">
        <f>+AP4+AQ3</f>
        <v>0</v>
      </c>
      <c r="AR4" s="253">
        <f t="shared" ref="AR4:BK4" si="19">+AQ4+AR3</f>
        <v>0</v>
      </c>
      <c r="AS4" s="253">
        <f t="shared" si="19"/>
        <v>0</v>
      </c>
      <c r="AT4" s="253">
        <f t="shared" si="19"/>
        <v>0</v>
      </c>
      <c r="AU4" s="253">
        <f t="shared" si="19"/>
        <v>0</v>
      </c>
      <c r="AV4" s="253">
        <f t="shared" si="19"/>
        <v>0</v>
      </c>
      <c r="AW4" s="253">
        <f t="shared" si="19"/>
        <v>0</v>
      </c>
      <c r="AX4" s="253">
        <f t="shared" si="19"/>
        <v>0</v>
      </c>
      <c r="AY4" s="253">
        <f t="shared" si="19"/>
        <v>0</v>
      </c>
      <c r="AZ4" s="253">
        <f t="shared" si="19"/>
        <v>0</v>
      </c>
      <c r="BA4" s="253">
        <f t="shared" si="19"/>
        <v>0</v>
      </c>
      <c r="BB4" s="253">
        <f t="shared" si="19"/>
        <v>0</v>
      </c>
      <c r="BC4" s="253">
        <f t="shared" si="19"/>
        <v>0</v>
      </c>
      <c r="BD4" s="253">
        <f t="shared" si="19"/>
        <v>0</v>
      </c>
      <c r="BE4" s="253">
        <f t="shared" si="19"/>
        <v>0</v>
      </c>
      <c r="BF4" s="253">
        <f t="shared" si="19"/>
        <v>0</v>
      </c>
      <c r="BG4" s="253">
        <f t="shared" si="19"/>
        <v>0</v>
      </c>
      <c r="BH4" s="253">
        <f t="shared" si="19"/>
        <v>0</v>
      </c>
      <c r="BI4" s="253">
        <f t="shared" si="19"/>
        <v>0</v>
      </c>
      <c r="BJ4" s="253">
        <f t="shared" si="19"/>
        <v>0</v>
      </c>
      <c r="BK4" s="253">
        <f t="shared" si="19"/>
        <v>0</v>
      </c>
      <c r="BL4" s="49"/>
      <c r="BM4" s="49"/>
      <c r="BN4" s="49"/>
    </row>
    <row r="5" spans="1:66" ht="15.75">
      <c r="A5" s="699"/>
      <c r="B5" s="468" t="s">
        <v>1122</v>
      </c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Z5" s="468"/>
      <c r="AA5" s="699"/>
      <c r="AB5" s="699"/>
      <c r="AC5" s="699"/>
      <c r="AD5" s="699"/>
      <c r="AE5" s="49"/>
      <c r="AF5" s="49"/>
      <c r="AG5" s="49"/>
      <c r="AH5" s="49"/>
      <c r="AI5" s="49"/>
      <c r="AJ5" s="49"/>
      <c r="AK5" s="49"/>
      <c r="AL5" s="49"/>
      <c r="AM5" s="49" t="s">
        <v>1123</v>
      </c>
      <c r="AN5" s="49"/>
      <c r="AO5" s="49"/>
      <c r="AP5" s="49"/>
      <c r="AQ5" s="769">
        <f>+AQ6-AP6</f>
        <v>0</v>
      </c>
      <c r="AR5" s="769">
        <f t="shared" ref="AR5:BK5" si="20">+AR6-AQ6</f>
        <v>0</v>
      </c>
      <c r="AS5" s="769">
        <f t="shared" si="20"/>
        <v>0</v>
      </c>
      <c r="AT5" s="769">
        <f t="shared" si="20"/>
        <v>0</v>
      </c>
      <c r="AU5" s="769">
        <f t="shared" si="20"/>
        <v>0</v>
      </c>
      <c r="AV5" s="769">
        <f t="shared" si="20"/>
        <v>0</v>
      </c>
      <c r="AW5" s="769">
        <f t="shared" si="20"/>
        <v>0</v>
      </c>
      <c r="AX5" s="769">
        <f t="shared" si="20"/>
        <v>0</v>
      </c>
      <c r="AY5" s="769">
        <f t="shared" si="20"/>
        <v>0</v>
      </c>
      <c r="AZ5" s="769">
        <f t="shared" si="20"/>
        <v>0</v>
      </c>
      <c r="BA5" s="769">
        <f t="shared" si="20"/>
        <v>0</v>
      </c>
      <c r="BB5" s="769">
        <f t="shared" si="20"/>
        <v>0</v>
      </c>
      <c r="BC5" s="769">
        <f t="shared" si="20"/>
        <v>0</v>
      </c>
      <c r="BD5" s="769">
        <f t="shared" si="20"/>
        <v>0</v>
      </c>
      <c r="BE5" s="769">
        <f t="shared" si="20"/>
        <v>0</v>
      </c>
      <c r="BF5" s="769">
        <f t="shared" si="20"/>
        <v>0</v>
      </c>
      <c r="BG5" s="769">
        <f t="shared" si="20"/>
        <v>0</v>
      </c>
      <c r="BH5" s="769">
        <f t="shared" si="20"/>
        <v>0</v>
      </c>
      <c r="BI5" s="769">
        <f t="shared" si="20"/>
        <v>0</v>
      </c>
      <c r="BJ5" s="769">
        <f t="shared" si="20"/>
        <v>0</v>
      </c>
      <c r="BK5" s="769">
        <f t="shared" si="20"/>
        <v>0</v>
      </c>
      <c r="BL5" s="49"/>
      <c r="BM5" s="49"/>
      <c r="BN5" s="49"/>
    </row>
    <row r="6" spans="1:66">
      <c r="A6" s="699"/>
      <c r="B6" s="699"/>
      <c r="C6" s="699"/>
      <c r="D6" s="699"/>
      <c r="E6" s="699"/>
      <c r="F6" s="782">
        <f>+YEAR(F7)</f>
        <v>2023</v>
      </c>
      <c r="G6" s="782">
        <f t="shared" ref="G6:Z6" si="21">+YEAR(G7)</f>
        <v>2024</v>
      </c>
      <c r="H6" s="782">
        <f t="shared" si="21"/>
        <v>2025</v>
      </c>
      <c r="I6" s="782">
        <f t="shared" si="21"/>
        <v>2026</v>
      </c>
      <c r="J6" s="782">
        <f t="shared" si="21"/>
        <v>2027</v>
      </c>
      <c r="K6" s="782">
        <f t="shared" si="21"/>
        <v>2028</v>
      </c>
      <c r="L6" s="782">
        <f t="shared" si="21"/>
        <v>2029</v>
      </c>
      <c r="M6" s="782">
        <f t="shared" si="21"/>
        <v>2030</v>
      </c>
      <c r="N6" s="782">
        <f t="shared" si="21"/>
        <v>2031</v>
      </c>
      <c r="O6" s="782">
        <f t="shared" si="21"/>
        <v>2032</v>
      </c>
      <c r="P6" s="782">
        <f t="shared" si="21"/>
        <v>2033</v>
      </c>
      <c r="Q6" s="782">
        <f t="shared" si="21"/>
        <v>2034</v>
      </c>
      <c r="R6" s="782">
        <f t="shared" si="21"/>
        <v>2035</v>
      </c>
      <c r="S6" s="782">
        <f t="shared" si="21"/>
        <v>2036</v>
      </c>
      <c r="T6" s="782">
        <f t="shared" si="21"/>
        <v>2037</v>
      </c>
      <c r="U6" s="782">
        <f t="shared" si="21"/>
        <v>2038</v>
      </c>
      <c r="V6" s="782">
        <f t="shared" si="21"/>
        <v>2039</v>
      </c>
      <c r="W6" s="782">
        <f t="shared" si="21"/>
        <v>2040</v>
      </c>
      <c r="X6" s="782">
        <f t="shared" si="21"/>
        <v>2041</v>
      </c>
      <c r="Y6" s="782">
        <f t="shared" si="21"/>
        <v>2042</v>
      </c>
      <c r="Z6" s="782">
        <f t="shared" si="21"/>
        <v>2043</v>
      </c>
      <c r="AA6" s="699"/>
      <c r="AB6" s="699"/>
      <c r="AC6" s="699"/>
      <c r="AD6" s="699"/>
      <c r="AE6" s="49"/>
      <c r="AF6" s="49"/>
      <c r="AG6" s="49"/>
      <c r="AH6" s="49"/>
      <c r="AI6" s="49"/>
      <c r="AJ6" s="49"/>
      <c r="AK6" s="49"/>
      <c r="AL6" s="49"/>
      <c r="AM6" s="49" t="s">
        <v>1124</v>
      </c>
      <c r="AN6" s="49"/>
      <c r="AO6" s="49"/>
      <c r="AP6" s="49"/>
      <c r="AQ6" s="769">
        <f>+AQ7*Assumptions!$AE$60</f>
        <v>0</v>
      </c>
      <c r="AR6" s="769">
        <f>+AR7*Assumptions!$AE$60</f>
        <v>0</v>
      </c>
      <c r="AS6" s="769">
        <f>+AS7*Assumptions!$AE$60</f>
        <v>0</v>
      </c>
      <c r="AT6" s="769">
        <f>+AT7*Assumptions!$AE$60</f>
        <v>0</v>
      </c>
      <c r="AU6" s="769">
        <f>+AU7*Assumptions!$AE$60</f>
        <v>0</v>
      </c>
      <c r="AV6" s="769">
        <f>+AV7*Assumptions!$AE$60</f>
        <v>0</v>
      </c>
      <c r="AW6" s="769">
        <f>+AW7*Assumptions!$AE$60</f>
        <v>0</v>
      </c>
      <c r="AX6" s="769">
        <f>+AX7*Assumptions!$AE$60</f>
        <v>0</v>
      </c>
      <c r="AY6" s="769">
        <f>+AY7*Assumptions!$AE$60</f>
        <v>0</v>
      </c>
      <c r="AZ6" s="769">
        <f>+AZ7*Assumptions!$AE$60</f>
        <v>0</v>
      </c>
      <c r="BA6" s="769">
        <f>+BA7*Assumptions!$AE$60</f>
        <v>0</v>
      </c>
      <c r="BB6" s="769">
        <f>+BB7*Assumptions!$AE$60</f>
        <v>0</v>
      </c>
      <c r="BC6" s="769">
        <f>+BC7*Assumptions!$AE$60</f>
        <v>0</v>
      </c>
      <c r="BD6" s="769">
        <f>+BD7*Assumptions!$AE$60</f>
        <v>0</v>
      </c>
      <c r="BE6" s="769">
        <f>+BE7*Assumptions!$AE$60</f>
        <v>0</v>
      </c>
      <c r="BF6" s="769">
        <f>+BF7*Assumptions!$AE$60</f>
        <v>0</v>
      </c>
      <c r="BG6" s="769">
        <f>+BG7*Assumptions!$AE$60</f>
        <v>0</v>
      </c>
      <c r="BH6" s="769">
        <f>+BH7*Assumptions!$AE$60</f>
        <v>0</v>
      </c>
      <c r="BI6" s="769">
        <f>+BI7*Assumptions!$AE$60</f>
        <v>0</v>
      </c>
      <c r="BJ6" s="769">
        <f>+BJ7*Assumptions!$AE$60</f>
        <v>0</v>
      </c>
      <c r="BK6" s="769">
        <f>+BK7*Assumptions!$AE$60</f>
        <v>0</v>
      </c>
      <c r="BL6" s="49"/>
      <c r="BM6" s="49"/>
      <c r="BN6" s="49"/>
    </row>
    <row r="7" spans="1:66" ht="15.75">
      <c r="A7" s="699" t="s">
        <v>511</v>
      </c>
      <c r="B7" s="53" t="s">
        <v>276</v>
      </c>
      <c r="C7" s="53"/>
      <c r="D7" s="53"/>
      <c r="E7" s="53"/>
      <c r="F7" s="54">
        <f>+Assumptions!$F$27</f>
        <v>45291</v>
      </c>
      <c r="G7" s="54">
        <f>+EOMONTH(F7,12)</f>
        <v>45657</v>
      </c>
      <c r="H7" s="54">
        <f t="shared" ref="H7:Z7" si="22">+EOMONTH(G7,12)</f>
        <v>46022</v>
      </c>
      <c r="I7" s="54">
        <f t="shared" si="22"/>
        <v>46387</v>
      </c>
      <c r="J7" s="54">
        <f t="shared" si="22"/>
        <v>46752</v>
      </c>
      <c r="K7" s="54">
        <f t="shared" si="22"/>
        <v>47118</v>
      </c>
      <c r="L7" s="54">
        <f t="shared" si="22"/>
        <v>47483</v>
      </c>
      <c r="M7" s="54">
        <f t="shared" si="22"/>
        <v>47848</v>
      </c>
      <c r="N7" s="54">
        <f t="shared" si="22"/>
        <v>48213</v>
      </c>
      <c r="O7" s="54">
        <f t="shared" si="22"/>
        <v>48579</v>
      </c>
      <c r="P7" s="54">
        <f t="shared" si="22"/>
        <v>48944</v>
      </c>
      <c r="Q7" s="54">
        <f t="shared" si="22"/>
        <v>49309</v>
      </c>
      <c r="R7" s="54">
        <f t="shared" si="22"/>
        <v>49674</v>
      </c>
      <c r="S7" s="54">
        <f t="shared" si="22"/>
        <v>50040</v>
      </c>
      <c r="T7" s="54">
        <f t="shared" si="22"/>
        <v>50405</v>
      </c>
      <c r="U7" s="54">
        <f t="shared" si="22"/>
        <v>50770</v>
      </c>
      <c r="V7" s="54">
        <f t="shared" si="22"/>
        <v>51135</v>
      </c>
      <c r="W7" s="54">
        <f t="shared" si="22"/>
        <v>51501</v>
      </c>
      <c r="X7" s="54">
        <f t="shared" si="22"/>
        <v>51866</v>
      </c>
      <c r="Y7" s="54">
        <f t="shared" si="22"/>
        <v>52231</v>
      </c>
      <c r="Z7" s="54">
        <f t="shared" si="22"/>
        <v>52596</v>
      </c>
      <c r="AA7" s="699"/>
      <c r="AB7" s="699"/>
      <c r="AC7" s="699"/>
      <c r="AD7" s="699"/>
      <c r="AE7" s="49"/>
      <c r="AF7" s="49"/>
      <c r="AG7" s="49"/>
      <c r="AH7" s="49"/>
      <c r="AI7" s="49"/>
      <c r="AJ7" s="49"/>
      <c r="AK7" s="49"/>
      <c r="AL7" s="49"/>
      <c r="AM7" s="49" t="s">
        <v>1125</v>
      </c>
      <c r="AN7" s="49"/>
      <c r="AO7" s="49"/>
      <c r="AP7" s="49"/>
      <c r="AQ7" s="770">
        <f t="shared" ref="AQ7:BK7" si="23">+IFERROR(AQ4/SUM($AQ3:$BK3),0)</f>
        <v>0</v>
      </c>
      <c r="AR7" s="770">
        <f t="shared" si="23"/>
        <v>0</v>
      </c>
      <c r="AS7" s="770">
        <f t="shared" si="23"/>
        <v>0</v>
      </c>
      <c r="AT7" s="770">
        <f t="shared" si="23"/>
        <v>0</v>
      </c>
      <c r="AU7" s="770">
        <f t="shared" si="23"/>
        <v>0</v>
      </c>
      <c r="AV7" s="770">
        <f t="shared" si="23"/>
        <v>0</v>
      </c>
      <c r="AW7" s="770">
        <f t="shared" si="23"/>
        <v>0</v>
      </c>
      <c r="AX7" s="770">
        <f t="shared" si="23"/>
        <v>0</v>
      </c>
      <c r="AY7" s="770">
        <f t="shared" si="23"/>
        <v>0</v>
      </c>
      <c r="AZ7" s="770">
        <f t="shared" si="23"/>
        <v>0</v>
      </c>
      <c r="BA7" s="770">
        <f t="shared" si="23"/>
        <v>0</v>
      </c>
      <c r="BB7" s="770">
        <f t="shared" si="23"/>
        <v>0</v>
      </c>
      <c r="BC7" s="770">
        <f t="shared" si="23"/>
        <v>0</v>
      </c>
      <c r="BD7" s="770">
        <f t="shared" si="23"/>
        <v>0</v>
      </c>
      <c r="BE7" s="770">
        <f t="shared" si="23"/>
        <v>0</v>
      </c>
      <c r="BF7" s="770">
        <f t="shared" si="23"/>
        <v>0</v>
      </c>
      <c r="BG7" s="770">
        <f t="shared" si="23"/>
        <v>0</v>
      </c>
      <c r="BH7" s="770">
        <f t="shared" si="23"/>
        <v>0</v>
      </c>
      <c r="BI7" s="770">
        <f t="shared" si="23"/>
        <v>0</v>
      </c>
      <c r="BJ7" s="770">
        <f t="shared" si="23"/>
        <v>0</v>
      </c>
      <c r="BK7" s="770">
        <f t="shared" si="23"/>
        <v>0</v>
      </c>
      <c r="BL7" s="49"/>
      <c r="BM7" s="49"/>
      <c r="BN7" s="49"/>
    </row>
    <row r="8" spans="1:66">
      <c r="A8" s="699"/>
      <c r="B8" s="699" t="s">
        <v>1120</v>
      </c>
      <c r="C8" s="699"/>
      <c r="D8" s="699"/>
      <c r="E8" s="1050"/>
      <c r="F8" s="1050">
        <f>+IF(F7=Assumptions!$F$31,Assumptions!$F$70/ROUNDUP((12/12),0),)</f>
        <v>0</v>
      </c>
      <c r="G8" s="1050">
        <f>+IF(G7=Assumptions!$F$31,Assumptions!$F$70/ROUNDUP((12/12),0),)</f>
        <v>0</v>
      </c>
      <c r="H8" s="1050">
        <f>+IF(H7=Assumptions!$F$31,Assumptions!$F$70/ROUNDUP((12/12),0),)</f>
        <v>0</v>
      </c>
      <c r="I8" s="1050">
        <f>+IF(I7=Assumptions!$F$31,Assumptions!$F$70/ROUNDUP((12/12),0),)</f>
        <v>0</v>
      </c>
      <c r="J8" s="1050">
        <f>+IF(J7=Assumptions!$F$31,Assumptions!$F$70/ROUNDUP((12/12),0),)</f>
        <v>168356.66399999999</v>
      </c>
      <c r="K8" s="1050">
        <f>+IF(K7=Assumptions!$F$31,Assumptions!$F$70/ROUNDUP((12/12),0),)</f>
        <v>0</v>
      </c>
      <c r="L8" s="1050">
        <f>+IF(L7=Assumptions!$F$31,Assumptions!$F$70/ROUNDUP((12/12),0),)</f>
        <v>0</v>
      </c>
      <c r="M8" s="1050">
        <f>+IF(M7=Assumptions!$F$31,Assumptions!$F$70/ROUNDUP((12/12),0),)</f>
        <v>0</v>
      </c>
      <c r="N8" s="1050">
        <f>+IF(N7=Assumptions!$F$31,Assumptions!$F$70/ROUNDUP((12/12),0),)</f>
        <v>0</v>
      </c>
      <c r="O8" s="1050">
        <f>+IF(O7=Assumptions!$F$31,Assumptions!$F$70/ROUNDUP((12/12),0),)</f>
        <v>0</v>
      </c>
      <c r="P8" s="1050">
        <f>+IF(P7=Assumptions!$F$31,Assumptions!$F$70/ROUNDUP((12/12),0),)</f>
        <v>0</v>
      </c>
      <c r="Q8" s="1050">
        <f>+IF(Q7=Assumptions!$F$31,Assumptions!$F$70/ROUNDUP((12/12),0),)</f>
        <v>0</v>
      </c>
      <c r="R8" s="1050">
        <f>+IF(R7=Assumptions!$F$31,Assumptions!$F$70/ROUNDUP((12/12),0),)</f>
        <v>0</v>
      </c>
      <c r="S8" s="1050">
        <f>+IF(S7=Assumptions!$F$31,Assumptions!$F$70/ROUNDUP((12/12),0),)</f>
        <v>0</v>
      </c>
      <c r="T8" s="1050">
        <f>+IF(T7=Assumptions!$F$31,Assumptions!$F$70/ROUNDUP((12/12),0),)</f>
        <v>0</v>
      </c>
      <c r="U8" s="1050">
        <f>+IF(U7=Assumptions!$F$31,Assumptions!$F$70/ROUNDUP((12/12),0),)</f>
        <v>0</v>
      </c>
      <c r="V8" s="1050">
        <f>+IF(V7=Assumptions!$F$31,Assumptions!$F$70/ROUNDUP((12/12),0),)</f>
        <v>0</v>
      </c>
      <c r="W8" s="1050">
        <f>+IF(W7=Assumptions!$F$31,Assumptions!$F$70/ROUNDUP((12/12),0),)</f>
        <v>0</v>
      </c>
      <c r="X8" s="1050">
        <f>+IF(X7=Assumptions!$F$31,Assumptions!$F$70/ROUNDUP((12/12),0),)</f>
        <v>0</v>
      </c>
      <c r="Y8" s="1050">
        <f>+IF(Y7=Assumptions!$F$31,Assumptions!$F$70/ROUNDUP((12/12),0),)</f>
        <v>0</v>
      </c>
      <c r="Z8" s="1050">
        <f>+IF(Z7=Assumptions!$F$31,Assumptions!$F$70/ROUNDUP((12/12),0),)</f>
        <v>0</v>
      </c>
      <c r="AA8" s="699"/>
      <c r="AB8" s="699"/>
      <c r="AC8" s="699"/>
      <c r="AD8" s="69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</row>
    <row r="9" spans="1:66">
      <c r="A9" s="699"/>
      <c r="B9" s="699" t="s">
        <v>1121</v>
      </c>
      <c r="C9" s="699"/>
      <c r="D9" s="699"/>
      <c r="E9" s="1050">
        <v>0</v>
      </c>
      <c r="F9" s="1050">
        <f>+E9+F8</f>
        <v>0</v>
      </c>
      <c r="G9" s="1050">
        <f t="shared" ref="G9:Z9" si="24">+F9+G8</f>
        <v>0</v>
      </c>
      <c r="H9" s="1050">
        <f t="shared" si="24"/>
        <v>0</v>
      </c>
      <c r="I9" s="1050">
        <f t="shared" si="24"/>
        <v>0</v>
      </c>
      <c r="J9" s="1050">
        <f t="shared" si="24"/>
        <v>168356.66399999999</v>
      </c>
      <c r="K9" s="1050">
        <f t="shared" si="24"/>
        <v>168356.66399999999</v>
      </c>
      <c r="L9" s="1050">
        <f t="shared" si="24"/>
        <v>168356.66399999999</v>
      </c>
      <c r="M9" s="1050">
        <f t="shared" si="24"/>
        <v>168356.66399999999</v>
      </c>
      <c r="N9" s="1050">
        <f t="shared" si="24"/>
        <v>168356.66399999999</v>
      </c>
      <c r="O9" s="1050">
        <f t="shared" si="24"/>
        <v>168356.66399999999</v>
      </c>
      <c r="P9" s="1050">
        <f t="shared" si="24"/>
        <v>168356.66399999999</v>
      </c>
      <c r="Q9" s="1050">
        <f t="shared" si="24"/>
        <v>168356.66399999999</v>
      </c>
      <c r="R9" s="1050">
        <f t="shared" si="24"/>
        <v>168356.66399999999</v>
      </c>
      <c r="S9" s="1050">
        <f t="shared" si="24"/>
        <v>168356.66399999999</v>
      </c>
      <c r="T9" s="1050">
        <f t="shared" si="24"/>
        <v>168356.66399999999</v>
      </c>
      <c r="U9" s="1050">
        <f t="shared" si="24"/>
        <v>168356.66399999999</v>
      </c>
      <c r="V9" s="1050">
        <f t="shared" si="24"/>
        <v>168356.66399999999</v>
      </c>
      <c r="W9" s="1050">
        <f t="shared" si="24"/>
        <v>168356.66399999999</v>
      </c>
      <c r="X9" s="1050">
        <f t="shared" si="24"/>
        <v>168356.66399999999</v>
      </c>
      <c r="Y9" s="1050">
        <f t="shared" si="24"/>
        <v>168356.66399999999</v>
      </c>
      <c r="Z9" s="1050">
        <f t="shared" si="24"/>
        <v>168356.66399999999</v>
      </c>
      <c r="AA9" s="699"/>
      <c r="AB9" s="699"/>
      <c r="AC9" s="699"/>
      <c r="AD9" s="699"/>
      <c r="AE9" s="49"/>
      <c r="AF9" s="49"/>
      <c r="AG9" s="49"/>
      <c r="AH9" s="49"/>
      <c r="AI9" s="49"/>
      <c r="AJ9" s="49"/>
      <c r="AK9" s="49"/>
      <c r="AL9" s="49"/>
      <c r="AM9" s="49" t="s">
        <v>1126</v>
      </c>
      <c r="AN9" s="49"/>
      <c r="AO9" s="49"/>
      <c r="AP9" s="49"/>
      <c r="AQ9" s="770">
        <v>1</v>
      </c>
      <c r="AR9" s="770">
        <f>+AQ9*(1+Assumptions!$N$68)</f>
        <v>1.03</v>
      </c>
      <c r="AS9" s="770">
        <f>+AR9*(1+Assumptions!$N$68)</f>
        <v>1.0609</v>
      </c>
      <c r="AT9" s="770">
        <f>+AS9*(1+Assumptions!$N$68)</f>
        <v>1.092727</v>
      </c>
      <c r="AU9" s="770">
        <f>+AT9*(1+Assumptions!$N$68)</f>
        <v>1.1255088100000001</v>
      </c>
      <c r="AV9" s="770">
        <f>+AU9*(1+Assumptions!$N$68)</f>
        <v>1.1592740743000001</v>
      </c>
      <c r="AW9" s="770">
        <f>+AV9*(1+Assumptions!$N$68)</f>
        <v>1.1940522965290001</v>
      </c>
      <c r="AX9" s="770">
        <f>+AW9*(1+Assumptions!$N$68)</f>
        <v>1.2298738654248702</v>
      </c>
      <c r="AY9" s="770">
        <f>+AX9*(1+Assumptions!$N$68)</f>
        <v>1.2667700813876164</v>
      </c>
      <c r="AZ9" s="770">
        <f>+AY9*(1+Assumptions!$N$68)</f>
        <v>1.3047731838292449</v>
      </c>
      <c r="BA9" s="770">
        <f>+AZ9*(1+Assumptions!$N$68)</f>
        <v>1.3439163793441222</v>
      </c>
      <c r="BB9" s="770">
        <f>+BA9*(1+Assumptions!$N$68)</f>
        <v>1.3842338707244459</v>
      </c>
      <c r="BC9" s="770">
        <f>+BB9*(1+Assumptions!$N$68)</f>
        <v>1.4257608868461793</v>
      </c>
      <c r="BD9" s="770">
        <f>+BC9*(1+Assumptions!$N$68)</f>
        <v>1.4685337134515648</v>
      </c>
      <c r="BE9" s="770">
        <f>+BD9*(1+Assumptions!$N$68)</f>
        <v>1.5125897248551119</v>
      </c>
      <c r="BF9" s="770">
        <f>+BE9*(1+Assumptions!$N$68)</f>
        <v>1.5579674166007653</v>
      </c>
      <c r="BG9" s="770">
        <f>+BF9*(1+Assumptions!$N$68)</f>
        <v>1.6047064390987884</v>
      </c>
      <c r="BH9" s="770">
        <f>+BG9*(1+Assumptions!$N$68)</f>
        <v>1.652847632271752</v>
      </c>
      <c r="BI9" s="770">
        <f>+BH9*(1+Assumptions!$N$68)</f>
        <v>1.7024330612399046</v>
      </c>
      <c r="BJ9" s="770">
        <f>+BI9*(1+Assumptions!$N$68)</f>
        <v>1.7535060530771018</v>
      </c>
      <c r="BK9" s="770">
        <f>+BJ9*(1+Assumptions!$N$68)</f>
        <v>1.806111234669415</v>
      </c>
      <c r="BL9" s="49"/>
      <c r="BM9" s="49"/>
      <c r="BN9" s="49"/>
    </row>
    <row r="10" spans="1:66">
      <c r="A10" s="699"/>
      <c r="B10" s="699" t="s">
        <v>1123</v>
      </c>
      <c r="C10" s="699"/>
      <c r="D10" s="699"/>
      <c r="E10" s="699"/>
      <c r="F10" s="1084">
        <f>+F11-E11</f>
        <v>0</v>
      </c>
      <c r="G10" s="1084">
        <f t="shared" ref="G10:Z10" si="25">+G11-F11</f>
        <v>0</v>
      </c>
      <c r="H10" s="1084">
        <f t="shared" si="25"/>
        <v>0</v>
      </c>
      <c r="I10" s="1084">
        <f t="shared" si="25"/>
        <v>0</v>
      </c>
      <c r="J10" s="1084">
        <f t="shared" si="25"/>
        <v>151.421061756592</v>
      </c>
      <c r="K10" s="1084">
        <f t="shared" si="25"/>
        <v>0</v>
      </c>
      <c r="L10" s="1084">
        <f t="shared" si="25"/>
        <v>0</v>
      </c>
      <c r="M10" s="1084">
        <f t="shared" si="25"/>
        <v>0</v>
      </c>
      <c r="N10" s="1084">
        <f t="shared" si="25"/>
        <v>0</v>
      </c>
      <c r="O10" s="1084">
        <f t="shared" si="25"/>
        <v>0</v>
      </c>
      <c r="P10" s="1084">
        <f t="shared" si="25"/>
        <v>0</v>
      </c>
      <c r="Q10" s="1084">
        <f t="shared" si="25"/>
        <v>0</v>
      </c>
      <c r="R10" s="1084">
        <f t="shared" si="25"/>
        <v>0</v>
      </c>
      <c r="S10" s="1084">
        <f t="shared" si="25"/>
        <v>0</v>
      </c>
      <c r="T10" s="1084">
        <f t="shared" si="25"/>
        <v>0</v>
      </c>
      <c r="U10" s="1084">
        <f t="shared" si="25"/>
        <v>0</v>
      </c>
      <c r="V10" s="1084">
        <f t="shared" si="25"/>
        <v>0</v>
      </c>
      <c r="W10" s="1084">
        <f t="shared" si="25"/>
        <v>0</v>
      </c>
      <c r="X10" s="1084">
        <f t="shared" si="25"/>
        <v>0</v>
      </c>
      <c r="Y10" s="1084">
        <f t="shared" si="25"/>
        <v>0</v>
      </c>
      <c r="Z10" s="1084">
        <f t="shared" si="25"/>
        <v>0</v>
      </c>
      <c r="AA10" s="699"/>
      <c r="AB10" s="699"/>
      <c r="AC10" s="699"/>
      <c r="AD10" s="699"/>
      <c r="AE10" s="49"/>
      <c r="AF10" s="49"/>
      <c r="AG10" s="49"/>
      <c r="AH10" s="49"/>
      <c r="AI10" s="49"/>
      <c r="AJ10" s="49"/>
      <c r="AK10" s="49"/>
      <c r="AL10" s="49"/>
      <c r="AM10" s="49" t="s">
        <v>1127</v>
      </c>
      <c r="AN10" s="49"/>
      <c r="AO10" s="49"/>
      <c r="AP10" s="49"/>
      <c r="AQ10" s="770">
        <v>1</v>
      </c>
      <c r="AR10" s="770">
        <f>+AQ10*(1+Assumptions!$N$79)</f>
        <v>1.03</v>
      </c>
      <c r="AS10" s="770">
        <f>+AR10*(1+Assumptions!$N$79)</f>
        <v>1.0609</v>
      </c>
      <c r="AT10" s="770">
        <f>+AS10*(1+Assumptions!$N$79)</f>
        <v>1.092727</v>
      </c>
      <c r="AU10" s="770">
        <f>+AT10*(1+Assumptions!$N$79)</f>
        <v>1.1255088100000001</v>
      </c>
      <c r="AV10" s="770">
        <f>+AU10*(1+Assumptions!$N$79)</f>
        <v>1.1592740743000001</v>
      </c>
      <c r="AW10" s="770">
        <f>+AV10*(1+Assumptions!$N$79)</f>
        <v>1.1940522965290001</v>
      </c>
      <c r="AX10" s="770">
        <f>+AW10*(1+Assumptions!$N$79)</f>
        <v>1.2298738654248702</v>
      </c>
      <c r="AY10" s="770">
        <f>+AX10*(1+Assumptions!$N$79)</f>
        <v>1.2667700813876164</v>
      </c>
      <c r="AZ10" s="770">
        <f>+AY10*(1+Assumptions!$N$79)</f>
        <v>1.3047731838292449</v>
      </c>
      <c r="BA10" s="770">
        <f>+AZ10*(1+Assumptions!$N$79)</f>
        <v>1.3439163793441222</v>
      </c>
      <c r="BB10" s="770">
        <f>+BA10*(1+Assumptions!$N$79)</f>
        <v>1.3842338707244459</v>
      </c>
      <c r="BC10" s="770">
        <f>+BB10*(1+Assumptions!$N$79)</f>
        <v>1.4257608868461793</v>
      </c>
      <c r="BD10" s="770">
        <f>+BC10*(1+Assumptions!$N$79)</f>
        <v>1.4685337134515648</v>
      </c>
      <c r="BE10" s="770">
        <f>+BD10*(1+Assumptions!$N$79)</f>
        <v>1.5125897248551119</v>
      </c>
      <c r="BF10" s="770">
        <f>+BE10*(1+Assumptions!$N$79)</f>
        <v>1.5579674166007653</v>
      </c>
      <c r="BG10" s="770">
        <f>+BF10*(1+Assumptions!$N$79)</f>
        <v>1.6047064390987884</v>
      </c>
      <c r="BH10" s="770">
        <f>+BG10*(1+Assumptions!$N$79)</f>
        <v>1.652847632271752</v>
      </c>
      <c r="BI10" s="770">
        <f>+BH10*(1+Assumptions!$N$79)</f>
        <v>1.7024330612399046</v>
      </c>
      <c r="BJ10" s="770">
        <f>+BI10*(1+Assumptions!$N$79)</f>
        <v>1.7535060530771018</v>
      </c>
      <c r="BK10" s="770">
        <f>+BJ10*(1+Assumptions!$N$79)</f>
        <v>1.806111234669415</v>
      </c>
      <c r="BL10" s="49"/>
      <c r="BM10" s="49"/>
      <c r="BN10" s="49"/>
    </row>
    <row r="11" spans="1:66">
      <c r="A11" s="699"/>
      <c r="B11" s="699" t="s">
        <v>1124</v>
      </c>
      <c r="C11" s="699"/>
      <c r="D11" s="699"/>
      <c r="E11" s="699"/>
      <c r="F11" s="1084">
        <f>+F12*Assumptions!$F$71</f>
        <v>0</v>
      </c>
      <c r="G11" s="1084">
        <f>+G12*Assumptions!$F$71</f>
        <v>0</v>
      </c>
      <c r="H11" s="1084">
        <f>+H12*Assumptions!$F$71</f>
        <v>0</v>
      </c>
      <c r="I11" s="1084">
        <f>+I12*Assumptions!$F$71</f>
        <v>0</v>
      </c>
      <c r="J11" s="1084">
        <f>+J12*Assumptions!$F$71</f>
        <v>151.421061756592</v>
      </c>
      <c r="K11" s="1084">
        <f>+K12*Assumptions!$F$71</f>
        <v>151.421061756592</v>
      </c>
      <c r="L11" s="1084">
        <f>+L12*Assumptions!$F$71</f>
        <v>151.421061756592</v>
      </c>
      <c r="M11" s="1084">
        <f>+M12*Assumptions!$F$71</f>
        <v>151.421061756592</v>
      </c>
      <c r="N11" s="1084">
        <f>+N12*Assumptions!$F$71</f>
        <v>151.421061756592</v>
      </c>
      <c r="O11" s="1084">
        <f>+O12*Assumptions!$F$71</f>
        <v>151.421061756592</v>
      </c>
      <c r="P11" s="1084">
        <f>+P12*Assumptions!$F$71</f>
        <v>151.421061756592</v>
      </c>
      <c r="Q11" s="1084">
        <f>+Q12*Assumptions!$F$71</f>
        <v>151.421061756592</v>
      </c>
      <c r="R11" s="1084">
        <f>+R12*Assumptions!$F$71</f>
        <v>151.421061756592</v>
      </c>
      <c r="S11" s="1084">
        <f>+S12*Assumptions!$F$71</f>
        <v>151.421061756592</v>
      </c>
      <c r="T11" s="1084">
        <f>+T12*Assumptions!$F$71</f>
        <v>151.421061756592</v>
      </c>
      <c r="U11" s="1084">
        <f>+U12*Assumptions!$F$71</f>
        <v>151.421061756592</v>
      </c>
      <c r="V11" s="1084">
        <f>+V12*Assumptions!$F$71</f>
        <v>151.421061756592</v>
      </c>
      <c r="W11" s="1084">
        <f>+W12*Assumptions!$F$71</f>
        <v>151.421061756592</v>
      </c>
      <c r="X11" s="1084">
        <f>+X12*Assumptions!$F$71</f>
        <v>151.421061756592</v>
      </c>
      <c r="Y11" s="1084">
        <f>+Y12*Assumptions!$F$71</f>
        <v>151.421061756592</v>
      </c>
      <c r="Z11" s="1084">
        <f>+Z12*Assumptions!$F$71</f>
        <v>151.421061756592</v>
      </c>
      <c r="AA11" s="699"/>
      <c r="AB11" s="699"/>
      <c r="AC11" s="699"/>
      <c r="AD11" s="69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</row>
    <row r="12" spans="1:66">
      <c r="A12" s="699"/>
      <c r="B12" s="699" t="s">
        <v>1125</v>
      </c>
      <c r="C12" s="699"/>
      <c r="D12" s="699"/>
      <c r="E12" s="699"/>
      <c r="F12" s="1074">
        <f>IFERROR(+F9/SUM($F8:$Z8),0)</f>
        <v>0</v>
      </c>
      <c r="G12" s="1074">
        <f t="shared" ref="G12:Z12" si="26">IFERROR(+G9/SUM($F8:$Z8),0)</f>
        <v>0</v>
      </c>
      <c r="H12" s="1074">
        <f t="shared" si="26"/>
        <v>0</v>
      </c>
      <c r="I12" s="1074">
        <f t="shared" si="26"/>
        <v>0</v>
      </c>
      <c r="J12" s="1074">
        <f t="shared" si="26"/>
        <v>1</v>
      </c>
      <c r="K12" s="1074">
        <f t="shared" si="26"/>
        <v>1</v>
      </c>
      <c r="L12" s="1074">
        <f t="shared" si="26"/>
        <v>1</v>
      </c>
      <c r="M12" s="1074">
        <f t="shared" si="26"/>
        <v>1</v>
      </c>
      <c r="N12" s="1074">
        <f t="shared" si="26"/>
        <v>1</v>
      </c>
      <c r="O12" s="1074">
        <f t="shared" si="26"/>
        <v>1</v>
      </c>
      <c r="P12" s="1074">
        <f t="shared" si="26"/>
        <v>1</v>
      </c>
      <c r="Q12" s="1074">
        <f t="shared" si="26"/>
        <v>1</v>
      </c>
      <c r="R12" s="1074">
        <f t="shared" si="26"/>
        <v>1</v>
      </c>
      <c r="S12" s="1074">
        <f t="shared" si="26"/>
        <v>1</v>
      </c>
      <c r="T12" s="1074">
        <f t="shared" si="26"/>
        <v>1</v>
      </c>
      <c r="U12" s="1074">
        <f t="shared" si="26"/>
        <v>1</v>
      </c>
      <c r="V12" s="1074">
        <f t="shared" si="26"/>
        <v>1</v>
      </c>
      <c r="W12" s="1074">
        <f t="shared" si="26"/>
        <v>1</v>
      </c>
      <c r="X12" s="1074">
        <f t="shared" si="26"/>
        <v>1</v>
      </c>
      <c r="Y12" s="1074">
        <f t="shared" si="26"/>
        <v>1</v>
      </c>
      <c r="Z12" s="1074">
        <f t="shared" si="26"/>
        <v>1</v>
      </c>
      <c r="AA12" s="699"/>
      <c r="AB12" s="699"/>
      <c r="AC12" s="699"/>
      <c r="AD12" s="699"/>
      <c r="AE12" s="49"/>
      <c r="AF12" s="49"/>
      <c r="AG12" s="49"/>
      <c r="AH12" s="49"/>
      <c r="AI12" s="49"/>
      <c r="AJ12" s="49"/>
      <c r="AK12" s="49"/>
      <c r="AL12" s="49"/>
      <c r="AM12" s="49" t="s">
        <v>1128</v>
      </c>
      <c r="AN12" s="49"/>
      <c r="AO12" s="49"/>
      <c r="AP12" s="49"/>
      <c r="AQ12" s="771">
        <f>+AQ7*Assumptions!$AE$58*AQ9</f>
        <v>0</v>
      </c>
      <c r="AR12" s="771">
        <f>+AR7*Assumptions!$AE$58*AR9</f>
        <v>0</v>
      </c>
      <c r="AS12" s="771">
        <f>+AS7*Assumptions!$AE$58*AS9</f>
        <v>0</v>
      </c>
      <c r="AT12" s="771">
        <f>+AT7*Assumptions!$AE$58*AT9</f>
        <v>0</v>
      </c>
      <c r="AU12" s="771">
        <f>+AU7*Assumptions!$AE$58*AU9</f>
        <v>0</v>
      </c>
      <c r="AV12" s="771">
        <f>+AV7*Assumptions!$AE$58*AV9</f>
        <v>0</v>
      </c>
      <c r="AW12" s="771">
        <f>+AW7*Assumptions!$AE$58*AW9</f>
        <v>0</v>
      </c>
      <c r="AX12" s="771">
        <f>+AX7*Assumptions!$AE$58*AX9</f>
        <v>0</v>
      </c>
      <c r="AY12" s="771">
        <f>+AY7*Assumptions!$AE$58*AY9</f>
        <v>0</v>
      </c>
      <c r="AZ12" s="771">
        <f>+AZ7*Assumptions!$AE$58*AZ9</f>
        <v>0</v>
      </c>
      <c r="BA12" s="771">
        <f>+BA7*Assumptions!$AE$58*BA9</f>
        <v>0</v>
      </c>
      <c r="BB12" s="771">
        <f>+BB7*Assumptions!$AE$58*BB9</f>
        <v>0</v>
      </c>
      <c r="BC12" s="771">
        <f>+BC7*Assumptions!$AE$58*BC9</f>
        <v>0</v>
      </c>
      <c r="BD12" s="771">
        <f>+BD7*Assumptions!$AE$58*BD9</f>
        <v>0</v>
      </c>
      <c r="BE12" s="771">
        <f>+BE7*Assumptions!$AE$58*BE9</f>
        <v>0</v>
      </c>
      <c r="BF12" s="771">
        <f>+BF7*Assumptions!$AE$58*BF9</f>
        <v>0</v>
      </c>
      <c r="BG12" s="771">
        <f>+BG7*Assumptions!$AE$58*BG9</f>
        <v>0</v>
      </c>
      <c r="BH12" s="771">
        <f>+BH7*Assumptions!$AE$58*BH9</f>
        <v>0</v>
      </c>
      <c r="BI12" s="771">
        <f>+BI7*Assumptions!$AE$58*BI9</f>
        <v>0</v>
      </c>
      <c r="BJ12" s="771">
        <f>+BJ7*Assumptions!$AE$58*BJ9</f>
        <v>0</v>
      </c>
      <c r="BK12" s="771">
        <f>+BK7*Assumptions!$AE$58*BK9</f>
        <v>0</v>
      </c>
      <c r="BL12" s="49"/>
      <c r="BM12" s="49"/>
      <c r="BN12" s="49"/>
    </row>
    <row r="13" spans="1:66">
      <c r="A13" s="699"/>
      <c r="B13" s="699"/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699"/>
      <c r="Q13" s="699"/>
      <c r="R13" s="699"/>
      <c r="S13" s="699"/>
      <c r="T13" s="699"/>
      <c r="U13" s="699"/>
      <c r="V13" s="699"/>
      <c r="W13" s="699"/>
      <c r="X13" s="699"/>
      <c r="Y13" s="699"/>
      <c r="Z13" s="699"/>
      <c r="AA13" s="699"/>
      <c r="AB13" s="699"/>
      <c r="AC13" s="699"/>
      <c r="AD13" s="699"/>
      <c r="AE13" s="49"/>
      <c r="AF13" s="49"/>
      <c r="AG13" s="49"/>
      <c r="AH13" s="49"/>
      <c r="AI13" s="49"/>
      <c r="AJ13" s="49"/>
      <c r="AK13" s="49"/>
      <c r="AL13" s="49"/>
      <c r="AM13" s="49" t="s">
        <v>1129</v>
      </c>
      <c r="AN13" s="49"/>
      <c r="AO13" s="49"/>
      <c r="AP13" s="49"/>
      <c r="AQ13" s="90">
        <f>-Assumptions!$E$99*'Phase 1 Pro Forma'!AQ12</f>
        <v>0</v>
      </c>
      <c r="AR13" s="90">
        <f>-Assumptions!$E$99*'Phase 1 Pro Forma'!AR12</f>
        <v>0</v>
      </c>
      <c r="AS13" s="90">
        <f>-Assumptions!$E$99*'Phase 1 Pro Forma'!AS12</f>
        <v>0</v>
      </c>
      <c r="AT13" s="90">
        <f>-Assumptions!$E$99*'Phase 1 Pro Forma'!AT12</f>
        <v>0</v>
      </c>
      <c r="AU13" s="90">
        <f>-Assumptions!$E$99*'Phase 1 Pro Forma'!AU12</f>
        <v>0</v>
      </c>
      <c r="AV13" s="90">
        <f>-Assumptions!$E$99*'Phase 1 Pro Forma'!AV12</f>
        <v>0</v>
      </c>
      <c r="AW13" s="90">
        <f>-Assumptions!$E$99*'Phase 1 Pro Forma'!AW12</f>
        <v>0</v>
      </c>
      <c r="AX13" s="90">
        <f>-Assumptions!$E$99*'Phase 1 Pro Forma'!AX12</f>
        <v>0</v>
      </c>
      <c r="AY13" s="90">
        <f>-Assumptions!$E$99*'Phase 1 Pro Forma'!AY12</f>
        <v>0</v>
      </c>
      <c r="AZ13" s="90">
        <f>-Assumptions!$E$99*'Phase 1 Pro Forma'!AZ12</f>
        <v>0</v>
      </c>
      <c r="BA13" s="90">
        <f>-Assumptions!$E$99*'Phase 1 Pro Forma'!BA12</f>
        <v>0</v>
      </c>
      <c r="BB13" s="90">
        <f>-Assumptions!$E$99*'Phase 1 Pro Forma'!BB12</f>
        <v>0</v>
      </c>
      <c r="BC13" s="90">
        <f>-Assumptions!$E$99*'Phase 1 Pro Forma'!BC12</f>
        <v>0</v>
      </c>
      <c r="BD13" s="90">
        <f>-Assumptions!$E$99*'Phase 1 Pro Forma'!BD12</f>
        <v>0</v>
      </c>
      <c r="BE13" s="90">
        <f>-Assumptions!$E$99*'Phase 1 Pro Forma'!BE12</f>
        <v>0</v>
      </c>
      <c r="BF13" s="90">
        <f>-Assumptions!$E$99*'Phase 1 Pro Forma'!BF12</f>
        <v>0</v>
      </c>
      <c r="BG13" s="90">
        <f>-Assumptions!$E$99*'Phase 1 Pro Forma'!BG12</f>
        <v>0</v>
      </c>
      <c r="BH13" s="90">
        <f>-Assumptions!$E$99*'Phase 1 Pro Forma'!BH12</f>
        <v>0</v>
      </c>
      <c r="BI13" s="90">
        <f>-Assumptions!$E$99*'Phase 1 Pro Forma'!BI12</f>
        <v>0</v>
      </c>
      <c r="BJ13" s="90">
        <f>-Assumptions!$E$99*'Phase 1 Pro Forma'!BJ12</f>
        <v>0</v>
      </c>
      <c r="BK13" s="90">
        <f>-Assumptions!$E$99*'Phase 1 Pro Forma'!BK12</f>
        <v>0</v>
      </c>
      <c r="BL13" s="49"/>
      <c r="BM13" s="49"/>
      <c r="BN13" s="49"/>
    </row>
    <row r="14" spans="1:66">
      <c r="A14" s="699"/>
      <c r="B14" s="699" t="s">
        <v>1126</v>
      </c>
      <c r="C14" s="699"/>
      <c r="D14" s="699"/>
      <c r="E14" s="699"/>
      <c r="F14" s="1074">
        <v>1</v>
      </c>
      <c r="G14" s="1074">
        <f>+F14*(1+Assumptions!$N$68)</f>
        <v>1.03</v>
      </c>
      <c r="H14" s="1074">
        <f>+G14*(1+Assumptions!$N$68)</f>
        <v>1.0609</v>
      </c>
      <c r="I14" s="1074">
        <f>+H14*(1+Assumptions!$N$68)</f>
        <v>1.092727</v>
      </c>
      <c r="J14" s="1074">
        <f>+I14*(1+Assumptions!$N$68)</f>
        <v>1.1255088100000001</v>
      </c>
      <c r="K14" s="1074">
        <f>+J14*(1+Assumptions!$N$68)</f>
        <v>1.1592740743000001</v>
      </c>
      <c r="L14" s="1074">
        <f>+K14*(1+Assumptions!$N$68)</f>
        <v>1.1940522965290001</v>
      </c>
      <c r="M14" s="1074">
        <f>+L14*(1+Assumptions!$N$68)</f>
        <v>1.2298738654248702</v>
      </c>
      <c r="N14" s="1074">
        <f>+M14*(1+Assumptions!$N$68)</f>
        <v>1.2667700813876164</v>
      </c>
      <c r="O14" s="1074">
        <f>+N14*(1+Assumptions!$N$68)</f>
        <v>1.3047731838292449</v>
      </c>
      <c r="P14" s="1074">
        <f>+O14*(1+Assumptions!$N$68)</f>
        <v>1.3439163793441222</v>
      </c>
      <c r="Q14" s="1074">
        <f>+P14*(1+Assumptions!$N$68)</f>
        <v>1.3842338707244459</v>
      </c>
      <c r="R14" s="1074">
        <f>+Q14*(1+Assumptions!$N$68)</f>
        <v>1.4257608868461793</v>
      </c>
      <c r="S14" s="1074">
        <f>+R14*(1+Assumptions!$N$68)</f>
        <v>1.4685337134515648</v>
      </c>
      <c r="T14" s="1074">
        <f>+S14*(1+Assumptions!$N$68)</f>
        <v>1.5125897248551119</v>
      </c>
      <c r="U14" s="1074">
        <f>+T14*(1+Assumptions!$N$68)</f>
        <v>1.5579674166007653</v>
      </c>
      <c r="V14" s="1074">
        <f>+U14*(1+Assumptions!$N$68)</f>
        <v>1.6047064390987884</v>
      </c>
      <c r="W14" s="1074">
        <f>+V14*(1+Assumptions!$N$68)</f>
        <v>1.652847632271752</v>
      </c>
      <c r="X14" s="1074">
        <f>+W14*(1+Assumptions!$N$68)</f>
        <v>1.7024330612399046</v>
      </c>
      <c r="Y14" s="1074">
        <f>+X14*(1+Assumptions!$N$68)</f>
        <v>1.7535060530771018</v>
      </c>
      <c r="Z14" s="1074">
        <f>+Y14*(1+Assumptions!$N$68)</f>
        <v>1.806111234669415</v>
      </c>
      <c r="AA14" s="699"/>
      <c r="AB14" s="699"/>
      <c r="AC14" s="699"/>
      <c r="AD14" s="699"/>
      <c r="AE14" s="49"/>
      <c r="AF14" s="49"/>
      <c r="AG14" s="49"/>
      <c r="AH14" s="49"/>
      <c r="AI14" s="49"/>
      <c r="AJ14" s="49"/>
      <c r="AK14" s="49"/>
      <c r="AL14" s="49"/>
      <c r="AM14" s="49" t="s">
        <v>1130</v>
      </c>
      <c r="AN14" s="49"/>
      <c r="AO14" s="49"/>
      <c r="AP14" s="49"/>
      <c r="AQ14" s="90">
        <f>-AQ12*Assumptions!$N$59</f>
        <v>0</v>
      </c>
      <c r="AR14" s="90">
        <f>-AR12*Assumptions!$N$59</f>
        <v>0</v>
      </c>
      <c r="AS14" s="90">
        <f>-AS12*Assumptions!$N$59</f>
        <v>0</v>
      </c>
      <c r="AT14" s="90">
        <f>-AT12*Assumptions!$N$59</f>
        <v>0</v>
      </c>
      <c r="AU14" s="90">
        <f>-AU12*Assumptions!$N$59</f>
        <v>0</v>
      </c>
      <c r="AV14" s="90">
        <f>-AV12*Assumptions!$N$59</f>
        <v>0</v>
      </c>
      <c r="AW14" s="90">
        <f>-AW12*Assumptions!$N$59</f>
        <v>0</v>
      </c>
      <c r="AX14" s="90">
        <f>-AX12*Assumptions!$N$59</f>
        <v>0</v>
      </c>
      <c r="AY14" s="90">
        <f>-AY12*Assumptions!$N$59</f>
        <v>0</v>
      </c>
      <c r="AZ14" s="90">
        <f>-AZ12*Assumptions!$N$59</f>
        <v>0</v>
      </c>
      <c r="BA14" s="90">
        <f>-BA12*Assumptions!$N$59</f>
        <v>0</v>
      </c>
      <c r="BB14" s="90">
        <f>-BB12*Assumptions!$N$59</f>
        <v>0</v>
      </c>
      <c r="BC14" s="90">
        <f>-BC12*Assumptions!$N$59</f>
        <v>0</v>
      </c>
      <c r="BD14" s="90">
        <f>-BD12*Assumptions!$N$59</f>
        <v>0</v>
      </c>
      <c r="BE14" s="90">
        <f>-BE12*Assumptions!$N$59</f>
        <v>0</v>
      </c>
      <c r="BF14" s="90">
        <f>-BF12*Assumptions!$N$59</f>
        <v>0</v>
      </c>
      <c r="BG14" s="90">
        <f>-BG12*Assumptions!$N$59</f>
        <v>0</v>
      </c>
      <c r="BH14" s="90">
        <f>-BH12*Assumptions!$N$59</f>
        <v>0</v>
      </c>
      <c r="BI14" s="90">
        <f>-BI12*Assumptions!$N$59</f>
        <v>0</v>
      </c>
      <c r="BJ14" s="90">
        <f>-BJ12*Assumptions!$N$59</f>
        <v>0</v>
      </c>
      <c r="BK14" s="90">
        <f>-BK12*Assumptions!$N$59</f>
        <v>0</v>
      </c>
      <c r="BL14" s="49"/>
      <c r="BM14" s="49"/>
      <c r="BN14" s="49"/>
    </row>
    <row r="15" spans="1:66">
      <c r="A15" s="699"/>
      <c r="B15" s="699" t="s">
        <v>1127</v>
      </c>
      <c r="C15" s="699"/>
      <c r="D15" s="699"/>
      <c r="E15" s="699"/>
      <c r="F15" s="1074">
        <v>1</v>
      </c>
      <c r="G15" s="1074">
        <f>+F15*(1+Assumptions!$N$79)</f>
        <v>1.03</v>
      </c>
      <c r="H15" s="1074">
        <f>+G15*(1+Assumptions!$N$79)</f>
        <v>1.0609</v>
      </c>
      <c r="I15" s="1074">
        <f>+H15*(1+Assumptions!$N$79)</f>
        <v>1.092727</v>
      </c>
      <c r="J15" s="1074">
        <f>+I15*(1+Assumptions!$N$79)</f>
        <v>1.1255088100000001</v>
      </c>
      <c r="K15" s="1074">
        <f>+J15*(1+Assumptions!$N$79)</f>
        <v>1.1592740743000001</v>
      </c>
      <c r="L15" s="1074">
        <f>+K15*(1+Assumptions!$N$79)</f>
        <v>1.1940522965290001</v>
      </c>
      <c r="M15" s="1074">
        <f>+L15*(1+Assumptions!$N$79)</f>
        <v>1.2298738654248702</v>
      </c>
      <c r="N15" s="1074">
        <f>+M15*(1+Assumptions!$N$79)</f>
        <v>1.2667700813876164</v>
      </c>
      <c r="O15" s="1074">
        <f>+N15*(1+Assumptions!$N$79)</f>
        <v>1.3047731838292449</v>
      </c>
      <c r="P15" s="1074">
        <f>+O15*(1+Assumptions!$N$79)</f>
        <v>1.3439163793441222</v>
      </c>
      <c r="Q15" s="1074">
        <f>+P15*(1+Assumptions!$N$79)</f>
        <v>1.3842338707244459</v>
      </c>
      <c r="R15" s="1074">
        <f>+Q15*(1+Assumptions!$N$79)</f>
        <v>1.4257608868461793</v>
      </c>
      <c r="S15" s="1074">
        <f>+R15*(1+Assumptions!$N$79)</f>
        <v>1.4685337134515648</v>
      </c>
      <c r="T15" s="1074">
        <f>+S15*(1+Assumptions!$N$79)</f>
        <v>1.5125897248551119</v>
      </c>
      <c r="U15" s="1074">
        <f>+T15*(1+Assumptions!$N$79)</f>
        <v>1.5579674166007653</v>
      </c>
      <c r="V15" s="1074">
        <f>+U15*(1+Assumptions!$N$79)</f>
        <v>1.6047064390987884</v>
      </c>
      <c r="W15" s="1074">
        <f>+V15*(1+Assumptions!$N$79)</f>
        <v>1.652847632271752</v>
      </c>
      <c r="X15" s="1074">
        <f>+W15*(1+Assumptions!$N$79)</f>
        <v>1.7024330612399046</v>
      </c>
      <c r="Y15" s="1074">
        <f>+X15*(1+Assumptions!$N$79)</f>
        <v>1.7535060530771018</v>
      </c>
      <c r="Z15" s="1074">
        <f>+Y15*(1+Assumptions!$N$79)</f>
        <v>1.806111234669415</v>
      </c>
      <c r="AA15" s="699"/>
      <c r="AB15" s="699"/>
      <c r="AC15" s="699"/>
      <c r="AD15" s="699"/>
      <c r="AE15" s="49"/>
      <c r="AF15" s="49"/>
      <c r="AG15" s="49"/>
      <c r="AH15" s="49"/>
      <c r="AI15" s="49"/>
      <c r="AJ15" s="49"/>
      <c r="AK15" s="49"/>
      <c r="AL15" s="49"/>
      <c r="AM15" s="49" t="s">
        <v>1131</v>
      </c>
      <c r="AN15" s="49"/>
      <c r="AO15" s="49"/>
      <c r="AP15" s="49"/>
      <c r="AQ15" s="771">
        <f t="shared" ref="AQ15:BK15" si="27">SUM(AQ12:AQ14)</f>
        <v>0</v>
      </c>
      <c r="AR15" s="771">
        <f t="shared" si="27"/>
        <v>0</v>
      </c>
      <c r="AS15" s="771">
        <f t="shared" si="27"/>
        <v>0</v>
      </c>
      <c r="AT15" s="771">
        <f t="shared" si="27"/>
        <v>0</v>
      </c>
      <c r="AU15" s="771">
        <f t="shared" si="27"/>
        <v>0</v>
      </c>
      <c r="AV15" s="771">
        <f t="shared" si="27"/>
        <v>0</v>
      </c>
      <c r="AW15" s="771">
        <f t="shared" si="27"/>
        <v>0</v>
      </c>
      <c r="AX15" s="771">
        <f t="shared" si="27"/>
        <v>0</v>
      </c>
      <c r="AY15" s="771">
        <f t="shared" si="27"/>
        <v>0</v>
      </c>
      <c r="AZ15" s="771">
        <f t="shared" si="27"/>
        <v>0</v>
      </c>
      <c r="BA15" s="771">
        <f t="shared" si="27"/>
        <v>0</v>
      </c>
      <c r="BB15" s="771">
        <f t="shared" si="27"/>
        <v>0</v>
      </c>
      <c r="BC15" s="771">
        <f t="shared" si="27"/>
        <v>0</v>
      </c>
      <c r="BD15" s="771">
        <f t="shared" si="27"/>
        <v>0</v>
      </c>
      <c r="BE15" s="771">
        <f t="shared" si="27"/>
        <v>0</v>
      </c>
      <c r="BF15" s="771">
        <f t="shared" si="27"/>
        <v>0</v>
      </c>
      <c r="BG15" s="771">
        <f t="shared" si="27"/>
        <v>0</v>
      </c>
      <c r="BH15" s="771">
        <f t="shared" si="27"/>
        <v>0</v>
      </c>
      <c r="BI15" s="771">
        <f t="shared" si="27"/>
        <v>0</v>
      </c>
      <c r="BJ15" s="771">
        <f t="shared" si="27"/>
        <v>0</v>
      </c>
      <c r="BK15" s="771">
        <f t="shared" si="27"/>
        <v>0</v>
      </c>
      <c r="BL15" s="49"/>
      <c r="BM15" s="49"/>
      <c r="BN15" s="49"/>
    </row>
    <row r="16" spans="1:66">
      <c r="A16" s="699"/>
      <c r="B16" s="699"/>
      <c r="C16" s="699"/>
      <c r="D16" s="699"/>
      <c r="E16" s="699"/>
      <c r="F16" s="699"/>
      <c r="G16" s="699"/>
      <c r="H16" s="699"/>
      <c r="I16" s="699"/>
      <c r="J16" s="699"/>
      <c r="K16" s="699"/>
      <c r="L16" s="699"/>
      <c r="M16" s="699"/>
      <c r="N16" s="699"/>
      <c r="O16" s="699"/>
      <c r="P16" s="699"/>
      <c r="Q16" s="699"/>
      <c r="R16" s="699"/>
      <c r="S16" s="699"/>
      <c r="T16" s="699"/>
      <c r="U16" s="699"/>
      <c r="V16" s="699"/>
      <c r="W16" s="699"/>
      <c r="X16" s="699"/>
      <c r="Y16" s="699"/>
      <c r="Z16" s="699"/>
      <c r="AA16" s="699"/>
      <c r="AB16" s="699"/>
      <c r="AC16" s="699"/>
      <c r="AD16" s="69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49"/>
      <c r="AY16" s="49"/>
      <c r="AZ16" s="49"/>
      <c r="BA16" s="49"/>
      <c r="BB16" s="49"/>
      <c r="BC16" s="49"/>
      <c r="BD16" s="49"/>
      <c r="BE16" s="49"/>
      <c r="BF16" s="49"/>
      <c r="BG16" s="49"/>
      <c r="BH16" s="49"/>
      <c r="BI16" s="49"/>
      <c r="BJ16" s="49"/>
      <c r="BK16" s="49"/>
      <c r="BL16" s="49"/>
      <c r="BM16" s="49"/>
      <c r="BN16" s="49"/>
    </row>
    <row r="17" spans="1:66">
      <c r="A17" s="699"/>
      <c r="B17" s="699" t="s">
        <v>1128</v>
      </c>
      <c r="C17" s="699"/>
      <c r="D17" s="699"/>
      <c r="E17" s="699"/>
      <c r="F17" s="1028">
        <f>+F12*Assumptions!$F$69*F14</f>
        <v>0</v>
      </c>
      <c r="G17" s="1028">
        <f>+G12*Assumptions!$F$69*G14</f>
        <v>0</v>
      </c>
      <c r="H17" s="1028">
        <f>+H12*Assumptions!$F$69*H14</f>
        <v>0</v>
      </c>
      <c r="I17" s="1028">
        <f>+I12*Assumptions!$F$69*I14</f>
        <v>0</v>
      </c>
      <c r="J17" s="1028">
        <f>+J12*Assumptions!$F$69*J14</f>
        <v>3596771.7800490344</v>
      </c>
      <c r="K17" s="1028">
        <f>+K12*Assumptions!$F$69*K14</f>
        <v>3704674.9334505051</v>
      </c>
      <c r="L17" s="1028">
        <f>+L12*Assumptions!$F$69*L14</f>
        <v>3815815.1814540206</v>
      </c>
      <c r="M17" s="1028">
        <f>+M12*Assumptions!$F$69*M14</f>
        <v>3930289.6368976417</v>
      </c>
      <c r="N17" s="1028">
        <f>+N12*Assumptions!$F$69*N14</f>
        <v>4048198.3260045708</v>
      </c>
      <c r="O17" s="1028">
        <f>+O12*Assumptions!$F$69*O14</f>
        <v>4169644.2757847081</v>
      </c>
      <c r="P17" s="1028">
        <f>+P12*Assumptions!$F$69*P14</f>
        <v>4294733.6040582499</v>
      </c>
      <c r="Q17" s="1028">
        <f>+Q12*Assumptions!$F$69*Q14</f>
        <v>4423575.6121799974</v>
      </c>
      <c r="R17" s="1028">
        <f>+R12*Assumptions!$F$69*R14</f>
        <v>4556282.8805453973</v>
      </c>
      <c r="S17" s="1028">
        <f>+S12*Assumptions!$F$69*S14</f>
        <v>4692971.3669617595</v>
      </c>
      <c r="T17" s="1028">
        <f>+T12*Assumptions!$F$69*T14</f>
        <v>4833760.5079706125</v>
      </c>
      <c r="U17" s="1028">
        <f>+U12*Assumptions!$F$69*U14</f>
        <v>4978773.3232097309</v>
      </c>
      <c r="V17" s="1028">
        <f>+V12*Assumptions!$F$69*V14</f>
        <v>5128136.5229060231</v>
      </c>
      <c r="W17" s="1028">
        <f>+W12*Assumptions!$F$69*W14</f>
        <v>5281980.6185932038</v>
      </c>
      <c r="X17" s="1028">
        <f>+X12*Assumptions!$F$69*X14</f>
        <v>5440440.0371510005</v>
      </c>
      <c r="Y17" s="1028">
        <f>+Y12*Assumptions!$F$69*Y14</f>
        <v>5603653.2382655302</v>
      </c>
      <c r="Z17" s="1028">
        <f>+Z12*Assumptions!$F$69*Z14</f>
        <v>5771762.8354134969</v>
      </c>
      <c r="AA17" s="699"/>
      <c r="AB17" s="699"/>
      <c r="AC17" s="699"/>
      <c r="AD17" s="699"/>
      <c r="AE17" s="49"/>
      <c r="AF17" s="49"/>
      <c r="AG17" s="49"/>
      <c r="AH17" s="49"/>
      <c r="AI17" s="49"/>
      <c r="AJ17" s="49"/>
      <c r="AK17" s="49"/>
      <c r="AL17" s="49"/>
      <c r="AM17" s="49" t="s">
        <v>1132</v>
      </c>
      <c r="AN17" s="49"/>
      <c r="AO17" s="49"/>
      <c r="AP17" s="49"/>
      <c r="AQ17" s="83">
        <f>+AQ6*Assumptions!$N$96*AQ10</f>
        <v>0</v>
      </c>
      <c r="AR17" s="83">
        <f>+AR6*Assumptions!$N$96*AR10</f>
        <v>0</v>
      </c>
      <c r="AS17" s="83">
        <f>+AS6*Assumptions!$N$96*AS10</f>
        <v>0</v>
      </c>
      <c r="AT17" s="83">
        <f>+AT6*Assumptions!$N$96*AT10</f>
        <v>0</v>
      </c>
      <c r="AU17" s="83">
        <f>+AU6*Assumptions!$N$96*AU10</f>
        <v>0</v>
      </c>
      <c r="AV17" s="83">
        <f>+AV6*Assumptions!$N$96*AV10</f>
        <v>0</v>
      </c>
      <c r="AW17" s="83">
        <f>+AW6*Assumptions!$N$96*AW10</f>
        <v>0</v>
      </c>
      <c r="AX17" s="83">
        <f>+AX6*Assumptions!$N$96*AX10</f>
        <v>0</v>
      </c>
      <c r="AY17" s="83">
        <f>+AY6*Assumptions!$N$96*AY10</f>
        <v>0</v>
      </c>
      <c r="AZ17" s="83">
        <f>+AZ6*Assumptions!$N$96*AZ10</f>
        <v>0</v>
      </c>
      <c r="BA17" s="83">
        <f>+BA6*Assumptions!$N$96*BA10</f>
        <v>0</v>
      </c>
      <c r="BB17" s="83">
        <f>+BB6*Assumptions!$N$96*BB10</f>
        <v>0</v>
      </c>
      <c r="BC17" s="83">
        <f>+BC6*Assumptions!$N$96*BC10</f>
        <v>0</v>
      </c>
      <c r="BD17" s="83">
        <f>+BD6*Assumptions!$N$96*BD10</f>
        <v>0</v>
      </c>
      <c r="BE17" s="83">
        <f>+BE6*Assumptions!$N$96*BE10</f>
        <v>0</v>
      </c>
      <c r="BF17" s="83">
        <f>+BF6*Assumptions!$N$96*BF10</f>
        <v>0</v>
      </c>
      <c r="BG17" s="83">
        <f>+BG6*Assumptions!$N$96*BG10</f>
        <v>0</v>
      </c>
      <c r="BH17" s="83">
        <f>+BH6*Assumptions!$N$96*BH10</f>
        <v>0</v>
      </c>
      <c r="BI17" s="83">
        <f>+BI6*Assumptions!$N$96*BI10</f>
        <v>0</v>
      </c>
      <c r="BJ17" s="83">
        <f>+BJ6*Assumptions!$N$96*BJ10</f>
        <v>0</v>
      </c>
      <c r="BK17" s="83">
        <f>+BK6*Assumptions!$N$96*BK10</f>
        <v>0</v>
      </c>
      <c r="BL17" s="49"/>
      <c r="BM17" s="49"/>
      <c r="BN17" s="49"/>
    </row>
    <row r="18" spans="1:66">
      <c r="A18" s="699"/>
      <c r="B18" s="699" t="s">
        <v>1129</v>
      </c>
      <c r="C18" s="699"/>
      <c r="D18" s="699"/>
      <c r="E18" s="699"/>
      <c r="F18" s="1085">
        <f>-Assumptions!$E$99*'Phase 1 Pro Forma'!F17</f>
        <v>0</v>
      </c>
      <c r="G18" s="1085">
        <f>-Assumptions!$E$99*'Phase 1 Pro Forma'!G17</f>
        <v>0</v>
      </c>
      <c r="H18" s="1085">
        <f>-Assumptions!$E$99*'Phase 1 Pro Forma'!H17</f>
        <v>0</v>
      </c>
      <c r="I18" s="1085">
        <f>-Assumptions!$E$99*'Phase 1 Pro Forma'!I17</f>
        <v>0</v>
      </c>
      <c r="J18" s="1085">
        <f>-Assumptions!$E$99*'Phase 1 Pro Forma'!J17</f>
        <v>-35967.717800490347</v>
      </c>
      <c r="K18" s="1085">
        <f>-Assumptions!$E$99*'Phase 1 Pro Forma'!K17</f>
        <v>-37046.749334505053</v>
      </c>
      <c r="L18" s="1085">
        <f>-Assumptions!$E$99*'Phase 1 Pro Forma'!L17</f>
        <v>-38158.151814540208</v>
      </c>
      <c r="M18" s="1085">
        <f>-Assumptions!$E$99*'Phase 1 Pro Forma'!M17</f>
        <v>-39302.89636897642</v>
      </c>
      <c r="N18" s="1085">
        <f>-Assumptions!$E$99*'Phase 1 Pro Forma'!N17</f>
        <v>-40481.983260045708</v>
      </c>
      <c r="O18" s="1085">
        <f>-Assumptions!$E$99*'Phase 1 Pro Forma'!O17</f>
        <v>-41696.442757847079</v>
      </c>
      <c r="P18" s="1085">
        <f>-Assumptions!$E$99*'Phase 1 Pro Forma'!P17</f>
        <v>-42947.336040582501</v>
      </c>
      <c r="Q18" s="1085">
        <f>-Assumptions!$E$99*'Phase 1 Pro Forma'!Q17</f>
        <v>-44235.756121799976</v>
      </c>
      <c r="R18" s="1085">
        <f>-Assumptions!$E$99*'Phase 1 Pro Forma'!R17</f>
        <v>-45562.828805453973</v>
      </c>
      <c r="S18" s="1085">
        <f>-Assumptions!$E$99*'Phase 1 Pro Forma'!S17</f>
        <v>-46929.713669617595</v>
      </c>
      <c r="T18" s="1085">
        <f>-Assumptions!$E$99*'Phase 1 Pro Forma'!T17</f>
        <v>-48337.605079706125</v>
      </c>
      <c r="U18" s="1085">
        <f>-Assumptions!$E$99*'Phase 1 Pro Forma'!U17</f>
        <v>-49787.733232097307</v>
      </c>
      <c r="V18" s="1085">
        <f>-Assumptions!$E$99*'Phase 1 Pro Forma'!V17</f>
        <v>-51281.365229060233</v>
      </c>
      <c r="W18" s="1085">
        <f>-Assumptions!$E$99*'Phase 1 Pro Forma'!W17</f>
        <v>-52819.806185932037</v>
      </c>
      <c r="X18" s="1085">
        <f>-Assumptions!$E$99*'Phase 1 Pro Forma'!X17</f>
        <v>-54404.400371510004</v>
      </c>
      <c r="Y18" s="1085">
        <f>-Assumptions!$E$99*'Phase 1 Pro Forma'!Y17</f>
        <v>-56036.532382655307</v>
      </c>
      <c r="Z18" s="1085">
        <f>-Assumptions!$E$99*'Phase 1 Pro Forma'!Z17</f>
        <v>-57717.628354134969</v>
      </c>
      <c r="AA18" s="699"/>
      <c r="AB18" s="699"/>
      <c r="AC18" s="699"/>
      <c r="AD18" s="699"/>
      <c r="AE18" s="49"/>
      <c r="AF18" s="49"/>
      <c r="AG18" s="49"/>
      <c r="AH18" s="49"/>
      <c r="AI18" s="49"/>
      <c r="AJ18" s="49"/>
      <c r="AK18" s="49"/>
      <c r="AL18" s="49"/>
      <c r="AM18" s="49" t="s">
        <v>1133</v>
      </c>
      <c r="AN18" s="49"/>
      <c r="AO18" s="49"/>
      <c r="AP18" s="49"/>
      <c r="AQ18" s="253">
        <f ca="1">+IFERROR(INDEX('Taxes and TIF'!$M$11:$M$45,MATCH('Phase 1 Pro Forma'!F$7,'Taxes and TIF'!$B$11:$B$45,0)),0)*'Loan Sizing'!$I$30*'Phase 1 Pro Forma'!AQ7</f>
        <v>0</v>
      </c>
      <c r="AR18" s="253">
        <f ca="1">+IFERROR(INDEX('Taxes and TIF'!$M$11:$M$45,MATCH('Phase 1 Pro Forma'!G$7,'Taxes and TIF'!$B$11:$B$45,0)),0)*'Loan Sizing'!$I$30*'Phase 1 Pro Forma'!AR7</f>
        <v>0</v>
      </c>
      <c r="AS18" s="253">
        <f ca="1">+IFERROR(INDEX('Taxes and TIF'!$M$11:$M$45,MATCH('Phase 1 Pro Forma'!H$7,'Taxes and TIF'!$B$11:$B$45,0)),0)*'Loan Sizing'!$I$30*'Phase 1 Pro Forma'!AS7</f>
        <v>0</v>
      </c>
      <c r="AT18" s="253">
        <f ca="1">+IFERROR(INDEX('Taxes and TIF'!$M$11:$M$45,MATCH('Phase 1 Pro Forma'!I$7,'Taxes and TIF'!$B$11:$B$45,0)),0)*'Loan Sizing'!$I$30*'Phase 1 Pro Forma'!AT7</f>
        <v>0</v>
      </c>
      <c r="AU18" s="253">
        <f ca="1">+IFERROR(INDEX('Taxes and TIF'!$M$11:$M$45,MATCH('Phase 1 Pro Forma'!J$7,'Taxes and TIF'!$B$11:$B$45,0)),0)*'Loan Sizing'!$I$30*'Phase 1 Pro Forma'!AU7</f>
        <v>0</v>
      </c>
      <c r="AV18" s="253">
        <f ca="1">+IFERROR(INDEX('Taxes and TIF'!$M$11:$M$45,MATCH('Phase 1 Pro Forma'!K$7,'Taxes and TIF'!$B$11:$B$45,0)),0)*'Loan Sizing'!$I$30*'Phase 1 Pro Forma'!AV7</f>
        <v>0</v>
      </c>
      <c r="AW18" s="253">
        <f ca="1">+IFERROR(INDEX('Taxes and TIF'!$M$11:$M$45,MATCH('Phase 1 Pro Forma'!L$7,'Taxes and TIF'!$B$11:$B$45,0)),0)*'Loan Sizing'!$I$30*'Phase 1 Pro Forma'!AW7</f>
        <v>0</v>
      </c>
      <c r="AX18" s="253">
        <f ca="1">+IFERROR(INDEX('Taxes and TIF'!$M$11:$M$45,MATCH('Phase 1 Pro Forma'!M$7,'Taxes and TIF'!$B$11:$B$45,0)),0)*'Loan Sizing'!$I$30*'Phase 1 Pro Forma'!AX7</f>
        <v>0</v>
      </c>
      <c r="AY18" s="253">
        <f ca="1">+IFERROR(INDEX('Taxes and TIF'!$M$11:$M$45,MATCH('Phase 1 Pro Forma'!N$7,'Taxes and TIF'!$B$11:$B$45,0)),0)*'Loan Sizing'!$I$30*'Phase 1 Pro Forma'!AY7</f>
        <v>0</v>
      </c>
      <c r="AZ18" s="253">
        <f ca="1">+IFERROR(INDEX('Taxes and TIF'!$M$11:$M$45,MATCH('Phase 1 Pro Forma'!O$7,'Taxes and TIF'!$B$11:$B$45,0)),0)*'Loan Sizing'!$I$30*'Phase 1 Pro Forma'!AZ7</f>
        <v>0</v>
      </c>
      <c r="BA18" s="253">
        <f ca="1">+IFERROR(INDEX('Taxes and TIF'!$M$11:$M$45,MATCH('Phase 1 Pro Forma'!P$7,'Taxes and TIF'!$B$11:$B$45,0)),0)*'Loan Sizing'!$I$30*'Phase 1 Pro Forma'!BA7</f>
        <v>0</v>
      </c>
      <c r="BB18" s="253">
        <f ca="1">+IFERROR(INDEX('Taxes and TIF'!$M$11:$M$45,MATCH('Phase 1 Pro Forma'!Q$7,'Taxes and TIF'!$B$11:$B$45,0)),0)*'Loan Sizing'!$I$30*'Phase 1 Pro Forma'!BB7</f>
        <v>0</v>
      </c>
      <c r="BC18" s="253">
        <f ca="1">+IFERROR(INDEX('Taxes and TIF'!$M$11:$M$45,MATCH('Phase 1 Pro Forma'!R$7,'Taxes and TIF'!$B$11:$B$45,0)),0)*'Loan Sizing'!$I$30*'Phase 1 Pro Forma'!BC7</f>
        <v>0</v>
      </c>
      <c r="BD18" s="253">
        <f ca="1">+IFERROR(INDEX('Taxes and TIF'!$M$11:$M$45,MATCH('Phase 1 Pro Forma'!S$7,'Taxes and TIF'!$B$11:$B$45,0)),0)*'Loan Sizing'!$I$30*'Phase 1 Pro Forma'!BD7</f>
        <v>0</v>
      </c>
      <c r="BE18" s="253">
        <f ca="1">+IFERROR(INDEX('Taxes and TIF'!$M$11:$M$45,MATCH('Phase 1 Pro Forma'!T$7,'Taxes and TIF'!$B$11:$B$45,0)),0)*'Loan Sizing'!$I$30*'Phase 1 Pro Forma'!BE7</f>
        <v>0</v>
      </c>
      <c r="BF18" s="253">
        <f ca="1">+IFERROR(INDEX('Taxes and TIF'!$M$11:$M$45,MATCH('Phase 1 Pro Forma'!U$7,'Taxes and TIF'!$B$11:$B$45,0)),0)*'Loan Sizing'!$I$30*'Phase 1 Pro Forma'!BF7</f>
        <v>0</v>
      </c>
      <c r="BG18" s="253">
        <f ca="1">+IFERROR(INDEX('Taxes and TIF'!$M$11:$M$45,MATCH('Phase 1 Pro Forma'!V$7,'Taxes and TIF'!$B$11:$B$45,0)),0)*'Loan Sizing'!$I$30*'Phase 1 Pro Forma'!BG7</f>
        <v>0</v>
      </c>
      <c r="BH18" s="253">
        <f ca="1">+IFERROR(INDEX('Taxes and TIF'!$M$11:$M$45,MATCH('Phase 1 Pro Forma'!W$7,'Taxes and TIF'!$B$11:$B$45,0)),0)*'Loan Sizing'!$I$30*'Phase 1 Pro Forma'!BH7</f>
        <v>0</v>
      </c>
      <c r="BI18" s="253">
        <f ca="1">+IFERROR(INDEX('Taxes and TIF'!$M$11:$M$45,MATCH('Phase 1 Pro Forma'!X$7,'Taxes and TIF'!$B$11:$B$45,0)),0)*'Loan Sizing'!$I$30*'Phase 1 Pro Forma'!BI7</f>
        <v>0</v>
      </c>
      <c r="BJ18" s="253">
        <f ca="1">+IFERROR(INDEX('Taxes and TIF'!$M$11:$M$45,MATCH('Phase 1 Pro Forma'!Y$7,'Taxes and TIF'!$B$11:$B$45,0)),0)*'Loan Sizing'!$I$30*'Phase 1 Pro Forma'!BJ7</f>
        <v>0</v>
      </c>
      <c r="BK18" s="253">
        <f ca="1">+IFERROR(INDEX('Taxes and TIF'!$M$11:$M$45,MATCH('Phase 1 Pro Forma'!Z$7,'Taxes and TIF'!$B$11:$B$45,0)),0)*'Loan Sizing'!$I$30*'Phase 1 Pro Forma'!BK7</f>
        <v>0</v>
      </c>
      <c r="BL18" s="49"/>
      <c r="BM18" s="49"/>
      <c r="BN18" s="49"/>
    </row>
    <row r="19" spans="1:66">
      <c r="A19" s="699"/>
      <c r="B19" s="699" t="s">
        <v>1130</v>
      </c>
      <c r="C19" s="699"/>
      <c r="D19" s="699"/>
      <c r="E19" s="699"/>
      <c r="F19" s="1085">
        <f>-F17*Assumptions!$N$59</f>
        <v>0</v>
      </c>
      <c r="G19" s="1085">
        <f>-G17*Assumptions!$N$59</f>
        <v>0</v>
      </c>
      <c r="H19" s="1085">
        <f>-H17*Assumptions!$N$59</f>
        <v>0</v>
      </c>
      <c r="I19" s="1085">
        <f>-I17*Assumptions!$N$59</f>
        <v>0</v>
      </c>
      <c r="J19" s="1085">
        <f>-J17*Assumptions!$N$59</f>
        <v>-143870.87120196139</v>
      </c>
      <c r="K19" s="1085">
        <f>-K17*Assumptions!$N$59</f>
        <v>-148186.99733802021</v>
      </c>
      <c r="L19" s="1085">
        <f>-L17*Assumptions!$N$59</f>
        <v>-152632.60725816083</v>
      </c>
      <c r="M19" s="1085">
        <f>-M17*Assumptions!$N$59</f>
        <v>-157211.58547590568</v>
      </c>
      <c r="N19" s="1085">
        <f>-N17*Assumptions!$N$59</f>
        <v>-161927.93304018283</v>
      </c>
      <c r="O19" s="1085">
        <f>-O17*Assumptions!$N$59</f>
        <v>-166785.77103138831</v>
      </c>
      <c r="P19" s="1085">
        <f>-P17*Assumptions!$N$59</f>
        <v>-171789.34416233</v>
      </c>
      <c r="Q19" s="1085">
        <f>-Q17*Assumptions!$N$59</f>
        <v>-176943.0244871999</v>
      </c>
      <c r="R19" s="1085">
        <f>-R17*Assumptions!$N$59</f>
        <v>-182251.31522181589</v>
      </c>
      <c r="S19" s="1085">
        <f>-S17*Assumptions!$N$59</f>
        <v>-187718.85467847038</v>
      </c>
      <c r="T19" s="1085">
        <f>-T17*Assumptions!$N$59</f>
        <v>-193350.4203188245</v>
      </c>
      <c r="U19" s="1085">
        <f>-U17*Assumptions!$N$59</f>
        <v>-199150.93292838923</v>
      </c>
      <c r="V19" s="1085">
        <f>-V17*Assumptions!$N$59</f>
        <v>-205125.46091624093</v>
      </c>
      <c r="W19" s="1085">
        <f>-W17*Assumptions!$N$59</f>
        <v>-211279.22474372815</v>
      </c>
      <c r="X19" s="1085">
        <f>-X17*Assumptions!$N$59</f>
        <v>-217617.60148604002</v>
      </c>
      <c r="Y19" s="1085">
        <f>-Y17*Assumptions!$N$59</f>
        <v>-224146.12953062123</v>
      </c>
      <c r="Z19" s="1085">
        <f>-Z17*Assumptions!$N$59</f>
        <v>-230870.51341653988</v>
      </c>
      <c r="AA19" s="699"/>
      <c r="AB19" s="699"/>
      <c r="AC19" s="699"/>
      <c r="AD19" s="699"/>
      <c r="AE19" s="49"/>
      <c r="AF19" s="49"/>
      <c r="AG19" s="49"/>
      <c r="AH19" s="49"/>
      <c r="AI19" s="49"/>
      <c r="AJ19" s="49"/>
      <c r="AK19" s="49"/>
      <c r="AL19" s="49"/>
      <c r="AM19" s="49" t="s">
        <v>1134</v>
      </c>
      <c r="AN19" s="49"/>
      <c r="AO19" s="49"/>
      <c r="AP19" s="49"/>
      <c r="AQ19" s="83">
        <f ca="1">+SUM(AQ17:AQ18)</f>
        <v>0</v>
      </c>
      <c r="AR19" s="83">
        <f t="shared" ref="AR19:BK19" ca="1" si="28">+SUM(AR17:AR18)</f>
        <v>0</v>
      </c>
      <c r="AS19" s="83">
        <f t="shared" ca="1" si="28"/>
        <v>0</v>
      </c>
      <c r="AT19" s="83">
        <f ca="1">+SUM(AT17:AT18)</f>
        <v>0</v>
      </c>
      <c r="AU19" s="83">
        <f t="shared" ca="1" si="28"/>
        <v>0</v>
      </c>
      <c r="AV19" s="83">
        <f t="shared" ca="1" si="28"/>
        <v>0</v>
      </c>
      <c r="AW19" s="83">
        <f t="shared" ca="1" si="28"/>
        <v>0</v>
      </c>
      <c r="AX19" s="83">
        <f t="shared" ca="1" si="28"/>
        <v>0</v>
      </c>
      <c r="AY19" s="83">
        <f t="shared" ca="1" si="28"/>
        <v>0</v>
      </c>
      <c r="AZ19" s="83">
        <f t="shared" ca="1" si="28"/>
        <v>0</v>
      </c>
      <c r="BA19" s="83">
        <f t="shared" ca="1" si="28"/>
        <v>0</v>
      </c>
      <c r="BB19" s="83">
        <f t="shared" ca="1" si="28"/>
        <v>0</v>
      </c>
      <c r="BC19" s="83">
        <f t="shared" ca="1" si="28"/>
        <v>0</v>
      </c>
      <c r="BD19" s="83">
        <f t="shared" ca="1" si="28"/>
        <v>0</v>
      </c>
      <c r="BE19" s="83">
        <f t="shared" ca="1" si="28"/>
        <v>0</v>
      </c>
      <c r="BF19" s="83">
        <f t="shared" ca="1" si="28"/>
        <v>0</v>
      </c>
      <c r="BG19" s="83">
        <f t="shared" ca="1" si="28"/>
        <v>0</v>
      </c>
      <c r="BH19" s="83">
        <f t="shared" ca="1" si="28"/>
        <v>0</v>
      </c>
      <c r="BI19" s="83">
        <f t="shared" ca="1" si="28"/>
        <v>0</v>
      </c>
      <c r="BJ19" s="83">
        <f t="shared" ca="1" si="28"/>
        <v>0</v>
      </c>
      <c r="BK19" s="83">
        <f t="shared" ca="1" si="28"/>
        <v>0</v>
      </c>
      <c r="BL19" s="49"/>
      <c r="BM19" s="49"/>
      <c r="BN19" s="49"/>
    </row>
    <row r="20" spans="1:66">
      <c r="A20" s="699"/>
      <c r="B20" s="52" t="s">
        <v>1131</v>
      </c>
      <c r="C20" s="1052"/>
      <c r="D20" s="1052"/>
      <c r="E20" s="1052"/>
      <c r="F20" s="1086">
        <f t="shared" ref="F20:Z20" si="29">SUM(F17:F19)</f>
        <v>0</v>
      </c>
      <c r="G20" s="1086">
        <f t="shared" si="29"/>
        <v>0</v>
      </c>
      <c r="H20" s="1086">
        <f t="shared" si="29"/>
        <v>0</v>
      </c>
      <c r="I20" s="1086">
        <f t="shared" si="29"/>
        <v>0</v>
      </c>
      <c r="J20" s="1086">
        <f t="shared" si="29"/>
        <v>3416933.1910465825</v>
      </c>
      <c r="K20" s="1086">
        <f t="shared" si="29"/>
        <v>3519441.1867779801</v>
      </c>
      <c r="L20" s="1086">
        <f t="shared" si="29"/>
        <v>3625024.4223813191</v>
      </c>
      <c r="M20" s="1086">
        <f t="shared" si="29"/>
        <v>3733775.1550527597</v>
      </c>
      <c r="N20" s="1086">
        <f t="shared" si="29"/>
        <v>3845788.409704342</v>
      </c>
      <c r="O20" s="1086">
        <f t="shared" si="29"/>
        <v>3961162.0619954728</v>
      </c>
      <c r="P20" s="1086">
        <f t="shared" si="29"/>
        <v>4079996.9238553373</v>
      </c>
      <c r="Q20" s="1086">
        <f t="shared" si="29"/>
        <v>4202396.8315709969</v>
      </c>
      <c r="R20" s="1086">
        <f t="shared" si="29"/>
        <v>4328468.7365181269</v>
      </c>
      <c r="S20" s="1086">
        <f t="shared" si="29"/>
        <v>4458322.7986136712</v>
      </c>
      <c r="T20" s="1086">
        <f t="shared" si="29"/>
        <v>4592072.4825720824</v>
      </c>
      <c r="U20" s="1086">
        <f t="shared" si="29"/>
        <v>4729834.6570492443</v>
      </c>
      <c r="V20" s="1086">
        <f t="shared" si="29"/>
        <v>4871729.6967607224</v>
      </c>
      <c r="W20" s="1086">
        <f t="shared" si="29"/>
        <v>5017881.5876635434</v>
      </c>
      <c r="X20" s="1086">
        <f t="shared" si="29"/>
        <v>5168418.0352934506</v>
      </c>
      <c r="Y20" s="1086">
        <f t="shared" si="29"/>
        <v>5323470.5763522536</v>
      </c>
      <c r="Z20" s="1086">
        <f t="shared" si="29"/>
        <v>5483174.6936428221</v>
      </c>
      <c r="AA20" s="699"/>
      <c r="AB20" s="699"/>
      <c r="AC20" s="699"/>
      <c r="AD20" s="69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49"/>
      <c r="AY20" s="49"/>
      <c r="AZ20" s="49"/>
      <c r="BA20" s="49"/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</row>
    <row r="21" spans="1:66" ht="15.75">
      <c r="A21" s="699"/>
      <c r="B21" s="49"/>
      <c r="C21" s="699"/>
      <c r="D21" s="699"/>
      <c r="E21" s="699"/>
      <c r="F21" s="699"/>
      <c r="G21" s="699"/>
      <c r="H21" s="699"/>
      <c r="I21" s="699"/>
      <c r="J21" s="699"/>
      <c r="K21" s="699"/>
      <c r="L21" s="699"/>
      <c r="M21" s="699"/>
      <c r="N21" s="699"/>
      <c r="O21" s="699"/>
      <c r="P21" s="699"/>
      <c r="Q21" s="699"/>
      <c r="R21" s="699"/>
      <c r="S21" s="699"/>
      <c r="T21" s="699"/>
      <c r="U21" s="699"/>
      <c r="V21" s="699"/>
      <c r="W21" s="699"/>
      <c r="X21" s="699"/>
      <c r="Y21" s="699"/>
      <c r="Z21" s="699"/>
      <c r="AA21" s="699"/>
      <c r="AB21" s="699"/>
      <c r="AC21" s="699"/>
      <c r="AD21" s="699"/>
      <c r="AE21" s="49"/>
      <c r="AF21" s="49"/>
      <c r="AG21" s="49"/>
      <c r="AH21" s="49"/>
      <c r="AI21" s="49"/>
      <c r="AJ21" s="49"/>
      <c r="AK21" s="49"/>
      <c r="AL21" s="49"/>
      <c r="AM21" s="81" t="s">
        <v>1135</v>
      </c>
      <c r="AN21" s="81"/>
      <c r="AO21" s="81"/>
      <c r="AP21" s="81"/>
      <c r="AQ21" s="94">
        <f ca="1">+AQ15-AQ19</f>
        <v>0</v>
      </c>
      <c r="AR21" s="94">
        <f t="shared" ref="AR21:BK21" ca="1" si="30">+AR15-AR19</f>
        <v>0</v>
      </c>
      <c r="AS21" s="94">
        <f t="shared" ca="1" si="30"/>
        <v>0</v>
      </c>
      <c r="AT21" s="94">
        <f ca="1">+AT15-AT19</f>
        <v>0</v>
      </c>
      <c r="AU21" s="94">
        <f t="shared" ca="1" si="30"/>
        <v>0</v>
      </c>
      <c r="AV21" s="94">
        <f t="shared" ca="1" si="30"/>
        <v>0</v>
      </c>
      <c r="AW21" s="94">
        <f t="shared" ca="1" si="30"/>
        <v>0</v>
      </c>
      <c r="AX21" s="94">
        <f t="shared" ca="1" si="30"/>
        <v>0</v>
      </c>
      <c r="AY21" s="94">
        <f t="shared" ca="1" si="30"/>
        <v>0</v>
      </c>
      <c r="AZ21" s="94">
        <f t="shared" ca="1" si="30"/>
        <v>0</v>
      </c>
      <c r="BA21" s="94">
        <f t="shared" ca="1" si="30"/>
        <v>0</v>
      </c>
      <c r="BB21" s="94">
        <f t="shared" ca="1" si="30"/>
        <v>0</v>
      </c>
      <c r="BC21" s="94">
        <f t="shared" ca="1" si="30"/>
        <v>0</v>
      </c>
      <c r="BD21" s="94">
        <f t="shared" ca="1" si="30"/>
        <v>0</v>
      </c>
      <c r="BE21" s="94">
        <f t="shared" ca="1" si="30"/>
        <v>0</v>
      </c>
      <c r="BF21" s="94">
        <f t="shared" ca="1" si="30"/>
        <v>0</v>
      </c>
      <c r="BG21" s="94">
        <f t="shared" ca="1" si="30"/>
        <v>0</v>
      </c>
      <c r="BH21" s="94">
        <f t="shared" ca="1" si="30"/>
        <v>0</v>
      </c>
      <c r="BI21" s="94">
        <f t="shared" ca="1" si="30"/>
        <v>0</v>
      </c>
      <c r="BJ21" s="94">
        <f t="shared" ca="1" si="30"/>
        <v>0</v>
      </c>
      <c r="BK21" s="94">
        <f t="shared" ca="1" si="30"/>
        <v>0</v>
      </c>
      <c r="BL21" s="49"/>
      <c r="BM21" s="49"/>
      <c r="BN21" s="49"/>
    </row>
    <row r="22" spans="1:66">
      <c r="A22" s="699"/>
      <c r="B22" s="699" t="s">
        <v>1132</v>
      </c>
      <c r="C22" s="699"/>
      <c r="D22" s="699"/>
      <c r="E22" s="699"/>
      <c r="F22" s="1087">
        <f>+F11*Assumptions!$N$96*F15</f>
        <v>0</v>
      </c>
      <c r="G22" s="1087">
        <f>+G11*Assumptions!$N$96*G15</f>
        <v>0</v>
      </c>
      <c r="H22" s="1087">
        <f>+H11*Assumptions!$N$96*H15</f>
        <v>0</v>
      </c>
      <c r="I22" s="1087">
        <f>+I11*Assumptions!$N$96*I15</f>
        <v>0</v>
      </c>
      <c r="J22" s="1087">
        <f>+J11*Assumptions!$N$96*J15</f>
        <v>1704257.3902659838</v>
      </c>
      <c r="K22" s="1087">
        <f>+K11*Assumptions!$N$96*K15</f>
        <v>1755385.1119739632</v>
      </c>
      <c r="L22" s="1087">
        <f>+L11*Assumptions!$N$96*L15</f>
        <v>1808046.6653331821</v>
      </c>
      <c r="M22" s="1087">
        <f>+M11*Assumptions!$N$96*M15</f>
        <v>1862288.0652931777</v>
      </c>
      <c r="N22" s="1087">
        <f>+N11*Assumptions!$N$96*N15</f>
        <v>1918156.7072519732</v>
      </c>
      <c r="O22" s="1087">
        <f>+O11*Assumptions!$N$96*O15</f>
        <v>1975701.4084695324</v>
      </c>
      <c r="P22" s="1087">
        <f>+P11*Assumptions!$N$96*P15</f>
        <v>2034972.4507236183</v>
      </c>
      <c r="Q22" s="1087">
        <f>+Q11*Assumptions!$N$96*Q15</f>
        <v>2096021.624245327</v>
      </c>
      <c r="R22" s="1087">
        <f>+R11*Assumptions!$N$96*R15</f>
        <v>2158902.2729726867</v>
      </c>
      <c r="S22" s="1087">
        <f>+S11*Assumptions!$N$96*S15</f>
        <v>2223669.3411618676</v>
      </c>
      <c r="T22" s="1087">
        <f>+T11*Assumptions!$N$96*T15</f>
        <v>2290379.4213967239</v>
      </c>
      <c r="U22" s="1087">
        <f>+U11*Assumptions!$N$96*U15</f>
        <v>2359090.8040386257</v>
      </c>
      <c r="V22" s="1087">
        <f>+V11*Assumptions!$N$96*V15</f>
        <v>2429863.5281597846</v>
      </c>
      <c r="W22" s="1087">
        <f>+W11*Assumptions!$N$96*W15</f>
        <v>2502759.4340045783</v>
      </c>
      <c r="X22" s="1087">
        <f>+X11*Assumptions!$N$96*X15</f>
        <v>2577842.2170247156</v>
      </c>
      <c r="Y22" s="1087">
        <f>+Y11*Assumptions!$N$96*Y15</f>
        <v>2655177.4835354569</v>
      </c>
      <c r="Z22" s="1087">
        <f>+Z11*Assumptions!$N$96*Z15</f>
        <v>2734832.8080415209</v>
      </c>
      <c r="AA22" s="699"/>
      <c r="AB22" s="699"/>
      <c r="AC22" s="699"/>
      <c r="AD22" s="699"/>
      <c r="AE22" s="49"/>
      <c r="AF22" s="49"/>
      <c r="AG22" s="49"/>
      <c r="AH22" s="49"/>
      <c r="AI22" s="49"/>
      <c r="AJ22" s="49"/>
      <c r="AK22" s="49"/>
      <c r="AL22" s="49"/>
      <c r="AM22" s="223" t="s">
        <v>1136</v>
      </c>
      <c r="AN22" s="223"/>
      <c r="AO22" s="223"/>
      <c r="AP22" s="223"/>
      <c r="AQ22" s="772" t="str">
        <f ca="1">+IFERROR(AQ21/AQ15,"")</f>
        <v/>
      </c>
      <c r="AR22" s="772" t="str">
        <f t="shared" ref="AR22:BK22" ca="1" si="31">+IFERROR(AR21/AR15,"")</f>
        <v/>
      </c>
      <c r="AS22" s="772" t="str">
        <f t="shared" ca="1" si="31"/>
        <v/>
      </c>
      <c r="AT22" s="772" t="str">
        <f t="shared" ca="1" si="31"/>
        <v/>
      </c>
      <c r="AU22" s="772" t="str">
        <f t="shared" ca="1" si="31"/>
        <v/>
      </c>
      <c r="AV22" s="772" t="str">
        <f t="shared" ca="1" si="31"/>
        <v/>
      </c>
      <c r="AW22" s="772" t="str">
        <f t="shared" ca="1" si="31"/>
        <v/>
      </c>
      <c r="AX22" s="772" t="str">
        <f t="shared" ca="1" si="31"/>
        <v/>
      </c>
      <c r="AY22" s="772" t="str">
        <f t="shared" ca="1" si="31"/>
        <v/>
      </c>
      <c r="AZ22" s="772" t="str">
        <f t="shared" ca="1" si="31"/>
        <v/>
      </c>
      <c r="BA22" s="772" t="str">
        <f t="shared" ca="1" si="31"/>
        <v/>
      </c>
      <c r="BB22" s="772" t="str">
        <f t="shared" ca="1" si="31"/>
        <v/>
      </c>
      <c r="BC22" s="772" t="str">
        <f t="shared" ca="1" si="31"/>
        <v/>
      </c>
      <c r="BD22" s="772" t="str">
        <f t="shared" ca="1" si="31"/>
        <v/>
      </c>
      <c r="BE22" s="772" t="str">
        <f t="shared" ca="1" si="31"/>
        <v/>
      </c>
      <c r="BF22" s="772" t="str">
        <f t="shared" ca="1" si="31"/>
        <v/>
      </c>
      <c r="BG22" s="772" t="str">
        <f t="shared" ca="1" si="31"/>
        <v/>
      </c>
      <c r="BH22" s="772" t="str">
        <f t="shared" ca="1" si="31"/>
        <v/>
      </c>
      <c r="BI22" s="772" t="str">
        <f t="shared" ca="1" si="31"/>
        <v/>
      </c>
      <c r="BJ22" s="772" t="str">
        <f t="shared" ca="1" si="31"/>
        <v/>
      </c>
      <c r="BK22" s="772" t="str">
        <f t="shared" ca="1" si="31"/>
        <v/>
      </c>
      <c r="BL22" s="49"/>
      <c r="BM22" s="49"/>
      <c r="BN22" s="49"/>
    </row>
    <row r="23" spans="1:66">
      <c r="A23" s="699"/>
      <c r="B23" s="699" t="s">
        <v>1133</v>
      </c>
      <c r="C23" s="699"/>
      <c r="D23" s="699"/>
      <c r="E23" s="699"/>
      <c r="F23" s="1050">
        <f ca="1">+IFERROR(INDEX('Taxes and TIF'!$M$11:$M$45,MATCH('Phase 1 Pro Forma'!F$7,'Taxes and TIF'!$B$11:$B$45,0)),0)*'Loan Sizing'!$I$22*'Phase 1 Pro Forma'!F12</f>
        <v>0</v>
      </c>
      <c r="G23" s="1050">
        <f ca="1">+IFERROR(INDEX('Taxes and TIF'!$M$11:$M$45,MATCH('Phase 1 Pro Forma'!G$7,'Taxes and TIF'!$B$11:$B$45,0)),0)*'Loan Sizing'!$I$22*'Phase 1 Pro Forma'!G12</f>
        <v>0</v>
      </c>
      <c r="H23" s="1050">
        <f ca="1">+IFERROR(INDEX('Taxes and TIF'!$M$11:$M$45,MATCH('Phase 1 Pro Forma'!H$7,'Taxes and TIF'!$B$11:$B$45,0)),0)*'Loan Sizing'!$I$22*'Phase 1 Pro Forma'!H12</f>
        <v>0</v>
      </c>
      <c r="I23" s="1050">
        <f ca="1">+IFERROR(INDEX('Taxes and TIF'!$M$11:$M$45,MATCH('Phase 1 Pro Forma'!I$7,'Taxes and TIF'!$B$11:$B$45,0)),0)*'Loan Sizing'!$I$22*'Phase 1 Pro Forma'!I12</f>
        <v>0</v>
      </c>
      <c r="J23" s="1050">
        <f ca="1">+IFERROR(INDEX('Taxes and TIF'!$M$11:$M$45,MATCH('Phase 1 Pro Forma'!J$7,'Taxes and TIF'!$B$11:$B$45,0)),0)*'Loan Sizing'!$I$22*'Phase 1 Pro Forma'!J12</f>
        <v>318059.08187448297</v>
      </c>
      <c r="K23" s="1050">
        <f ca="1">+IFERROR(INDEX('Taxes and TIF'!$M$11:$M$45,MATCH('Phase 1 Pro Forma'!K$7,'Taxes and TIF'!$B$11:$B$45,0)),0)*'Loan Sizing'!$I$22*'Phase 1 Pro Forma'!K12</f>
        <v>318059.08187448297</v>
      </c>
      <c r="L23" s="1050">
        <f ca="1">+IFERROR(INDEX('Taxes and TIF'!$M$11:$M$45,MATCH('Phase 1 Pro Forma'!L$7,'Taxes and TIF'!$B$11:$B$45,0)),0)*'Loan Sizing'!$I$22*'Phase 1 Pro Forma'!L12</f>
        <v>318059.08187448297</v>
      </c>
      <c r="M23" s="1050">
        <f ca="1">+IFERROR(INDEX('Taxes and TIF'!$M$11:$M$45,MATCH('Phase 1 Pro Forma'!M$7,'Taxes and TIF'!$B$11:$B$45,0)),0)*'Loan Sizing'!$I$22*'Phase 1 Pro Forma'!M12</f>
        <v>327600.85433071753</v>
      </c>
      <c r="N23" s="1050">
        <f ca="1">+IFERROR(INDEX('Taxes and TIF'!$M$11:$M$45,MATCH('Phase 1 Pro Forma'!N$7,'Taxes and TIF'!$B$11:$B$45,0)),0)*'Loan Sizing'!$I$22*'Phase 1 Pro Forma'!N12</f>
        <v>327600.85433071753</v>
      </c>
      <c r="O23" s="1050">
        <f ca="1">+IFERROR(INDEX('Taxes and TIF'!$M$11:$M$45,MATCH('Phase 1 Pro Forma'!O$7,'Taxes and TIF'!$B$11:$B$45,0)),0)*'Loan Sizing'!$I$22*'Phase 1 Pro Forma'!O12</f>
        <v>327600.85433071753</v>
      </c>
      <c r="P23" s="1050">
        <f ca="1">+IFERROR(INDEX('Taxes and TIF'!$M$11:$M$45,MATCH('Phase 1 Pro Forma'!P$7,'Taxes and TIF'!$B$11:$B$45,0)),0)*'Loan Sizing'!$I$22*'Phase 1 Pro Forma'!P12</f>
        <v>337428.87996063905</v>
      </c>
      <c r="Q23" s="1050">
        <f ca="1">+IFERROR(INDEX('Taxes and TIF'!$M$11:$M$45,MATCH('Phase 1 Pro Forma'!Q$7,'Taxes and TIF'!$B$11:$B$45,0)),0)*'Loan Sizing'!$I$22*'Phase 1 Pro Forma'!Q12</f>
        <v>337428.87996063905</v>
      </c>
      <c r="R23" s="1050">
        <f ca="1">+IFERROR(INDEX('Taxes and TIF'!$M$11:$M$45,MATCH('Phase 1 Pro Forma'!R$7,'Taxes and TIF'!$B$11:$B$45,0)),0)*'Loan Sizing'!$I$22*'Phase 1 Pro Forma'!R12</f>
        <v>337428.87996063905</v>
      </c>
      <c r="S23" s="1050">
        <f ca="1">+IFERROR(INDEX('Taxes and TIF'!$M$11:$M$45,MATCH('Phase 1 Pro Forma'!S$7,'Taxes and TIF'!$B$11:$B$45,0)),0)*'Loan Sizing'!$I$22*'Phase 1 Pro Forma'!S12</f>
        <v>347551.74635945831</v>
      </c>
      <c r="T23" s="1050">
        <f ca="1">+IFERROR(INDEX('Taxes and TIF'!$M$11:$M$45,MATCH('Phase 1 Pro Forma'!T$7,'Taxes and TIF'!$B$11:$B$45,0)),0)*'Loan Sizing'!$I$22*'Phase 1 Pro Forma'!T12</f>
        <v>347551.74635945831</v>
      </c>
      <c r="U23" s="1050">
        <f ca="1">+IFERROR(INDEX('Taxes and TIF'!$M$11:$M$45,MATCH('Phase 1 Pro Forma'!U$7,'Taxes and TIF'!$B$11:$B$45,0)),0)*'Loan Sizing'!$I$22*'Phase 1 Pro Forma'!U12</f>
        <v>347551.74635945831</v>
      </c>
      <c r="V23" s="1050">
        <f ca="1">+IFERROR(INDEX('Taxes and TIF'!$M$11:$M$45,MATCH('Phase 1 Pro Forma'!V$7,'Taxes and TIF'!$B$11:$B$45,0)),0)*'Loan Sizing'!$I$22*'Phase 1 Pro Forma'!V12</f>
        <v>357978.29875024199</v>
      </c>
      <c r="W23" s="1050">
        <f ca="1">+IFERROR(INDEX('Taxes and TIF'!$M$11:$M$45,MATCH('Phase 1 Pro Forma'!W$7,'Taxes and TIF'!$B$11:$B$45,0)),0)*'Loan Sizing'!$I$22*'Phase 1 Pro Forma'!W12</f>
        <v>357978.29875024199</v>
      </c>
      <c r="X23" s="1050">
        <f ca="1">+IFERROR(INDEX('Taxes and TIF'!$M$11:$M$45,MATCH('Phase 1 Pro Forma'!X$7,'Taxes and TIF'!$B$11:$B$45,0)),0)*'Loan Sizing'!$I$22*'Phase 1 Pro Forma'!X12</f>
        <v>357978.29875024199</v>
      </c>
      <c r="Y23" s="1050">
        <f ca="1">+IFERROR(INDEX('Taxes and TIF'!$M$11:$M$45,MATCH('Phase 1 Pro Forma'!Y$7,'Taxes and TIF'!$B$11:$B$45,0)),0)*'Loan Sizing'!$I$22*'Phase 1 Pro Forma'!Y12</f>
        <v>368717.64771274925</v>
      </c>
      <c r="Z23" s="1050">
        <f ca="1">+IFERROR(INDEX('Taxes and TIF'!$M$11:$M$45,MATCH('Phase 1 Pro Forma'!Z$7,'Taxes and TIF'!$B$11:$B$45,0)),0)*'Loan Sizing'!$I$22*'Phase 1 Pro Forma'!Z12</f>
        <v>368717.64771274925</v>
      </c>
      <c r="AA23" s="699"/>
      <c r="AB23" s="699"/>
      <c r="AC23" s="699"/>
      <c r="AD23" s="699"/>
      <c r="AE23" s="49"/>
      <c r="AF23" s="49"/>
      <c r="AG23" s="49"/>
      <c r="AH23" s="49"/>
      <c r="AI23" s="49"/>
      <c r="AJ23" s="49"/>
      <c r="AK23" s="49"/>
      <c r="AL23" s="49"/>
      <c r="AM23" s="223" t="s">
        <v>1064</v>
      </c>
      <c r="AN23" s="223"/>
      <c r="AO23" s="223"/>
      <c r="AP23" s="223"/>
      <c r="AQ23" s="224">
        <f ca="1">+AQ21/Assumptions!$F$45</f>
        <v>0</v>
      </c>
      <c r="AR23" s="224">
        <f ca="1">+AR21/Assumptions!$F$45</f>
        <v>0</v>
      </c>
      <c r="AS23" s="224">
        <f ca="1">+AS21/Assumptions!$F$45</f>
        <v>0</v>
      </c>
      <c r="AT23" s="224">
        <f ca="1">+AT21/Assumptions!$F$45</f>
        <v>0</v>
      </c>
      <c r="AU23" s="224">
        <f ca="1">+AU21/Assumptions!$F$45</f>
        <v>0</v>
      </c>
      <c r="AV23" s="224">
        <f ca="1">+AV21/Assumptions!$F$45</f>
        <v>0</v>
      </c>
      <c r="AW23" s="224">
        <f ca="1">+AW21/Assumptions!$F$45</f>
        <v>0</v>
      </c>
      <c r="AX23" s="224">
        <f ca="1">+AX21/Assumptions!$F$45</f>
        <v>0</v>
      </c>
      <c r="AY23" s="224">
        <f ca="1">+AY21/Assumptions!$F$45</f>
        <v>0</v>
      </c>
      <c r="AZ23" s="224">
        <f ca="1">+AZ21/Assumptions!$F$45</f>
        <v>0</v>
      </c>
      <c r="BA23" s="224">
        <f ca="1">+BA21/Assumptions!$F$45</f>
        <v>0</v>
      </c>
      <c r="BB23" s="224">
        <f ca="1">+BB21/Assumptions!$F$45</f>
        <v>0</v>
      </c>
      <c r="BC23" s="224">
        <f ca="1">+BC21/Assumptions!$F$45</f>
        <v>0</v>
      </c>
      <c r="BD23" s="224">
        <f ca="1">+BD21/Assumptions!$F$45</f>
        <v>0</v>
      </c>
      <c r="BE23" s="224">
        <f ca="1">+BE21/Assumptions!$F$45</f>
        <v>0</v>
      </c>
      <c r="BF23" s="224">
        <f ca="1">+BF21/Assumptions!$F$45</f>
        <v>0</v>
      </c>
      <c r="BG23" s="224">
        <f ca="1">+BG21/Assumptions!$F$45</f>
        <v>0</v>
      </c>
      <c r="BH23" s="224">
        <f ca="1">+BH21/Assumptions!$F$45</f>
        <v>0</v>
      </c>
      <c r="BI23" s="224">
        <f ca="1">+BI21/Assumptions!$F$45</f>
        <v>0</v>
      </c>
      <c r="BJ23" s="224">
        <f ca="1">+BJ21/Assumptions!$F$45</f>
        <v>0</v>
      </c>
      <c r="BK23" s="224">
        <f ca="1">+BK21/Assumptions!$F$45</f>
        <v>0</v>
      </c>
      <c r="BL23" s="49"/>
      <c r="BM23" s="49"/>
      <c r="BN23" s="49"/>
    </row>
    <row r="24" spans="1:66" ht="15.75">
      <c r="A24" s="699"/>
      <c r="B24" s="52" t="s">
        <v>1134</v>
      </c>
      <c r="C24" s="1052"/>
      <c r="D24" s="1052"/>
      <c r="E24" s="1052"/>
      <c r="F24" s="1088">
        <f ca="1">+SUM(F22:F23)</f>
        <v>0</v>
      </c>
      <c r="G24" s="1088">
        <f t="shared" ref="G24:Z24" ca="1" si="32">+SUM(G22:G23)</f>
        <v>0</v>
      </c>
      <c r="H24" s="1088">
        <f t="shared" ca="1" si="32"/>
        <v>0</v>
      </c>
      <c r="I24" s="1088">
        <f t="shared" ca="1" si="32"/>
        <v>0</v>
      </c>
      <c r="J24" s="1088">
        <f t="shared" ca="1" si="32"/>
        <v>2022316.4721404668</v>
      </c>
      <c r="K24" s="1088">
        <f t="shared" ca="1" si="32"/>
        <v>2073444.1938484462</v>
      </c>
      <c r="L24" s="1088">
        <f t="shared" ca="1" si="32"/>
        <v>2126105.7472076649</v>
      </c>
      <c r="M24" s="1088">
        <f t="shared" ca="1" si="32"/>
        <v>2189888.9196238951</v>
      </c>
      <c r="N24" s="1088">
        <f t="shared" ca="1" si="32"/>
        <v>2245757.5615826906</v>
      </c>
      <c r="O24" s="1088">
        <f t="shared" ca="1" si="32"/>
        <v>2303302.2628002497</v>
      </c>
      <c r="P24" s="1088">
        <f t="shared" ca="1" si="32"/>
        <v>2372401.3306842572</v>
      </c>
      <c r="Q24" s="1088">
        <f t="shared" ca="1" si="32"/>
        <v>2433450.5042059659</v>
      </c>
      <c r="R24" s="1088">
        <f t="shared" ca="1" si="32"/>
        <v>2496331.1529333256</v>
      </c>
      <c r="S24" s="1088">
        <f t="shared" ca="1" si="32"/>
        <v>2571221.0875213258</v>
      </c>
      <c r="T24" s="1088">
        <f t="shared" ca="1" si="32"/>
        <v>2637931.1677561821</v>
      </c>
      <c r="U24" s="1088">
        <f t="shared" ca="1" si="32"/>
        <v>2706642.5503980839</v>
      </c>
      <c r="V24" s="1088">
        <f t="shared" ca="1" si="32"/>
        <v>2787841.8269100264</v>
      </c>
      <c r="W24" s="1088">
        <f t="shared" ca="1" si="32"/>
        <v>2860737.73275482</v>
      </c>
      <c r="X24" s="1088">
        <f t="shared" ca="1" si="32"/>
        <v>2935820.5157749578</v>
      </c>
      <c r="Y24" s="1088">
        <f t="shared" ca="1" si="32"/>
        <v>3023895.1312482064</v>
      </c>
      <c r="Z24" s="1088">
        <f t="shared" ca="1" si="32"/>
        <v>3103550.4557542703</v>
      </c>
      <c r="AA24" s="699"/>
      <c r="AB24" s="699"/>
      <c r="AC24" s="699"/>
      <c r="AD24" s="699"/>
      <c r="AE24" s="49"/>
      <c r="AF24" s="49"/>
      <c r="AG24" s="49"/>
      <c r="AH24" s="49"/>
      <c r="AI24" s="49"/>
      <c r="AJ24" s="49"/>
      <c r="AK24" s="49"/>
      <c r="AL24" s="49"/>
      <c r="AM24" s="81"/>
      <c r="AN24" s="49"/>
      <c r="AO24" s="49"/>
      <c r="AP24" s="49"/>
      <c r="AQ24" s="768"/>
      <c r="AR24" s="768"/>
      <c r="AS24" s="768"/>
      <c r="AT24" s="768"/>
      <c r="AU24" s="768"/>
      <c r="AV24" s="768"/>
      <c r="AW24" s="768"/>
      <c r="AX24" s="768"/>
      <c r="AY24" s="768"/>
      <c r="AZ24" s="768"/>
      <c r="BA24" s="768"/>
      <c r="BB24" s="768"/>
      <c r="BC24" s="768"/>
      <c r="BD24" s="768"/>
      <c r="BE24" s="768"/>
      <c r="BF24" s="768"/>
      <c r="BG24" s="768"/>
      <c r="BH24" s="768"/>
      <c r="BI24" s="768"/>
      <c r="BJ24" s="768"/>
      <c r="BK24" s="768"/>
      <c r="BL24" s="49"/>
      <c r="BM24" s="49"/>
      <c r="BN24" s="49"/>
    </row>
    <row r="25" spans="1:66" ht="15.75">
      <c r="A25" s="699"/>
      <c r="B25" s="699"/>
      <c r="C25" s="699"/>
      <c r="D25" s="699"/>
      <c r="E25" s="699"/>
      <c r="F25" s="699"/>
      <c r="G25" s="699"/>
      <c r="H25" s="699"/>
      <c r="I25" s="699"/>
      <c r="J25" s="699"/>
      <c r="K25" s="699"/>
      <c r="L25" s="699"/>
      <c r="M25" s="699"/>
      <c r="N25" s="699"/>
      <c r="O25" s="699"/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699"/>
      <c r="AA25" s="699"/>
      <c r="AB25" s="699"/>
      <c r="AC25" s="699"/>
      <c r="AD25" s="699"/>
      <c r="AE25" s="49"/>
      <c r="AF25" s="49"/>
      <c r="AG25" s="49"/>
      <c r="AH25" s="49"/>
      <c r="AI25" s="49"/>
      <c r="AJ25" s="49"/>
      <c r="AK25" s="49"/>
      <c r="AL25" s="49"/>
      <c r="AM25" s="81" t="s">
        <v>1137</v>
      </c>
      <c r="AN25" s="49"/>
      <c r="AO25" s="49"/>
      <c r="AP25" s="49"/>
      <c r="AQ25" s="768">
        <f>+Assumptions!$F$27</f>
        <v>45291</v>
      </c>
      <c r="AR25" s="768">
        <f>+EOMONTH(AQ25,12)</f>
        <v>45657</v>
      </c>
      <c r="AS25" s="768">
        <f t="shared" ref="AS25" si="33">+EOMONTH(AR25,12)</f>
        <v>46022</v>
      </c>
      <c r="AT25" s="768">
        <f t="shared" ref="AT25" si="34">+EOMONTH(AS25,12)</f>
        <v>46387</v>
      </c>
      <c r="AU25" s="768">
        <f t="shared" ref="AU25" si="35">+EOMONTH(AT25,12)</f>
        <v>46752</v>
      </c>
      <c r="AV25" s="768">
        <f t="shared" ref="AV25" si="36">+EOMONTH(AU25,12)</f>
        <v>47118</v>
      </c>
      <c r="AW25" s="768">
        <f t="shared" ref="AW25" si="37">+EOMONTH(AV25,12)</f>
        <v>47483</v>
      </c>
      <c r="AX25" s="768">
        <f t="shared" ref="AX25" si="38">+EOMONTH(AW25,12)</f>
        <v>47848</v>
      </c>
      <c r="AY25" s="768">
        <f t="shared" ref="AY25" si="39">+EOMONTH(AX25,12)</f>
        <v>48213</v>
      </c>
      <c r="AZ25" s="768">
        <f t="shared" ref="AZ25" si="40">+EOMONTH(AY25,12)</f>
        <v>48579</v>
      </c>
      <c r="BA25" s="768">
        <f t="shared" ref="BA25" si="41">+EOMONTH(AZ25,12)</f>
        <v>48944</v>
      </c>
      <c r="BB25" s="768">
        <f t="shared" ref="BB25" si="42">+EOMONTH(BA25,12)</f>
        <v>49309</v>
      </c>
      <c r="BC25" s="768">
        <f t="shared" ref="BC25" si="43">+EOMONTH(BB25,12)</f>
        <v>49674</v>
      </c>
      <c r="BD25" s="768">
        <f t="shared" ref="BD25" si="44">+EOMONTH(BC25,12)</f>
        <v>50040</v>
      </c>
      <c r="BE25" s="768">
        <f t="shared" ref="BE25" si="45">+EOMONTH(BD25,12)</f>
        <v>50405</v>
      </c>
      <c r="BF25" s="768">
        <f t="shared" ref="BF25" si="46">+EOMONTH(BE25,12)</f>
        <v>50770</v>
      </c>
      <c r="BG25" s="768">
        <f t="shared" ref="BG25" si="47">+EOMONTH(BF25,12)</f>
        <v>51135</v>
      </c>
      <c r="BH25" s="768">
        <f t="shared" ref="BH25" si="48">+EOMONTH(BG25,12)</f>
        <v>51501</v>
      </c>
      <c r="BI25" s="768">
        <f t="shared" ref="BI25" si="49">+EOMONTH(BH25,12)</f>
        <v>51866</v>
      </c>
      <c r="BJ25" s="768">
        <f t="shared" ref="BJ25" si="50">+EOMONTH(BI25,12)</f>
        <v>52231</v>
      </c>
      <c r="BK25" s="768">
        <f t="shared" ref="BK25" si="51">+EOMONTH(BJ25,12)</f>
        <v>52596</v>
      </c>
      <c r="BL25" s="49"/>
      <c r="BM25" s="49"/>
      <c r="BN25" s="49"/>
    </row>
    <row r="26" spans="1:66" ht="15.75">
      <c r="A26" s="699"/>
      <c r="B26" s="50" t="s">
        <v>1135</v>
      </c>
      <c r="C26" s="50"/>
      <c r="D26" s="50"/>
      <c r="E26" s="50"/>
      <c r="F26" s="55">
        <f ca="1">+F20-F24</f>
        <v>0</v>
      </c>
      <c r="G26" s="55">
        <f t="shared" ref="G26:Z26" ca="1" si="52">+G20-G24</f>
        <v>0</v>
      </c>
      <c r="H26" s="55">
        <f t="shared" ca="1" si="52"/>
        <v>0</v>
      </c>
      <c r="I26" s="55">
        <f t="shared" ca="1" si="52"/>
        <v>0</v>
      </c>
      <c r="J26" s="55">
        <f t="shared" ca="1" si="52"/>
        <v>1394616.7189061157</v>
      </c>
      <c r="K26" s="55">
        <f t="shared" ca="1" si="52"/>
        <v>1445996.9929295338</v>
      </c>
      <c r="L26" s="55">
        <f t="shared" ca="1" si="52"/>
        <v>1498918.6751736542</v>
      </c>
      <c r="M26" s="55">
        <f t="shared" ca="1" si="52"/>
        <v>1543886.2354288646</v>
      </c>
      <c r="N26" s="55">
        <f t="shared" ca="1" si="52"/>
        <v>1600030.8481216514</v>
      </c>
      <c r="O26" s="55">
        <f t="shared" ca="1" si="52"/>
        <v>1657859.799195223</v>
      </c>
      <c r="P26" s="55">
        <f t="shared" ca="1" si="52"/>
        <v>1707595.5931710801</v>
      </c>
      <c r="Q26" s="55">
        <f t="shared" ca="1" si="52"/>
        <v>1768946.327365031</v>
      </c>
      <c r="R26" s="55">
        <f t="shared" ca="1" si="52"/>
        <v>1832137.5835848013</v>
      </c>
      <c r="S26" s="55">
        <f t="shared" ca="1" si="52"/>
        <v>1887101.7110923454</v>
      </c>
      <c r="T26" s="55">
        <f t="shared" ca="1" si="52"/>
        <v>1954141.3148159003</v>
      </c>
      <c r="U26" s="55">
        <f t="shared" ca="1" si="52"/>
        <v>2023192.1066511604</v>
      </c>
      <c r="V26" s="55">
        <f t="shared" ca="1" si="52"/>
        <v>2083887.8698506961</v>
      </c>
      <c r="W26" s="55">
        <f t="shared" ca="1" si="52"/>
        <v>2157143.8549087234</v>
      </c>
      <c r="X26" s="55">
        <f t="shared" ca="1" si="52"/>
        <v>2232597.5195184927</v>
      </c>
      <c r="Y26" s="55">
        <f t="shared" ca="1" si="52"/>
        <v>2299575.4451040472</v>
      </c>
      <c r="Z26" s="55">
        <f t="shared" ca="1" si="52"/>
        <v>2379624.2378885518</v>
      </c>
      <c r="AA26" s="699"/>
      <c r="AB26" s="699"/>
      <c r="AC26" s="699"/>
      <c r="AD26" s="699"/>
      <c r="AE26" s="49"/>
      <c r="AF26" s="49"/>
      <c r="AG26" s="49"/>
      <c r="AH26" s="49"/>
      <c r="AI26" s="49"/>
      <c r="AJ26" s="49"/>
      <c r="AK26" s="49"/>
      <c r="AL26" s="49"/>
      <c r="AM26" s="49" t="s">
        <v>1120</v>
      </c>
      <c r="AN26" s="49"/>
      <c r="AO26" s="49"/>
      <c r="AP26" s="253"/>
      <c r="AQ26" s="253">
        <f>+IF(AQ25=Assumptions!$F$31,Assumptions!$AE$86/ROUNDUP((12/12),0),)</f>
        <v>0</v>
      </c>
      <c r="AR26" s="253">
        <f>+IF(AR25=Assumptions!$F$31,Assumptions!$AE$86/ROUNDUP((12/12),0),)</f>
        <v>0</v>
      </c>
      <c r="AS26" s="253">
        <f>+IF(AS25=Assumptions!$F$31,Assumptions!$AE$86/ROUNDUP((12/12),0),)</f>
        <v>0</v>
      </c>
      <c r="AT26" s="253">
        <f>+IF(AT25=Assumptions!$F$31,Assumptions!$AE$86/ROUNDUP((12/12),0),)</f>
        <v>0</v>
      </c>
      <c r="AU26" s="253">
        <f>+IF(AU25=Assumptions!$F$31,Assumptions!$AE$86/ROUNDUP((12/12),0),)</f>
        <v>0</v>
      </c>
      <c r="AV26" s="253">
        <f>+IF(AV25=Assumptions!$F$31,Assumptions!$AE$86/ROUNDUP((12/12),0),)</f>
        <v>0</v>
      </c>
      <c r="AW26" s="253">
        <f>+IF(AW25=Assumptions!$F$31,Assumptions!$AE$86/ROUNDUP((12/12),0),)</f>
        <v>0</v>
      </c>
      <c r="AX26" s="253">
        <f>+IF(AX25=Assumptions!$F$31,Assumptions!$AE$86/ROUNDUP((12/12),0),)</f>
        <v>0</v>
      </c>
      <c r="AY26" s="253">
        <f>+IF(AY25=Assumptions!$F$31,Assumptions!$AE$86/ROUNDUP((12/12),0),)</f>
        <v>0</v>
      </c>
      <c r="AZ26" s="253">
        <f>+IF(AZ25=Assumptions!$F$31,Assumptions!$AE$86/ROUNDUP((12/12),0),)</f>
        <v>0</v>
      </c>
      <c r="BA26" s="253">
        <f>+IF(BA25=Assumptions!$F$31,Assumptions!$AE$86/ROUNDUP((12/12),0),)</f>
        <v>0</v>
      </c>
      <c r="BB26" s="253">
        <f>+IF(BB25=Assumptions!$F$31,Assumptions!$AE$86/ROUNDUP((12/12),0),)</f>
        <v>0</v>
      </c>
      <c r="BC26" s="253">
        <f>+IF(BC25=Assumptions!$F$31,Assumptions!$AE$86/ROUNDUP((12/12),0),)</f>
        <v>0</v>
      </c>
      <c r="BD26" s="253">
        <f>+IF(BD25=Assumptions!$F$31,Assumptions!$AE$86/ROUNDUP((12/12),0),)</f>
        <v>0</v>
      </c>
      <c r="BE26" s="253">
        <f>+IF(BE25=Assumptions!$F$31,Assumptions!$AE$86/ROUNDUP((12/12),0),)</f>
        <v>0</v>
      </c>
      <c r="BF26" s="253">
        <f>+IF(BF25=Assumptions!$F$31,Assumptions!$AE$86/ROUNDUP((12/12),0),)</f>
        <v>0</v>
      </c>
      <c r="BG26" s="253">
        <f>+IF(BG25=Assumptions!$F$31,Assumptions!$AE$86/ROUNDUP((12/12),0),)</f>
        <v>0</v>
      </c>
      <c r="BH26" s="253">
        <f>+IF(BH25=Assumptions!$F$31,Assumptions!$AE$86/ROUNDUP((12/12),0),)</f>
        <v>0</v>
      </c>
      <c r="BI26" s="253">
        <f>+IF(BI25=Assumptions!$F$31,Assumptions!$AE$86/ROUNDUP((12/12),0),)</f>
        <v>0</v>
      </c>
      <c r="BJ26" s="253">
        <f>+IF(BJ25=Assumptions!$F$31,Assumptions!$AE$86/ROUNDUP((12/12),0),)</f>
        <v>0</v>
      </c>
      <c r="BK26" s="253">
        <f>+IF(BK25=Assumptions!$F$31,Assumptions!$AE$86/ROUNDUP((12/12),0),)</f>
        <v>0</v>
      </c>
      <c r="BL26" s="49"/>
      <c r="BM26" s="49"/>
      <c r="BN26" s="49"/>
    </row>
    <row r="27" spans="1:66">
      <c r="A27" s="699"/>
      <c r="B27" s="51" t="s">
        <v>1136</v>
      </c>
      <c r="C27" s="51"/>
      <c r="D27" s="51"/>
      <c r="E27" s="51"/>
      <c r="F27" s="56" t="str">
        <f ca="1">+IFERROR(F26/F20,"")</f>
        <v/>
      </c>
      <c r="G27" s="56" t="str">
        <f t="shared" ref="G27:Z27" ca="1" si="53">+IFERROR(G26/G20,"")</f>
        <v/>
      </c>
      <c r="H27" s="56" t="str">
        <f t="shared" ca="1" si="53"/>
        <v/>
      </c>
      <c r="I27" s="56" t="str">
        <f t="shared" ca="1" si="53"/>
        <v/>
      </c>
      <c r="J27" s="56">
        <f t="shared" ca="1" si="53"/>
        <v>0.40814866458625565</v>
      </c>
      <c r="K27" s="56">
        <f t="shared" ca="1" si="53"/>
        <v>0.41085982580471314</v>
      </c>
      <c r="L27" s="56">
        <f t="shared" ca="1" si="53"/>
        <v>0.41349202116243888</v>
      </c>
      <c r="M27" s="56">
        <f t="shared" ca="1" si="53"/>
        <v>0.41349202116243899</v>
      </c>
      <c r="N27" s="56">
        <f t="shared" ca="1" si="53"/>
        <v>0.416047550635959</v>
      </c>
      <c r="O27" s="56">
        <f t="shared" ca="1" si="53"/>
        <v>0.41852864721219218</v>
      </c>
      <c r="P27" s="56">
        <f t="shared" ca="1" si="53"/>
        <v>0.41852864721219224</v>
      </c>
      <c r="Q27" s="56">
        <f t="shared" ca="1" si="53"/>
        <v>0.42093747883960297</v>
      </c>
      <c r="R27" s="56">
        <f t="shared" ca="1" si="53"/>
        <v>0.42327615032252608</v>
      </c>
      <c r="S27" s="56">
        <f t="shared" ca="1" si="53"/>
        <v>0.42327615032252608</v>
      </c>
      <c r="T27" s="56">
        <f t="shared" ca="1" si="53"/>
        <v>0.42554670516031556</v>
      </c>
      <c r="U27" s="56">
        <f t="shared" ca="1" si="53"/>
        <v>0.42775112733292658</v>
      </c>
      <c r="V27" s="56">
        <f t="shared" ca="1" si="53"/>
        <v>0.42775112733292669</v>
      </c>
      <c r="W27" s="56">
        <f t="shared" ca="1" si="53"/>
        <v>0.42989134303449072</v>
      </c>
      <c r="X27" s="56">
        <f t="shared" ca="1" si="53"/>
        <v>0.43196922235639773</v>
      </c>
      <c r="Y27" s="56">
        <f t="shared" ca="1" si="53"/>
        <v>0.43196922235639768</v>
      </c>
      <c r="Z27" s="56">
        <f t="shared" ca="1" si="53"/>
        <v>0.43398658092135595</v>
      </c>
      <c r="AA27" s="699"/>
      <c r="AB27" s="699"/>
      <c r="AC27" s="699"/>
      <c r="AD27" s="699"/>
      <c r="AE27" s="49"/>
      <c r="AF27" s="49"/>
      <c r="AG27" s="49"/>
      <c r="AH27" s="49"/>
      <c r="AI27" s="49"/>
      <c r="AJ27" s="49"/>
      <c r="AK27" s="49"/>
      <c r="AL27" s="49"/>
      <c r="AM27" s="49" t="s">
        <v>1121</v>
      </c>
      <c r="AN27" s="49"/>
      <c r="AO27" s="49"/>
      <c r="AP27" s="253">
        <v>0</v>
      </c>
      <c r="AQ27" s="253">
        <f>+AP27+AQ26</f>
        <v>0</v>
      </c>
      <c r="AR27" s="253">
        <f t="shared" ref="AR27:BK27" si="54">+AQ27+AR26</f>
        <v>0</v>
      </c>
      <c r="AS27" s="253">
        <f t="shared" si="54"/>
        <v>0</v>
      </c>
      <c r="AT27" s="253">
        <f t="shared" si="54"/>
        <v>0</v>
      </c>
      <c r="AU27" s="253">
        <f t="shared" si="54"/>
        <v>0</v>
      </c>
      <c r="AV27" s="253">
        <f t="shared" si="54"/>
        <v>0</v>
      </c>
      <c r="AW27" s="253">
        <f t="shared" si="54"/>
        <v>0</v>
      </c>
      <c r="AX27" s="253">
        <f t="shared" si="54"/>
        <v>0</v>
      </c>
      <c r="AY27" s="253">
        <f t="shared" si="54"/>
        <v>0</v>
      </c>
      <c r="AZ27" s="253">
        <f t="shared" si="54"/>
        <v>0</v>
      </c>
      <c r="BA27" s="253">
        <f t="shared" si="54"/>
        <v>0</v>
      </c>
      <c r="BB27" s="253">
        <f t="shared" si="54"/>
        <v>0</v>
      </c>
      <c r="BC27" s="253">
        <f t="shared" si="54"/>
        <v>0</v>
      </c>
      <c r="BD27" s="253">
        <f t="shared" si="54"/>
        <v>0</v>
      </c>
      <c r="BE27" s="253">
        <f t="shared" si="54"/>
        <v>0</v>
      </c>
      <c r="BF27" s="253">
        <f t="shared" si="54"/>
        <v>0</v>
      </c>
      <c r="BG27" s="253">
        <f t="shared" si="54"/>
        <v>0</v>
      </c>
      <c r="BH27" s="253">
        <f t="shared" si="54"/>
        <v>0</v>
      </c>
      <c r="BI27" s="253">
        <f t="shared" si="54"/>
        <v>0</v>
      </c>
      <c r="BJ27" s="253">
        <f t="shared" si="54"/>
        <v>0</v>
      </c>
      <c r="BK27" s="253">
        <f t="shared" si="54"/>
        <v>0</v>
      </c>
      <c r="BL27" s="49"/>
      <c r="BM27" s="49"/>
      <c r="BN27" s="49"/>
    </row>
    <row r="28" spans="1:66">
      <c r="A28" s="699"/>
      <c r="B28" s="51" t="s">
        <v>1064</v>
      </c>
      <c r="C28" s="51"/>
      <c r="D28" s="51"/>
      <c r="E28" s="51"/>
      <c r="F28" s="57">
        <f ca="1">+F26/Assumptions!$F$45</f>
        <v>0</v>
      </c>
      <c r="G28" s="57">
        <f ca="1">+G26/Assumptions!$F$45</f>
        <v>0</v>
      </c>
      <c r="H28" s="57">
        <f ca="1">+H26/Assumptions!$F$45</f>
        <v>0</v>
      </c>
      <c r="I28" s="57">
        <f ca="1">+I26/Assumptions!$F$45</f>
        <v>0</v>
      </c>
      <c r="J28" s="57">
        <f ca="1">+J26/Assumptions!$F$45</f>
        <v>32814511.033085074</v>
      </c>
      <c r="K28" s="57">
        <f ca="1">+K26/Assumptions!$F$45</f>
        <v>34023458.657165498</v>
      </c>
      <c r="L28" s="57">
        <f ca="1">+L26/Assumptions!$F$45</f>
        <v>35268674.709968328</v>
      </c>
      <c r="M28" s="57">
        <f ca="1">+M26/Assumptions!$F$45</f>
        <v>36326734.951267399</v>
      </c>
      <c r="N28" s="57">
        <f ca="1">+N26/Assumptions!$F$45</f>
        <v>37647784.661685914</v>
      </c>
      <c r="O28" s="57">
        <f ca="1">+O26/Assumptions!$F$45</f>
        <v>39008465.863417007</v>
      </c>
      <c r="P28" s="57">
        <f ca="1">+P26/Assumptions!$F$45</f>
        <v>40178719.839319527</v>
      </c>
      <c r="Q28" s="57">
        <f ca="1">+Q26/Assumptions!$F$45</f>
        <v>41622266.52623602</v>
      </c>
      <c r="R28" s="57">
        <f ca="1">+R26/Assumptions!$F$45</f>
        <v>43109119.613760024</v>
      </c>
      <c r="S28" s="57">
        <f ca="1">+S26/Assumptions!$F$45</f>
        <v>44402393.202172831</v>
      </c>
      <c r="T28" s="57">
        <f ca="1">+T26/Assumptions!$F$45</f>
        <v>45979795.642727062</v>
      </c>
      <c r="U28" s="57">
        <f ca="1">+U26/Assumptions!$F$45</f>
        <v>47604520.156497888</v>
      </c>
      <c r="V28" s="57">
        <f ca="1">+V26/Assumptions!$F$45</f>
        <v>49032655.761192843</v>
      </c>
      <c r="W28" s="57">
        <f ca="1">+W26/Assumptions!$F$45</f>
        <v>50756325.997852311</v>
      </c>
      <c r="X28" s="57">
        <f ca="1">+X26/Assumptions!$F$45</f>
        <v>52531706.341611587</v>
      </c>
      <c r="Y28" s="57">
        <f ca="1">+Y26/Assumptions!$F$45</f>
        <v>54107657.531859927</v>
      </c>
      <c r="Z28" s="57">
        <f ca="1">+Z26/Assumptions!$F$45</f>
        <v>55991158.538554154</v>
      </c>
      <c r="AA28" s="699"/>
      <c r="AB28" s="699"/>
      <c r="AC28" s="699"/>
      <c r="AD28" s="699"/>
      <c r="AE28" s="49"/>
      <c r="AF28" s="49"/>
      <c r="AG28" s="49"/>
      <c r="AH28" s="49"/>
      <c r="AI28" s="49"/>
      <c r="AJ28" s="49"/>
      <c r="AK28" s="49"/>
      <c r="AL28" s="49"/>
      <c r="AM28" s="49" t="s">
        <v>1123</v>
      </c>
      <c r="AN28" s="49"/>
      <c r="AO28" s="49"/>
      <c r="AP28" s="49"/>
      <c r="AQ28" s="769">
        <f>+AQ29-AP29</f>
        <v>0</v>
      </c>
      <c r="AR28" s="769">
        <f t="shared" ref="AR28:BK28" si="55">+AR29-AQ29</f>
        <v>0</v>
      </c>
      <c r="AS28" s="769">
        <f t="shared" si="55"/>
        <v>0</v>
      </c>
      <c r="AT28" s="769">
        <f t="shared" si="55"/>
        <v>0</v>
      </c>
      <c r="AU28" s="769">
        <f t="shared" si="55"/>
        <v>0</v>
      </c>
      <c r="AV28" s="769">
        <f t="shared" si="55"/>
        <v>0</v>
      </c>
      <c r="AW28" s="769">
        <f t="shared" si="55"/>
        <v>0</v>
      </c>
      <c r="AX28" s="769">
        <f t="shared" si="55"/>
        <v>0</v>
      </c>
      <c r="AY28" s="769">
        <f t="shared" si="55"/>
        <v>0</v>
      </c>
      <c r="AZ28" s="769">
        <f t="shared" si="55"/>
        <v>0</v>
      </c>
      <c r="BA28" s="769">
        <f t="shared" si="55"/>
        <v>0</v>
      </c>
      <c r="BB28" s="769">
        <f t="shared" si="55"/>
        <v>0</v>
      </c>
      <c r="BC28" s="769">
        <f t="shared" si="55"/>
        <v>0</v>
      </c>
      <c r="BD28" s="769">
        <f t="shared" si="55"/>
        <v>0</v>
      </c>
      <c r="BE28" s="769">
        <f t="shared" si="55"/>
        <v>0</v>
      </c>
      <c r="BF28" s="769">
        <f t="shared" si="55"/>
        <v>0</v>
      </c>
      <c r="BG28" s="769">
        <f t="shared" si="55"/>
        <v>0</v>
      </c>
      <c r="BH28" s="769">
        <f t="shared" si="55"/>
        <v>0</v>
      </c>
      <c r="BI28" s="769">
        <f t="shared" si="55"/>
        <v>0</v>
      </c>
      <c r="BJ28" s="769">
        <f t="shared" si="55"/>
        <v>0</v>
      </c>
      <c r="BK28" s="769">
        <f t="shared" si="55"/>
        <v>0</v>
      </c>
      <c r="BL28" s="49"/>
      <c r="BM28" s="49"/>
      <c r="BN28" s="49"/>
    </row>
    <row r="29" spans="1:66">
      <c r="A29" s="699"/>
      <c r="B29" s="699"/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/>
      <c r="N29" s="699"/>
      <c r="O29" s="699"/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99"/>
      <c r="AA29" s="699"/>
      <c r="AB29" s="699"/>
      <c r="AC29" s="699"/>
      <c r="AD29" s="699"/>
      <c r="AE29" s="49"/>
      <c r="AF29" s="49"/>
      <c r="AG29" s="49"/>
      <c r="AH29" s="49"/>
      <c r="AI29" s="49"/>
      <c r="AJ29" s="49"/>
      <c r="AK29" s="49"/>
      <c r="AL29" s="49"/>
      <c r="AM29" s="49" t="s">
        <v>1124</v>
      </c>
      <c r="AN29" s="49"/>
      <c r="AO29" s="49"/>
      <c r="AP29" s="49"/>
      <c r="AQ29" s="769">
        <f>+AQ30*Assumptions!$AE$87</f>
        <v>0</v>
      </c>
      <c r="AR29" s="769">
        <f>+AR30*Assumptions!$AE$87</f>
        <v>0</v>
      </c>
      <c r="AS29" s="769">
        <f>+AS30*Assumptions!$AE$87</f>
        <v>0</v>
      </c>
      <c r="AT29" s="769">
        <f>+AT30*Assumptions!$AE$87</f>
        <v>0</v>
      </c>
      <c r="AU29" s="769">
        <f>+AU30*Assumptions!$AE$87</f>
        <v>0</v>
      </c>
      <c r="AV29" s="769">
        <f>+AV30*Assumptions!$AE$87</f>
        <v>0</v>
      </c>
      <c r="AW29" s="769">
        <f>+AW30*Assumptions!$AE$87</f>
        <v>0</v>
      </c>
      <c r="AX29" s="769">
        <f>+AX30*Assumptions!$AE$87</f>
        <v>0</v>
      </c>
      <c r="AY29" s="769">
        <f>+AY30*Assumptions!$AE$87</f>
        <v>0</v>
      </c>
      <c r="AZ29" s="769">
        <f>+AZ30*Assumptions!$AE$87</f>
        <v>0</v>
      </c>
      <c r="BA29" s="769">
        <f>+BA30*Assumptions!$AE$87</f>
        <v>0</v>
      </c>
      <c r="BB29" s="769">
        <f>+BB30*Assumptions!$AE$87</f>
        <v>0</v>
      </c>
      <c r="BC29" s="769">
        <f>+BC30*Assumptions!$AE$87</f>
        <v>0</v>
      </c>
      <c r="BD29" s="769">
        <f>+BD30*Assumptions!$AE$87</f>
        <v>0</v>
      </c>
      <c r="BE29" s="769">
        <f>+BE30*Assumptions!$AE$87</f>
        <v>0</v>
      </c>
      <c r="BF29" s="769">
        <f>+BF30*Assumptions!$AE$87</f>
        <v>0</v>
      </c>
      <c r="BG29" s="769">
        <f>+BG30*Assumptions!$AE$87</f>
        <v>0</v>
      </c>
      <c r="BH29" s="769">
        <f>+BH30*Assumptions!$AE$87</f>
        <v>0</v>
      </c>
      <c r="BI29" s="769">
        <f>+BI30*Assumptions!$AE$87</f>
        <v>0</v>
      </c>
      <c r="BJ29" s="769">
        <f>+BJ30*Assumptions!$AE$87</f>
        <v>0</v>
      </c>
      <c r="BK29" s="769">
        <f>+BK30*Assumptions!$AE$87</f>
        <v>0</v>
      </c>
      <c r="BL29" s="49"/>
      <c r="BM29" s="49"/>
      <c r="BN29" s="49"/>
    </row>
    <row r="30" spans="1:66" ht="15.75">
      <c r="A30" s="699"/>
      <c r="B30" s="53" t="s">
        <v>355</v>
      </c>
      <c r="C30" s="699"/>
      <c r="D30" s="699"/>
      <c r="E30" s="699"/>
      <c r="F30" s="54">
        <f>+Assumptions!$F$27</f>
        <v>45291</v>
      </c>
      <c r="G30" s="54">
        <f>+EOMONTH(F30,12)</f>
        <v>45657</v>
      </c>
      <c r="H30" s="54">
        <f t="shared" ref="H30" si="56">+EOMONTH(G30,12)</f>
        <v>46022</v>
      </c>
      <c r="I30" s="54">
        <f t="shared" ref="I30" si="57">+EOMONTH(H30,12)</f>
        <v>46387</v>
      </c>
      <c r="J30" s="54">
        <f t="shared" ref="J30" si="58">+EOMONTH(I30,12)</f>
        <v>46752</v>
      </c>
      <c r="K30" s="54">
        <f t="shared" ref="K30" si="59">+EOMONTH(J30,12)</f>
        <v>47118</v>
      </c>
      <c r="L30" s="54">
        <f t="shared" ref="L30" si="60">+EOMONTH(K30,12)</f>
        <v>47483</v>
      </c>
      <c r="M30" s="54">
        <f t="shared" ref="M30" si="61">+EOMONTH(L30,12)</f>
        <v>47848</v>
      </c>
      <c r="N30" s="54">
        <f t="shared" ref="N30" si="62">+EOMONTH(M30,12)</f>
        <v>48213</v>
      </c>
      <c r="O30" s="54">
        <f t="shared" ref="O30" si="63">+EOMONTH(N30,12)</f>
        <v>48579</v>
      </c>
      <c r="P30" s="54">
        <f t="shared" ref="P30" si="64">+EOMONTH(O30,12)</f>
        <v>48944</v>
      </c>
      <c r="Q30" s="54">
        <f t="shared" ref="Q30" si="65">+EOMONTH(P30,12)</f>
        <v>49309</v>
      </c>
      <c r="R30" s="54">
        <f t="shared" ref="R30" si="66">+EOMONTH(Q30,12)</f>
        <v>49674</v>
      </c>
      <c r="S30" s="54">
        <f t="shared" ref="S30" si="67">+EOMONTH(R30,12)</f>
        <v>50040</v>
      </c>
      <c r="T30" s="54">
        <f t="shared" ref="T30" si="68">+EOMONTH(S30,12)</f>
        <v>50405</v>
      </c>
      <c r="U30" s="54">
        <f t="shared" ref="U30" si="69">+EOMONTH(T30,12)</f>
        <v>50770</v>
      </c>
      <c r="V30" s="54">
        <f t="shared" ref="V30" si="70">+EOMONTH(U30,12)</f>
        <v>51135</v>
      </c>
      <c r="W30" s="54">
        <f t="shared" ref="W30" si="71">+EOMONTH(V30,12)</f>
        <v>51501</v>
      </c>
      <c r="X30" s="54">
        <f t="shared" ref="X30" si="72">+EOMONTH(W30,12)</f>
        <v>51866</v>
      </c>
      <c r="Y30" s="54">
        <f t="shared" ref="Y30" si="73">+EOMONTH(X30,12)</f>
        <v>52231</v>
      </c>
      <c r="Z30" s="54">
        <f t="shared" ref="Z30" si="74">+EOMONTH(Y30,12)</f>
        <v>52596</v>
      </c>
      <c r="AA30" s="699"/>
      <c r="AB30" s="699"/>
      <c r="AC30" s="699"/>
      <c r="AD30" s="699"/>
      <c r="AE30" s="49"/>
      <c r="AF30" s="49"/>
      <c r="AG30" s="49"/>
      <c r="AH30" s="49"/>
      <c r="AI30" s="49"/>
      <c r="AJ30" s="49"/>
      <c r="AK30" s="49"/>
      <c r="AL30" s="49"/>
      <c r="AM30" s="49" t="s">
        <v>1125</v>
      </c>
      <c r="AN30" s="49"/>
      <c r="AO30" s="49"/>
      <c r="AP30" s="49"/>
      <c r="AQ30" s="770">
        <f t="shared" ref="AQ30:BK30" si="75">+IFERROR(AQ27/SUM($AQ26:$BK26),0)</f>
        <v>0</v>
      </c>
      <c r="AR30" s="770">
        <f t="shared" si="75"/>
        <v>0</v>
      </c>
      <c r="AS30" s="770">
        <f t="shared" si="75"/>
        <v>0</v>
      </c>
      <c r="AT30" s="770">
        <f t="shared" si="75"/>
        <v>0</v>
      </c>
      <c r="AU30" s="770">
        <f t="shared" si="75"/>
        <v>0</v>
      </c>
      <c r="AV30" s="770">
        <f t="shared" si="75"/>
        <v>0</v>
      </c>
      <c r="AW30" s="770">
        <f t="shared" si="75"/>
        <v>0</v>
      </c>
      <c r="AX30" s="770">
        <f t="shared" si="75"/>
        <v>0</v>
      </c>
      <c r="AY30" s="770">
        <f t="shared" si="75"/>
        <v>0</v>
      </c>
      <c r="AZ30" s="770">
        <f t="shared" si="75"/>
        <v>0</v>
      </c>
      <c r="BA30" s="770">
        <f t="shared" si="75"/>
        <v>0</v>
      </c>
      <c r="BB30" s="770">
        <f t="shared" si="75"/>
        <v>0</v>
      </c>
      <c r="BC30" s="770">
        <f t="shared" si="75"/>
        <v>0</v>
      </c>
      <c r="BD30" s="770">
        <f t="shared" si="75"/>
        <v>0</v>
      </c>
      <c r="BE30" s="770">
        <f t="shared" si="75"/>
        <v>0</v>
      </c>
      <c r="BF30" s="770">
        <f t="shared" si="75"/>
        <v>0</v>
      </c>
      <c r="BG30" s="770">
        <f t="shared" si="75"/>
        <v>0</v>
      </c>
      <c r="BH30" s="770">
        <f t="shared" si="75"/>
        <v>0</v>
      </c>
      <c r="BI30" s="770">
        <f t="shared" si="75"/>
        <v>0</v>
      </c>
      <c r="BJ30" s="770">
        <f t="shared" si="75"/>
        <v>0</v>
      </c>
      <c r="BK30" s="770">
        <f t="shared" si="75"/>
        <v>0</v>
      </c>
      <c r="BL30" s="49"/>
      <c r="BM30" s="49"/>
      <c r="BN30" s="49"/>
    </row>
    <row r="31" spans="1:66">
      <c r="A31" s="699"/>
      <c r="B31" s="699" t="s">
        <v>1120</v>
      </c>
      <c r="C31" s="699"/>
      <c r="D31" s="699"/>
      <c r="E31" s="1050"/>
      <c r="F31" s="1050">
        <f>+IF(F30=Assumptions!$F$31,Assumptions!$F$93/ROUNDUP((12/12),0),)</f>
        <v>0</v>
      </c>
      <c r="G31" s="1050">
        <f>+IF(G30=Assumptions!$F$31,Assumptions!$F$93/ROUNDUP((12/12),0),)</f>
        <v>0</v>
      </c>
      <c r="H31" s="1050">
        <f>+IF(H30=Assumptions!$F$31,Assumptions!$F$93/ROUNDUP((12/12),0),)</f>
        <v>0</v>
      </c>
      <c r="I31" s="1050">
        <f>+IF(I30=Assumptions!$F$31,Assumptions!$F$93/ROUNDUP((12/12),0),)</f>
        <v>0</v>
      </c>
      <c r="J31" s="1050">
        <f>+IF(J30=Assumptions!$F$31,Assumptions!$F$93/ROUNDUP((12/12),0),)</f>
        <v>252534.99599999998</v>
      </c>
      <c r="K31" s="1050">
        <f>+IF(K30=Assumptions!$F$31,Assumptions!$F$93/ROUNDUP((12/12),0),)</f>
        <v>0</v>
      </c>
      <c r="L31" s="1050">
        <f>+IF(L30=Assumptions!$F$31,Assumptions!$F$93/ROUNDUP((12/12),0),)</f>
        <v>0</v>
      </c>
      <c r="M31" s="1050">
        <f>+IF(M30=Assumptions!$F$31,Assumptions!$F$93/ROUNDUP((12/12),0),)</f>
        <v>0</v>
      </c>
      <c r="N31" s="1050">
        <f>+IF(N30=Assumptions!$F$31,Assumptions!$F$93/ROUNDUP((12/12),0),)</f>
        <v>0</v>
      </c>
      <c r="O31" s="1050">
        <f>+IF(O30=Assumptions!$F$31,Assumptions!$F$93/ROUNDUP((12/12),0),)</f>
        <v>0</v>
      </c>
      <c r="P31" s="1050">
        <f>+IF(P30=Assumptions!$F$31,Assumptions!$F$93/ROUNDUP((12/12),0),)</f>
        <v>0</v>
      </c>
      <c r="Q31" s="1050">
        <f>+IF(Q30=Assumptions!$F$31,Assumptions!$F$93/ROUNDUP((12/12),0),)</f>
        <v>0</v>
      </c>
      <c r="R31" s="1050">
        <f>+IF(R30=Assumptions!$F$31,Assumptions!$F$93/ROUNDUP((12/12),0),)</f>
        <v>0</v>
      </c>
      <c r="S31" s="1050">
        <f>+IF(S30=Assumptions!$F$31,Assumptions!$F$93/ROUNDUP((12/12),0),)</f>
        <v>0</v>
      </c>
      <c r="T31" s="1050">
        <f>+IF(T30=Assumptions!$F$31,Assumptions!$F$93/ROUNDUP((12/12),0),)</f>
        <v>0</v>
      </c>
      <c r="U31" s="1050">
        <f>+IF(U30=Assumptions!$F$31,Assumptions!$F$93/ROUNDUP((12/12),0),)</f>
        <v>0</v>
      </c>
      <c r="V31" s="1050">
        <f>+IF(V30=Assumptions!$F$31,Assumptions!$F$93/ROUNDUP((12/12),0),)</f>
        <v>0</v>
      </c>
      <c r="W31" s="1050">
        <f>+IF(W30=Assumptions!$F$31,Assumptions!$F$93/ROUNDUP((12/12),0),)</f>
        <v>0</v>
      </c>
      <c r="X31" s="1050">
        <f>+IF(X30=Assumptions!$F$31,Assumptions!$F$93/ROUNDUP((12/12),0),)</f>
        <v>0</v>
      </c>
      <c r="Y31" s="1050">
        <f>+IF(Y30=Assumptions!$F$31,Assumptions!$F$93/ROUNDUP((12/12),0),)</f>
        <v>0</v>
      </c>
      <c r="Z31" s="1050">
        <f>+IF(Z30=Assumptions!$F$31,Assumptions!$F$93/ROUNDUP((12/12),0),)</f>
        <v>0</v>
      </c>
      <c r="AA31" s="699"/>
      <c r="AB31" s="699"/>
      <c r="AC31" s="699"/>
      <c r="AD31" s="699"/>
      <c r="AE31" s="49"/>
      <c r="AF31" s="49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</row>
    <row r="32" spans="1:66">
      <c r="A32" s="699"/>
      <c r="B32" s="699" t="s">
        <v>1121</v>
      </c>
      <c r="C32" s="699"/>
      <c r="D32" s="699"/>
      <c r="E32" s="1050">
        <v>0</v>
      </c>
      <c r="F32" s="1050">
        <f>+E32+F31</f>
        <v>0</v>
      </c>
      <c r="G32" s="1050">
        <f t="shared" ref="G32:Z32" si="76">+F32+G31</f>
        <v>0</v>
      </c>
      <c r="H32" s="1050">
        <f t="shared" si="76"/>
        <v>0</v>
      </c>
      <c r="I32" s="1050">
        <f t="shared" si="76"/>
        <v>0</v>
      </c>
      <c r="J32" s="1050">
        <f t="shared" si="76"/>
        <v>252534.99599999998</v>
      </c>
      <c r="K32" s="1050">
        <f t="shared" si="76"/>
        <v>252534.99599999998</v>
      </c>
      <c r="L32" s="1050">
        <f t="shared" si="76"/>
        <v>252534.99599999998</v>
      </c>
      <c r="M32" s="1050">
        <f t="shared" si="76"/>
        <v>252534.99599999998</v>
      </c>
      <c r="N32" s="1050">
        <f t="shared" si="76"/>
        <v>252534.99599999998</v>
      </c>
      <c r="O32" s="1050">
        <f t="shared" si="76"/>
        <v>252534.99599999998</v>
      </c>
      <c r="P32" s="1050">
        <f t="shared" si="76"/>
        <v>252534.99599999998</v>
      </c>
      <c r="Q32" s="1050">
        <f t="shared" si="76"/>
        <v>252534.99599999998</v>
      </c>
      <c r="R32" s="1050">
        <f t="shared" si="76"/>
        <v>252534.99599999998</v>
      </c>
      <c r="S32" s="1050">
        <f t="shared" si="76"/>
        <v>252534.99599999998</v>
      </c>
      <c r="T32" s="1050">
        <f t="shared" si="76"/>
        <v>252534.99599999998</v>
      </c>
      <c r="U32" s="1050">
        <f t="shared" si="76"/>
        <v>252534.99599999998</v>
      </c>
      <c r="V32" s="1050">
        <f t="shared" si="76"/>
        <v>252534.99599999998</v>
      </c>
      <c r="W32" s="1050">
        <f t="shared" si="76"/>
        <v>252534.99599999998</v>
      </c>
      <c r="X32" s="1050">
        <f t="shared" si="76"/>
        <v>252534.99599999998</v>
      </c>
      <c r="Y32" s="1050">
        <f t="shared" si="76"/>
        <v>252534.99599999998</v>
      </c>
      <c r="Z32" s="1050">
        <f t="shared" si="76"/>
        <v>252534.99599999998</v>
      </c>
      <c r="AA32" s="699"/>
      <c r="AB32" s="699"/>
      <c r="AC32" s="699"/>
      <c r="AD32" s="699"/>
      <c r="AE32" s="49"/>
      <c r="AF32" s="49"/>
      <c r="AG32" s="49"/>
      <c r="AH32" s="49"/>
      <c r="AI32" s="49"/>
      <c r="AJ32" s="49"/>
      <c r="AK32" s="49"/>
      <c r="AL32" s="49"/>
      <c r="AM32" s="49" t="s">
        <v>1126</v>
      </c>
      <c r="AN32" s="49"/>
      <c r="AO32" s="49"/>
      <c r="AP32" s="49"/>
      <c r="AQ32" s="770">
        <v>1</v>
      </c>
      <c r="AR32" s="770">
        <f>+AQ32*(1+Assumptions!$N$69)</f>
        <v>1.03</v>
      </c>
      <c r="AS32" s="770">
        <f>+AR32*(1+Assumptions!$N$69)</f>
        <v>1.0609</v>
      </c>
      <c r="AT32" s="770">
        <f>+AS32*(1+Assumptions!$N$69)</f>
        <v>1.092727</v>
      </c>
      <c r="AU32" s="770">
        <f>+AT32*(1+Assumptions!$N$69)</f>
        <v>1.1255088100000001</v>
      </c>
      <c r="AV32" s="770">
        <f>+AU32*(1+Assumptions!$N$69)</f>
        <v>1.1592740743000001</v>
      </c>
      <c r="AW32" s="770">
        <f>+AV32*(1+Assumptions!$N$69)</f>
        <v>1.1940522965290001</v>
      </c>
      <c r="AX32" s="770">
        <f>+AW32*(1+Assumptions!$N$69)</f>
        <v>1.2298738654248702</v>
      </c>
      <c r="AY32" s="770">
        <f>+AX32*(1+Assumptions!$N$69)</f>
        <v>1.2667700813876164</v>
      </c>
      <c r="AZ32" s="770">
        <f>+AY32*(1+Assumptions!$N$69)</f>
        <v>1.3047731838292449</v>
      </c>
      <c r="BA32" s="770">
        <f>+AZ32*(1+Assumptions!$N$69)</f>
        <v>1.3439163793441222</v>
      </c>
      <c r="BB32" s="770">
        <f>+BA32*(1+Assumptions!$N$69)</f>
        <v>1.3842338707244459</v>
      </c>
      <c r="BC32" s="770">
        <f>+BB32*(1+Assumptions!$N$69)</f>
        <v>1.4257608868461793</v>
      </c>
      <c r="BD32" s="770">
        <f>+BC32*(1+Assumptions!$N$69)</f>
        <v>1.4685337134515648</v>
      </c>
      <c r="BE32" s="770">
        <f>+BD32*(1+Assumptions!$N$69)</f>
        <v>1.5125897248551119</v>
      </c>
      <c r="BF32" s="770">
        <f>+BE32*(1+Assumptions!$N$69)</f>
        <v>1.5579674166007653</v>
      </c>
      <c r="BG32" s="770">
        <f>+BF32*(1+Assumptions!$N$69)</f>
        <v>1.6047064390987884</v>
      </c>
      <c r="BH32" s="770">
        <f>+BG32*(1+Assumptions!$N$69)</f>
        <v>1.652847632271752</v>
      </c>
      <c r="BI32" s="770">
        <f>+BH32*(1+Assumptions!$N$69)</f>
        <v>1.7024330612399046</v>
      </c>
      <c r="BJ32" s="770">
        <f>+BI32*(1+Assumptions!$N$69)</f>
        <v>1.7535060530771018</v>
      </c>
      <c r="BK32" s="770">
        <f>+BJ32*(1+Assumptions!$N$69)</f>
        <v>1.806111234669415</v>
      </c>
      <c r="BL32" s="49"/>
      <c r="BM32" s="49"/>
      <c r="BN32" s="49"/>
    </row>
    <row r="33" spans="1:66">
      <c r="A33" s="699"/>
      <c r="B33" s="699" t="s">
        <v>1123</v>
      </c>
      <c r="C33" s="699"/>
      <c r="D33" s="699"/>
      <c r="E33" s="699"/>
      <c r="F33" s="1084">
        <f>+F34-E34</f>
        <v>0</v>
      </c>
      <c r="G33" s="1084">
        <f t="shared" ref="G33:Z33" si="77">+G34-F34</f>
        <v>0</v>
      </c>
      <c r="H33" s="1084">
        <f t="shared" si="77"/>
        <v>0</v>
      </c>
      <c r="I33" s="1084">
        <f t="shared" si="77"/>
        <v>0</v>
      </c>
      <c r="J33" s="1084">
        <f t="shared" si="77"/>
        <v>351.50392688300718</v>
      </c>
      <c r="K33" s="1084">
        <f t="shared" si="77"/>
        <v>0</v>
      </c>
      <c r="L33" s="1084">
        <f t="shared" si="77"/>
        <v>0</v>
      </c>
      <c r="M33" s="1084">
        <f t="shared" si="77"/>
        <v>0</v>
      </c>
      <c r="N33" s="1084">
        <f t="shared" si="77"/>
        <v>0</v>
      </c>
      <c r="O33" s="1084">
        <f t="shared" si="77"/>
        <v>0</v>
      </c>
      <c r="P33" s="1084">
        <f t="shared" si="77"/>
        <v>0</v>
      </c>
      <c r="Q33" s="1084">
        <f t="shared" si="77"/>
        <v>0</v>
      </c>
      <c r="R33" s="1084">
        <f t="shared" si="77"/>
        <v>0</v>
      </c>
      <c r="S33" s="1084">
        <f t="shared" si="77"/>
        <v>0</v>
      </c>
      <c r="T33" s="1084">
        <f t="shared" si="77"/>
        <v>0</v>
      </c>
      <c r="U33" s="1084">
        <f t="shared" si="77"/>
        <v>0</v>
      </c>
      <c r="V33" s="1084">
        <f t="shared" si="77"/>
        <v>0</v>
      </c>
      <c r="W33" s="1084">
        <f t="shared" si="77"/>
        <v>0</v>
      </c>
      <c r="X33" s="1084">
        <f t="shared" si="77"/>
        <v>0</v>
      </c>
      <c r="Y33" s="1084">
        <f t="shared" si="77"/>
        <v>0</v>
      </c>
      <c r="Z33" s="1084">
        <f t="shared" si="77"/>
        <v>0</v>
      </c>
      <c r="AA33" s="699"/>
      <c r="AB33" s="699"/>
      <c r="AC33" s="699"/>
      <c r="AD33" s="699"/>
      <c r="AE33" s="49"/>
      <c r="AF33" s="49"/>
      <c r="AG33" s="49"/>
      <c r="AH33" s="49"/>
      <c r="AI33" s="49"/>
      <c r="AJ33" s="49"/>
      <c r="AK33" s="49"/>
      <c r="AL33" s="49"/>
      <c r="AM33" s="49" t="s">
        <v>1127</v>
      </c>
      <c r="AN33" s="49"/>
      <c r="AO33" s="49"/>
      <c r="AP33" s="49"/>
      <c r="AQ33" s="770">
        <v>1</v>
      </c>
      <c r="AR33" s="770">
        <f>+AQ33*(1+Assumptions!$N$80)</f>
        <v>1.03</v>
      </c>
      <c r="AS33" s="770">
        <f>+AR33*(1+Assumptions!$N$80)</f>
        <v>1.0609</v>
      </c>
      <c r="AT33" s="770">
        <f>+AS33*(1+Assumptions!$N$80)</f>
        <v>1.092727</v>
      </c>
      <c r="AU33" s="770">
        <f>+AT33*(1+Assumptions!$N$80)</f>
        <v>1.1255088100000001</v>
      </c>
      <c r="AV33" s="770">
        <f>+AU33*(1+Assumptions!$N$80)</f>
        <v>1.1592740743000001</v>
      </c>
      <c r="AW33" s="770">
        <f>+AV33*(1+Assumptions!$N$80)</f>
        <v>1.1940522965290001</v>
      </c>
      <c r="AX33" s="770">
        <f>+AW33*(1+Assumptions!$N$80)</f>
        <v>1.2298738654248702</v>
      </c>
      <c r="AY33" s="770">
        <f>+AX33*(1+Assumptions!$N$80)</f>
        <v>1.2667700813876164</v>
      </c>
      <c r="AZ33" s="770">
        <f>+AY33*(1+Assumptions!$N$80)</f>
        <v>1.3047731838292449</v>
      </c>
      <c r="BA33" s="770">
        <f>+AZ33*(1+Assumptions!$N$80)</f>
        <v>1.3439163793441222</v>
      </c>
      <c r="BB33" s="770">
        <f>+BA33*(1+Assumptions!$N$80)</f>
        <v>1.3842338707244459</v>
      </c>
      <c r="BC33" s="770">
        <f>+BB33*(1+Assumptions!$N$80)</f>
        <v>1.4257608868461793</v>
      </c>
      <c r="BD33" s="770">
        <f>+BC33*(1+Assumptions!$N$80)</f>
        <v>1.4685337134515648</v>
      </c>
      <c r="BE33" s="770">
        <f>+BD33*(1+Assumptions!$N$80)</f>
        <v>1.5125897248551119</v>
      </c>
      <c r="BF33" s="770">
        <f>+BE33*(1+Assumptions!$N$80)</f>
        <v>1.5579674166007653</v>
      </c>
      <c r="BG33" s="770">
        <f>+BF33*(1+Assumptions!$N$80)</f>
        <v>1.6047064390987884</v>
      </c>
      <c r="BH33" s="770">
        <f>+BG33*(1+Assumptions!$N$80)</f>
        <v>1.652847632271752</v>
      </c>
      <c r="BI33" s="770">
        <f>+BH33*(1+Assumptions!$N$80)</f>
        <v>1.7024330612399046</v>
      </c>
      <c r="BJ33" s="770">
        <f>+BI33*(1+Assumptions!$N$80)</f>
        <v>1.7535060530771018</v>
      </c>
      <c r="BK33" s="770">
        <f>+BJ33*(1+Assumptions!$N$80)</f>
        <v>1.806111234669415</v>
      </c>
      <c r="BL33" s="49"/>
      <c r="BM33" s="49"/>
      <c r="BN33" s="49"/>
    </row>
    <row r="34" spans="1:66">
      <c r="A34" s="699" t="s">
        <v>511</v>
      </c>
      <c r="B34" s="699" t="s">
        <v>1124</v>
      </c>
      <c r="C34" s="699"/>
      <c r="D34" s="699"/>
      <c r="E34" s="699"/>
      <c r="F34" s="1084">
        <f>+F35*Assumptions!$F$94</f>
        <v>0</v>
      </c>
      <c r="G34" s="1084">
        <f>+G35*Assumptions!$F$94</f>
        <v>0</v>
      </c>
      <c r="H34" s="1084">
        <f>+H35*Assumptions!$F$94</f>
        <v>0</v>
      </c>
      <c r="I34" s="1084">
        <f>+I35*Assumptions!$F$94</f>
        <v>0</v>
      </c>
      <c r="J34" s="1084">
        <f>+J35*Assumptions!$F$94</f>
        <v>351.50392688300718</v>
      </c>
      <c r="K34" s="1084">
        <f>+K35*Assumptions!$F$94</f>
        <v>351.50392688300718</v>
      </c>
      <c r="L34" s="1084">
        <f>+L35*Assumptions!$F$94</f>
        <v>351.50392688300718</v>
      </c>
      <c r="M34" s="1084">
        <f>+M35*Assumptions!$F$94</f>
        <v>351.50392688300718</v>
      </c>
      <c r="N34" s="1084">
        <f>+N35*Assumptions!$F$94</f>
        <v>351.50392688300718</v>
      </c>
      <c r="O34" s="1084">
        <f>+O35*Assumptions!$F$94</f>
        <v>351.50392688300718</v>
      </c>
      <c r="P34" s="1084">
        <f>+P35*Assumptions!$F$94</f>
        <v>351.50392688300718</v>
      </c>
      <c r="Q34" s="1084">
        <f>+Q35*Assumptions!$F$94</f>
        <v>351.50392688300718</v>
      </c>
      <c r="R34" s="1084">
        <f>+R35*Assumptions!$F$94</f>
        <v>351.50392688300718</v>
      </c>
      <c r="S34" s="1084">
        <f>+S35*Assumptions!$F$94</f>
        <v>351.50392688300718</v>
      </c>
      <c r="T34" s="1084">
        <f>+T35*Assumptions!$F$94</f>
        <v>351.50392688300718</v>
      </c>
      <c r="U34" s="1084">
        <f>+U35*Assumptions!$F$94</f>
        <v>351.50392688300718</v>
      </c>
      <c r="V34" s="1084">
        <f>+V35*Assumptions!$F$94</f>
        <v>351.50392688300718</v>
      </c>
      <c r="W34" s="1084">
        <f>+W35*Assumptions!$F$94</f>
        <v>351.50392688300718</v>
      </c>
      <c r="X34" s="1084">
        <f>+X35*Assumptions!$F$94</f>
        <v>351.50392688300718</v>
      </c>
      <c r="Y34" s="1084">
        <f>+Y35*Assumptions!$F$94</f>
        <v>351.50392688300718</v>
      </c>
      <c r="Z34" s="1084">
        <f>+Z35*Assumptions!$F$94</f>
        <v>351.50392688300718</v>
      </c>
      <c r="AA34" s="699"/>
      <c r="AB34" s="699"/>
      <c r="AC34" s="699"/>
      <c r="AD34" s="699"/>
      <c r="AE34" s="49"/>
      <c r="AF34" s="49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</row>
    <row r="35" spans="1:66">
      <c r="A35" s="699"/>
      <c r="B35" s="699" t="s">
        <v>1125</v>
      </c>
      <c r="C35" s="699"/>
      <c r="D35" s="699"/>
      <c r="E35" s="699"/>
      <c r="F35" s="1074">
        <f>+IFERROR(F32/SUM($F31:$Z31),0)</f>
        <v>0</v>
      </c>
      <c r="G35" s="1074">
        <f t="shared" ref="G35:Z35" si="78">+IFERROR(G32/SUM($F31:$Z31),0)</f>
        <v>0</v>
      </c>
      <c r="H35" s="1074">
        <f t="shared" si="78"/>
        <v>0</v>
      </c>
      <c r="I35" s="1074">
        <f t="shared" si="78"/>
        <v>0</v>
      </c>
      <c r="J35" s="1074">
        <f t="shared" si="78"/>
        <v>1</v>
      </c>
      <c r="K35" s="1074">
        <f t="shared" si="78"/>
        <v>1</v>
      </c>
      <c r="L35" s="1074">
        <f t="shared" si="78"/>
        <v>1</v>
      </c>
      <c r="M35" s="1074">
        <f t="shared" si="78"/>
        <v>1</v>
      </c>
      <c r="N35" s="1074">
        <f t="shared" si="78"/>
        <v>1</v>
      </c>
      <c r="O35" s="1074">
        <f t="shared" si="78"/>
        <v>1</v>
      </c>
      <c r="P35" s="1074">
        <f t="shared" si="78"/>
        <v>1</v>
      </c>
      <c r="Q35" s="1074">
        <f t="shared" si="78"/>
        <v>1</v>
      </c>
      <c r="R35" s="1074">
        <f t="shared" si="78"/>
        <v>1</v>
      </c>
      <c r="S35" s="1074">
        <f t="shared" si="78"/>
        <v>1</v>
      </c>
      <c r="T35" s="1074">
        <f t="shared" si="78"/>
        <v>1</v>
      </c>
      <c r="U35" s="1074">
        <f t="shared" si="78"/>
        <v>1</v>
      </c>
      <c r="V35" s="1074">
        <f t="shared" si="78"/>
        <v>1</v>
      </c>
      <c r="W35" s="1074">
        <f t="shared" si="78"/>
        <v>1</v>
      </c>
      <c r="X35" s="1074">
        <f t="shared" si="78"/>
        <v>1</v>
      </c>
      <c r="Y35" s="1074">
        <f t="shared" si="78"/>
        <v>1</v>
      </c>
      <c r="Z35" s="1074">
        <f t="shared" si="78"/>
        <v>1</v>
      </c>
      <c r="AA35" s="699"/>
      <c r="AB35" s="699"/>
      <c r="AC35" s="699"/>
      <c r="AD35" s="699"/>
      <c r="AE35" s="49"/>
      <c r="AF35" s="49"/>
      <c r="AG35" s="49"/>
      <c r="AH35" s="49"/>
      <c r="AI35" s="49"/>
      <c r="AJ35" s="49"/>
      <c r="AK35" s="49"/>
      <c r="AL35" s="49"/>
      <c r="AM35" s="49" t="s">
        <v>1128</v>
      </c>
      <c r="AN35" s="49"/>
      <c r="AO35" s="49"/>
      <c r="AP35" s="49"/>
      <c r="AQ35" s="771">
        <f>+AQ30*Assumptions!$AE$85*AQ32</f>
        <v>0</v>
      </c>
      <c r="AR35" s="771">
        <f>+AR30*Assumptions!$AE$85*AR32</f>
        <v>0</v>
      </c>
      <c r="AS35" s="771">
        <f>+AS30*Assumptions!$AE$85*AS32</f>
        <v>0</v>
      </c>
      <c r="AT35" s="771">
        <f>+AT30*Assumptions!$AE$85*AT32</f>
        <v>0</v>
      </c>
      <c r="AU35" s="771">
        <f>+AU30*Assumptions!$AE$85*AU32</f>
        <v>0</v>
      </c>
      <c r="AV35" s="771">
        <f>+AV30*Assumptions!$AE$85*AV32</f>
        <v>0</v>
      </c>
      <c r="AW35" s="771">
        <f>+AW30*Assumptions!$AE$85*AW32</f>
        <v>0</v>
      </c>
      <c r="AX35" s="771">
        <f>+AX30*Assumptions!$AE$85*AX32</f>
        <v>0</v>
      </c>
      <c r="AY35" s="771">
        <f>+AY30*Assumptions!$AE$85*AY32</f>
        <v>0</v>
      </c>
      <c r="AZ35" s="771">
        <f>+AZ30*Assumptions!$AE$85*AZ32</f>
        <v>0</v>
      </c>
      <c r="BA35" s="771">
        <f>+BA30*Assumptions!$AE$85*BA32</f>
        <v>0</v>
      </c>
      <c r="BB35" s="771">
        <f>+BB30*Assumptions!$AE$85*BB32</f>
        <v>0</v>
      </c>
      <c r="BC35" s="771">
        <f>+BC30*Assumptions!$AE$85*BC32</f>
        <v>0</v>
      </c>
      <c r="BD35" s="771">
        <f>+BD30*Assumptions!$AE$85*BD32</f>
        <v>0</v>
      </c>
      <c r="BE35" s="771">
        <f>+BE30*Assumptions!$AE$85*BE32</f>
        <v>0</v>
      </c>
      <c r="BF35" s="771">
        <f>+BF30*Assumptions!$AE$85*BF32</f>
        <v>0</v>
      </c>
      <c r="BG35" s="771">
        <f>+BG30*Assumptions!$AE$85*BG32</f>
        <v>0</v>
      </c>
      <c r="BH35" s="771">
        <f>+BH30*Assumptions!$AE$85*BH32</f>
        <v>0</v>
      </c>
      <c r="BI35" s="771">
        <f>+BI30*Assumptions!$AE$85*BI32</f>
        <v>0</v>
      </c>
      <c r="BJ35" s="771">
        <f>+BJ30*Assumptions!$AE$85*BJ32</f>
        <v>0</v>
      </c>
      <c r="BK35" s="771">
        <f>+BK30*Assumptions!$AE$85*BK32</f>
        <v>0</v>
      </c>
      <c r="BL35" s="49"/>
      <c r="BM35" s="49"/>
      <c r="BN35" s="49"/>
    </row>
    <row r="36" spans="1:66">
      <c r="A36" s="699"/>
      <c r="B36" s="699"/>
      <c r="C36" s="699"/>
      <c r="D36" s="699"/>
      <c r="E36" s="699"/>
      <c r="F36" s="699"/>
      <c r="G36" s="699"/>
      <c r="H36" s="699"/>
      <c r="I36" s="699"/>
      <c r="J36" s="699"/>
      <c r="K36" s="699"/>
      <c r="L36" s="699"/>
      <c r="M36" s="699"/>
      <c r="N36" s="699"/>
      <c r="O36" s="699"/>
      <c r="P36" s="699"/>
      <c r="Q36" s="699"/>
      <c r="R36" s="699"/>
      <c r="S36" s="699"/>
      <c r="T36" s="699"/>
      <c r="U36" s="699"/>
      <c r="V36" s="699"/>
      <c r="W36" s="699"/>
      <c r="X36" s="699"/>
      <c r="Y36" s="699"/>
      <c r="Z36" s="699"/>
      <c r="AA36" s="699"/>
      <c r="AB36" s="699"/>
      <c r="AC36" s="699"/>
      <c r="AD36" s="699"/>
      <c r="AE36" s="49"/>
      <c r="AF36" s="49"/>
      <c r="AG36" s="49"/>
      <c r="AH36" s="49"/>
      <c r="AI36" s="49"/>
      <c r="AJ36" s="49"/>
      <c r="AK36" s="49"/>
      <c r="AL36" s="49"/>
      <c r="AM36" s="49" t="s">
        <v>1129</v>
      </c>
      <c r="AN36" s="49"/>
      <c r="AO36" s="49"/>
      <c r="AP36" s="49"/>
      <c r="AQ36" s="90">
        <f>-Assumptions!$E$99*'Phase 1 Pro Forma'!AQ35</f>
        <v>0</v>
      </c>
      <c r="AR36" s="90">
        <f>-Assumptions!$E$99*'Phase 1 Pro Forma'!AR35</f>
        <v>0</v>
      </c>
      <c r="AS36" s="90">
        <f>-Assumptions!$E$99*'Phase 1 Pro Forma'!AS35</f>
        <v>0</v>
      </c>
      <c r="AT36" s="90">
        <f>-Assumptions!$E$99*'Phase 1 Pro Forma'!AT35</f>
        <v>0</v>
      </c>
      <c r="AU36" s="90">
        <f>-Assumptions!$E$99*'Phase 1 Pro Forma'!AU35</f>
        <v>0</v>
      </c>
      <c r="AV36" s="90">
        <f>-Assumptions!$E$99*'Phase 1 Pro Forma'!AV35</f>
        <v>0</v>
      </c>
      <c r="AW36" s="90">
        <f>-Assumptions!$E$99*'Phase 1 Pro Forma'!AW35</f>
        <v>0</v>
      </c>
      <c r="AX36" s="90">
        <f>-Assumptions!$E$99*'Phase 1 Pro Forma'!AX35</f>
        <v>0</v>
      </c>
      <c r="AY36" s="90">
        <f>-Assumptions!$E$99*'Phase 1 Pro Forma'!AY35</f>
        <v>0</v>
      </c>
      <c r="AZ36" s="90">
        <f>-Assumptions!$E$99*'Phase 1 Pro Forma'!AZ35</f>
        <v>0</v>
      </c>
      <c r="BA36" s="90">
        <f>-Assumptions!$E$99*'Phase 1 Pro Forma'!BA35</f>
        <v>0</v>
      </c>
      <c r="BB36" s="90">
        <f>-Assumptions!$E$99*'Phase 1 Pro Forma'!BB35</f>
        <v>0</v>
      </c>
      <c r="BC36" s="90">
        <f>-Assumptions!$E$99*'Phase 1 Pro Forma'!BC35</f>
        <v>0</v>
      </c>
      <c r="BD36" s="90">
        <f>-Assumptions!$E$99*'Phase 1 Pro Forma'!BD35</f>
        <v>0</v>
      </c>
      <c r="BE36" s="90">
        <f>-Assumptions!$E$99*'Phase 1 Pro Forma'!BE35</f>
        <v>0</v>
      </c>
      <c r="BF36" s="90">
        <f>-Assumptions!$E$99*'Phase 1 Pro Forma'!BF35</f>
        <v>0</v>
      </c>
      <c r="BG36" s="90">
        <f>-Assumptions!$E$99*'Phase 1 Pro Forma'!BG35</f>
        <v>0</v>
      </c>
      <c r="BH36" s="90">
        <f>-Assumptions!$E$99*'Phase 1 Pro Forma'!BH35</f>
        <v>0</v>
      </c>
      <c r="BI36" s="90">
        <f>-Assumptions!$E$99*'Phase 1 Pro Forma'!BI35</f>
        <v>0</v>
      </c>
      <c r="BJ36" s="90">
        <f>-Assumptions!$E$99*'Phase 1 Pro Forma'!BJ35</f>
        <v>0</v>
      </c>
      <c r="BK36" s="90">
        <f>-Assumptions!$E$99*'Phase 1 Pro Forma'!BK35</f>
        <v>0</v>
      </c>
      <c r="BL36" s="49"/>
      <c r="BM36" s="49"/>
      <c r="BN36" s="49"/>
    </row>
    <row r="37" spans="1:66">
      <c r="A37" s="699"/>
      <c r="B37" s="699" t="s">
        <v>1126</v>
      </c>
      <c r="C37" s="699"/>
      <c r="D37" s="699"/>
      <c r="E37" s="699"/>
      <c r="F37" s="1074">
        <v>1</v>
      </c>
      <c r="G37" s="1074">
        <f>+F37*(1+Assumptions!$N$69)</f>
        <v>1.03</v>
      </c>
      <c r="H37" s="1074">
        <f>+G37*(1+Assumptions!$N$69)</f>
        <v>1.0609</v>
      </c>
      <c r="I37" s="1074">
        <f>+H37*(1+Assumptions!$N$69)</f>
        <v>1.092727</v>
      </c>
      <c r="J37" s="1074">
        <f>+I37*(1+Assumptions!$N$69)</f>
        <v>1.1255088100000001</v>
      </c>
      <c r="K37" s="1074">
        <f>+J37*(1+Assumptions!$N$69)</f>
        <v>1.1592740743000001</v>
      </c>
      <c r="L37" s="1074">
        <f>+K37*(1+Assumptions!$N$69)</f>
        <v>1.1940522965290001</v>
      </c>
      <c r="M37" s="1074">
        <f>+L37*(1+Assumptions!$N$69)</f>
        <v>1.2298738654248702</v>
      </c>
      <c r="N37" s="1074">
        <f>+M37*(1+Assumptions!$N$69)</f>
        <v>1.2667700813876164</v>
      </c>
      <c r="O37" s="1074">
        <f>+N37*(1+Assumptions!$N$69)</f>
        <v>1.3047731838292449</v>
      </c>
      <c r="P37" s="1074">
        <f>+O37*(1+Assumptions!$N$69)</f>
        <v>1.3439163793441222</v>
      </c>
      <c r="Q37" s="1074">
        <f>+P37*(1+Assumptions!$N$69)</f>
        <v>1.3842338707244459</v>
      </c>
      <c r="R37" s="1074">
        <f>+Q37*(1+Assumptions!$N$69)</f>
        <v>1.4257608868461793</v>
      </c>
      <c r="S37" s="1074">
        <f>+R37*(1+Assumptions!$N$69)</f>
        <v>1.4685337134515648</v>
      </c>
      <c r="T37" s="1074">
        <f>+S37*(1+Assumptions!$N$69)</f>
        <v>1.5125897248551119</v>
      </c>
      <c r="U37" s="1074">
        <f>+T37*(1+Assumptions!$N$69)</f>
        <v>1.5579674166007653</v>
      </c>
      <c r="V37" s="1074">
        <f>+U37*(1+Assumptions!$N$69)</f>
        <v>1.6047064390987884</v>
      </c>
      <c r="W37" s="1074">
        <f>+V37*(1+Assumptions!$N$69)</f>
        <v>1.652847632271752</v>
      </c>
      <c r="X37" s="1074">
        <f>+W37*(1+Assumptions!$N$69)</f>
        <v>1.7024330612399046</v>
      </c>
      <c r="Y37" s="1074">
        <f>+X37*(1+Assumptions!$N$69)</f>
        <v>1.7535060530771018</v>
      </c>
      <c r="Z37" s="1074">
        <f>+Y37*(1+Assumptions!$N$69)</f>
        <v>1.806111234669415</v>
      </c>
      <c r="AA37" s="699"/>
      <c r="AB37" s="699"/>
      <c r="AC37" s="699"/>
      <c r="AD37" s="699"/>
      <c r="AE37" s="49"/>
      <c r="AF37" s="49"/>
      <c r="AG37" s="49"/>
      <c r="AH37" s="49"/>
      <c r="AI37" s="49"/>
      <c r="AJ37" s="49"/>
      <c r="AK37" s="49"/>
      <c r="AL37" s="49"/>
      <c r="AM37" s="49" t="s">
        <v>1130</v>
      </c>
      <c r="AN37" s="49"/>
      <c r="AO37" s="49"/>
      <c r="AP37" s="49"/>
      <c r="AQ37" s="90">
        <f>-AQ35*Assumptions!$N$60</f>
        <v>0</v>
      </c>
      <c r="AR37" s="90">
        <f>-AR35*Assumptions!$N$60</f>
        <v>0</v>
      </c>
      <c r="AS37" s="90">
        <f>-AS35*Assumptions!$N$60</f>
        <v>0</v>
      </c>
      <c r="AT37" s="90">
        <f>-AT35*Assumptions!$N$60</f>
        <v>0</v>
      </c>
      <c r="AU37" s="90">
        <f>-AU35*Assumptions!$N$60</f>
        <v>0</v>
      </c>
      <c r="AV37" s="90">
        <f>-AV35*Assumptions!$N$60</f>
        <v>0</v>
      </c>
      <c r="AW37" s="90">
        <f>-AW35*Assumptions!$N$60</f>
        <v>0</v>
      </c>
      <c r="AX37" s="90">
        <f>-AX35*Assumptions!$N$60</f>
        <v>0</v>
      </c>
      <c r="AY37" s="90">
        <f>-AY35*Assumptions!$N$60</f>
        <v>0</v>
      </c>
      <c r="AZ37" s="90">
        <f>-AZ35*Assumptions!$N$60</f>
        <v>0</v>
      </c>
      <c r="BA37" s="90">
        <f>-BA35*Assumptions!$N$60</f>
        <v>0</v>
      </c>
      <c r="BB37" s="90">
        <f>-BB35*Assumptions!$N$60</f>
        <v>0</v>
      </c>
      <c r="BC37" s="90">
        <f>-BC35*Assumptions!$N$60</f>
        <v>0</v>
      </c>
      <c r="BD37" s="90">
        <f>-BD35*Assumptions!$N$60</f>
        <v>0</v>
      </c>
      <c r="BE37" s="90">
        <f>-BE35*Assumptions!$N$60</f>
        <v>0</v>
      </c>
      <c r="BF37" s="90">
        <f>-BF35*Assumptions!$N$60</f>
        <v>0</v>
      </c>
      <c r="BG37" s="90">
        <f>-BG35*Assumptions!$N$60</f>
        <v>0</v>
      </c>
      <c r="BH37" s="90">
        <f>-BH35*Assumptions!$N$60</f>
        <v>0</v>
      </c>
      <c r="BI37" s="90">
        <f>-BI35*Assumptions!$N$60</f>
        <v>0</v>
      </c>
      <c r="BJ37" s="90">
        <f>-BJ35*Assumptions!$N$60</f>
        <v>0</v>
      </c>
      <c r="BK37" s="90">
        <f>-BK35*Assumptions!$N$60</f>
        <v>0</v>
      </c>
      <c r="BL37" s="49"/>
      <c r="BM37" s="49"/>
      <c r="BN37" s="49"/>
    </row>
    <row r="38" spans="1:66">
      <c r="A38" s="699"/>
      <c r="B38" s="699" t="s">
        <v>1127</v>
      </c>
      <c r="C38" s="699"/>
      <c r="D38" s="699"/>
      <c r="E38" s="699"/>
      <c r="F38" s="1074">
        <v>1</v>
      </c>
      <c r="G38" s="1074">
        <f>+F38*(1+Assumptions!$N$80)</f>
        <v>1.03</v>
      </c>
      <c r="H38" s="1074">
        <f>+G38*(1+Assumptions!$N$80)</f>
        <v>1.0609</v>
      </c>
      <c r="I38" s="1074">
        <f>+H38*(1+Assumptions!$N$80)</f>
        <v>1.092727</v>
      </c>
      <c r="J38" s="1074">
        <f>+I38*(1+Assumptions!$N$80)</f>
        <v>1.1255088100000001</v>
      </c>
      <c r="K38" s="1074">
        <f>+J38*(1+Assumptions!$N$80)</f>
        <v>1.1592740743000001</v>
      </c>
      <c r="L38" s="1074">
        <f>+K38*(1+Assumptions!$N$80)</f>
        <v>1.1940522965290001</v>
      </c>
      <c r="M38" s="1074">
        <f>+L38*(1+Assumptions!$N$80)</f>
        <v>1.2298738654248702</v>
      </c>
      <c r="N38" s="1074">
        <f>+M38*(1+Assumptions!$N$80)</f>
        <v>1.2667700813876164</v>
      </c>
      <c r="O38" s="1074">
        <f>+N38*(1+Assumptions!$N$80)</f>
        <v>1.3047731838292449</v>
      </c>
      <c r="P38" s="1074">
        <f>+O38*(1+Assumptions!$N$80)</f>
        <v>1.3439163793441222</v>
      </c>
      <c r="Q38" s="1074">
        <f>+P38*(1+Assumptions!$N$80)</f>
        <v>1.3842338707244459</v>
      </c>
      <c r="R38" s="1074">
        <f>+Q38*(1+Assumptions!$N$80)</f>
        <v>1.4257608868461793</v>
      </c>
      <c r="S38" s="1074">
        <f>+R38*(1+Assumptions!$N$80)</f>
        <v>1.4685337134515648</v>
      </c>
      <c r="T38" s="1074">
        <f>+S38*(1+Assumptions!$N$80)</f>
        <v>1.5125897248551119</v>
      </c>
      <c r="U38" s="1074">
        <f>+T38*(1+Assumptions!$N$80)</f>
        <v>1.5579674166007653</v>
      </c>
      <c r="V38" s="1074">
        <f>+U38*(1+Assumptions!$N$80)</f>
        <v>1.6047064390987884</v>
      </c>
      <c r="W38" s="1074">
        <f>+V38*(1+Assumptions!$N$80)</f>
        <v>1.652847632271752</v>
      </c>
      <c r="X38" s="1074">
        <f>+W38*(1+Assumptions!$N$80)</f>
        <v>1.7024330612399046</v>
      </c>
      <c r="Y38" s="1074">
        <f>+X38*(1+Assumptions!$N$80)</f>
        <v>1.7535060530771018</v>
      </c>
      <c r="Z38" s="1074">
        <f>+Y38*(1+Assumptions!$N$80)</f>
        <v>1.806111234669415</v>
      </c>
      <c r="AA38" s="699"/>
      <c r="AB38" s="699"/>
      <c r="AC38" s="699"/>
      <c r="AD38" s="699"/>
      <c r="AE38" s="49"/>
      <c r="AF38" s="49"/>
      <c r="AG38" s="49"/>
      <c r="AH38" s="49"/>
      <c r="AI38" s="49"/>
      <c r="AJ38" s="49"/>
      <c r="AK38" s="49"/>
      <c r="AL38" s="49"/>
      <c r="AM38" s="49" t="s">
        <v>1131</v>
      </c>
      <c r="AN38" s="49"/>
      <c r="AO38" s="49"/>
      <c r="AP38" s="49"/>
      <c r="AQ38" s="771">
        <f t="shared" ref="AQ38:BK38" si="79">SUM(AQ35:AQ37)</f>
        <v>0</v>
      </c>
      <c r="AR38" s="771">
        <f t="shared" si="79"/>
        <v>0</v>
      </c>
      <c r="AS38" s="771">
        <f t="shared" si="79"/>
        <v>0</v>
      </c>
      <c r="AT38" s="771">
        <f t="shared" si="79"/>
        <v>0</v>
      </c>
      <c r="AU38" s="771">
        <f t="shared" si="79"/>
        <v>0</v>
      </c>
      <c r="AV38" s="771">
        <f t="shared" si="79"/>
        <v>0</v>
      </c>
      <c r="AW38" s="771">
        <f t="shared" si="79"/>
        <v>0</v>
      </c>
      <c r="AX38" s="771">
        <f t="shared" si="79"/>
        <v>0</v>
      </c>
      <c r="AY38" s="771">
        <f t="shared" si="79"/>
        <v>0</v>
      </c>
      <c r="AZ38" s="771">
        <f t="shared" si="79"/>
        <v>0</v>
      </c>
      <c r="BA38" s="771">
        <f t="shared" si="79"/>
        <v>0</v>
      </c>
      <c r="BB38" s="771">
        <f t="shared" si="79"/>
        <v>0</v>
      </c>
      <c r="BC38" s="771">
        <f t="shared" si="79"/>
        <v>0</v>
      </c>
      <c r="BD38" s="771">
        <f t="shared" si="79"/>
        <v>0</v>
      </c>
      <c r="BE38" s="771">
        <f t="shared" si="79"/>
        <v>0</v>
      </c>
      <c r="BF38" s="771">
        <f t="shared" si="79"/>
        <v>0</v>
      </c>
      <c r="BG38" s="771">
        <f t="shared" si="79"/>
        <v>0</v>
      </c>
      <c r="BH38" s="771">
        <f t="shared" si="79"/>
        <v>0</v>
      </c>
      <c r="BI38" s="771">
        <f t="shared" si="79"/>
        <v>0</v>
      </c>
      <c r="BJ38" s="771">
        <f t="shared" si="79"/>
        <v>0</v>
      </c>
      <c r="BK38" s="771">
        <f t="shared" si="79"/>
        <v>0</v>
      </c>
      <c r="BL38" s="49"/>
      <c r="BM38" s="49"/>
      <c r="BN38" s="49"/>
    </row>
    <row r="39" spans="1:66">
      <c r="A39" s="699"/>
      <c r="B39" s="699"/>
      <c r="C39" s="699"/>
      <c r="D39" s="699"/>
      <c r="E39" s="699"/>
      <c r="F39" s="699"/>
      <c r="G39" s="699"/>
      <c r="H39" s="699"/>
      <c r="I39" s="699"/>
      <c r="J39" s="699"/>
      <c r="K39" s="699"/>
      <c r="L39" s="699"/>
      <c r="M39" s="699"/>
      <c r="N39" s="699"/>
      <c r="O39" s="699"/>
      <c r="P39" s="699"/>
      <c r="Q39" s="699"/>
      <c r="R39" s="699"/>
      <c r="S39" s="699"/>
      <c r="T39" s="699"/>
      <c r="U39" s="699"/>
      <c r="V39" s="699"/>
      <c r="W39" s="699"/>
      <c r="X39" s="699"/>
      <c r="Y39" s="699"/>
      <c r="Z39" s="699"/>
      <c r="AA39" s="699"/>
      <c r="AB39" s="699"/>
      <c r="AC39" s="699"/>
      <c r="AD39" s="699"/>
      <c r="AE39" s="49"/>
      <c r="AF39" s="49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</row>
    <row r="40" spans="1:66">
      <c r="A40" s="699"/>
      <c r="B40" s="699" t="s">
        <v>1128</v>
      </c>
      <c r="C40" s="699"/>
      <c r="D40" s="699"/>
      <c r="E40" s="699"/>
      <c r="F40" s="1028">
        <f>+F35*Assumptions!$F$92*F37</f>
        <v>0</v>
      </c>
      <c r="G40" s="1028">
        <f>+G35*Assumptions!$F$92*G37</f>
        <v>0</v>
      </c>
      <c r="H40" s="1028">
        <f>+H35*Assumptions!$F$92*H37</f>
        <v>0</v>
      </c>
      <c r="I40" s="1028">
        <f>+I35*Assumptions!$F$92*I37</f>
        <v>0</v>
      </c>
      <c r="J40" s="1028">
        <f>+J35*Assumptions!$F$92*J37</f>
        <v>18336442.576501708</v>
      </c>
      <c r="K40" s="1028">
        <f>+K35*Assumptions!$F$92*K37</f>
        <v>18886535.853796761</v>
      </c>
      <c r="L40" s="1028">
        <f>+L35*Assumptions!$F$92*L37</f>
        <v>19453131.929410663</v>
      </c>
      <c r="M40" s="1028">
        <f>+M35*Assumptions!$F$92*M37</f>
        <v>20036725.887292985</v>
      </c>
      <c r="N40" s="1028">
        <f>+N35*Assumptions!$F$92*N37</f>
        <v>20637827.663911775</v>
      </c>
      <c r="O40" s="1028">
        <f>+O35*Assumptions!$F$92*O37</f>
        <v>21256962.493829127</v>
      </c>
      <c r="P40" s="1028">
        <f>+P35*Assumptions!$F$92*P37</f>
        <v>21894671.368644003</v>
      </c>
      <c r="Q40" s="1028">
        <f>+Q35*Assumptions!$F$92*Q37</f>
        <v>22551511.509703323</v>
      </c>
      <c r="R40" s="1028">
        <f>+R35*Assumptions!$F$92*R37</f>
        <v>23228056.854994424</v>
      </c>
      <c r="S40" s="1028">
        <f>+S35*Assumptions!$F$92*S37</f>
        <v>23924898.560644258</v>
      </c>
      <c r="T40" s="1028">
        <f>+T35*Assumptions!$F$92*T37</f>
        <v>24642645.517463587</v>
      </c>
      <c r="U40" s="1028">
        <f>+U35*Assumptions!$F$92*U37</f>
        <v>25381924.882987496</v>
      </c>
      <c r="V40" s="1028">
        <f>+V35*Assumptions!$F$92*V37</f>
        <v>26143382.629477125</v>
      </c>
      <c r="W40" s="1028">
        <f>+W35*Assumptions!$F$92*W37</f>
        <v>26927684.108361438</v>
      </c>
      <c r="X40" s="1028">
        <f>+X35*Assumptions!$F$92*X37</f>
        <v>27735514.631612279</v>
      </c>
      <c r="Y40" s="1028">
        <f>+Y35*Assumptions!$F$92*Y37</f>
        <v>28567580.070560649</v>
      </c>
      <c r="Z40" s="1028">
        <f>+Z35*Assumptions!$F$92*Z37</f>
        <v>29424607.472677473</v>
      </c>
      <c r="AA40" s="699"/>
      <c r="AB40" s="699"/>
      <c r="AC40" s="699"/>
      <c r="AD40" s="699"/>
      <c r="AE40" s="49"/>
      <c r="AF40" s="49"/>
      <c r="AG40" s="49"/>
      <c r="AH40" s="49"/>
      <c r="AI40" s="49"/>
      <c r="AJ40" s="49"/>
      <c r="AK40" s="49"/>
      <c r="AL40" s="49"/>
      <c r="AM40" s="49" t="s">
        <v>1132</v>
      </c>
      <c r="AN40" s="49"/>
      <c r="AO40" s="49"/>
      <c r="AP40" s="49"/>
      <c r="AQ40" s="83">
        <f>+AQ29*Assumptions!$N$97*AQ33</f>
        <v>0</v>
      </c>
      <c r="AR40" s="83">
        <f>+AR29*Assumptions!$N$97*AR33</f>
        <v>0</v>
      </c>
      <c r="AS40" s="83">
        <f>+AS29*Assumptions!$N$97*AS33</f>
        <v>0</v>
      </c>
      <c r="AT40" s="83">
        <f>+AT29*Assumptions!$N$97*AT33</f>
        <v>0</v>
      </c>
      <c r="AU40" s="83">
        <f>+AU29*Assumptions!$N$97*AU33</f>
        <v>0</v>
      </c>
      <c r="AV40" s="83">
        <f>+AV29*Assumptions!$N$97*AV33</f>
        <v>0</v>
      </c>
      <c r="AW40" s="83">
        <f>+AW29*Assumptions!$N$97*AW33</f>
        <v>0</v>
      </c>
      <c r="AX40" s="83">
        <f>+AX29*Assumptions!$N$97*AX33</f>
        <v>0</v>
      </c>
      <c r="AY40" s="83">
        <f>+AY29*Assumptions!$N$97*AY33</f>
        <v>0</v>
      </c>
      <c r="AZ40" s="83">
        <f>+AZ29*Assumptions!$N$97*AZ33</f>
        <v>0</v>
      </c>
      <c r="BA40" s="83">
        <f>+BA29*Assumptions!$N$97*BA33</f>
        <v>0</v>
      </c>
      <c r="BB40" s="83">
        <f>+BB29*Assumptions!$N$97*BB33</f>
        <v>0</v>
      </c>
      <c r="BC40" s="83">
        <f>+BC29*Assumptions!$N$97*BC33</f>
        <v>0</v>
      </c>
      <c r="BD40" s="83">
        <f>+BD29*Assumptions!$N$97*BD33</f>
        <v>0</v>
      </c>
      <c r="BE40" s="83">
        <f>+BE29*Assumptions!$N$97*BE33</f>
        <v>0</v>
      </c>
      <c r="BF40" s="83">
        <f>+BF29*Assumptions!$N$97*BF33</f>
        <v>0</v>
      </c>
      <c r="BG40" s="83">
        <f>+BG29*Assumptions!$N$97*BG33</f>
        <v>0</v>
      </c>
      <c r="BH40" s="83">
        <f>+BH29*Assumptions!$N$97*BH33</f>
        <v>0</v>
      </c>
      <c r="BI40" s="83">
        <f>+BI29*Assumptions!$N$97*BI33</f>
        <v>0</v>
      </c>
      <c r="BJ40" s="83">
        <f>+BJ29*Assumptions!$N$97*BJ33</f>
        <v>0</v>
      </c>
      <c r="BK40" s="83">
        <f>+BK29*Assumptions!$N$97*BK33</f>
        <v>0</v>
      </c>
      <c r="BL40" s="49"/>
      <c r="BM40" s="49"/>
      <c r="BN40" s="49"/>
    </row>
    <row r="41" spans="1:66">
      <c r="A41" s="699"/>
      <c r="B41" s="699" t="s">
        <v>1129</v>
      </c>
      <c r="C41" s="699"/>
      <c r="D41" s="699"/>
      <c r="E41" s="699"/>
      <c r="F41" s="1085">
        <f>-Assumptions!$E$99*'Phase 1 Pro Forma'!F40</f>
        <v>0</v>
      </c>
      <c r="G41" s="1085">
        <f>-Assumptions!$E$99*'Phase 1 Pro Forma'!G40</f>
        <v>0</v>
      </c>
      <c r="H41" s="1085">
        <f>-Assumptions!$E$99*'Phase 1 Pro Forma'!H40</f>
        <v>0</v>
      </c>
      <c r="I41" s="1085">
        <f>-Assumptions!$E$99*'Phase 1 Pro Forma'!I40</f>
        <v>0</v>
      </c>
      <c r="J41" s="1085">
        <f>-Assumptions!$E$99*'Phase 1 Pro Forma'!J40</f>
        <v>-183364.42576501708</v>
      </c>
      <c r="K41" s="1085">
        <f>-Assumptions!$E$99*'Phase 1 Pro Forma'!K40</f>
        <v>-188865.35853796761</v>
      </c>
      <c r="L41" s="1085">
        <f>-Assumptions!$E$99*'Phase 1 Pro Forma'!L40</f>
        <v>-194531.31929410662</v>
      </c>
      <c r="M41" s="1085">
        <f>-Assumptions!$E$99*'Phase 1 Pro Forma'!M40</f>
        <v>-200367.25887292984</v>
      </c>
      <c r="N41" s="1085">
        <f>-Assumptions!$E$99*'Phase 1 Pro Forma'!N40</f>
        <v>-206378.27663911774</v>
      </c>
      <c r="O41" s="1085">
        <f>-Assumptions!$E$99*'Phase 1 Pro Forma'!O40</f>
        <v>-212569.62493829126</v>
      </c>
      <c r="P41" s="1085">
        <f>-Assumptions!$E$99*'Phase 1 Pro Forma'!P40</f>
        <v>-218946.71368644002</v>
      </c>
      <c r="Q41" s="1085">
        <f>-Assumptions!$E$99*'Phase 1 Pro Forma'!Q40</f>
        <v>-225515.11509703324</v>
      </c>
      <c r="R41" s="1085">
        <f>-Assumptions!$E$99*'Phase 1 Pro Forma'!R40</f>
        <v>-232280.56854994423</v>
      </c>
      <c r="S41" s="1085">
        <f>-Assumptions!$E$99*'Phase 1 Pro Forma'!S40</f>
        <v>-239248.98560644258</v>
      </c>
      <c r="T41" s="1085">
        <f>-Assumptions!$E$99*'Phase 1 Pro Forma'!T40</f>
        <v>-246426.45517463586</v>
      </c>
      <c r="U41" s="1085">
        <f>-Assumptions!$E$99*'Phase 1 Pro Forma'!U40</f>
        <v>-253819.24882987497</v>
      </c>
      <c r="V41" s="1085">
        <f>-Assumptions!$E$99*'Phase 1 Pro Forma'!V40</f>
        <v>-261433.82629477125</v>
      </c>
      <c r="W41" s="1085">
        <f>-Assumptions!$E$99*'Phase 1 Pro Forma'!W40</f>
        <v>-269276.84108361439</v>
      </c>
      <c r="X41" s="1085">
        <f>-Assumptions!$E$99*'Phase 1 Pro Forma'!X40</f>
        <v>-277355.14631612279</v>
      </c>
      <c r="Y41" s="1085">
        <f>-Assumptions!$E$99*'Phase 1 Pro Forma'!Y40</f>
        <v>-285675.80070560653</v>
      </c>
      <c r="Z41" s="1085">
        <f>-Assumptions!$E$99*'Phase 1 Pro Forma'!Z40</f>
        <v>-294246.07472677476</v>
      </c>
      <c r="AA41" s="699"/>
      <c r="AB41" s="699"/>
      <c r="AC41" s="699"/>
      <c r="AD41" s="699"/>
      <c r="AE41" s="49"/>
      <c r="AF41" s="49"/>
      <c r="AG41" s="49"/>
      <c r="AH41" s="49"/>
      <c r="AI41" s="49"/>
      <c r="AJ41" s="49"/>
      <c r="AK41" s="49"/>
      <c r="AL41" s="49"/>
      <c r="AM41" s="49" t="s">
        <v>1133</v>
      </c>
      <c r="AN41" s="49"/>
      <c r="AO41" s="49"/>
      <c r="AP41" s="49"/>
      <c r="AQ41" s="253">
        <f ca="1">+IFERROR(INDEX('Taxes and TIF'!$M$11:$M$45,MATCH('Phase 1 Pro Forma'!F$7,'Taxes and TIF'!$B$11:$B$45,0)),0)*'Loan Sizing'!$I$31*'Phase 1 Pro Forma'!AQ30</f>
        <v>0</v>
      </c>
      <c r="AR41" s="253">
        <f ca="1">+IFERROR(INDEX('Taxes and TIF'!$M$11:$M$45,MATCH('Phase 1 Pro Forma'!G$7,'Taxes and TIF'!$B$11:$B$45,0)),0)*'Loan Sizing'!$I$31*'Phase 1 Pro Forma'!AR30</f>
        <v>0</v>
      </c>
      <c r="AS41" s="253">
        <f ca="1">+IFERROR(INDEX('Taxes and TIF'!$M$11:$M$45,MATCH('Phase 1 Pro Forma'!H$7,'Taxes and TIF'!$B$11:$B$45,0)),0)*'Loan Sizing'!$I$31*'Phase 1 Pro Forma'!AS30</f>
        <v>0</v>
      </c>
      <c r="AT41" s="253">
        <f ca="1">+IFERROR(INDEX('Taxes and TIF'!$M$11:$M$45,MATCH('Phase 1 Pro Forma'!I$7,'Taxes and TIF'!$B$11:$B$45,0)),0)*'Loan Sizing'!$I$31*'Phase 1 Pro Forma'!AT30</f>
        <v>0</v>
      </c>
      <c r="AU41" s="253">
        <f ca="1">+IFERROR(INDEX('Taxes and TIF'!$M$11:$M$45,MATCH('Phase 1 Pro Forma'!J$7,'Taxes and TIF'!$B$11:$B$45,0)),0)*'Loan Sizing'!$I$31*'Phase 1 Pro Forma'!AU30</f>
        <v>0</v>
      </c>
      <c r="AV41" s="253">
        <f ca="1">+IFERROR(INDEX('Taxes and TIF'!$M$11:$M$45,MATCH('Phase 1 Pro Forma'!K$7,'Taxes and TIF'!$B$11:$B$45,0)),0)*'Loan Sizing'!$I$31*'Phase 1 Pro Forma'!AV30</f>
        <v>0</v>
      </c>
      <c r="AW41" s="253">
        <f ca="1">+IFERROR(INDEX('Taxes and TIF'!$M$11:$M$45,MATCH('Phase 1 Pro Forma'!L$7,'Taxes and TIF'!$B$11:$B$45,0)),0)*'Loan Sizing'!$I$31*'Phase 1 Pro Forma'!AW30</f>
        <v>0</v>
      </c>
      <c r="AX41" s="253">
        <f ca="1">+IFERROR(INDEX('Taxes and TIF'!$M$11:$M$45,MATCH('Phase 1 Pro Forma'!M$7,'Taxes and TIF'!$B$11:$B$45,0)),0)*'Loan Sizing'!$I$31*'Phase 1 Pro Forma'!AX30</f>
        <v>0</v>
      </c>
      <c r="AY41" s="253">
        <f ca="1">+IFERROR(INDEX('Taxes and TIF'!$M$11:$M$45,MATCH('Phase 1 Pro Forma'!N$7,'Taxes and TIF'!$B$11:$B$45,0)),0)*'Loan Sizing'!$I$31*'Phase 1 Pro Forma'!AY30</f>
        <v>0</v>
      </c>
      <c r="AZ41" s="253">
        <f ca="1">+IFERROR(INDEX('Taxes and TIF'!$M$11:$M$45,MATCH('Phase 1 Pro Forma'!O$7,'Taxes and TIF'!$B$11:$B$45,0)),0)*'Loan Sizing'!$I$31*'Phase 1 Pro Forma'!AZ30</f>
        <v>0</v>
      </c>
      <c r="BA41" s="253">
        <f ca="1">+IFERROR(INDEX('Taxes and TIF'!$M$11:$M$45,MATCH('Phase 1 Pro Forma'!P$7,'Taxes and TIF'!$B$11:$B$45,0)),0)*'Loan Sizing'!$I$31*'Phase 1 Pro Forma'!BA30</f>
        <v>0</v>
      </c>
      <c r="BB41" s="253">
        <f ca="1">+IFERROR(INDEX('Taxes and TIF'!$M$11:$M$45,MATCH('Phase 1 Pro Forma'!Q$7,'Taxes and TIF'!$B$11:$B$45,0)),0)*'Loan Sizing'!$I$31*'Phase 1 Pro Forma'!BB30</f>
        <v>0</v>
      </c>
      <c r="BC41" s="253">
        <f ca="1">+IFERROR(INDEX('Taxes and TIF'!$M$11:$M$45,MATCH('Phase 1 Pro Forma'!R$7,'Taxes and TIF'!$B$11:$B$45,0)),0)*'Loan Sizing'!$I$31*'Phase 1 Pro Forma'!BC30</f>
        <v>0</v>
      </c>
      <c r="BD41" s="253">
        <f ca="1">+IFERROR(INDEX('Taxes and TIF'!$M$11:$M$45,MATCH('Phase 1 Pro Forma'!S$7,'Taxes and TIF'!$B$11:$B$45,0)),0)*'Loan Sizing'!$I$31*'Phase 1 Pro Forma'!BD30</f>
        <v>0</v>
      </c>
      <c r="BE41" s="253">
        <f ca="1">+IFERROR(INDEX('Taxes and TIF'!$M$11:$M$45,MATCH('Phase 1 Pro Forma'!T$7,'Taxes and TIF'!$B$11:$B$45,0)),0)*'Loan Sizing'!$I$31*'Phase 1 Pro Forma'!BE30</f>
        <v>0</v>
      </c>
      <c r="BF41" s="253">
        <f ca="1">+IFERROR(INDEX('Taxes and TIF'!$M$11:$M$45,MATCH('Phase 1 Pro Forma'!U$7,'Taxes and TIF'!$B$11:$B$45,0)),0)*'Loan Sizing'!$I$31*'Phase 1 Pro Forma'!BF30</f>
        <v>0</v>
      </c>
      <c r="BG41" s="253">
        <f ca="1">+IFERROR(INDEX('Taxes and TIF'!$M$11:$M$45,MATCH('Phase 1 Pro Forma'!V$7,'Taxes and TIF'!$B$11:$B$45,0)),0)*'Loan Sizing'!$I$31*'Phase 1 Pro Forma'!BG30</f>
        <v>0</v>
      </c>
      <c r="BH41" s="253">
        <f ca="1">+IFERROR(INDEX('Taxes and TIF'!$M$11:$M$45,MATCH('Phase 1 Pro Forma'!W$7,'Taxes and TIF'!$B$11:$B$45,0)),0)*'Loan Sizing'!$I$31*'Phase 1 Pro Forma'!BH30</f>
        <v>0</v>
      </c>
      <c r="BI41" s="253">
        <f ca="1">+IFERROR(INDEX('Taxes and TIF'!$M$11:$M$45,MATCH('Phase 1 Pro Forma'!X$7,'Taxes and TIF'!$B$11:$B$45,0)),0)*'Loan Sizing'!$I$31*'Phase 1 Pro Forma'!BI30</f>
        <v>0</v>
      </c>
      <c r="BJ41" s="253">
        <f ca="1">+IFERROR(INDEX('Taxes and TIF'!$M$11:$M$45,MATCH('Phase 1 Pro Forma'!Y$7,'Taxes and TIF'!$B$11:$B$45,0)),0)*'Loan Sizing'!$I$31*'Phase 1 Pro Forma'!BJ30</f>
        <v>0</v>
      </c>
      <c r="BK41" s="253">
        <f ca="1">+IFERROR(INDEX('Taxes and TIF'!$M$11:$M$45,MATCH('Phase 1 Pro Forma'!Z$7,'Taxes and TIF'!$B$11:$B$45,0)),0)*'Loan Sizing'!$I$31*'Phase 1 Pro Forma'!BK30</f>
        <v>0</v>
      </c>
      <c r="BL41" s="49"/>
      <c r="BM41" s="49"/>
      <c r="BN41" s="49"/>
    </row>
    <row r="42" spans="1:66">
      <c r="A42" s="699"/>
      <c r="B42" s="699" t="s">
        <v>1130</v>
      </c>
      <c r="C42" s="699"/>
      <c r="D42" s="699"/>
      <c r="E42" s="699"/>
      <c r="F42" s="1085">
        <f>-F40*Assumptions!$N$60</f>
        <v>0</v>
      </c>
      <c r="G42" s="1085">
        <f>-G40*Assumptions!$N$60</f>
        <v>0</v>
      </c>
      <c r="H42" s="1085">
        <f>-H40*Assumptions!$N$60</f>
        <v>0</v>
      </c>
      <c r="I42" s="1085">
        <f>-I40*Assumptions!$N$60</f>
        <v>0</v>
      </c>
      <c r="J42" s="1085">
        <f>-J40*Assumptions!$N$60</f>
        <v>-1283550.9803551198</v>
      </c>
      <c r="K42" s="1085">
        <f>-K40*Assumptions!$N$60</f>
        <v>-1322057.5097657735</v>
      </c>
      <c r="L42" s="1085">
        <f>-L40*Assumptions!$N$60</f>
        <v>-1361719.2350587465</v>
      </c>
      <c r="M42" s="1085">
        <f>-M40*Assumptions!$N$60</f>
        <v>-1402570.812110509</v>
      </c>
      <c r="N42" s="1085">
        <f>-N40*Assumptions!$N$60</f>
        <v>-1444647.9364738243</v>
      </c>
      <c r="O42" s="1085">
        <f>-O40*Assumptions!$N$60</f>
        <v>-1487987.3745680391</v>
      </c>
      <c r="P42" s="1085">
        <f>-P40*Assumptions!$N$60</f>
        <v>-1532626.9958050803</v>
      </c>
      <c r="Q42" s="1085">
        <f>-Q40*Assumptions!$N$60</f>
        <v>-1578605.8056792328</v>
      </c>
      <c r="R42" s="1085">
        <f>-R40*Assumptions!$N$60</f>
        <v>-1625963.9798496098</v>
      </c>
      <c r="S42" s="1085">
        <f>-S40*Assumptions!$N$60</f>
        <v>-1674742.8992450982</v>
      </c>
      <c r="T42" s="1085">
        <f>-T40*Assumptions!$N$60</f>
        <v>-1724985.1862224513</v>
      </c>
      <c r="U42" s="1085">
        <f>-U40*Assumptions!$N$60</f>
        <v>-1776734.7418091248</v>
      </c>
      <c r="V42" s="1085">
        <f>-V40*Assumptions!$N$60</f>
        <v>-1830036.7840633988</v>
      </c>
      <c r="W42" s="1085">
        <f>-W40*Assumptions!$N$60</f>
        <v>-1884937.8875853007</v>
      </c>
      <c r="X42" s="1085">
        <f>-X40*Assumptions!$N$60</f>
        <v>-1941486.0242128596</v>
      </c>
      <c r="Y42" s="1085">
        <f>-Y40*Assumptions!$N$60</f>
        <v>-1999730.6049392456</v>
      </c>
      <c r="Z42" s="1085">
        <f>-Z40*Assumptions!$N$60</f>
        <v>-2059722.5230874233</v>
      </c>
      <c r="AA42" s="699"/>
      <c r="AB42" s="699"/>
      <c r="AC42" s="699"/>
      <c r="AD42" s="699"/>
      <c r="AE42" s="49"/>
      <c r="AF42" s="49"/>
      <c r="AG42" s="49"/>
      <c r="AH42" s="49"/>
      <c r="AI42" s="49"/>
      <c r="AJ42" s="49"/>
      <c r="AK42" s="49"/>
      <c r="AL42" s="49"/>
      <c r="AM42" s="49" t="s">
        <v>1134</v>
      </c>
      <c r="AN42" s="49"/>
      <c r="AO42" s="49"/>
      <c r="AP42" s="49"/>
      <c r="AQ42" s="83">
        <f ca="1">+SUM(AQ40:AQ41)</f>
        <v>0</v>
      </c>
      <c r="AR42" s="83">
        <f t="shared" ref="AR42:BK42" ca="1" si="80">+SUM(AR40:AR41)</f>
        <v>0</v>
      </c>
      <c r="AS42" s="83">
        <f t="shared" ca="1" si="80"/>
        <v>0</v>
      </c>
      <c r="AT42" s="83">
        <f t="shared" ca="1" si="80"/>
        <v>0</v>
      </c>
      <c r="AU42" s="83">
        <f t="shared" ca="1" si="80"/>
        <v>0</v>
      </c>
      <c r="AV42" s="83">
        <f t="shared" ca="1" si="80"/>
        <v>0</v>
      </c>
      <c r="AW42" s="83">
        <f t="shared" ca="1" si="80"/>
        <v>0</v>
      </c>
      <c r="AX42" s="83">
        <f t="shared" ca="1" si="80"/>
        <v>0</v>
      </c>
      <c r="AY42" s="83">
        <f t="shared" ca="1" si="80"/>
        <v>0</v>
      </c>
      <c r="AZ42" s="83">
        <f t="shared" ca="1" si="80"/>
        <v>0</v>
      </c>
      <c r="BA42" s="83">
        <f t="shared" ca="1" si="80"/>
        <v>0</v>
      </c>
      <c r="BB42" s="83">
        <f t="shared" ca="1" si="80"/>
        <v>0</v>
      </c>
      <c r="BC42" s="83">
        <f t="shared" ca="1" si="80"/>
        <v>0</v>
      </c>
      <c r="BD42" s="83">
        <f t="shared" ca="1" si="80"/>
        <v>0</v>
      </c>
      <c r="BE42" s="83">
        <f t="shared" ca="1" si="80"/>
        <v>0</v>
      </c>
      <c r="BF42" s="83">
        <f t="shared" ca="1" si="80"/>
        <v>0</v>
      </c>
      <c r="BG42" s="83">
        <f t="shared" ca="1" si="80"/>
        <v>0</v>
      </c>
      <c r="BH42" s="83">
        <f t="shared" ca="1" si="80"/>
        <v>0</v>
      </c>
      <c r="BI42" s="83">
        <f t="shared" ca="1" si="80"/>
        <v>0</v>
      </c>
      <c r="BJ42" s="83">
        <f t="shared" ca="1" si="80"/>
        <v>0</v>
      </c>
      <c r="BK42" s="83">
        <f t="shared" ca="1" si="80"/>
        <v>0</v>
      </c>
      <c r="BL42" s="49"/>
      <c r="BM42" s="49"/>
      <c r="BN42" s="49"/>
    </row>
    <row r="43" spans="1:66">
      <c r="A43" s="699"/>
      <c r="B43" s="52" t="s">
        <v>1131</v>
      </c>
      <c r="C43" s="1052"/>
      <c r="D43" s="1052"/>
      <c r="E43" s="1052"/>
      <c r="F43" s="1086">
        <f t="shared" ref="F43:Z43" si="81">SUM(F40:F42)</f>
        <v>0</v>
      </c>
      <c r="G43" s="1086">
        <f t="shared" si="81"/>
        <v>0</v>
      </c>
      <c r="H43" s="1086">
        <f t="shared" si="81"/>
        <v>0</v>
      </c>
      <c r="I43" s="1086">
        <f t="shared" si="81"/>
        <v>0</v>
      </c>
      <c r="J43" s="1086">
        <f t="shared" si="81"/>
        <v>16869527.170381568</v>
      </c>
      <c r="K43" s="1086">
        <f t="shared" si="81"/>
        <v>17375612.985493019</v>
      </c>
      <c r="L43" s="1086">
        <f t="shared" si="81"/>
        <v>17896881.375057809</v>
      </c>
      <c r="M43" s="1086">
        <f t="shared" si="81"/>
        <v>18433787.816309545</v>
      </c>
      <c r="N43" s="1086">
        <f t="shared" si="81"/>
        <v>18986801.450798832</v>
      </c>
      <c r="O43" s="1086">
        <f t="shared" si="81"/>
        <v>19556405.494322799</v>
      </c>
      <c r="P43" s="1086">
        <f t="shared" si="81"/>
        <v>20143097.659152482</v>
      </c>
      <c r="Q43" s="1086">
        <f t="shared" si="81"/>
        <v>20747390.588927057</v>
      </c>
      <c r="R43" s="1086">
        <f t="shared" si="81"/>
        <v>21369812.306594867</v>
      </c>
      <c r="S43" s="1086">
        <f t="shared" si="81"/>
        <v>22010906.675792716</v>
      </c>
      <c r="T43" s="1086">
        <f t="shared" si="81"/>
        <v>22671233.876066498</v>
      </c>
      <c r="U43" s="1086">
        <f t="shared" si="81"/>
        <v>23351370.892348494</v>
      </c>
      <c r="V43" s="1086">
        <f t="shared" si="81"/>
        <v>24051912.019118953</v>
      </c>
      <c r="W43" s="1086">
        <f t="shared" si="81"/>
        <v>24773469.379692521</v>
      </c>
      <c r="X43" s="1086">
        <f t="shared" si="81"/>
        <v>25516673.461083297</v>
      </c>
      <c r="Y43" s="1086">
        <f t="shared" si="81"/>
        <v>26282173.664915796</v>
      </c>
      <c r="Z43" s="1086">
        <f t="shared" si="81"/>
        <v>27070638.874863274</v>
      </c>
      <c r="AA43" s="699"/>
      <c r="AB43" s="699"/>
      <c r="AC43" s="699"/>
      <c r="AD43" s="69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49"/>
      <c r="AY43" s="49"/>
      <c r="AZ43" s="49"/>
      <c r="BA43" s="49"/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</row>
    <row r="44" spans="1:66" ht="15.75">
      <c r="A44" s="699"/>
      <c r="B44" s="49"/>
      <c r="C44" s="699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Q44" s="699"/>
      <c r="R44" s="699"/>
      <c r="S44" s="699"/>
      <c r="T44" s="699"/>
      <c r="U44" s="699"/>
      <c r="V44" s="699"/>
      <c r="W44" s="699"/>
      <c r="X44" s="699"/>
      <c r="Y44" s="699"/>
      <c r="Z44" s="699"/>
      <c r="AA44" s="699"/>
      <c r="AB44" s="699"/>
      <c r="AC44" s="699"/>
      <c r="AD44" s="699"/>
      <c r="AE44" s="49"/>
      <c r="AF44" s="49"/>
      <c r="AG44" s="49"/>
      <c r="AH44" s="49"/>
      <c r="AI44" s="49"/>
      <c r="AJ44" s="49"/>
      <c r="AK44" s="49"/>
      <c r="AL44" s="49"/>
      <c r="AM44" s="81" t="s">
        <v>1135</v>
      </c>
      <c r="AN44" s="81"/>
      <c r="AO44" s="81"/>
      <c r="AP44" s="81"/>
      <c r="AQ44" s="94">
        <f ca="1">+AQ38-AQ42</f>
        <v>0</v>
      </c>
      <c r="AR44" s="94">
        <f t="shared" ref="AR44:BK44" ca="1" si="82">+AR38-AR42</f>
        <v>0</v>
      </c>
      <c r="AS44" s="94">
        <f t="shared" ca="1" si="82"/>
        <v>0</v>
      </c>
      <c r="AT44" s="94">
        <f t="shared" ca="1" si="82"/>
        <v>0</v>
      </c>
      <c r="AU44" s="94">
        <f t="shared" ca="1" si="82"/>
        <v>0</v>
      </c>
      <c r="AV44" s="94">
        <f t="shared" ca="1" si="82"/>
        <v>0</v>
      </c>
      <c r="AW44" s="94">
        <f t="shared" ca="1" si="82"/>
        <v>0</v>
      </c>
      <c r="AX44" s="94">
        <f t="shared" ca="1" si="82"/>
        <v>0</v>
      </c>
      <c r="AY44" s="94">
        <f t="shared" ca="1" si="82"/>
        <v>0</v>
      </c>
      <c r="AZ44" s="94">
        <f t="shared" ca="1" si="82"/>
        <v>0</v>
      </c>
      <c r="BA44" s="94">
        <f t="shared" ca="1" si="82"/>
        <v>0</v>
      </c>
      <c r="BB44" s="94">
        <f t="shared" ca="1" si="82"/>
        <v>0</v>
      </c>
      <c r="BC44" s="94">
        <f t="shared" ca="1" si="82"/>
        <v>0</v>
      </c>
      <c r="BD44" s="94">
        <f t="shared" ca="1" si="82"/>
        <v>0</v>
      </c>
      <c r="BE44" s="94">
        <f t="shared" ca="1" si="82"/>
        <v>0</v>
      </c>
      <c r="BF44" s="94">
        <f t="shared" ca="1" si="82"/>
        <v>0</v>
      </c>
      <c r="BG44" s="94">
        <f t="shared" ca="1" si="82"/>
        <v>0</v>
      </c>
      <c r="BH44" s="94">
        <f t="shared" ca="1" si="82"/>
        <v>0</v>
      </c>
      <c r="BI44" s="94">
        <f t="shared" ca="1" si="82"/>
        <v>0</v>
      </c>
      <c r="BJ44" s="94">
        <f t="shared" ca="1" si="82"/>
        <v>0</v>
      </c>
      <c r="BK44" s="94">
        <f t="shared" ca="1" si="82"/>
        <v>0</v>
      </c>
      <c r="BL44" s="49"/>
      <c r="BM44" s="49"/>
      <c r="BN44" s="49"/>
    </row>
    <row r="45" spans="1:66">
      <c r="A45" s="699"/>
      <c r="B45" s="699" t="s">
        <v>1132</v>
      </c>
      <c r="C45" s="699"/>
      <c r="D45" s="699"/>
      <c r="E45" s="699"/>
      <c r="F45" s="1087">
        <f>+F34*Assumptions!$N$97*F38</f>
        <v>0</v>
      </c>
      <c r="G45" s="1087">
        <f>+G34*Assumptions!$N$97*G38</f>
        <v>0</v>
      </c>
      <c r="H45" s="1087">
        <f>+H34*Assumptions!$N$97*H38</f>
        <v>0</v>
      </c>
      <c r="I45" s="1087">
        <f>+I34*Assumptions!$N$97*I38</f>
        <v>0</v>
      </c>
      <c r="J45" s="1087">
        <f>+J34*Assumptions!$N$97*J38</f>
        <v>3956207.6645642044</v>
      </c>
      <c r="K45" s="1087">
        <f>+K34*Assumptions!$N$97*K38</f>
        <v>4074893.8945011306</v>
      </c>
      <c r="L45" s="1087">
        <f>+L34*Assumptions!$N$97*L38</f>
        <v>4197140.7113361647</v>
      </c>
      <c r="M45" s="1087">
        <f>+M34*Assumptions!$N$97*M38</f>
        <v>4323054.9326762501</v>
      </c>
      <c r="N45" s="1087">
        <f>+N34*Assumptions!$N$97*N38</f>
        <v>4452746.5806565378</v>
      </c>
      <c r="O45" s="1087">
        <f>+O34*Assumptions!$N$97*O38</f>
        <v>4586328.9780762335</v>
      </c>
      <c r="P45" s="1087">
        <f>+P34*Assumptions!$N$97*P38</f>
        <v>4723918.8474185206</v>
      </c>
      <c r="Q45" s="1087">
        <f>+Q34*Assumptions!$N$97*Q38</f>
        <v>4865636.412841076</v>
      </c>
      <c r="R45" s="1087">
        <f>+R34*Assumptions!$N$97*R38</f>
        <v>5011605.5052263085</v>
      </c>
      <c r="S45" s="1087">
        <f>+S34*Assumptions!$N$97*S38</f>
        <v>5161953.6703830985</v>
      </c>
      <c r="T45" s="1087">
        <f>+T34*Assumptions!$N$97*T38</f>
        <v>5316812.2804945922</v>
      </c>
      <c r="U45" s="1087">
        <f>+U34*Assumptions!$N$97*U38</f>
        <v>5476316.64890943</v>
      </c>
      <c r="V45" s="1087">
        <f>+V34*Assumptions!$N$97*V38</f>
        <v>5640606.1483767135</v>
      </c>
      <c r="W45" s="1087">
        <f>+W34*Assumptions!$N$97*W38</f>
        <v>5809824.3328280142</v>
      </c>
      <c r="X45" s="1087">
        <f>+X34*Assumptions!$N$97*X38</f>
        <v>5984119.0628128545</v>
      </c>
      <c r="Y45" s="1087">
        <f>+Y34*Assumptions!$N$97*Y38</f>
        <v>6163642.6346972408</v>
      </c>
      <c r="Z45" s="1087">
        <f>+Z34*Assumptions!$N$97*Z38</f>
        <v>6348551.9137381585</v>
      </c>
      <c r="AA45" s="699"/>
      <c r="AB45" s="699"/>
      <c r="AC45" s="699"/>
      <c r="AD45" s="699"/>
      <c r="AE45" s="49"/>
      <c r="AF45" s="49"/>
      <c r="AG45" s="49"/>
      <c r="AH45" s="49"/>
      <c r="AI45" s="49"/>
      <c r="AJ45" s="49"/>
      <c r="AK45" s="49"/>
      <c r="AL45" s="49"/>
      <c r="AM45" s="223" t="s">
        <v>1136</v>
      </c>
      <c r="AN45" s="223"/>
      <c r="AO45" s="223"/>
      <c r="AP45" s="223"/>
      <c r="AQ45" s="772" t="str">
        <f ca="1">+IFERROR(AQ44/AQ38,"")</f>
        <v/>
      </c>
      <c r="AR45" s="772" t="str">
        <f t="shared" ref="AR45:BK45" ca="1" si="83">+IFERROR(AR44/AR38,"")</f>
        <v/>
      </c>
      <c r="AS45" s="772" t="str">
        <f t="shared" ca="1" si="83"/>
        <v/>
      </c>
      <c r="AT45" s="772" t="str">
        <f t="shared" ca="1" si="83"/>
        <v/>
      </c>
      <c r="AU45" s="772" t="str">
        <f t="shared" ca="1" si="83"/>
        <v/>
      </c>
      <c r="AV45" s="772" t="str">
        <f t="shared" ca="1" si="83"/>
        <v/>
      </c>
      <c r="AW45" s="772" t="str">
        <f t="shared" ca="1" si="83"/>
        <v/>
      </c>
      <c r="AX45" s="772" t="str">
        <f t="shared" ca="1" si="83"/>
        <v/>
      </c>
      <c r="AY45" s="772" t="str">
        <f t="shared" ca="1" si="83"/>
        <v/>
      </c>
      <c r="AZ45" s="772" t="str">
        <f t="shared" ca="1" si="83"/>
        <v/>
      </c>
      <c r="BA45" s="772" t="str">
        <f t="shared" ca="1" si="83"/>
        <v/>
      </c>
      <c r="BB45" s="772" t="str">
        <f t="shared" ca="1" si="83"/>
        <v/>
      </c>
      <c r="BC45" s="772" t="str">
        <f t="shared" ca="1" si="83"/>
        <v/>
      </c>
      <c r="BD45" s="772" t="str">
        <f t="shared" ca="1" si="83"/>
        <v/>
      </c>
      <c r="BE45" s="772" t="str">
        <f t="shared" ca="1" si="83"/>
        <v/>
      </c>
      <c r="BF45" s="772" t="str">
        <f t="shared" ca="1" si="83"/>
        <v/>
      </c>
      <c r="BG45" s="772" t="str">
        <f t="shared" ca="1" si="83"/>
        <v/>
      </c>
      <c r="BH45" s="772" t="str">
        <f t="shared" ca="1" si="83"/>
        <v/>
      </c>
      <c r="BI45" s="772" t="str">
        <f t="shared" ca="1" si="83"/>
        <v/>
      </c>
      <c r="BJ45" s="772" t="str">
        <f t="shared" ca="1" si="83"/>
        <v/>
      </c>
      <c r="BK45" s="772" t="str">
        <f t="shared" ca="1" si="83"/>
        <v/>
      </c>
      <c r="BL45" s="49"/>
      <c r="BM45" s="49"/>
      <c r="BN45" s="49"/>
    </row>
    <row r="46" spans="1:66">
      <c r="A46" s="699"/>
      <c r="B46" s="699" t="s">
        <v>1133</v>
      </c>
      <c r="C46" s="699"/>
      <c r="D46" s="699"/>
      <c r="E46" s="699"/>
      <c r="F46" s="1050">
        <f ca="1">+IFERROR(INDEX('Taxes and TIF'!$M$11:$M$45,MATCH('Phase 1 Pro Forma'!F$7,'Taxes and TIF'!$B$11:$B$45,0)),0)*'Loan Sizing'!$I$23*'Phase 1 Pro Forma'!F35</f>
        <v>0</v>
      </c>
      <c r="G46" s="1050">
        <f ca="1">+IFERROR(INDEX('Taxes and TIF'!$M$11:$M$45,MATCH('Phase 1 Pro Forma'!G$7,'Taxes and TIF'!$B$11:$B$45,0)),0)*'Loan Sizing'!$I$23*'Phase 1 Pro Forma'!G35</f>
        <v>0</v>
      </c>
      <c r="H46" s="1050">
        <f ca="1">+IFERROR(INDEX('Taxes and TIF'!$M$11:$M$45,MATCH('Phase 1 Pro Forma'!H$7,'Taxes and TIF'!$B$11:$B$45,0)),0)*'Loan Sizing'!$I$23*'Phase 1 Pro Forma'!H35</f>
        <v>0</v>
      </c>
      <c r="I46" s="1050">
        <f ca="1">+IFERROR(INDEX('Taxes and TIF'!$M$11:$M$45,MATCH('Phase 1 Pro Forma'!I$7,'Taxes and TIF'!$B$11:$B$45,0)),0)*'Loan Sizing'!$I$23*'Phase 1 Pro Forma'!I35</f>
        <v>0</v>
      </c>
      <c r="J46" s="1050">
        <f ca="1">+IFERROR(INDEX('Taxes and TIF'!$M$11:$M$45,MATCH('Phase 1 Pro Forma'!J$7,'Taxes and TIF'!$B$11:$B$45,0)),0)*'Loan Sizing'!$I$23*'Phase 1 Pro Forma'!J35</f>
        <v>2398117.9299083673</v>
      </c>
      <c r="K46" s="1050">
        <f ca="1">+IFERROR(INDEX('Taxes and TIF'!$M$11:$M$45,MATCH('Phase 1 Pro Forma'!K$7,'Taxes and TIF'!$B$11:$B$45,0)),0)*'Loan Sizing'!$I$23*'Phase 1 Pro Forma'!K35</f>
        <v>2398117.9299083673</v>
      </c>
      <c r="L46" s="1050">
        <f ca="1">+IFERROR(INDEX('Taxes and TIF'!$M$11:$M$45,MATCH('Phase 1 Pro Forma'!L$7,'Taxes and TIF'!$B$11:$B$45,0)),0)*'Loan Sizing'!$I$23*'Phase 1 Pro Forma'!L35</f>
        <v>2398117.9299083673</v>
      </c>
      <c r="M46" s="1050">
        <f ca="1">+IFERROR(INDEX('Taxes and TIF'!$M$11:$M$45,MATCH('Phase 1 Pro Forma'!M$7,'Taxes and TIF'!$B$11:$B$45,0)),0)*'Loan Sizing'!$I$23*'Phase 1 Pro Forma'!M35</f>
        <v>2470061.4678056184</v>
      </c>
      <c r="N46" s="1050">
        <f ca="1">+IFERROR(INDEX('Taxes and TIF'!$M$11:$M$45,MATCH('Phase 1 Pro Forma'!N$7,'Taxes and TIF'!$B$11:$B$45,0)),0)*'Loan Sizing'!$I$23*'Phase 1 Pro Forma'!N35</f>
        <v>2470061.4678056184</v>
      </c>
      <c r="O46" s="1050">
        <f ca="1">+IFERROR(INDEX('Taxes and TIF'!$M$11:$M$45,MATCH('Phase 1 Pro Forma'!O$7,'Taxes and TIF'!$B$11:$B$45,0)),0)*'Loan Sizing'!$I$23*'Phase 1 Pro Forma'!O35</f>
        <v>2470061.4678056184</v>
      </c>
      <c r="P46" s="1050">
        <f ca="1">+IFERROR(INDEX('Taxes and TIF'!$M$11:$M$45,MATCH('Phase 1 Pro Forma'!P$7,'Taxes and TIF'!$B$11:$B$45,0)),0)*'Loan Sizing'!$I$23*'Phase 1 Pro Forma'!P35</f>
        <v>2544163.3118397873</v>
      </c>
      <c r="Q46" s="1050">
        <f ca="1">+IFERROR(INDEX('Taxes and TIF'!$M$11:$M$45,MATCH('Phase 1 Pro Forma'!Q$7,'Taxes and TIF'!$B$11:$B$45,0)),0)*'Loan Sizing'!$I$23*'Phase 1 Pro Forma'!Q35</f>
        <v>2544163.3118397873</v>
      </c>
      <c r="R46" s="1050">
        <f ca="1">+IFERROR(INDEX('Taxes and TIF'!$M$11:$M$45,MATCH('Phase 1 Pro Forma'!R$7,'Taxes and TIF'!$B$11:$B$45,0)),0)*'Loan Sizing'!$I$23*'Phase 1 Pro Forma'!R35</f>
        <v>2544163.3118397873</v>
      </c>
      <c r="S46" s="1050">
        <f ca="1">+IFERROR(INDEX('Taxes and TIF'!$M$11:$M$45,MATCH('Phase 1 Pro Forma'!S$7,'Taxes and TIF'!$B$11:$B$45,0)),0)*'Loan Sizing'!$I$23*'Phase 1 Pro Forma'!S35</f>
        <v>2620488.2111949814</v>
      </c>
      <c r="T46" s="1050">
        <f ca="1">+IFERROR(INDEX('Taxes and TIF'!$M$11:$M$45,MATCH('Phase 1 Pro Forma'!T$7,'Taxes and TIF'!$B$11:$B$45,0)),0)*'Loan Sizing'!$I$23*'Phase 1 Pro Forma'!T35</f>
        <v>2620488.2111949814</v>
      </c>
      <c r="U46" s="1050">
        <f ca="1">+IFERROR(INDEX('Taxes and TIF'!$M$11:$M$45,MATCH('Phase 1 Pro Forma'!U$7,'Taxes and TIF'!$B$11:$B$45,0)),0)*'Loan Sizing'!$I$23*'Phase 1 Pro Forma'!U35</f>
        <v>2620488.2111949814</v>
      </c>
      <c r="V46" s="1050">
        <f ca="1">+IFERROR(INDEX('Taxes and TIF'!$M$11:$M$45,MATCH('Phase 1 Pro Forma'!V$7,'Taxes and TIF'!$B$11:$B$45,0)),0)*'Loan Sizing'!$I$23*'Phase 1 Pro Forma'!V35</f>
        <v>2699102.8575308304</v>
      </c>
      <c r="W46" s="1050">
        <f ca="1">+IFERROR(INDEX('Taxes and TIF'!$M$11:$M$45,MATCH('Phase 1 Pro Forma'!W$7,'Taxes and TIF'!$B$11:$B$45,0)),0)*'Loan Sizing'!$I$23*'Phase 1 Pro Forma'!W35</f>
        <v>2699102.8575308304</v>
      </c>
      <c r="X46" s="1050">
        <f ca="1">+IFERROR(INDEX('Taxes and TIF'!$M$11:$M$45,MATCH('Phase 1 Pro Forma'!X$7,'Taxes and TIF'!$B$11:$B$45,0)),0)*'Loan Sizing'!$I$23*'Phase 1 Pro Forma'!X35</f>
        <v>2699102.8575308304</v>
      </c>
      <c r="Y46" s="1050">
        <f ca="1">+IFERROR(INDEX('Taxes and TIF'!$M$11:$M$45,MATCH('Phase 1 Pro Forma'!Y$7,'Taxes and TIF'!$B$11:$B$45,0)),0)*'Loan Sizing'!$I$23*'Phase 1 Pro Forma'!Y35</f>
        <v>2780075.9432567554</v>
      </c>
      <c r="Z46" s="1050">
        <f ca="1">+IFERROR(INDEX('Taxes and TIF'!$M$11:$M$45,MATCH('Phase 1 Pro Forma'!Z$7,'Taxes and TIF'!$B$11:$B$45,0)),0)*'Loan Sizing'!$I$23*'Phase 1 Pro Forma'!Z35</f>
        <v>2780075.9432567554</v>
      </c>
      <c r="AA46" s="699"/>
      <c r="AB46" s="699"/>
      <c r="AC46" s="699"/>
      <c r="AD46" s="699"/>
      <c r="AE46" s="49"/>
      <c r="AF46" s="49"/>
      <c r="AG46" s="49"/>
      <c r="AH46" s="49"/>
      <c r="AI46" s="49"/>
      <c r="AJ46" s="49"/>
      <c r="AK46" s="49"/>
      <c r="AL46" s="49"/>
      <c r="AM46" s="223" t="s">
        <v>1064</v>
      </c>
      <c r="AN46" s="223"/>
      <c r="AO46" s="223"/>
      <c r="AP46" s="223"/>
      <c r="AQ46" s="224">
        <f ca="1">+AQ44/Assumptions!$F$45</f>
        <v>0</v>
      </c>
      <c r="AR46" s="224">
        <f ca="1">+AR44/Assumptions!$F$45</f>
        <v>0</v>
      </c>
      <c r="AS46" s="224">
        <f ca="1">+AS44/Assumptions!$F$45</f>
        <v>0</v>
      </c>
      <c r="AT46" s="224">
        <f ca="1">+AT44/Assumptions!$F$45</f>
        <v>0</v>
      </c>
      <c r="AU46" s="224">
        <f ca="1">+AU44/Assumptions!$F$45</f>
        <v>0</v>
      </c>
      <c r="AV46" s="224">
        <f ca="1">+AV44/Assumptions!$F$45</f>
        <v>0</v>
      </c>
      <c r="AW46" s="224">
        <f ca="1">+AW44/Assumptions!$F$45</f>
        <v>0</v>
      </c>
      <c r="AX46" s="224">
        <f ca="1">+AX44/Assumptions!$F$45</f>
        <v>0</v>
      </c>
      <c r="AY46" s="224">
        <f ca="1">+AY44/Assumptions!$F$45</f>
        <v>0</v>
      </c>
      <c r="AZ46" s="224">
        <f ca="1">+AZ44/Assumptions!$F$45</f>
        <v>0</v>
      </c>
      <c r="BA46" s="224">
        <f ca="1">+BA44/Assumptions!$F$45</f>
        <v>0</v>
      </c>
      <c r="BB46" s="224">
        <f ca="1">+BB44/Assumptions!$F$45</f>
        <v>0</v>
      </c>
      <c r="BC46" s="224">
        <f ca="1">+BC44/Assumptions!$F$45</f>
        <v>0</v>
      </c>
      <c r="BD46" s="224">
        <f ca="1">+BD44/Assumptions!$F$45</f>
        <v>0</v>
      </c>
      <c r="BE46" s="224">
        <f ca="1">+BE44/Assumptions!$F$45</f>
        <v>0</v>
      </c>
      <c r="BF46" s="224">
        <f ca="1">+BF44/Assumptions!$F$45</f>
        <v>0</v>
      </c>
      <c r="BG46" s="224">
        <f ca="1">+BG44/Assumptions!$F$45</f>
        <v>0</v>
      </c>
      <c r="BH46" s="224">
        <f ca="1">+BH44/Assumptions!$F$45</f>
        <v>0</v>
      </c>
      <c r="BI46" s="224">
        <f ca="1">+BI44/Assumptions!$F$45</f>
        <v>0</v>
      </c>
      <c r="BJ46" s="224">
        <f ca="1">+BJ44/Assumptions!$F$45</f>
        <v>0</v>
      </c>
      <c r="BK46" s="224">
        <f ca="1">+BK44/Assumptions!$F$45</f>
        <v>0</v>
      </c>
      <c r="BL46" s="49"/>
      <c r="BM46" s="49"/>
      <c r="BN46" s="49"/>
    </row>
    <row r="47" spans="1:66">
      <c r="A47" s="699"/>
      <c r="B47" s="52" t="s">
        <v>1134</v>
      </c>
      <c r="C47" s="1052"/>
      <c r="D47" s="1052"/>
      <c r="E47" s="1052"/>
      <c r="F47" s="1088">
        <f ca="1">+SUM(F45:F46)</f>
        <v>0</v>
      </c>
      <c r="G47" s="1088">
        <f t="shared" ref="G47:Z47" ca="1" si="84">+SUM(G45:G46)</f>
        <v>0</v>
      </c>
      <c r="H47" s="1088">
        <f t="shared" ca="1" si="84"/>
        <v>0</v>
      </c>
      <c r="I47" s="1088">
        <f t="shared" ca="1" si="84"/>
        <v>0</v>
      </c>
      <c r="J47" s="1088">
        <f t="shared" ca="1" si="84"/>
        <v>6354325.5944725722</v>
      </c>
      <c r="K47" s="1088">
        <f t="shared" ca="1" si="84"/>
        <v>6473011.8244094979</v>
      </c>
      <c r="L47" s="1088">
        <f t="shared" ca="1" si="84"/>
        <v>6595258.6412445325</v>
      </c>
      <c r="M47" s="1088">
        <f t="shared" ca="1" si="84"/>
        <v>6793116.4004818685</v>
      </c>
      <c r="N47" s="1088">
        <f t="shared" ca="1" si="84"/>
        <v>6922808.0484621562</v>
      </c>
      <c r="O47" s="1088">
        <f t="shared" ca="1" si="84"/>
        <v>7056390.4458818519</v>
      </c>
      <c r="P47" s="1088">
        <f t="shared" ca="1" si="84"/>
        <v>7268082.1592583079</v>
      </c>
      <c r="Q47" s="1088">
        <f t="shared" ca="1" si="84"/>
        <v>7409799.7246808633</v>
      </c>
      <c r="R47" s="1088">
        <f t="shared" ca="1" si="84"/>
        <v>7555768.8170660958</v>
      </c>
      <c r="S47" s="1088">
        <f t="shared" ca="1" si="84"/>
        <v>7782441.8815780804</v>
      </c>
      <c r="T47" s="1088">
        <f t="shared" ca="1" si="84"/>
        <v>7937300.491689574</v>
      </c>
      <c r="U47" s="1088">
        <f t="shared" ca="1" si="84"/>
        <v>8096804.8601044118</v>
      </c>
      <c r="V47" s="1088">
        <f t="shared" ca="1" si="84"/>
        <v>8339709.0059075439</v>
      </c>
      <c r="W47" s="1088">
        <f t="shared" ca="1" si="84"/>
        <v>8508927.1903588437</v>
      </c>
      <c r="X47" s="1088">
        <f t="shared" ca="1" si="84"/>
        <v>8683221.9203436859</v>
      </c>
      <c r="Y47" s="1088">
        <f t="shared" ca="1" si="84"/>
        <v>8943718.5779539961</v>
      </c>
      <c r="Z47" s="1088">
        <f t="shared" ca="1" si="84"/>
        <v>9128627.8569949139</v>
      </c>
      <c r="AA47" s="699"/>
      <c r="AB47" s="699"/>
      <c r="AC47" s="699"/>
      <c r="AD47" s="699"/>
      <c r="AE47" s="49"/>
      <c r="AF47" s="49"/>
      <c r="AG47" s="49"/>
      <c r="AH47" s="49"/>
      <c r="AI47" s="49"/>
      <c r="AJ47" s="49"/>
      <c r="AK47" s="49"/>
      <c r="AL47" s="49"/>
      <c r="AM47" s="223"/>
      <c r="AN47" s="223"/>
      <c r="AO47" s="223"/>
      <c r="AP47" s="223"/>
      <c r="AQ47" s="224"/>
      <c r="AR47" s="224"/>
      <c r="AS47" s="224"/>
      <c r="AT47" s="224"/>
      <c r="AU47" s="224"/>
      <c r="AV47" s="224"/>
      <c r="AW47" s="224"/>
      <c r="AX47" s="224"/>
      <c r="AY47" s="224"/>
      <c r="AZ47" s="224"/>
      <c r="BA47" s="224"/>
      <c r="BB47" s="224"/>
      <c r="BC47" s="224"/>
      <c r="BD47" s="224"/>
      <c r="BE47" s="224"/>
      <c r="BF47" s="224"/>
      <c r="BG47" s="224"/>
      <c r="BH47" s="224"/>
      <c r="BI47" s="224"/>
      <c r="BJ47" s="224"/>
      <c r="BK47" s="224"/>
      <c r="BL47" s="49"/>
      <c r="BM47" s="49"/>
      <c r="BN47" s="49"/>
    </row>
    <row r="48" spans="1:66" ht="15.75">
      <c r="A48" s="699"/>
      <c r="B48" s="699"/>
      <c r="C48" s="699"/>
      <c r="D48" s="699"/>
      <c r="E48" s="699"/>
      <c r="F48" s="699"/>
      <c r="G48" s="699"/>
      <c r="H48" s="699"/>
      <c r="I48" s="699"/>
      <c r="J48" s="699"/>
      <c r="K48" s="699"/>
      <c r="L48" s="699"/>
      <c r="M48" s="699"/>
      <c r="N48" s="699"/>
      <c r="O48" s="699"/>
      <c r="P48" s="699"/>
      <c r="Q48" s="699"/>
      <c r="R48" s="699"/>
      <c r="S48" s="699"/>
      <c r="T48" s="699"/>
      <c r="U48" s="699"/>
      <c r="V48" s="699"/>
      <c r="W48" s="699"/>
      <c r="X48" s="699"/>
      <c r="Y48" s="699"/>
      <c r="Z48" s="699"/>
      <c r="AA48" s="699"/>
      <c r="AB48" s="699"/>
      <c r="AC48" s="699"/>
      <c r="AD48" s="699"/>
      <c r="AE48" s="49"/>
      <c r="AF48" s="49"/>
      <c r="AG48" s="49"/>
      <c r="AH48" s="49"/>
      <c r="AI48" s="49"/>
      <c r="AJ48" s="49"/>
      <c r="AK48" s="49"/>
      <c r="AL48" s="49"/>
      <c r="AM48" s="81" t="s">
        <v>340</v>
      </c>
      <c r="AN48" s="49"/>
      <c r="AO48" s="49"/>
      <c r="AP48" s="49"/>
      <c r="AQ48" s="768">
        <f>+Assumptions!$F$27</f>
        <v>45291</v>
      </c>
      <c r="AR48" s="768">
        <f>+EOMONTH(AQ48,12)</f>
        <v>45657</v>
      </c>
      <c r="AS48" s="768">
        <f t="shared" ref="AS48" si="85">+EOMONTH(AR48,12)</f>
        <v>46022</v>
      </c>
      <c r="AT48" s="768">
        <f t="shared" ref="AT48" si="86">+EOMONTH(AS48,12)</f>
        <v>46387</v>
      </c>
      <c r="AU48" s="768">
        <f t="shared" ref="AU48" si="87">+EOMONTH(AT48,12)</f>
        <v>46752</v>
      </c>
      <c r="AV48" s="768">
        <f t="shared" ref="AV48" si="88">+EOMONTH(AU48,12)</f>
        <v>47118</v>
      </c>
      <c r="AW48" s="768">
        <f t="shared" ref="AW48" si="89">+EOMONTH(AV48,12)</f>
        <v>47483</v>
      </c>
      <c r="AX48" s="768">
        <f t="shared" ref="AX48" si="90">+EOMONTH(AW48,12)</f>
        <v>47848</v>
      </c>
      <c r="AY48" s="768">
        <f t="shared" ref="AY48" si="91">+EOMONTH(AX48,12)</f>
        <v>48213</v>
      </c>
      <c r="AZ48" s="768">
        <f t="shared" ref="AZ48" si="92">+EOMONTH(AY48,12)</f>
        <v>48579</v>
      </c>
      <c r="BA48" s="768">
        <f t="shared" ref="BA48" si="93">+EOMONTH(AZ48,12)</f>
        <v>48944</v>
      </c>
      <c r="BB48" s="768">
        <f t="shared" ref="BB48" si="94">+EOMONTH(BA48,12)</f>
        <v>49309</v>
      </c>
      <c r="BC48" s="768">
        <f t="shared" ref="BC48" si="95">+EOMONTH(BB48,12)</f>
        <v>49674</v>
      </c>
      <c r="BD48" s="768">
        <f t="shared" ref="BD48" si="96">+EOMONTH(BC48,12)</f>
        <v>50040</v>
      </c>
      <c r="BE48" s="768">
        <f t="shared" ref="BE48" si="97">+EOMONTH(BD48,12)</f>
        <v>50405</v>
      </c>
      <c r="BF48" s="768">
        <f t="shared" ref="BF48" si="98">+EOMONTH(BE48,12)</f>
        <v>50770</v>
      </c>
      <c r="BG48" s="768">
        <f t="shared" ref="BG48" si="99">+EOMONTH(BF48,12)</f>
        <v>51135</v>
      </c>
      <c r="BH48" s="768">
        <f t="shared" ref="BH48" si="100">+EOMONTH(BG48,12)</f>
        <v>51501</v>
      </c>
      <c r="BI48" s="768">
        <f t="shared" ref="BI48" si="101">+EOMONTH(BH48,12)</f>
        <v>51866</v>
      </c>
      <c r="BJ48" s="768">
        <f t="shared" ref="BJ48" si="102">+EOMONTH(BI48,12)</f>
        <v>52231</v>
      </c>
      <c r="BK48" s="768">
        <f t="shared" ref="BK48" si="103">+EOMONTH(BJ48,12)</f>
        <v>52596</v>
      </c>
      <c r="BL48" s="49"/>
      <c r="BM48" s="49"/>
      <c r="BN48" s="49"/>
    </row>
    <row r="49" spans="1:66" ht="15.75">
      <c r="A49" s="699"/>
      <c r="B49" s="50" t="s">
        <v>1135</v>
      </c>
      <c r="C49" s="50"/>
      <c r="D49" s="50"/>
      <c r="E49" s="50"/>
      <c r="F49" s="55">
        <f ca="1">+F43-F47</f>
        <v>0</v>
      </c>
      <c r="G49" s="55">
        <f t="shared" ref="G49:Z49" ca="1" si="104">+G43-G47</f>
        <v>0</v>
      </c>
      <c r="H49" s="55">
        <f t="shared" ca="1" si="104"/>
        <v>0</v>
      </c>
      <c r="I49" s="55">
        <f t="shared" ca="1" si="104"/>
        <v>0</v>
      </c>
      <c r="J49" s="55">
        <f t="shared" ca="1" si="104"/>
        <v>10515201.575908996</v>
      </c>
      <c r="K49" s="55">
        <f t="shared" ca="1" si="104"/>
        <v>10902601.161083521</v>
      </c>
      <c r="L49" s="55">
        <f t="shared" ca="1" si="104"/>
        <v>11301622.733813277</v>
      </c>
      <c r="M49" s="55">
        <f t="shared" ca="1" si="104"/>
        <v>11640671.415827677</v>
      </c>
      <c r="N49" s="55">
        <f t="shared" ca="1" si="104"/>
        <v>12063993.402336676</v>
      </c>
      <c r="O49" s="55">
        <f t="shared" ca="1" si="104"/>
        <v>12500015.048440948</v>
      </c>
      <c r="P49" s="55">
        <f t="shared" ca="1" si="104"/>
        <v>12875015.499894174</v>
      </c>
      <c r="Q49" s="55">
        <f t="shared" ca="1" si="104"/>
        <v>13337590.864246193</v>
      </c>
      <c r="R49" s="55">
        <f t="shared" ca="1" si="104"/>
        <v>13814043.489528771</v>
      </c>
      <c r="S49" s="55">
        <f t="shared" ca="1" si="104"/>
        <v>14228464.794214636</v>
      </c>
      <c r="T49" s="55">
        <f t="shared" ca="1" si="104"/>
        <v>14733933.384376924</v>
      </c>
      <c r="U49" s="55">
        <f t="shared" ca="1" si="104"/>
        <v>15254566.032244083</v>
      </c>
      <c r="V49" s="55">
        <f t="shared" ca="1" si="104"/>
        <v>15712203.01321141</v>
      </c>
      <c r="W49" s="55">
        <f t="shared" ca="1" si="104"/>
        <v>16264542.189333677</v>
      </c>
      <c r="X49" s="55">
        <f t="shared" ca="1" si="104"/>
        <v>16833451.540739611</v>
      </c>
      <c r="Y49" s="55">
        <f t="shared" ca="1" si="104"/>
        <v>17338455.086961798</v>
      </c>
      <c r="Z49" s="55">
        <f t="shared" ca="1" si="104"/>
        <v>17942011.017868362</v>
      </c>
      <c r="AA49" s="699"/>
      <c r="AB49" s="699"/>
      <c r="AC49" s="699"/>
      <c r="AD49" s="699"/>
      <c r="AE49" s="49"/>
      <c r="AF49" s="49"/>
      <c r="AG49" s="49"/>
      <c r="AH49" s="49"/>
      <c r="AI49" s="49"/>
      <c r="AJ49" s="49"/>
      <c r="AK49" s="49"/>
      <c r="AL49" s="49"/>
      <c r="AM49" s="49" t="s">
        <v>1120</v>
      </c>
      <c r="AN49" s="49"/>
      <c r="AO49" s="49"/>
      <c r="AP49" s="253"/>
      <c r="AQ49" s="253">
        <f>+IF(AQ48=Assumptions!$F$31,Assumptions!$F$228/ROUNDUP((12/12),0),)</f>
        <v>0</v>
      </c>
      <c r="AR49" s="253">
        <f>+IF(AR48=Assumptions!$F$31,Assumptions!$F$228/ROUNDUP((12/12),0),)</f>
        <v>0</v>
      </c>
      <c r="AS49" s="253">
        <f>+IF(AS48=Assumptions!$F$31,Assumptions!$F$228/ROUNDUP((12/12),0),)</f>
        <v>0</v>
      </c>
      <c r="AT49" s="253">
        <f>+IF(AT48=Assumptions!$F$31,Assumptions!$F$228/ROUNDUP((12/12),0),)</f>
        <v>0</v>
      </c>
      <c r="AU49" s="253">
        <f>+IF(AU48=Assumptions!$F$31,Assumptions!$F$228/ROUNDUP((12/12),0),)</f>
        <v>0</v>
      </c>
      <c r="AV49" s="253">
        <f>+IF(AV48=Assumptions!$F$31,Assumptions!$F$228/ROUNDUP((12/12),0),)</f>
        <v>0</v>
      </c>
      <c r="AW49" s="253">
        <f>+IF(AW48=Assumptions!$F$31,Assumptions!$F$228/ROUNDUP((12/12),0),)</f>
        <v>0</v>
      </c>
      <c r="AX49" s="253">
        <f>+IF(AX48=Assumptions!$F$31,Assumptions!$F$228/ROUNDUP((12/12),0),)</f>
        <v>0</v>
      </c>
      <c r="AY49" s="253">
        <f>+IF(AY48=Assumptions!$F$31,Assumptions!$F$228/ROUNDUP((12/12),0),)</f>
        <v>0</v>
      </c>
      <c r="AZ49" s="253">
        <f>+IF(AZ48=Assumptions!$F$31,Assumptions!$F$228/ROUNDUP((12/12),0),)</f>
        <v>0</v>
      </c>
      <c r="BA49" s="253">
        <f>+IF(BA48=Assumptions!$F$31,Assumptions!$F$228/ROUNDUP((12/12),0),)</f>
        <v>0</v>
      </c>
      <c r="BB49" s="253">
        <f>+IF(BB48=Assumptions!$F$31,Assumptions!$F$228/ROUNDUP((12/12),0),)</f>
        <v>0</v>
      </c>
      <c r="BC49" s="253">
        <f>+IF(BC48=Assumptions!$F$31,Assumptions!$F$228/ROUNDUP((12/12),0),)</f>
        <v>0</v>
      </c>
      <c r="BD49" s="253">
        <f>+IF(BD48=Assumptions!$F$31,Assumptions!$F$228/ROUNDUP((12/12),0),)</f>
        <v>0</v>
      </c>
      <c r="BE49" s="253">
        <f>+IF(BE48=Assumptions!$F$31,Assumptions!$F$228/ROUNDUP((12/12),0),)</f>
        <v>0</v>
      </c>
      <c r="BF49" s="253">
        <f>+IF(BF48=Assumptions!$F$31,Assumptions!$F$228/ROUNDUP((12/12),0),)</f>
        <v>0</v>
      </c>
      <c r="BG49" s="253">
        <f>+IF(BG48=Assumptions!$F$31,Assumptions!$F$228/ROUNDUP((12/12),0),)</f>
        <v>0</v>
      </c>
      <c r="BH49" s="253">
        <f>+IF(BH48=Assumptions!$F$31,Assumptions!$F$228/ROUNDUP((12/12),0),)</f>
        <v>0</v>
      </c>
      <c r="BI49" s="253">
        <f>+IF(BI48=Assumptions!$F$31,Assumptions!$F$228/ROUNDUP((12/12),0),)</f>
        <v>0</v>
      </c>
      <c r="BJ49" s="253">
        <f>+IF(BJ48=Assumptions!$F$31,Assumptions!$F$228/ROUNDUP((12/12),0),)</f>
        <v>0</v>
      </c>
      <c r="BK49" s="253">
        <f>+IF(BK48=Assumptions!$F$31,Assumptions!$F$228/ROUNDUP((12/12),0),)</f>
        <v>0</v>
      </c>
      <c r="BL49" s="49"/>
      <c r="BM49" s="49"/>
      <c r="BN49" s="49"/>
    </row>
    <row r="50" spans="1:66">
      <c r="A50" s="699"/>
      <c r="B50" s="51" t="s">
        <v>1136</v>
      </c>
      <c r="C50" s="51"/>
      <c r="D50" s="51"/>
      <c r="E50" s="51"/>
      <c r="F50" s="56" t="str">
        <f ca="1">+IFERROR(F49/F43,"")</f>
        <v/>
      </c>
      <c r="G50" s="56" t="str">
        <f t="shared" ref="G50:Z50" ca="1" si="105">+IFERROR(G49/G43,"")</f>
        <v/>
      </c>
      <c r="H50" s="56" t="str">
        <f t="shared" ca="1" si="105"/>
        <v/>
      </c>
      <c r="I50" s="56" t="str">
        <f t="shared" ca="1" si="105"/>
        <v/>
      </c>
      <c r="J50" s="56">
        <f t="shared" ca="1" si="105"/>
        <v>0.62332521058271928</v>
      </c>
      <c r="K50" s="56">
        <f t="shared" ca="1" si="105"/>
        <v>0.6274656997819964</v>
      </c>
      <c r="L50" s="56">
        <f t="shared" ca="1" si="105"/>
        <v>0.63148559220847889</v>
      </c>
      <c r="M50" s="56">
        <f t="shared" ca="1" si="105"/>
        <v>0.63148559220847889</v>
      </c>
      <c r="N50" s="56">
        <f t="shared" ca="1" si="105"/>
        <v>0.63538840038952993</v>
      </c>
      <c r="O50" s="56">
        <f t="shared" ca="1" si="105"/>
        <v>0.63917753454589021</v>
      </c>
      <c r="P50" s="56">
        <f t="shared" ca="1" si="105"/>
        <v>0.6391775345458901</v>
      </c>
      <c r="Q50" s="56">
        <f t="shared" ca="1" si="105"/>
        <v>0.64285630557148254</v>
      </c>
      <c r="R50" s="56">
        <f t="shared" ca="1" si="105"/>
        <v>0.64642792792642667</v>
      </c>
      <c r="S50" s="56">
        <f t="shared" ca="1" si="105"/>
        <v>0.64642792792642656</v>
      </c>
      <c r="T50" s="56">
        <f t="shared" ca="1" si="105"/>
        <v>0.64989552244578974</v>
      </c>
      <c r="U50" s="56">
        <f t="shared" ca="1" si="105"/>
        <v>0.65326211906653076</v>
      </c>
      <c r="V50" s="56">
        <f t="shared" ca="1" si="105"/>
        <v>0.65326211906653087</v>
      </c>
      <c r="W50" s="56">
        <f t="shared" ca="1" si="105"/>
        <v>0.65653065947501721</v>
      </c>
      <c r="X50" s="56">
        <f t="shared" ca="1" si="105"/>
        <v>0.6597039996774311</v>
      </c>
      <c r="Y50" s="56">
        <f t="shared" ca="1" si="105"/>
        <v>0.6597039996774311</v>
      </c>
      <c r="Z50" s="56">
        <f t="shared" ca="1" si="105"/>
        <v>0.66278491249530891</v>
      </c>
      <c r="AA50" s="699"/>
      <c r="AB50" s="699"/>
      <c r="AC50" s="699"/>
      <c r="AD50" s="699"/>
      <c r="AE50" s="49"/>
      <c r="AF50" s="49"/>
      <c r="AG50" s="49"/>
      <c r="AH50" s="49"/>
      <c r="AI50" s="49"/>
      <c r="AJ50" s="49"/>
      <c r="AK50" s="49"/>
      <c r="AL50" s="49"/>
      <c r="AM50" s="49" t="s">
        <v>1121</v>
      </c>
      <c r="AN50" s="49"/>
      <c r="AO50" s="49"/>
      <c r="AP50" s="253">
        <v>0</v>
      </c>
      <c r="AQ50" s="253">
        <f>+AP50+AQ49</f>
        <v>0</v>
      </c>
      <c r="AR50" s="253">
        <f t="shared" ref="AR50:BK50" si="106">+AQ50+AR49</f>
        <v>0</v>
      </c>
      <c r="AS50" s="253">
        <f t="shared" si="106"/>
        <v>0</v>
      </c>
      <c r="AT50" s="253">
        <f t="shared" si="106"/>
        <v>0</v>
      </c>
      <c r="AU50" s="253">
        <f t="shared" si="106"/>
        <v>0</v>
      </c>
      <c r="AV50" s="253">
        <f t="shared" si="106"/>
        <v>0</v>
      </c>
      <c r="AW50" s="253">
        <f t="shared" si="106"/>
        <v>0</v>
      </c>
      <c r="AX50" s="253">
        <f t="shared" si="106"/>
        <v>0</v>
      </c>
      <c r="AY50" s="253">
        <f t="shared" si="106"/>
        <v>0</v>
      </c>
      <c r="AZ50" s="253">
        <f t="shared" si="106"/>
        <v>0</v>
      </c>
      <c r="BA50" s="253">
        <f t="shared" si="106"/>
        <v>0</v>
      </c>
      <c r="BB50" s="253">
        <f t="shared" si="106"/>
        <v>0</v>
      </c>
      <c r="BC50" s="253">
        <f t="shared" si="106"/>
        <v>0</v>
      </c>
      <c r="BD50" s="253">
        <f t="shared" si="106"/>
        <v>0</v>
      </c>
      <c r="BE50" s="253">
        <f t="shared" si="106"/>
        <v>0</v>
      </c>
      <c r="BF50" s="253">
        <f t="shared" si="106"/>
        <v>0</v>
      </c>
      <c r="BG50" s="253">
        <f t="shared" si="106"/>
        <v>0</v>
      </c>
      <c r="BH50" s="253">
        <f t="shared" si="106"/>
        <v>0</v>
      </c>
      <c r="BI50" s="253">
        <f t="shared" si="106"/>
        <v>0</v>
      </c>
      <c r="BJ50" s="253">
        <f t="shared" si="106"/>
        <v>0</v>
      </c>
      <c r="BK50" s="253">
        <f t="shared" si="106"/>
        <v>0</v>
      </c>
      <c r="BL50" s="49"/>
      <c r="BM50" s="49"/>
      <c r="BN50" s="49"/>
    </row>
    <row r="51" spans="1:66">
      <c r="A51" s="699"/>
      <c r="B51" s="51" t="s">
        <v>1064</v>
      </c>
      <c r="C51" s="51"/>
      <c r="D51" s="51"/>
      <c r="E51" s="51"/>
      <c r="F51" s="57">
        <f ca="1">+F49/Assumptions!$F$45</f>
        <v>0</v>
      </c>
      <c r="G51" s="57">
        <f ca="1">+G49/Assumptions!$F$45</f>
        <v>0</v>
      </c>
      <c r="H51" s="57">
        <f ca="1">+H49/Assumptions!$F$45</f>
        <v>0</v>
      </c>
      <c r="I51" s="57">
        <f ca="1">+I49/Assumptions!$F$45</f>
        <v>0</v>
      </c>
      <c r="J51" s="57">
        <f ca="1">+J49/Assumptions!$F$45</f>
        <v>247416507.66844696</v>
      </c>
      <c r="K51" s="57">
        <f ca="1">+K49/Assumptions!$F$45</f>
        <v>256531792.02549461</v>
      </c>
      <c r="L51" s="57">
        <f ca="1">+L49/Assumptions!$F$45</f>
        <v>265920534.91325355</v>
      </c>
      <c r="M51" s="57">
        <f ca="1">+M49/Assumptions!$F$45</f>
        <v>273898150.96065122</v>
      </c>
      <c r="N51" s="57">
        <f ca="1">+N49/Assumptions!$F$45</f>
        <v>283858668.29027468</v>
      </c>
      <c r="O51" s="57">
        <f ca="1">+O49/Assumptions!$F$45</f>
        <v>294118001.13978702</v>
      </c>
      <c r="P51" s="57">
        <f ca="1">+P49/Assumptions!$F$45</f>
        <v>302941541.17398053</v>
      </c>
      <c r="Q51" s="57">
        <f ca="1">+Q49/Assumptions!$F$45</f>
        <v>313825667.39402807</v>
      </c>
      <c r="R51" s="57">
        <f ca="1">+R49/Assumptions!$F$45</f>
        <v>325036317.40067697</v>
      </c>
      <c r="S51" s="57">
        <f ca="1">+S49/Assumptions!$F$45</f>
        <v>334787406.92269731</v>
      </c>
      <c r="T51" s="57">
        <f ca="1">+T49/Assumptions!$F$45</f>
        <v>346680785.51475114</v>
      </c>
      <c r="U51" s="57">
        <f ca="1">+U49/Assumptions!$F$45</f>
        <v>358930965.46456665</v>
      </c>
      <c r="V51" s="57">
        <f ca="1">+V49/Assumptions!$F$45</f>
        <v>369698894.42850375</v>
      </c>
      <c r="W51" s="57">
        <f ca="1">+W49/Assumptions!$F$45</f>
        <v>382695110.33726299</v>
      </c>
      <c r="X51" s="57">
        <f ca="1">+X49/Assumptions!$F$45</f>
        <v>396081212.72328496</v>
      </c>
      <c r="Y51" s="57">
        <f ca="1">+Y49/Assumptions!$F$45</f>
        <v>407963649.10498345</v>
      </c>
      <c r="Z51" s="57">
        <f ca="1">+Z49/Assumptions!$F$45</f>
        <v>422164965.1263144</v>
      </c>
      <c r="AA51" s="699"/>
      <c r="AB51" s="699"/>
      <c r="AC51" s="699"/>
      <c r="AD51" s="699"/>
      <c r="AE51" s="49"/>
      <c r="AF51" s="49"/>
      <c r="AG51" s="49"/>
      <c r="AH51" s="49"/>
      <c r="AI51" s="49"/>
      <c r="AJ51" s="49"/>
      <c r="AK51" s="49"/>
      <c r="AL51" s="49"/>
      <c r="AM51" s="49" t="s">
        <v>1123</v>
      </c>
      <c r="AN51" s="49"/>
      <c r="AO51" s="49"/>
      <c r="AP51" s="49"/>
      <c r="AQ51" s="769">
        <f>+AQ52-AP52</f>
        <v>0</v>
      </c>
      <c r="AR51" s="769">
        <f t="shared" ref="AR51:BK51" si="107">+AR52-AQ52</f>
        <v>0</v>
      </c>
      <c r="AS51" s="769">
        <f t="shared" si="107"/>
        <v>0</v>
      </c>
      <c r="AT51" s="769">
        <f t="shared" si="107"/>
        <v>0</v>
      </c>
      <c r="AU51" s="769">
        <f t="shared" si="107"/>
        <v>0</v>
      </c>
      <c r="AV51" s="769">
        <f t="shared" si="107"/>
        <v>0</v>
      </c>
      <c r="AW51" s="769">
        <f t="shared" si="107"/>
        <v>0</v>
      </c>
      <c r="AX51" s="769">
        <f t="shared" si="107"/>
        <v>0</v>
      </c>
      <c r="AY51" s="769">
        <f t="shared" si="107"/>
        <v>0</v>
      </c>
      <c r="AZ51" s="769">
        <f t="shared" si="107"/>
        <v>0</v>
      </c>
      <c r="BA51" s="769">
        <f t="shared" si="107"/>
        <v>0</v>
      </c>
      <c r="BB51" s="769">
        <f t="shared" si="107"/>
        <v>0</v>
      </c>
      <c r="BC51" s="769">
        <f t="shared" si="107"/>
        <v>0</v>
      </c>
      <c r="BD51" s="769">
        <f t="shared" si="107"/>
        <v>0</v>
      </c>
      <c r="BE51" s="769">
        <f t="shared" si="107"/>
        <v>0</v>
      </c>
      <c r="BF51" s="769">
        <f t="shared" si="107"/>
        <v>0</v>
      </c>
      <c r="BG51" s="769">
        <f t="shared" si="107"/>
        <v>0</v>
      </c>
      <c r="BH51" s="769">
        <f t="shared" si="107"/>
        <v>0</v>
      </c>
      <c r="BI51" s="769">
        <f t="shared" si="107"/>
        <v>0</v>
      </c>
      <c r="BJ51" s="769">
        <f t="shared" si="107"/>
        <v>0</v>
      </c>
      <c r="BK51" s="769">
        <f t="shared" si="107"/>
        <v>0</v>
      </c>
      <c r="BL51" s="49"/>
      <c r="BM51" s="49"/>
      <c r="BN51" s="49"/>
    </row>
    <row r="52" spans="1:66">
      <c r="A52" s="699"/>
      <c r="B52" s="699"/>
      <c r="C52" s="699"/>
      <c r="D52" s="699"/>
      <c r="E52" s="699"/>
      <c r="F52" s="699"/>
      <c r="G52" s="699"/>
      <c r="H52" s="699"/>
      <c r="I52" s="699"/>
      <c r="J52" s="699"/>
      <c r="K52" s="699"/>
      <c r="L52" s="699"/>
      <c r="M52" s="699"/>
      <c r="N52" s="699"/>
      <c r="O52" s="699"/>
      <c r="P52" s="699"/>
      <c r="Q52" s="699"/>
      <c r="R52" s="699"/>
      <c r="S52" s="699"/>
      <c r="T52" s="699"/>
      <c r="U52" s="699"/>
      <c r="V52" s="699"/>
      <c r="W52" s="699"/>
      <c r="X52" s="699"/>
      <c r="Y52" s="699"/>
      <c r="Z52" s="699"/>
      <c r="AA52" s="699"/>
      <c r="AB52" s="699"/>
      <c r="AC52" s="699"/>
      <c r="AD52" s="699"/>
      <c r="AE52" s="49"/>
      <c r="AF52" s="49"/>
      <c r="AG52" s="49"/>
      <c r="AH52" s="49"/>
      <c r="AI52" s="49"/>
      <c r="AJ52" s="49"/>
      <c r="AK52" s="49"/>
      <c r="AL52" s="49"/>
      <c r="AM52" s="49" t="s">
        <v>1124</v>
      </c>
      <c r="AN52" s="49"/>
      <c r="AO52" s="49"/>
      <c r="AP52" s="49"/>
      <c r="AQ52" s="769">
        <f>+AQ53*Assumptions!$F$229</f>
        <v>0</v>
      </c>
      <c r="AR52" s="769">
        <f>+AR53*Assumptions!$F$229</f>
        <v>0</v>
      </c>
      <c r="AS52" s="769">
        <f>+AS53*Assumptions!$F$229</f>
        <v>0</v>
      </c>
      <c r="AT52" s="769">
        <f>+AT53*Assumptions!$F$229</f>
        <v>0</v>
      </c>
      <c r="AU52" s="769">
        <f>+AU53*Assumptions!$F$229</f>
        <v>0</v>
      </c>
      <c r="AV52" s="769">
        <f>+AV53*Assumptions!$F$229</f>
        <v>0</v>
      </c>
      <c r="AW52" s="769">
        <f>+AW53*Assumptions!$F$229</f>
        <v>0</v>
      </c>
      <c r="AX52" s="769">
        <f>+AX53*Assumptions!$F$229</f>
        <v>0</v>
      </c>
      <c r="AY52" s="769">
        <f>+AY53*Assumptions!$F$229</f>
        <v>0</v>
      </c>
      <c r="AZ52" s="769">
        <f>+AZ53*Assumptions!$F$229</f>
        <v>0</v>
      </c>
      <c r="BA52" s="769">
        <f>+BA53*Assumptions!$F$229</f>
        <v>0</v>
      </c>
      <c r="BB52" s="769">
        <f>+BB53*Assumptions!$F$229</f>
        <v>0</v>
      </c>
      <c r="BC52" s="769">
        <f>+BC53*Assumptions!$F$229</f>
        <v>0</v>
      </c>
      <c r="BD52" s="769">
        <f>+BD53*Assumptions!$F$229</f>
        <v>0</v>
      </c>
      <c r="BE52" s="769">
        <f>+BE53*Assumptions!$F$229</f>
        <v>0</v>
      </c>
      <c r="BF52" s="769">
        <f>+BF53*Assumptions!$F$229</f>
        <v>0</v>
      </c>
      <c r="BG52" s="769">
        <f>+BG53*Assumptions!$F$229</f>
        <v>0</v>
      </c>
      <c r="BH52" s="769">
        <f>+BH53*Assumptions!$F$229</f>
        <v>0</v>
      </c>
      <c r="BI52" s="769">
        <f>+BI53*Assumptions!$F$229</f>
        <v>0</v>
      </c>
      <c r="BJ52" s="769">
        <f>+BJ53*Assumptions!$F$229</f>
        <v>0</v>
      </c>
      <c r="BK52" s="769">
        <f>+BK53*Assumptions!$F$229</f>
        <v>0</v>
      </c>
      <c r="BL52" s="49"/>
      <c r="BM52" s="49"/>
      <c r="BN52" s="49"/>
    </row>
    <row r="53" spans="1:66" ht="15.75">
      <c r="A53" s="699"/>
      <c r="B53" s="53" t="s">
        <v>299</v>
      </c>
      <c r="C53" s="699"/>
      <c r="D53" s="699"/>
      <c r="E53" s="699"/>
      <c r="F53" s="54">
        <f>+Assumptions!$F$27</f>
        <v>45291</v>
      </c>
      <c r="G53" s="54">
        <f>+EOMONTH(F53,12)</f>
        <v>45657</v>
      </c>
      <c r="H53" s="54">
        <f t="shared" ref="H53" si="108">+EOMONTH(G53,12)</f>
        <v>46022</v>
      </c>
      <c r="I53" s="54">
        <f t="shared" ref="I53" si="109">+EOMONTH(H53,12)</f>
        <v>46387</v>
      </c>
      <c r="J53" s="54">
        <f t="shared" ref="J53" si="110">+EOMONTH(I53,12)</f>
        <v>46752</v>
      </c>
      <c r="K53" s="54">
        <f t="shared" ref="K53" si="111">+EOMONTH(J53,12)</f>
        <v>47118</v>
      </c>
      <c r="L53" s="54">
        <f t="shared" ref="L53" si="112">+EOMONTH(K53,12)</f>
        <v>47483</v>
      </c>
      <c r="M53" s="54">
        <f t="shared" ref="M53" si="113">+EOMONTH(L53,12)</f>
        <v>47848</v>
      </c>
      <c r="N53" s="54">
        <f t="shared" ref="N53" si="114">+EOMONTH(M53,12)</f>
        <v>48213</v>
      </c>
      <c r="O53" s="54">
        <f t="shared" ref="O53" si="115">+EOMONTH(N53,12)</f>
        <v>48579</v>
      </c>
      <c r="P53" s="54">
        <f t="shared" ref="P53" si="116">+EOMONTH(O53,12)</f>
        <v>48944</v>
      </c>
      <c r="Q53" s="54">
        <f t="shared" ref="Q53" si="117">+EOMONTH(P53,12)</f>
        <v>49309</v>
      </c>
      <c r="R53" s="54">
        <f t="shared" ref="R53" si="118">+EOMONTH(Q53,12)</f>
        <v>49674</v>
      </c>
      <c r="S53" s="54">
        <f t="shared" ref="S53" si="119">+EOMONTH(R53,12)</f>
        <v>50040</v>
      </c>
      <c r="T53" s="54">
        <f t="shared" ref="T53" si="120">+EOMONTH(S53,12)</f>
        <v>50405</v>
      </c>
      <c r="U53" s="54">
        <f t="shared" ref="U53" si="121">+EOMONTH(T53,12)</f>
        <v>50770</v>
      </c>
      <c r="V53" s="54">
        <f t="shared" ref="V53" si="122">+EOMONTH(U53,12)</f>
        <v>51135</v>
      </c>
      <c r="W53" s="54">
        <f t="shared" ref="W53" si="123">+EOMONTH(V53,12)</f>
        <v>51501</v>
      </c>
      <c r="X53" s="54">
        <f t="shared" ref="X53" si="124">+EOMONTH(W53,12)</f>
        <v>51866</v>
      </c>
      <c r="Y53" s="54">
        <f t="shared" ref="Y53" si="125">+EOMONTH(X53,12)</f>
        <v>52231</v>
      </c>
      <c r="Z53" s="54">
        <f t="shared" ref="Z53" si="126">+EOMONTH(Y53,12)</f>
        <v>52596</v>
      </c>
      <c r="AA53" s="699"/>
      <c r="AB53" s="699"/>
      <c r="AC53" s="699"/>
      <c r="AD53" s="699"/>
      <c r="AE53" s="49"/>
      <c r="AF53" s="49"/>
      <c r="AG53" s="49"/>
      <c r="AH53" s="49"/>
      <c r="AI53" s="49"/>
      <c r="AJ53" s="49"/>
      <c r="AK53" s="49"/>
      <c r="AL53" s="49"/>
      <c r="AM53" s="49" t="s">
        <v>1125</v>
      </c>
      <c r="AN53" s="49"/>
      <c r="AO53" s="49"/>
      <c r="AP53" s="49"/>
      <c r="AQ53" s="770">
        <f t="shared" ref="AQ53:BK53" si="127">+IFERROR(AQ50/SUM($AQ49:$BK49),0)</f>
        <v>0</v>
      </c>
      <c r="AR53" s="770">
        <f t="shared" si="127"/>
        <v>0</v>
      </c>
      <c r="AS53" s="770">
        <f t="shared" si="127"/>
        <v>0</v>
      </c>
      <c r="AT53" s="770">
        <f t="shared" si="127"/>
        <v>0</v>
      </c>
      <c r="AU53" s="770">
        <f t="shared" si="127"/>
        <v>0</v>
      </c>
      <c r="AV53" s="770">
        <f t="shared" si="127"/>
        <v>0</v>
      </c>
      <c r="AW53" s="770">
        <f t="shared" si="127"/>
        <v>0</v>
      </c>
      <c r="AX53" s="770">
        <f t="shared" si="127"/>
        <v>0</v>
      </c>
      <c r="AY53" s="770">
        <f t="shared" si="127"/>
        <v>0</v>
      </c>
      <c r="AZ53" s="770">
        <f t="shared" si="127"/>
        <v>0</v>
      </c>
      <c r="BA53" s="770">
        <f t="shared" si="127"/>
        <v>0</v>
      </c>
      <c r="BB53" s="770">
        <f t="shared" si="127"/>
        <v>0</v>
      </c>
      <c r="BC53" s="770">
        <f t="shared" si="127"/>
        <v>0</v>
      </c>
      <c r="BD53" s="770">
        <f t="shared" si="127"/>
        <v>0</v>
      </c>
      <c r="BE53" s="770">
        <f t="shared" si="127"/>
        <v>0</v>
      </c>
      <c r="BF53" s="770">
        <f t="shared" si="127"/>
        <v>0</v>
      </c>
      <c r="BG53" s="770">
        <f t="shared" si="127"/>
        <v>0</v>
      </c>
      <c r="BH53" s="770">
        <f t="shared" si="127"/>
        <v>0</v>
      </c>
      <c r="BI53" s="770">
        <f t="shared" si="127"/>
        <v>0</v>
      </c>
      <c r="BJ53" s="770">
        <f t="shared" si="127"/>
        <v>0</v>
      </c>
      <c r="BK53" s="770">
        <f t="shared" si="127"/>
        <v>0</v>
      </c>
      <c r="BL53" s="49"/>
      <c r="BM53" s="49"/>
      <c r="BN53" s="49"/>
    </row>
    <row r="54" spans="1:66">
      <c r="A54" s="699"/>
      <c r="B54" s="699" t="s">
        <v>1138</v>
      </c>
      <c r="C54" s="699"/>
      <c r="D54" s="699"/>
      <c r="E54" s="1050"/>
      <c r="F54" s="1050">
        <f>+IF(AND(F53&gt;=Assumptions!$F$31,F53&lt;Assumptions!$F$33),Assumptions!$F$111/ROUNDUP((Assumptions!$F$32/12),0),)</f>
        <v>0</v>
      </c>
      <c r="G54" s="1050">
        <f>+IF(AND(G53&gt;=Assumptions!$F$31,G53&lt;Assumptions!$F$33),Assumptions!$F$111/ROUNDUP((Assumptions!$F$32/12),0),)</f>
        <v>0</v>
      </c>
      <c r="H54" s="1050">
        <f>+IF(AND(H53&gt;=Assumptions!$F$31,H53&lt;Assumptions!$F$33),Assumptions!$F$111/ROUNDUP((Assumptions!$F$32/12),0),)</f>
        <v>0</v>
      </c>
      <c r="I54" s="1050">
        <f>+IF(AND(I53&gt;=Assumptions!$F$31,I53&lt;Assumptions!$F$33),Assumptions!$F$111/ROUNDUP((Assumptions!$F$32/12),0),)</f>
        <v>0</v>
      </c>
      <c r="J54" s="1050">
        <f>+IF(AND(J53&gt;=Assumptions!$F$31,J53&lt;Assumptions!$F$33),Assumptions!$F$111/ROUNDUP((Assumptions!$F$32/12),0),)</f>
        <v>16161.75</v>
      </c>
      <c r="K54" s="1050">
        <f>+IF(AND(K53&gt;=Assumptions!$F$31,K53&lt;Assumptions!$F$33),Assumptions!$F$111/ROUNDUP((Assumptions!$F$32/12),0),)</f>
        <v>16161.75</v>
      </c>
      <c r="L54" s="1050">
        <f>+IF(AND(L53&gt;=Assumptions!$F$31,L53&lt;Assumptions!$F$33),Assumptions!$F$111/ROUNDUP((Assumptions!$F$32/12),0),)</f>
        <v>0</v>
      </c>
      <c r="M54" s="1050">
        <f>+IF(AND(M53&gt;=Assumptions!$F$31,M53&lt;Assumptions!$F$33),Assumptions!$F$111/ROUNDUP((Assumptions!$F$32/12),0),)</f>
        <v>0</v>
      </c>
      <c r="N54" s="1050">
        <f>+IF(AND(N53&gt;=Assumptions!$F$31,N53&lt;Assumptions!$F$33),Assumptions!$F$111/ROUNDUP((Assumptions!$F$32/12),0),)</f>
        <v>0</v>
      </c>
      <c r="O54" s="1050">
        <f>+IF(AND(O53&gt;=Assumptions!$F$31,O53&lt;Assumptions!$F$33),Assumptions!$F$111/ROUNDUP((Assumptions!$F$32/12),0),)</f>
        <v>0</v>
      </c>
      <c r="P54" s="1050">
        <f>+IF(AND(P53&gt;=Assumptions!$F$31,P53&lt;Assumptions!$F$33),Assumptions!$F$111/ROUNDUP((Assumptions!$F$32/12),0),)</f>
        <v>0</v>
      </c>
      <c r="Q54" s="1050">
        <f>+IF(AND(Q53&gt;=Assumptions!$F$31,Q53&lt;Assumptions!$F$33),Assumptions!$F$111/ROUNDUP((Assumptions!$F$32/12),0),)</f>
        <v>0</v>
      </c>
      <c r="R54" s="1050">
        <f>+IF(AND(R53&gt;=Assumptions!$F$31,R53&lt;Assumptions!$F$33),Assumptions!$F$111/ROUNDUP((Assumptions!$F$32/12),0),)</f>
        <v>0</v>
      </c>
      <c r="S54" s="1050">
        <f>+IF(AND(S53&gt;=Assumptions!$F$31,S53&lt;Assumptions!$F$33),Assumptions!$F$111/ROUNDUP((Assumptions!$F$32/12),0),)</f>
        <v>0</v>
      </c>
      <c r="T54" s="1050">
        <f>+IF(AND(T53&gt;=Assumptions!$F$31,T53&lt;Assumptions!$F$33),Assumptions!$F$111/ROUNDUP((Assumptions!$F$32/12),0),)</f>
        <v>0</v>
      </c>
      <c r="U54" s="1050">
        <f>+IF(AND(U53&gt;=Assumptions!$F$31,U53&lt;Assumptions!$F$33),Assumptions!$F$111/ROUNDUP((Assumptions!$F$32/12),0),)</f>
        <v>0</v>
      </c>
      <c r="V54" s="1050">
        <f>+IF(AND(V53&gt;=Assumptions!$F$31,V53&lt;Assumptions!$F$33),Assumptions!$F$111/ROUNDUP((Assumptions!$F$32/12),0),)</f>
        <v>0</v>
      </c>
      <c r="W54" s="1050">
        <f>+IF(AND(W53&gt;=Assumptions!$F$31,W53&lt;Assumptions!$F$33),Assumptions!$F$111/ROUNDUP((Assumptions!$F$32/12),0),)</f>
        <v>0</v>
      </c>
      <c r="X54" s="1050">
        <f>+IF(AND(X53&gt;=Assumptions!$F$31,X53&lt;Assumptions!$F$33),Assumptions!$F$111/ROUNDUP((Assumptions!$F$32/12),0),)</f>
        <v>0</v>
      </c>
      <c r="Y54" s="1050">
        <f>+IF(AND(Y53&gt;=Assumptions!$F$31,Y53&lt;Assumptions!$F$33),Assumptions!$F$111/ROUNDUP((Assumptions!$F$32/12),0),)</f>
        <v>0</v>
      </c>
      <c r="Z54" s="1050">
        <f>+IF(AND(Z53&gt;=Assumptions!$F$31,Z53&lt;Assumptions!$F$33),Assumptions!$F$111/ROUNDUP((Assumptions!$F$32/12),0),)</f>
        <v>0</v>
      </c>
      <c r="AA54" s="699"/>
      <c r="AB54" s="699"/>
      <c r="AC54" s="699"/>
      <c r="AD54" s="699"/>
      <c r="AE54" s="49"/>
      <c r="AF54" s="49"/>
      <c r="AG54" s="49"/>
      <c r="AH54" s="49"/>
      <c r="AI54" s="49"/>
      <c r="AJ54" s="49"/>
      <c r="AK54" s="49"/>
      <c r="AL54" s="49"/>
      <c r="AM54" s="49"/>
      <c r="AN54" s="49"/>
      <c r="AO54" s="49"/>
      <c r="AP54" s="49"/>
      <c r="AQ54" s="49"/>
      <c r="AR54" s="49"/>
      <c r="AS54" s="49"/>
      <c r="AT54" s="49"/>
      <c r="AU54" s="49"/>
      <c r="AV54" s="49"/>
      <c r="AW54" s="49"/>
      <c r="AX54" s="49"/>
      <c r="AY54" s="49"/>
      <c r="AZ54" s="49"/>
      <c r="BA54" s="49"/>
      <c r="BB54" s="49"/>
      <c r="BC54" s="49"/>
      <c r="BD54" s="49"/>
      <c r="BE54" s="49"/>
      <c r="BF54" s="49"/>
      <c r="BG54" s="49"/>
      <c r="BH54" s="49"/>
      <c r="BI54" s="49"/>
      <c r="BJ54" s="49"/>
      <c r="BK54" s="49"/>
      <c r="BL54" s="49"/>
      <c r="BM54" s="49"/>
      <c r="BN54" s="49"/>
    </row>
    <row r="55" spans="1:66">
      <c r="A55" s="699"/>
      <c r="B55" s="699" t="s">
        <v>1121</v>
      </c>
      <c r="C55" s="699"/>
      <c r="D55" s="699"/>
      <c r="E55" s="1050">
        <v>0</v>
      </c>
      <c r="F55" s="1050">
        <f>+E55+F54</f>
        <v>0</v>
      </c>
      <c r="G55" s="1050">
        <f t="shared" ref="G55:Z55" si="128">+F55+G54</f>
        <v>0</v>
      </c>
      <c r="H55" s="1050">
        <f t="shared" si="128"/>
        <v>0</v>
      </c>
      <c r="I55" s="1050">
        <f t="shared" si="128"/>
        <v>0</v>
      </c>
      <c r="J55" s="1050">
        <f t="shared" si="128"/>
        <v>16161.75</v>
      </c>
      <c r="K55" s="1050">
        <f t="shared" si="128"/>
        <v>32323.5</v>
      </c>
      <c r="L55" s="1050">
        <f t="shared" si="128"/>
        <v>32323.5</v>
      </c>
      <c r="M55" s="1050">
        <f t="shared" si="128"/>
        <v>32323.5</v>
      </c>
      <c r="N55" s="1050">
        <f t="shared" si="128"/>
        <v>32323.5</v>
      </c>
      <c r="O55" s="1050">
        <f t="shared" si="128"/>
        <v>32323.5</v>
      </c>
      <c r="P55" s="1050">
        <f t="shared" si="128"/>
        <v>32323.5</v>
      </c>
      <c r="Q55" s="1050">
        <f t="shared" si="128"/>
        <v>32323.5</v>
      </c>
      <c r="R55" s="1050">
        <f t="shared" si="128"/>
        <v>32323.5</v>
      </c>
      <c r="S55" s="1050">
        <f t="shared" si="128"/>
        <v>32323.5</v>
      </c>
      <c r="T55" s="1050">
        <f t="shared" si="128"/>
        <v>32323.5</v>
      </c>
      <c r="U55" s="1050">
        <f t="shared" si="128"/>
        <v>32323.5</v>
      </c>
      <c r="V55" s="1050">
        <f t="shared" si="128"/>
        <v>32323.5</v>
      </c>
      <c r="W55" s="1050">
        <f t="shared" si="128"/>
        <v>32323.5</v>
      </c>
      <c r="X55" s="1050">
        <f t="shared" si="128"/>
        <v>32323.5</v>
      </c>
      <c r="Y55" s="1050">
        <f t="shared" si="128"/>
        <v>32323.5</v>
      </c>
      <c r="Z55" s="1050">
        <f t="shared" si="128"/>
        <v>32323.5</v>
      </c>
      <c r="AA55" s="699"/>
      <c r="AB55" s="699"/>
      <c r="AC55" s="699"/>
      <c r="AD55" s="699"/>
      <c r="AE55" s="49"/>
      <c r="AF55" s="49"/>
      <c r="AG55" s="49"/>
      <c r="AH55" s="49"/>
      <c r="AI55" s="49"/>
      <c r="AJ55" s="49"/>
      <c r="AK55" s="49"/>
      <c r="AL55" s="49"/>
      <c r="AM55" s="49" t="s">
        <v>1126</v>
      </c>
      <c r="AN55" s="49"/>
      <c r="AO55" s="49"/>
      <c r="AP55" s="49"/>
      <c r="AQ55" s="770">
        <v>1</v>
      </c>
      <c r="AR55" s="770">
        <f>+AQ55*(1+Assumptions!$AP$86)</f>
        <v>1.03</v>
      </c>
      <c r="AS55" s="770">
        <f>+AR55*(1+Assumptions!$AP$86)</f>
        <v>1.0609</v>
      </c>
      <c r="AT55" s="770">
        <f>+AS55*(1+Assumptions!$AP$86)</f>
        <v>1.092727</v>
      </c>
      <c r="AU55" s="770">
        <f>+AT55*(1+Assumptions!$AP$86)</f>
        <v>1.1255088100000001</v>
      </c>
      <c r="AV55" s="770">
        <f>+AU55*(1+Assumptions!$AP$86)</f>
        <v>1.1592740743000001</v>
      </c>
      <c r="AW55" s="770">
        <f>+AV55*(1+Assumptions!$AP$86)</f>
        <v>1.1940522965290001</v>
      </c>
      <c r="AX55" s="770">
        <f>+AW55*(1+Assumptions!$AP$86)</f>
        <v>1.2298738654248702</v>
      </c>
      <c r="AY55" s="770">
        <f>+AX55*(1+Assumptions!$AP$86)</f>
        <v>1.2667700813876164</v>
      </c>
      <c r="AZ55" s="770">
        <f>+AY55*(1+Assumptions!$AP$86)</f>
        <v>1.3047731838292449</v>
      </c>
      <c r="BA55" s="770">
        <f>+AZ55*(1+Assumptions!$AP$86)</f>
        <v>1.3439163793441222</v>
      </c>
      <c r="BB55" s="770">
        <f>+BA55*(1+Assumptions!$AP$86)</f>
        <v>1.3842338707244459</v>
      </c>
      <c r="BC55" s="770">
        <f>+BB55*(1+Assumptions!$AP$86)</f>
        <v>1.4257608868461793</v>
      </c>
      <c r="BD55" s="770">
        <f>+BC55*(1+Assumptions!$AP$86)</f>
        <v>1.4685337134515648</v>
      </c>
      <c r="BE55" s="770">
        <f>+BD55*(1+Assumptions!$AP$86)</f>
        <v>1.5125897248551119</v>
      </c>
      <c r="BF55" s="770">
        <f>+BE55*(1+Assumptions!$AP$86)</f>
        <v>1.5579674166007653</v>
      </c>
      <c r="BG55" s="770">
        <f>+BF55*(1+Assumptions!$AP$86)</f>
        <v>1.6047064390987884</v>
      </c>
      <c r="BH55" s="770">
        <f>+BG55*(1+Assumptions!$AP$86)</f>
        <v>1.652847632271752</v>
      </c>
      <c r="BI55" s="770">
        <f>+BH55*(1+Assumptions!$AP$86)</f>
        <v>1.7024330612399046</v>
      </c>
      <c r="BJ55" s="770">
        <f>+BI55*(1+Assumptions!$AP$86)</f>
        <v>1.7535060530771018</v>
      </c>
      <c r="BK55" s="770">
        <f>+BJ55*(1+Assumptions!$AP$86)</f>
        <v>1.806111234669415</v>
      </c>
      <c r="BL55" s="49"/>
      <c r="BM55" s="49"/>
      <c r="BN55" s="49"/>
    </row>
    <row r="56" spans="1:66">
      <c r="A56" s="699"/>
      <c r="B56" s="699" t="s">
        <v>1125</v>
      </c>
      <c r="C56" s="699"/>
      <c r="D56" s="699"/>
      <c r="E56" s="699"/>
      <c r="F56" s="1074">
        <f t="shared" ref="F56:Z56" si="129">+IFERROR(F55/SUM($F$54:$Z$54),0)</f>
        <v>0</v>
      </c>
      <c r="G56" s="1074">
        <f t="shared" si="129"/>
        <v>0</v>
      </c>
      <c r="H56" s="1074">
        <f t="shared" si="129"/>
        <v>0</v>
      </c>
      <c r="I56" s="1074">
        <f t="shared" si="129"/>
        <v>0</v>
      </c>
      <c r="J56" s="1074">
        <f t="shared" si="129"/>
        <v>0.5</v>
      </c>
      <c r="K56" s="1074">
        <f t="shared" si="129"/>
        <v>1</v>
      </c>
      <c r="L56" s="1074">
        <f t="shared" si="129"/>
        <v>1</v>
      </c>
      <c r="M56" s="1074">
        <f t="shared" si="129"/>
        <v>1</v>
      </c>
      <c r="N56" s="1074">
        <f t="shared" si="129"/>
        <v>1</v>
      </c>
      <c r="O56" s="1074">
        <f t="shared" si="129"/>
        <v>1</v>
      </c>
      <c r="P56" s="1074">
        <f t="shared" si="129"/>
        <v>1</v>
      </c>
      <c r="Q56" s="1074">
        <f t="shared" si="129"/>
        <v>1</v>
      </c>
      <c r="R56" s="1074">
        <f t="shared" si="129"/>
        <v>1</v>
      </c>
      <c r="S56" s="1074">
        <f t="shared" si="129"/>
        <v>1</v>
      </c>
      <c r="T56" s="1074">
        <f t="shared" si="129"/>
        <v>1</v>
      </c>
      <c r="U56" s="1074">
        <f t="shared" si="129"/>
        <v>1</v>
      </c>
      <c r="V56" s="1074">
        <f t="shared" si="129"/>
        <v>1</v>
      </c>
      <c r="W56" s="1074">
        <f t="shared" si="129"/>
        <v>1</v>
      </c>
      <c r="X56" s="1074">
        <f t="shared" si="129"/>
        <v>1</v>
      </c>
      <c r="Y56" s="1074">
        <f t="shared" si="129"/>
        <v>1</v>
      </c>
      <c r="Z56" s="1074">
        <f t="shared" si="129"/>
        <v>1</v>
      </c>
      <c r="AA56" s="699"/>
      <c r="AB56" s="699"/>
      <c r="AC56" s="151"/>
      <c r="AD56" s="699"/>
      <c r="AE56" s="49"/>
      <c r="AF56" s="49"/>
      <c r="AG56" s="49"/>
      <c r="AH56" s="49"/>
      <c r="AI56" s="49"/>
      <c r="AJ56" s="49"/>
      <c r="AK56" s="49"/>
      <c r="AL56" s="49"/>
      <c r="AM56" s="49" t="s">
        <v>1127</v>
      </c>
      <c r="AN56" s="49"/>
      <c r="AO56" s="49"/>
      <c r="AP56" s="49"/>
      <c r="AQ56" s="770">
        <v>1</v>
      </c>
      <c r="AR56" s="770">
        <f>+AQ56*(1+Assumptions!$AP$97)</f>
        <v>1.03</v>
      </c>
      <c r="AS56" s="770">
        <f>+AR56*(1+Assumptions!$AP$97)</f>
        <v>1.0609</v>
      </c>
      <c r="AT56" s="770">
        <f>+AS56*(1+Assumptions!$AP$97)</f>
        <v>1.092727</v>
      </c>
      <c r="AU56" s="770">
        <f>+AT56*(1+Assumptions!$AP$97)</f>
        <v>1.1255088100000001</v>
      </c>
      <c r="AV56" s="770">
        <f>+AU56*(1+Assumptions!$AP$97)</f>
        <v>1.1592740743000001</v>
      </c>
      <c r="AW56" s="770">
        <f>+AV56*(1+Assumptions!$AP$97)</f>
        <v>1.1940522965290001</v>
      </c>
      <c r="AX56" s="770">
        <f>+AW56*(1+Assumptions!$AP$97)</f>
        <v>1.2298738654248702</v>
      </c>
      <c r="AY56" s="770">
        <f>+AX56*(1+Assumptions!$AP$97)</f>
        <v>1.2667700813876164</v>
      </c>
      <c r="AZ56" s="770">
        <f>+AY56*(1+Assumptions!$AP$97)</f>
        <v>1.3047731838292449</v>
      </c>
      <c r="BA56" s="770">
        <f>+AZ56*(1+Assumptions!$AP$97)</f>
        <v>1.3439163793441222</v>
      </c>
      <c r="BB56" s="770">
        <f>+BA56*(1+Assumptions!$AP$97)</f>
        <v>1.3842338707244459</v>
      </c>
      <c r="BC56" s="770">
        <f>+BB56*(1+Assumptions!$AP$97)</f>
        <v>1.4257608868461793</v>
      </c>
      <c r="BD56" s="770">
        <f>+BC56*(1+Assumptions!$AP$97)</f>
        <v>1.4685337134515648</v>
      </c>
      <c r="BE56" s="770">
        <f>+BD56*(1+Assumptions!$AP$97)</f>
        <v>1.5125897248551119</v>
      </c>
      <c r="BF56" s="770">
        <f>+BE56*(1+Assumptions!$AP$97)</f>
        <v>1.5579674166007653</v>
      </c>
      <c r="BG56" s="770">
        <f>+BF56*(1+Assumptions!$AP$97)</f>
        <v>1.6047064390987884</v>
      </c>
      <c r="BH56" s="770">
        <f>+BG56*(1+Assumptions!$AP$97)</f>
        <v>1.652847632271752</v>
      </c>
      <c r="BI56" s="770">
        <f>+BH56*(1+Assumptions!$AP$97)</f>
        <v>1.7024330612399046</v>
      </c>
      <c r="BJ56" s="770">
        <f>+BI56*(1+Assumptions!$AP$97)</f>
        <v>1.7535060530771018</v>
      </c>
      <c r="BK56" s="770">
        <f>+BJ56*(1+Assumptions!$AP$97)</f>
        <v>1.806111234669415</v>
      </c>
      <c r="BL56" s="49"/>
      <c r="BM56" s="49"/>
      <c r="BN56" s="49"/>
    </row>
    <row r="57" spans="1:66">
      <c r="A57" s="699"/>
      <c r="B57" s="699"/>
      <c r="C57" s="699"/>
      <c r="D57" s="699"/>
      <c r="E57" s="699"/>
      <c r="F57" s="699"/>
      <c r="G57" s="699"/>
      <c r="H57" s="699"/>
      <c r="I57" s="699"/>
      <c r="J57" s="699"/>
      <c r="K57" s="699"/>
      <c r="L57" s="699"/>
      <c r="M57" s="699"/>
      <c r="N57" s="699"/>
      <c r="O57" s="699"/>
      <c r="P57" s="699"/>
      <c r="Q57" s="699"/>
      <c r="R57" s="699"/>
      <c r="S57" s="699"/>
      <c r="T57" s="699"/>
      <c r="U57" s="699"/>
      <c r="V57" s="699"/>
      <c r="W57" s="699"/>
      <c r="X57" s="699"/>
      <c r="Y57" s="699"/>
      <c r="Z57" s="699"/>
      <c r="AA57" s="699"/>
      <c r="AB57" s="699"/>
      <c r="AC57" s="151"/>
      <c r="AD57" s="699"/>
      <c r="AE57" s="49"/>
      <c r="AF57" s="49"/>
      <c r="AG57" s="49"/>
      <c r="AH57" s="49"/>
      <c r="AI57" s="49"/>
      <c r="AJ57" s="49"/>
      <c r="AK57" s="49"/>
      <c r="AL57" s="49"/>
      <c r="AM57" s="49"/>
      <c r="AN57" s="49"/>
      <c r="AO57" s="49"/>
      <c r="AP57" s="49"/>
      <c r="AQ57" s="49"/>
      <c r="AR57" s="49"/>
      <c r="AS57" s="49"/>
      <c r="AT57" s="49"/>
      <c r="AU57" s="49"/>
      <c r="AV57" s="49"/>
      <c r="AW57" s="49"/>
      <c r="AX57" s="49"/>
      <c r="AY57" s="49"/>
      <c r="AZ57" s="49"/>
      <c r="BA57" s="49"/>
      <c r="BB57" s="49"/>
      <c r="BC57" s="49"/>
      <c r="BD57" s="49"/>
      <c r="BE57" s="49"/>
      <c r="BF57" s="49"/>
      <c r="BG57" s="49"/>
      <c r="BH57" s="49"/>
      <c r="BI57" s="49"/>
      <c r="BJ57" s="49"/>
      <c r="BK57" s="49"/>
      <c r="BL57" s="49"/>
      <c r="BM57" s="49"/>
      <c r="BN57" s="49"/>
    </row>
    <row r="58" spans="1:66">
      <c r="A58" s="699"/>
      <c r="B58" s="699" t="s">
        <v>1126</v>
      </c>
      <c r="C58" s="699"/>
      <c r="D58" s="699"/>
      <c r="E58" s="699"/>
      <c r="F58" s="1074">
        <v>1</v>
      </c>
      <c r="G58" s="1074">
        <f>+IF(MOD(G$2,Assumptions!$N$76)=(Assumptions!$N$76-1),'Phase 1 Pro Forma'!F58*(1+Assumptions!$N$75),'Phase 1 Pro Forma'!F58)</f>
        <v>1</v>
      </c>
      <c r="H58" s="1074">
        <f>+IF(MOD(H$2,Assumptions!$N$76)=(Assumptions!$N$76-1),'Phase 1 Pro Forma'!G58*(1+Assumptions!$N$75),'Phase 1 Pro Forma'!G58)</f>
        <v>1</v>
      </c>
      <c r="I58" s="1074">
        <f>+IF(MOD(I$2,Assumptions!$N$76)=(Assumptions!$N$76-1),'Phase 1 Pro Forma'!H58*(1+Assumptions!$N$75),'Phase 1 Pro Forma'!H58)</f>
        <v>1</v>
      </c>
      <c r="J58" s="1074">
        <f>+IF(MOD(J$2,Assumptions!$N$76)=(Assumptions!$N$76-1),'Phase 1 Pro Forma'!I58*(1+Assumptions!$N$75),'Phase 1 Pro Forma'!I58)</f>
        <v>1</v>
      </c>
      <c r="K58" s="1074">
        <f>+IF(MOD(K$2,Assumptions!$N$76)=(Assumptions!$N$76-1),'Phase 1 Pro Forma'!J58*(1+Assumptions!$N$75),'Phase 1 Pro Forma'!J58)</f>
        <v>1</v>
      </c>
      <c r="L58" s="1074">
        <f>+IF(MOD(L$2,Assumptions!$N$76)=(Assumptions!$N$76-1),'Phase 1 Pro Forma'!K58*(1+Assumptions!$N$75),'Phase 1 Pro Forma'!K58)</f>
        <v>1</v>
      </c>
      <c r="M58" s="1074">
        <f>+IF(MOD(M$2,Assumptions!$N$76)=(Assumptions!$N$76-1),'Phase 1 Pro Forma'!L58*(1+Assumptions!$N$75),'Phase 1 Pro Forma'!L58)</f>
        <v>1.1499999999999999</v>
      </c>
      <c r="N58" s="1074">
        <f>+IF(MOD(N$2,Assumptions!$N$76)=(Assumptions!$N$76-1),'Phase 1 Pro Forma'!M58*(1+Assumptions!$N$75),'Phase 1 Pro Forma'!M58)</f>
        <v>1.1499999999999999</v>
      </c>
      <c r="O58" s="1074">
        <f>+IF(MOD(O$2,Assumptions!$N$76)=(Assumptions!$N$76-1),'Phase 1 Pro Forma'!N58*(1+Assumptions!$N$75),'Phase 1 Pro Forma'!N58)</f>
        <v>1.1499999999999999</v>
      </c>
      <c r="P58" s="1074">
        <f>+IF(MOD(P$2,Assumptions!$N$76)=(Assumptions!$N$76-1),'Phase 1 Pro Forma'!O58*(1+Assumptions!$N$75),'Phase 1 Pro Forma'!O58)</f>
        <v>1.1499999999999999</v>
      </c>
      <c r="Q58" s="1074">
        <f>+IF(MOD(Q$2,Assumptions!$N$76)=(Assumptions!$N$76-1),'Phase 1 Pro Forma'!P58*(1+Assumptions!$N$75),'Phase 1 Pro Forma'!P58)</f>
        <v>1.1499999999999999</v>
      </c>
      <c r="R58" s="1074">
        <f>+IF(MOD(R$2,Assumptions!$N$76)=(Assumptions!$N$76-1),'Phase 1 Pro Forma'!Q58*(1+Assumptions!$N$75),'Phase 1 Pro Forma'!Q58)</f>
        <v>1.3224999999999998</v>
      </c>
      <c r="S58" s="1074">
        <f>+IF(MOD(S$2,Assumptions!$N$76)=(Assumptions!$N$76-1),'Phase 1 Pro Forma'!R58*(1+Assumptions!$N$75),'Phase 1 Pro Forma'!R58)</f>
        <v>1.3224999999999998</v>
      </c>
      <c r="T58" s="1074">
        <f>+IF(MOD(T$2,Assumptions!$N$76)=(Assumptions!$N$76-1),'Phase 1 Pro Forma'!S58*(1+Assumptions!$N$75),'Phase 1 Pro Forma'!S58)</f>
        <v>1.3224999999999998</v>
      </c>
      <c r="U58" s="1074">
        <f>+IF(MOD(U$2,Assumptions!$N$76)=(Assumptions!$N$76-1),'Phase 1 Pro Forma'!T58*(1+Assumptions!$N$75),'Phase 1 Pro Forma'!T58)</f>
        <v>1.3224999999999998</v>
      </c>
      <c r="V58" s="1074">
        <f>+IF(MOD(V$2,Assumptions!$N$76)=(Assumptions!$N$76-1),'Phase 1 Pro Forma'!U58*(1+Assumptions!$N$75),'Phase 1 Pro Forma'!U58)</f>
        <v>1.3224999999999998</v>
      </c>
      <c r="W58" s="1074">
        <f>+IF(MOD(W$2,Assumptions!$N$76)=(Assumptions!$N$76-1),'Phase 1 Pro Forma'!V58*(1+Assumptions!$N$75),'Phase 1 Pro Forma'!V58)</f>
        <v>1.5208749999999995</v>
      </c>
      <c r="X58" s="1074">
        <f>+IF(MOD(X$2,Assumptions!$N$76)=(Assumptions!$N$76-1),'Phase 1 Pro Forma'!W58*(1+Assumptions!$N$75),'Phase 1 Pro Forma'!W58)</f>
        <v>1.5208749999999995</v>
      </c>
      <c r="Y58" s="1074">
        <f>+IF(MOD(Y$2,Assumptions!$N$76)=(Assumptions!$N$76-1),'Phase 1 Pro Forma'!X58*(1+Assumptions!$N$75),'Phase 1 Pro Forma'!X58)</f>
        <v>1.5208749999999995</v>
      </c>
      <c r="Z58" s="1074">
        <f>+IF(MOD(Z$2,Assumptions!$N$76)=(Assumptions!$N$76-1),'Phase 1 Pro Forma'!Y58*(1+Assumptions!$N$75),'Phase 1 Pro Forma'!Y58)</f>
        <v>1.5208749999999995</v>
      </c>
      <c r="AA58" s="699"/>
      <c r="AB58" s="699"/>
      <c r="AC58" s="151"/>
      <c r="AD58" s="699"/>
      <c r="AE58" s="49"/>
      <c r="AF58" s="49"/>
      <c r="AG58" s="49"/>
      <c r="AH58" s="49"/>
      <c r="AI58" s="49"/>
      <c r="AJ58" s="49"/>
      <c r="AK58" s="49"/>
      <c r="AL58" s="49"/>
      <c r="AM58" s="49" t="s">
        <v>1128</v>
      </c>
      <c r="AN58" s="49"/>
      <c r="AO58" s="49"/>
      <c r="AP58" s="49"/>
      <c r="AQ58" s="771">
        <f>+AQ53*Assumptions!$F$227*AQ55</f>
        <v>0</v>
      </c>
      <c r="AR58" s="771">
        <f>+AR53*Assumptions!$F$227*AR55</f>
        <v>0</v>
      </c>
      <c r="AS58" s="771">
        <f>+AS53*Assumptions!$F$227*AS55</f>
        <v>0</v>
      </c>
      <c r="AT58" s="771">
        <f>+AT53*Assumptions!$F$227*AT55</f>
        <v>0</v>
      </c>
      <c r="AU58" s="771">
        <f>+AU53*Assumptions!$F$227*AU55</f>
        <v>0</v>
      </c>
      <c r="AV58" s="771">
        <f>+AV53*Assumptions!$F$227*AV55</f>
        <v>0</v>
      </c>
      <c r="AW58" s="771">
        <f>+AW53*Assumptions!$F$227*AW55</f>
        <v>0</v>
      </c>
      <c r="AX58" s="771">
        <f>+AX53*Assumptions!$F$227*AX55</f>
        <v>0</v>
      </c>
      <c r="AY58" s="771">
        <f>+AY53*Assumptions!$F$227*AY55</f>
        <v>0</v>
      </c>
      <c r="AZ58" s="771">
        <f>+AZ53*Assumptions!$F$227*AZ55</f>
        <v>0</v>
      </c>
      <c r="BA58" s="771">
        <f>+BA53*Assumptions!$F$227*BA55</f>
        <v>0</v>
      </c>
      <c r="BB58" s="771">
        <f>+BB53*Assumptions!$F$227*BB55</f>
        <v>0</v>
      </c>
      <c r="BC58" s="771">
        <f>+BC53*Assumptions!$F$227*BC55</f>
        <v>0</v>
      </c>
      <c r="BD58" s="771">
        <f>+BD53*Assumptions!$F$227*BD55</f>
        <v>0</v>
      </c>
      <c r="BE58" s="771">
        <f>+BE53*Assumptions!$F$227*BE55</f>
        <v>0</v>
      </c>
      <c r="BF58" s="771">
        <f>+BF53*Assumptions!$F$227*BF55</f>
        <v>0</v>
      </c>
      <c r="BG58" s="771">
        <f>+BG53*Assumptions!$F$227*BG55</f>
        <v>0</v>
      </c>
      <c r="BH58" s="771">
        <f>+BH53*Assumptions!$F$227*BH55</f>
        <v>0</v>
      </c>
      <c r="BI58" s="771">
        <f>+BI53*Assumptions!$F$227*BI55</f>
        <v>0</v>
      </c>
      <c r="BJ58" s="771">
        <f>+BJ53*Assumptions!$F$227*BJ55</f>
        <v>0</v>
      </c>
      <c r="BK58" s="771">
        <f>+BK53*Assumptions!$F$227*BK55</f>
        <v>0</v>
      </c>
      <c r="BL58" s="49"/>
      <c r="BM58" s="49"/>
      <c r="BN58" s="49"/>
    </row>
    <row r="59" spans="1:66">
      <c r="A59" s="699"/>
      <c r="B59" s="699" t="s">
        <v>1127</v>
      </c>
      <c r="C59" s="699"/>
      <c r="D59" s="699"/>
      <c r="E59" s="699"/>
      <c r="F59" s="1074">
        <v>1</v>
      </c>
      <c r="G59" s="1074">
        <f>+F59*(1+Assumptions!$N$84)</f>
        <v>1.03</v>
      </c>
      <c r="H59" s="1074">
        <f>+G59*(1+Assumptions!$N$84)</f>
        <v>1.0609</v>
      </c>
      <c r="I59" s="1074">
        <f>+H59*(1+Assumptions!$N$84)</f>
        <v>1.092727</v>
      </c>
      <c r="J59" s="1074">
        <f>+I59*(1+Assumptions!$N$84)</f>
        <v>1.1255088100000001</v>
      </c>
      <c r="K59" s="1074">
        <f>+J59*(1+Assumptions!$N$84)</f>
        <v>1.1592740743000001</v>
      </c>
      <c r="L59" s="1074">
        <f>+K59*(1+Assumptions!$N$84)</f>
        <v>1.1940522965290001</v>
      </c>
      <c r="M59" s="1074">
        <f>+L59*(1+Assumptions!$N$84)</f>
        <v>1.2298738654248702</v>
      </c>
      <c r="N59" s="1074">
        <f>+M59*(1+Assumptions!$N$84)</f>
        <v>1.2667700813876164</v>
      </c>
      <c r="O59" s="1074">
        <f>+N59*(1+Assumptions!$N$84)</f>
        <v>1.3047731838292449</v>
      </c>
      <c r="P59" s="1074">
        <f>+O59*(1+Assumptions!$N$84)</f>
        <v>1.3439163793441222</v>
      </c>
      <c r="Q59" s="1074">
        <f>+P59*(1+Assumptions!$N$84)</f>
        <v>1.3842338707244459</v>
      </c>
      <c r="R59" s="1074">
        <f>+Q59*(1+Assumptions!$N$84)</f>
        <v>1.4257608868461793</v>
      </c>
      <c r="S59" s="1074">
        <f>+R59*(1+Assumptions!$N$84)</f>
        <v>1.4685337134515648</v>
      </c>
      <c r="T59" s="1074">
        <f>+S59*(1+Assumptions!$N$84)</f>
        <v>1.5125897248551119</v>
      </c>
      <c r="U59" s="1074">
        <f>+T59*(1+Assumptions!$N$84)</f>
        <v>1.5579674166007653</v>
      </c>
      <c r="V59" s="1074">
        <f>+U59*(1+Assumptions!$N$84)</f>
        <v>1.6047064390987884</v>
      </c>
      <c r="W59" s="1074">
        <f>+V59*(1+Assumptions!$N$84)</f>
        <v>1.652847632271752</v>
      </c>
      <c r="X59" s="1074">
        <f>+W59*(1+Assumptions!$N$84)</f>
        <v>1.7024330612399046</v>
      </c>
      <c r="Y59" s="1074">
        <f>+X59*(1+Assumptions!$N$84)</f>
        <v>1.7535060530771018</v>
      </c>
      <c r="Z59" s="1074">
        <f>+Y59*(1+Assumptions!$N$84)</f>
        <v>1.806111234669415</v>
      </c>
      <c r="AA59" s="699"/>
      <c r="AB59" s="699"/>
      <c r="AC59" s="151"/>
      <c r="AD59" s="699"/>
      <c r="AE59" s="49"/>
      <c r="AF59" s="49"/>
      <c r="AG59" s="49"/>
      <c r="AH59" s="49"/>
      <c r="AI59" s="49"/>
      <c r="AJ59" s="49"/>
      <c r="AK59" s="49"/>
      <c r="AL59" s="49"/>
      <c r="AM59" s="49" t="s">
        <v>1129</v>
      </c>
      <c r="AN59" s="49"/>
      <c r="AO59" s="49"/>
      <c r="AP59" s="49"/>
      <c r="AQ59" s="90">
        <f>-Assumptions!$E$99*'Phase 1 Pro Forma'!AQ58</f>
        <v>0</v>
      </c>
      <c r="AR59" s="90">
        <f>-Assumptions!$E$99*'Phase 1 Pro Forma'!AR58</f>
        <v>0</v>
      </c>
      <c r="AS59" s="90">
        <f>-Assumptions!$E$99*'Phase 1 Pro Forma'!AS58</f>
        <v>0</v>
      </c>
      <c r="AT59" s="90">
        <f>-Assumptions!$E$99*'Phase 1 Pro Forma'!AT58</f>
        <v>0</v>
      </c>
      <c r="AU59" s="90">
        <f>-Assumptions!$E$99*'Phase 1 Pro Forma'!AU58</f>
        <v>0</v>
      </c>
      <c r="AV59" s="90">
        <f>-Assumptions!$E$99*'Phase 1 Pro Forma'!AV58</f>
        <v>0</v>
      </c>
      <c r="AW59" s="90">
        <f>-Assumptions!$E$99*'Phase 1 Pro Forma'!AW58</f>
        <v>0</v>
      </c>
      <c r="AX59" s="90">
        <f>-Assumptions!$E$99*'Phase 1 Pro Forma'!AX58</f>
        <v>0</v>
      </c>
      <c r="AY59" s="90">
        <f>-Assumptions!$E$99*'Phase 1 Pro Forma'!AY58</f>
        <v>0</v>
      </c>
      <c r="AZ59" s="90">
        <f>-Assumptions!$E$99*'Phase 1 Pro Forma'!AZ58</f>
        <v>0</v>
      </c>
      <c r="BA59" s="90">
        <f>-Assumptions!$E$99*'Phase 1 Pro Forma'!BA58</f>
        <v>0</v>
      </c>
      <c r="BB59" s="90">
        <f>-Assumptions!$E$99*'Phase 1 Pro Forma'!BB58</f>
        <v>0</v>
      </c>
      <c r="BC59" s="90">
        <f>-Assumptions!$E$99*'Phase 1 Pro Forma'!BC58</f>
        <v>0</v>
      </c>
      <c r="BD59" s="90">
        <f>-Assumptions!$E$99*'Phase 1 Pro Forma'!BD58</f>
        <v>0</v>
      </c>
      <c r="BE59" s="90">
        <f>-Assumptions!$E$99*'Phase 1 Pro Forma'!BE58</f>
        <v>0</v>
      </c>
      <c r="BF59" s="90">
        <f>-Assumptions!$E$99*'Phase 1 Pro Forma'!BF58</f>
        <v>0</v>
      </c>
      <c r="BG59" s="90">
        <f>-Assumptions!$E$99*'Phase 1 Pro Forma'!BG58</f>
        <v>0</v>
      </c>
      <c r="BH59" s="90">
        <f>-Assumptions!$E$99*'Phase 1 Pro Forma'!BH58</f>
        <v>0</v>
      </c>
      <c r="BI59" s="90">
        <f>-Assumptions!$E$99*'Phase 1 Pro Forma'!BI58</f>
        <v>0</v>
      </c>
      <c r="BJ59" s="90">
        <f>-Assumptions!$E$99*'Phase 1 Pro Forma'!BJ58</f>
        <v>0</v>
      </c>
      <c r="BK59" s="90">
        <f>-Assumptions!$E$99*'Phase 1 Pro Forma'!BK58</f>
        <v>0</v>
      </c>
      <c r="BL59" s="49"/>
      <c r="BM59" s="49"/>
      <c r="BN59" s="49"/>
    </row>
    <row r="60" spans="1:66">
      <c r="A60" s="699"/>
      <c r="B60" s="699"/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699"/>
      <c r="N60" s="699"/>
      <c r="O60" s="699"/>
      <c r="P60" s="699"/>
      <c r="Q60" s="699"/>
      <c r="R60" s="699"/>
      <c r="S60" s="699"/>
      <c r="T60" s="699"/>
      <c r="U60" s="699"/>
      <c r="V60" s="699"/>
      <c r="W60" s="699"/>
      <c r="X60" s="699"/>
      <c r="Y60" s="699"/>
      <c r="Z60" s="699"/>
      <c r="AA60" s="699"/>
      <c r="AB60" s="699"/>
      <c r="AC60" s="151"/>
      <c r="AD60" s="699"/>
      <c r="AE60" s="49"/>
      <c r="AF60" s="49"/>
      <c r="AG60" s="49"/>
      <c r="AH60" s="49"/>
      <c r="AI60" s="49"/>
      <c r="AJ60" s="49"/>
      <c r="AK60" s="49"/>
      <c r="AL60" s="49"/>
      <c r="AM60" s="49" t="s">
        <v>1130</v>
      </c>
      <c r="AN60" s="49"/>
      <c r="AO60" s="49"/>
      <c r="AP60" s="49"/>
      <c r="AQ60" s="90">
        <f>-AQ58*Assumptions!$AP$77</f>
        <v>0</v>
      </c>
      <c r="AR60" s="90">
        <f>-AR58*Assumptions!$AP$77</f>
        <v>0</v>
      </c>
      <c r="AS60" s="90">
        <f>-AS58*Assumptions!$AP$77</f>
        <v>0</v>
      </c>
      <c r="AT60" s="90">
        <f>-AT58*Assumptions!$AP$77</f>
        <v>0</v>
      </c>
      <c r="AU60" s="90">
        <f>-AU58*Assumptions!$AP$77</f>
        <v>0</v>
      </c>
      <c r="AV60" s="90">
        <f>-AV58*Assumptions!$AP$77</f>
        <v>0</v>
      </c>
      <c r="AW60" s="90">
        <f>-AW58*Assumptions!$AP$77</f>
        <v>0</v>
      </c>
      <c r="AX60" s="90">
        <f>-AX58*Assumptions!$AP$77</f>
        <v>0</v>
      </c>
      <c r="AY60" s="90">
        <f>-AY58*Assumptions!$AP$77</f>
        <v>0</v>
      </c>
      <c r="AZ60" s="90">
        <f>-AZ58*Assumptions!$AP$77</f>
        <v>0</v>
      </c>
      <c r="BA60" s="90">
        <f>-BA58*Assumptions!$AP$77</f>
        <v>0</v>
      </c>
      <c r="BB60" s="90">
        <f>-BB58*Assumptions!$AP$77</f>
        <v>0</v>
      </c>
      <c r="BC60" s="90">
        <f>-BC58*Assumptions!$AP$77</f>
        <v>0</v>
      </c>
      <c r="BD60" s="90">
        <f>-BD58*Assumptions!$AP$77</f>
        <v>0</v>
      </c>
      <c r="BE60" s="90">
        <f>-BE58*Assumptions!$AP$77</f>
        <v>0</v>
      </c>
      <c r="BF60" s="90">
        <f>-BF58*Assumptions!$AP$77</f>
        <v>0</v>
      </c>
      <c r="BG60" s="90">
        <f>-BG58*Assumptions!$AP$77</f>
        <v>0</v>
      </c>
      <c r="BH60" s="90">
        <f>-BH58*Assumptions!$AP$77</f>
        <v>0</v>
      </c>
      <c r="BI60" s="90">
        <f>-BI58*Assumptions!$AP$77</f>
        <v>0</v>
      </c>
      <c r="BJ60" s="90">
        <f>-BJ58*Assumptions!$AP$77</f>
        <v>0</v>
      </c>
      <c r="BK60" s="90">
        <f>-BK58*Assumptions!$AP$77</f>
        <v>0</v>
      </c>
      <c r="BL60" s="49"/>
      <c r="BM60" s="49"/>
      <c r="BN60" s="49"/>
    </row>
    <row r="61" spans="1:66">
      <c r="A61" s="699" t="s">
        <v>511</v>
      </c>
      <c r="B61" s="699" t="s">
        <v>1128</v>
      </c>
      <c r="C61" s="699"/>
      <c r="D61" s="699"/>
      <c r="E61" s="699"/>
      <c r="F61" s="1028">
        <f>+F56*Assumptions!$F$110*F58</f>
        <v>0</v>
      </c>
      <c r="G61" s="1028">
        <f>+G56*Assumptions!$F$110*G58</f>
        <v>0</v>
      </c>
      <c r="H61" s="1028">
        <f>+H56*Assumptions!$F$110*H58</f>
        <v>0</v>
      </c>
      <c r="I61" s="1028">
        <f>+I56*Assumptions!$F$110*I58</f>
        <v>0</v>
      </c>
      <c r="J61" s="1028">
        <f>+J56*Assumptions!$F$110*J58</f>
        <v>1218088.1632803478</v>
      </c>
      <c r="K61" s="1028">
        <f>+K56*Assumptions!$F$110*K58</f>
        <v>2436176.3265606957</v>
      </c>
      <c r="L61" s="1028">
        <f>+L56*Assumptions!$F$110*L58</f>
        <v>2436176.3265606957</v>
      </c>
      <c r="M61" s="1028">
        <f>+M56*Assumptions!$F$110*M58</f>
        <v>2801602.7755447999</v>
      </c>
      <c r="N61" s="1028">
        <f>+N56*Assumptions!$F$110*N58</f>
        <v>2801602.7755447999</v>
      </c>
      <c r="O61" s="1028">
        <f>+O56*Assumptions!$F$110*O58</f>
        <v>2801602.7755447999</v>
      </c>
      <c r="P61" s="1028">
        <f>+P56*Assumptions!$F$110*P58</f>
        <v>2801602.7755447999</v>
      </c>
      <c r="Q61" s="1028">
        <f>+Q56*Assumptions!$F$110*Q58</f>
        <v>2801602.7755447999</v>
      </c>
      <c r="R61" s="1028">
        <f>+R56*Assumptions!$F$110*R58</f>
        <v>3221843.1918765195</v>
      </c>
      <c r="S61" s="1028">
        <f>+S56*Assumptions!$F$110*S58</f>
        <v>3221843.1918765195</v>
      </c>
      <c r="T61" s="1028">
        <f>+T56*Assumptions!$F$110*T58</f>
        <v>3221843.1918765195</v>
      </c>
      <c r="U61" s="1028">
        <f>+U56*Assumptions!$F$110*U58</f>
        <v>3221843.1918765195</v>
      </c>
      <c r="V61" s="1028">
        <f>+V56*Assumptions!$F$110*V58</f>
        <v>3221843.1918765195</v>
      </c>
      <c r="W61" s="1028">
        <f>+W56*Assumptions!$F$110*W58</f>
        <v>3705119.670657997</v>
      </c>
      <c r="X61" s="1028">
        <f>+X56*Assumptions!$F$110*X58</f>
        <v>3705119.670657997</v>
      </c>
      <c r="Y61" s="1028">
        <f>+Y56*Assumptions!$F$110*Y58</f>
        <v>3705119.670657997</v>
      </c>
      <c r="Z61" s="1028">
        <f>+Z56*Assumptions!$F$110*Z58</f>
        <v>3705119.670657997</v>
      </c>
      <c r="AA61" s="699"/>
      <c r="AB61" s="699"/>
      <c r="AC61" s="151"/>
      <c r="AD61" s="699"/>
      <c r="AE61" s="49"/>
      <c r="AF61" s="49"/>
      <c r="AG61" s="49"/>
      <c r="AH61" s="49"/>
      <c r="AI61" s="49"/>
      <c r="AJ61" s="49"/>
      <c r="AK61" s="49"/>
      <c r="AL61" s="49"/>
      <c r="AM61" s="49" t="s">
        <v>1131</v>
      </c>
      <c r="AN61" s="49"/>
      <c r="AO61" s="49"/>
      <c r="AP61" s="49"/>
      <c r="AQ61" s="771">
        <f t="shared" ref="AQ61:BK61" si="130">SUM(AQ58:AQ60)</f>
        <v>0</v>
      </c>
      <c r="AR61" s="771">
        <f t="shared" si="130"/>
        <v>0</v>
      </c>
      <c r="AS61" s="771">
        <f t="shared" si="130"/>
        <v>0</v>
      </c>
      <c r="AT61" s="771">
        <f t="shared" si="130"/>
        <v>0</v>
      </c>
      <c r="AU61" s="771">
        <f t="shared" si="130"/>
        <v>0</v>
      </c>
      <c r="AV61" s="771">
        <f t="shared" si="130"/>
        <v>0</v>
      </c>
      <c r="AW61" s="771">
        <f t="shared" si="130"/>
        <v>0</v>
      </c>
      <c r="AX61" s="771">
        <f t="shared" si="130"/>
        <v>0</v>
      </c>
      <c r="AY61" s="771">
        <f t="shared" si="130"/>
        <v>0</v>
      </c>
      <c r="AZ61" s="771">
        <f t="shared" si="130"/>
        <v>0</v>
      </c>
      <c r="BA61" s="771">
        <f t="shared" si="130"/>
        <v>0</v>
      </c>
      <c r="BB61" s="771">
        <f t="shared" si="130"/>
        <v>0</v>
      </c>
      <c r="BC61" s="771">
        <f t="shared" si="130"/>
        <v>0</v>
      </c>
      <c r="BD61" s="771">
        <f t="shared" si="130"/>
        <v>0</v>
      </c>
      <c r="BE61" s="771">
        <f t="shared" si="130"/>
        <v>0</v>
      </c>
      <c r="BF61" s="771">
        <f t="shared" si="130"/>
        <v>0</v>
      </c>
      <c r="BG61" s="771">
        <f t="shared" si="130"/>
        <v>0</v>
      </c>
      <c r="BH61" s="771">
        <f t="shared" si="130"/>
        <v>0</v>
      </c>
      <c r="BI61" s="771">
        <f t="shared" si="130"/>
        <v>0</v>
      </c>
      <c r="BJ61" s="771">
        <f t="shared" si="130"/>
        <v>0</v>
      </c>
      <c r="BK61" s="771">
        <f t="shared" si="130"/>
        <v>0</v>
      </c>
      <c r="BL61" s="49"/>
      <c r="BM61" s="49"/>
      <c r="BN61" s="49"/>
    </row>
    <row r="62" spans="1:66">
      <c r="A62" s="699"/>
      <c r="B62" s="699" t="s">
        <v>1130</v>
      </c>
      <c r="C62" s="699"/>
      <c r="D62" s="699"/>
      <c r="E62" s="699"/>
      <c r="F62" s="1085">
        <f>-F61*Assumptions!$N$64</f>
        <v>0</v>
      </c>
      <c r="G62" s="1085">
        <f>-G61*Assumptions!$N$64</f>
        <v>0</v>
      </c>
      <c r="H62" s="1085">
        <f>-H61*Assumptions!$N$64</f>
        <v>0</v>
      </c>
      <c r="I62" s="1085">
        <f>-I61*Assumptions!$N$64</f>
        <v>0</v>
      </c>
      <c r="J62" s="1085">
        <f>-J61*Assumptions!$N$64</f>
        <v>-121808.81632803479</v>
      </c>
      <c r="K62" s="1085">
        <f>-K61*Assumptions!$N$64</f>
        <v>-243617.63265606959</v>
      </c>
      <c r="L62" s="1085">
        <f>-L61*Assumptions!$N$64</f>
        <v>-243617.63265606959</v>
      </c>
      <c r="M62" s="1085">
        <f>-M61*Assumptions!$N$64</f>
        <v>-280160.27755448001</v>
      </c>
      <c r="N62" s="1085">
        <f>-N61*Assumptions!$N$64</f>
        <v>-280160.27755448001</v>
      </c>
      <c r="O62" s="1085">
        <f>-O61*Assumptions!$N$64</f>
        <v>-280160.27755448001</v>
      </c>
      <c r="P62" s="1085">
        <f>-P61*Assumptions!$N$64</f>
        <v>-280160.27755448001</v>
      </c>
      <c r="Q62" s="1085">
        <f>-Q61*Assumptions!$N$64</f>
        <v>-280160.27755448001</v>
      </c>
      <c r="R62" s="1085">
        <f>-R61*Assumptions!$N$64</f>
        <v>-322184.31918765197</v>
      </c>
      <c r="S62" s="1085">
        <f>-S61*Assumptions!$N$64</f>
        <v>-322184.31918765197</v>
      </c>
      <c r="T62" s="1085">
        <f>-T61*Assumptions!$N$64</f>
        <v>-322184.31918765197</v>
      </c>
      <c r="U62" s="1085">
        <f>-U61*Assumptions!$N$64</f>
        <v>-322184.31918765197</v>
      </c>
      <c r="V62" s="1085">
        <f>-V61*Assumptions!$N$64</f>
        <v>-322184.31918765197</v>
      </c>
      <c r="W62" s="1085">
        <f>-W61*Assumptions!$N$64</f>
        <v>-370511.96706579975</v>
      </c>
      <c r="X62" s="1085">
        <f>-X61*Assumptions!$N$64</f>
        <v>-370511.96706579975</v>
      </c>
      <c r="Y62" s="1085">
        <f>-Y61*Assumptions!$N$64</f>
        <v>-370511.96706579975</v>
      </c>
      <c r="Z62" s="1085">
        <f>-Z61*Assumptions!$N$64</f>
        <v>-370511.96706579975</v>
      </c>
      <c r="AA62" s="699"/>
      <c r="AB62" s="699"/>
      <c r="AC62" s="151"/>
      <c r="AD62" s="699"/>
      <c r="AE62" s="49"/>
      <c r="AF62" s="49"/>
      <c r="AG62" s="49"/>
      <c r="AH62" s="49"/>
      <c r="AI62" s="49"/>
      <c r="AJ62" s="49"/>
      <c r="AK62" s="49"/>
      <c r="AL62" s="49"/>
      <c r="AM62" s="49"/>
      <c r="AN62" s="49"/>
      <c r="AO62" s="49"/>
      <c r="AP62" s="49"/>
      <c r="AQ62" s="49"/>
      <c r="AR62" s="49"/>
      <c r="AS62" s="49"/>
      <c r="AT62" s="49"/>
      <c r="AU62" s="49"/>
      <c r="AV62" s="49"/>
      <c r="AW62" s="49"/>
      <c r="AX62" s="49"/>
      <c r="AY62" s="49"/>
      <c r="AZ62" s="49"/>
      <c r="BA62" s="49"/>
      <c r="BB62" s="49"/>
      <c r="BC62" s="49"/>
      <c r="BD62" s="49"/>
      <c r="BE62" s="49"/>
      <c r="BF62" s="49"/>
      <c r="BG62" s="49"/>
      <c r="BH62" s="49"/>
      <c r="BI62" s="49"/>
      <c r="BJ62" s="49"/>
      <c r="BK62" s="49"/>
      <c r="BL62" s="49"/>
      <c r="BM62" s="49"/>
      <c r="BN62" s="49"/>
    </row>
    <row r="63" spans="1:66">
      <c r="A63" s="699"/>
      <c r="B63" s="699" t="s">
        <v>1139</v>
      </c>
      <c r="C63" s="699"/>
      <c r="D63" s="699"/>
      <c r="E63" s="699"/>
      <c r="F63" s="1085">
        <f ca="1">+F68*Assumptions!$N$93</f>
        <v>0</v>
      </c>
      <c r="G63" s="1085">
        <f ca="1">+G68*Assumptions!$N$93</f>
        <v>0</v>
      </c>
      <c r="H63" s="1085">
        <f ca="1">+H68*Assumptions!$N$93</f>
        <v>0</v>
      </c>
      <c r="I63" s="1085">
        <f ca="1">+I68*Assumptions!$N$93</f>
        <v>0</v>
      </c>
      <c r="J63" s="1085">
        <f ca="1">+J68*Assumptions!$N$93</f>
        <v>445164.10079318355</v>
      </c>
      <c r="K63" s="1085">
        <f ca="1">+K68*Assumptions!$N$93</f>
        <v>905062.25711448118</v>
      </c>
      <c r="L63" s="1085">
        <f ca="1">+L68*Assumptions!$N$93</f>
        <v>920238.33430843882</v>
      </c>
      <c r="M63" s="1085">
        <f ca="1">+M68*Assumptions!$N$93</f>
        <v>947845.48433769215</v>
      </c>
      <c r="N63" s="1085">
        <f ca="1">+N68*Assumptions!$N$93</f>
        <v>963945.78463276173</v>
      </c>
      <c r="O63" s="1085">
        <f ca="1">+O68*Assumptions!$N$93</f>
        <v>980529.09393668361</v>
      </c>
      <c r="P63" s="1085">
        <f ca="1">+P68*Assumptions!$N$93</f>
        <v>1009944.966754784</v>
      </c>
      <c r="Q63" s="1085">
        <f ca="1">+Q68*Assumptions!$N$93</f>
        <v>1027538.1995953146</v>
      </c>
      <c r="R63" s="1085">
        <f ca="1">+R68*Assumptions!$N$93</f>
        <v>1045659.229421061</v>
      </c>
      <c r="S63" s="1085">
        <f ca="1">+S68*Assumptions!$N$93</f>
        <v>1077029.0063036929</v>
      </c>
      <c r="T63" s="1085">
        <f ca="1">+T68*Assumptions!$N$93</f>
        <v>1096253.6068458275</v>
      </c>
      <c r="U63" s="1085">
        <f ca="1">+U68*Assumptions!$N$93</f>
        <v>1116054.945404226</v>
      </c>
      <c r="V63" s="1085">
        <f ca="1">+V68*Assumptions!$N$93</f>
        <v>1149536.5937663529</v>
      </c>
      <c r="W63" s="1085">
        <f ca="1">+W68*Assumptions!$N$93</f>
        <v>1170543.8338429579</v>
      </c>
      <c r="X63" s="1085">
        <f ca="1">+X68*Assumptions!$N$93</f>
        <v>1192181.2911218607</v>
      </c>
      <c r="Y63" s="1085">
        <f ca="1">+Y68*Assumptions!$N$93</f>
        <v>1227946.7298555167</v>
      </c>
      <c r="Z63" s="1085">
        <f ca="1">+Z68*Assumptions!$N$93</f>
        <v>1250901.9082827051</v>
      </c>
      <c r="AA63" s="699"/>
      <c r="AB63" s="699"/>
      <c r="AC63" s="151"/>
      <c r="AD63" s="699"/>
      <c r="AE63" s="49"/>
      <c r="AF63" s="49"/>
      <c r="AG63" s="49"/>
      <c r="AH63" s="49"/>
      <c r="AI63" s="49"/>
      <c r="AJ63" s="49"/>
      <c r="AK63" s="49"/>
      <c r="AL63" s="49"/>
      <c r="AM63" s="49" t="s">
        <v>1132</v>
      </c>
      <c r="AN63" s="49"/>
      <c r="AO63" s="49"/>
      <c r="AP63" s="49"/>
      <c r="AQ63" s="83">
        <f>+AQ52*Assumptions!$AE$263*AQ56</f>
        <v>0</v>
      </c>
      <c r="AR63" s="83">
        <f>+AR52*Assumptions!$AE$263*AR56</f>
        <v>0</v>
      </c>
      <c r="AS63" s="83">
        <f>+AS52*Assumptions!$AE$263*AS56</f>
        <v>0</v>
      </c>
      <c r="AT63" s="83">
        <f>+AT52*Assumptions!$AE$263*AT56</f>
        <v>0</v>
      </c>
      <c r="AU63" s="83">
        <f>+AU52*Assumptions!$AE$263*AU56</f>
        <v>0</v>
      </c>
      <c r="AV63" s="83">
        <f>+AV52*Assumptions!$AE$263*AV56</f>
        <v>0</v>
      </c>
      <c r="AW63" s="83">
        <f>+AW52*Assumptions!$AE$263*AW56</f>
        <v>0</v>
      </c>
      <c r="AX63" s="83">
        <f>+AX52*Assumptions!$AE$263*AX56</f>
        <v>0</v>
      </c>
      <c r="AY63" s="83">
        <f>+AY52*Assumptions!$AE$263*AY56</f>
        <v>0</v>
      </c>
      <c r="AZ63" s="83">
        <f>+AZ52*Assumptions!$AE$263*AZ56</f>
        <v>0</v>
      </c>
      <c r="BA63" s="83">
        <f>+BA52*Assumptions!$AE$263*BA56</f>
        <v>0</v>
      </c>
      <c r="BB63" s="83">
        <f>+BB52*Assumptions!$AE$263*BB56</f>
        <v>0</v>
      </c>
      <c r="BC63" s="83">
        <f>+BC52*Assumptions!$AE$263*BC56</f>
        <v>0</v>
      </c>
      <c r="BD63" s="83">
        <f>+BD52*Assumptions!$AE$263*BD56</f>
        <v>0</v>
      </c>
      <c r="BE63" s="83">
        <f>+BE52*Assumptions!$AE$263*BE56</f>
        <v>0</v>
      </c>
      <c r="BF63" s="83">
        <f>+BF52*Assumptions!$AE$263*BF56</f>
        <v>0</v>
      </c>
      <c r="BG63" s="83">
        <f>+BG52*Assumptions!$AE$263*BG56</f>
        <v>0</v>
      </c>
      <c r="BH63" s="83">
        <f>+BH52*Assumptions!$AE$263*BH56</f>
        <v>0</v>
      </c>
      <c r="BI63" s="83">
        <f>+BI52*Assumptions!$AE$263*BI56</f>
        <v>0</v>
      </c>
      <c r="BJ63" s="83">
        <f>+BJ52*Assumptions!$AE$263*BJ56</f>
        <v>0</v>
      </c>
      <c r="BK63" s="83">
        <f>+BK52*Assumptions!$AE$263*BK56</f>
        <v>0</v>
      </c>
      <c r="BL63" s="49"/>
      <c r="BM63" s="49"/>
      <c r="BN63" s="49"/>
    </row>
    <row r="64" spans="1:66">
      <c r="A64" s="699"/>
      <c r="B64" s="52" t="s">
        <v>1131</v>
      </c>
      <c r="C64" s="1052"/>
      <c r="D64" s="1052"/>
      <c r="E64" s="1052"/>
      <c r="F64" s="1086">
        <f ca="1">SUM(F61:F63)</f>
        <v>0</v>
      </c>
      <c r="G64" s="1086">
        <f t="shared" ref="G64" ca="1" si="131">SUM(G61:G63)</f>
        <v>0</v>
      </c>
      <c r="H64" s="1086">
        <f t="shared" ref="H64" ca="1" si="132">SUM(H61:H63)</f>
        <v>0</v>
      </c>
      <c r="I64" s="1086">
        <f t="shared" ref="I64" ca="1" si="133">SUM(I61:I63)</f>
        <v>0</v>
      </c>
      <c r="J64" s="1086">
        <f t="shared" ref="J64" ca="1" si="134">SUM(J61:J63)</f>
        <v>1541443.4477454966</v>
      </c>
      <c r="K64" s="1086">
        <f t="shared" ref="K64" ca="1" si="135">SUM(K61:K63)</f>
        <v>3097620.9510191074</v>
      </c>
      <c r="L64" s="1086">
        <f t="shared" ref="L64" ca="1" si="136">SUM(L61:L63)</f>
        <v>3112797.0282130651</v>
      </c>
      <c r="M64" s="1086">
        <f t="shared" ref="M64" ca="1" si="137">SUM(M61:M63)</f>
        <v>3469287.9823280121</v>
      </c>
      <c r="N64" s="1086">
        <f t="shared" ref="N64" ca="1" si="138">SUM(N61:N63)</f>
        <v>3485388.2826230815</v>
      </c>
      <c r="O64" s="1086">
        <f t="shared" ref="O64" ca="1" si="139">SUM(O61:O63)</f>
        <v>3501971.5919270036</v>
      </c>
      <c r="P64" s="1086">
        <f t="shared" ref="P64" ca="1" si="140">SUM(P61:P63)</f>
        <v>3531387.4647451038</v>
      </c>
      <c r="Q64" s="1086">
        <f t="shared" ref="Q64" ca="1" si="141">SUM(Q61:Q63)</f>
        <v>3548980.6975856344</v>
      </c>
      <c r="R64" s="1086">
        <f t="shared" ref="R64" ca="1" si="142">SUM(R61:R63)</f>
        <v>3945318.1021099286</v>
      </c>
      <c r="S64" s="1086">
        <f t="shared" ref="S64" ca="1" si="143">SUM(S61:S63)</f>
        <v>3976687.8789925603</v>
      </c>
      <c r="T64" s="1086">
        <f t="shared" ref="T64" ca="1" si="144">SUM(T61:T63)</f>
        <v>3995912.4795346949</v>
      </c>
      <c r="U64" s="1086">
        <f t="shared" ref="U64" ca="1" si="145">SUM(U61:U63)</f>
        <v>4015713.8180930936</v>
      </c>
      <c r="V64" s="1086">
        <f t="shared" ref="V64" ca="1" si="146">SUM(V61:V63)</f>
        <v>4049195.4664552202</v>
      </c>
      <c r="W64" s="1086">
        <f t="shared" ref="W64" ca="1" si="147">SUM(W61:W63)</f>
        <v>4505151.5374351554</v>
      </c>
      <c r="X64" s="1086">
        <f t="shared" ref="X64" ca="1" si="148">SUM(X61:X63)</f>
        <v>4526788.994714058</v>
      </c>
      <c r="Y64" s="1086">
        <f t="shared" ref="Y64" ca="1" si="149">SUM(Y61:Y63)</f>
        <v>4562554.433447714</v>
      </c>
      <c r="Z64" s="1086">
        <f t="shared" ref="Z64" ca="1" si="150">SUM(Z61:Z63)</f>
        <v>4585509.6118749026</v>
      </c>
      <c r="AA64" s="699"/>
      <c r="AB64" s="699"/>
      <c r="AC64" s="151"/>
      <c r="AD64" s="699"/>
      <c r="AE64" s="49"/>
      <c r="AF64" s="49"/>
      <c r="AG64" s="49"/>
      <c r="AH64" s="49"/>
      <c r="AI64" s="49"/>
      <c r="AJ64" s="49"/>
      <c r="AK64" s="49"/>
      <c r="AL64" s="49"/>
      <c r="AM64" s="49" t="s">
        <v>1133</v>
      </c>
      <c r="AN64" s="49"/>
      <c r="AO64" s="49"/>
      <c r="AP64" s="49"/>
      <c r="AQ64" s="253">
        <f ca="1">+IFERROR(INDEX('Taxes and TIF'!$M$11:$M$45,MATCH('Phase 1 Pro Forma'!F$7,'Taxes and TIF'!$B$11:$B$45,0)),0)*'Loan Sizing'!$I$32*'Phase 1 Pro Forma'!AQ53</f>
        <v>0</v>
      </c>
      <c r="AR64" s="253">
        <f ca="1">+IFERROR(INDEX('Taxes and TIF'!$M$11:$M$45,MATCH('Phase 1 Pro Forma'!G$7,'Taxes and TIF'!$B$11:$B$45,0)),0)*'Loan Sizing'!$I$32*'Phase 1 Pro Forma'!AR53</f>
        <v>0</v>
      </c>
      <c r="AS64" s="253">
        <f ca="1">+IFERROR(INDEX('Taxes and TIF'!$M$11:$M$45,MATCH('Phase 1 Pro Forma'!H$7,'Taxes and TIF'!$B$11:$B$45,0)),0)*'Loan Sizing'!$I$32*'Phase 1 Pro Forma'!AS53</f>
        <v>0</v>
      </c>
      <c r="AT64" s="253">
        <f ca="1">+IFERROR(INDEX('Taxes and TIF'!$M$11:$M$45,MATCH('Phase 1 Pro Forma'!I$7,'Taxes and TIF'!$B$11:$B$45,0)),0)*'Loan Sizing'!$I$32*'Phase 1 Pro Forma'!AT53</f>
        <v>0</v>
      </c>
      <c r="AU64" s="253">
        <f ca="1">+IFERROR(INDEX('Taxes and TIF'!$M$11:$M$45,MATCH('Phase 1 Pro Forma'!J$7,'Taxes and TIF'!$B$11:$B$45,0)),0)*'Loan Sizing'!$I$32*'Phase 1 Pro Forma'!AU53</f>
        <v>0</v>
      </c>
      <c r="AV64" s="253">
        <f ca="1">+IFERROR(INDEX('Taxes and TIF'!$M$11:$M$45,MATCH('Phase 1 Pro Forma'!K$7,'Taxes and TIF'!$B$11:$B$45,0)),0)*'Loan Sizing'!$I$32*'Phase 1 Pro Forma'!AV53</f>
        <v>0</v>
      </c>
      <c r="AW64" s="253">
        <f ca="1">+IFERROR(INDEX('Taxes and TIF'!$M$11:$M$45,MATCH('Phase 1 Pro Forma'!L$7,'Taxes and TIF'!$B$11:$B$45,0)),0)*'Loan Sizing'!$I$32*'Phase 1 Pro Forma'!AW53</f>
        <v>0</v>
      </c>
      <c r="AX64" s="253">
        <f ca="1">+IFERROR(INDEX('Taxes and TIF'!$M$11:$M$45,MATCH('Phase 1 Pro Forma'!M$7,'Taxes and TIF'!$B$11:$B$45,0)),0)*'Loan Sizing'!$I$32*'Phase 1 Pro Forma'!AX53</f>
        <v>0</v>
      </c>
      <c r="AY64" s="253">
        <f ca="1">+IFERROR(INDEX('Taxes and TIF'!$M$11:$M$45,MATCH('Phase 1 Pro Forma'!N$7,'Taxes and TIF'!$B$11:$B$45,0)),0)*'Loan Sizing'!$I$32*'Phase 1 Pro Forma'!AY53</f>
        <v>0</v>
      </c>
      <c r="AZ64" s="253">
        <f ca="1">+IFERROR(INDEX('Taxes and TIF'!$M$11:$M$45,MATCH('Phase 1 Pro Forma'!O$7,'Taxes and TIF'!$B$11:$B$45,0)),0)*'Loan Sizing'!$I$32*'Phase 1 Pro Forma'!AZ53</f>
        <v>0</v>
      </c>
      <c r="BA64" s="253">
        <f ca="1">+IFERROR(INDEX('Taxes and TIF'!$M$11:$M$45,MATCH('Phase 1 Pro Forma'!P$7,'Taxes and TIF'!$B$11:$B$45,0)),0)*'Loan Sizing'!$I$32*'Phase 1 Pro Forma'!BA53</f>
        <v>0</v>
      </c>
      <c r="BB64" s="253">
        <f ca="1">+IFERROR(INDEX('Taxes and TIF'!$M$11:$M$45,MATCH('Phase 1 Pro Forma'!Q$7,'Taxes and TIF'!$B$11:$B$45,0)),0)*'Loan Sizing'!$I$32*'Phase 1 Pro Forma'!BB53</f>
        <v>0</v>
      </c>
      <c r="BC64" s="253">
        <f ca="1">+IFERROR(INDEX('Taxes and TIF'!$M$11:$M$45,MATCH('Phase 1 Pro Forma'!R$7,'Taxes and TIF'!$B$11:$B$45,0)),0)*'Loan Sizing'!$I$32*'Phase 1 Pro Forma'!BC53</f>
        <v>0</v>
      </c>
      <c r="BD64" s="253">
        <f ca="1">+IFERROR(INDEX('Taxes and TIF'!$M$11:$M$45,MATCH('Phase 1 Pro Forma'!S$7,'Taxes and TIF'!$B$11:$B$45,0)),0)*'Loan Sizing'!$I$32*'Phase 1 Pro Forma'!BD53</f>
        <v>0</v>
      </c>
      <c r="BE64" s="253">
        <f ca="1">+IFERROR(INDEX('Taxes and TIF'!$M$11:$M$45,MATCH('Phase 1 Pro Forma'!T$7,'Taxes and TIF'!$B$11:$B$45,0)),0)*'Loan Sizing'!$I$32*'Phase 1 Pro Forma'!BE53</f>
        <v>0</v>
      </c>
      <c r="BF64" s="253">
        <f ca="1">+IFERROR(INDEX('Taxes and TIF'!$M$11:$M$45,MATCH('Phase 1 Pro Forma'!U$7,'Taxes and TIF'!$B$11:$B$45,0)),0)*'Loan Sizing'!$I$32*'Phase 1 Pro Forma'!BF53</f>
        <v>0</v>
      </c>
      <c r="BG64" s="253">
        <f ca="1">+IFERROR(INDEX('Taxes and TIF'!$M$11:$M$45,MATCH('Phase 1 Pro Forma'!V$7,'Taxes and TIF'!$B$11:$B$45,0)),0)*'Loan Sizing'!$I$32*'Phase 1 Pro Forma'!BG53</f>
        <v>0</v>
      </c>
      <c r="BH64" s="253">
        <f ca="1">+IFERROR(INDEX('Taxes and TIF'!$M$11:$M$45,MATCH('Phase 1 Pro Forma'!W$7,'Taxes and TIF'!$B$11:$B$45,0)),0)*'Loan Sizing'!$I$32*'Phase 1 Pro Forma'!BH53</f>
        <v>0</v>
      </c>
      <c r="BI64" s="253">
        <f ca="1">+IFERROR(INDEX('Taxes and TIF'!$M$11:$M$45,MATCH('Phase 1 Pro Forma'!X$7,'Taxes and TIF'!$B$11:$B$45,0)),0)*'Loan Sizing'!$I$32*'Phase 1 Pro Forma'!BI53</f>
        <v>0</v>
      </c>
      <c r="BJ64" s="253">
        <f ca="1">+IFERROR(INDEX('Taxes and TIF'!$M$11:$M$45,MATCH('Phase 1 Pro Forma'!Y$7,'Taxes and TIF'!$B$11:$B$45,0)),0)*'Loan Sizing'!$I$32*'Phase 1 Pro Forma'!BJ53</f>
        <v>0</v>
      </c>
      <c r="BK64" s="253">
        <f ca="1">+IFERROR(INDEX('Taxes and TIF'!$M$11:$M$45,MATCH('Phase 1 Pro Forma'!Z$7,'Taxes and TIF'!$B$11:$B$45,0)),0)*'Loan Sizing'!$I$32*'Phase 1 Pro Forma'!BK53</f>
        <v>0</v>
      </c>
      <c r="BL64" s="49"/>
      <c r="BM64" s="49"/>
      <c r="BN64" s="49"/>
    </row>
    <row r="65" spans="1:66">
      <c r="A65" s="699"/>
      <c r="B65" s="49"/>
      <c r="C65" s="699"/>
      <c r="D65" s="699"/>
      <c r="E65" s="699"/>
      <c r="F65" s="699"/>
      <c r="G65" s="699"/>
      <c r="H65" s="699"/>
      <c r="I65" s="699"/>
      <c r="J65" s="699"/>
      <c r="K65" s="699"/>
      <c r="L65" s="699"/>
      <c r="M65" s="699"/>
      <c r="N65" s="699"/>
      <c r="O65" s="699"/>
      <c r="P65" s="699"/>
      <c r="Q65" s="699"/>
      <c r="R65" s="699"/>
      <c r="S65" s="699"/>
      <c r="T65" s="699"/>
      <c r="U65" s="699"/>
      <c r="V65" s="699"/>
      <c r="W65" s="699"/>
      <c r="X65" s="699"/>
      <c r="Y65" s="699"/>
      <c r="Z65" s="699"/>
      <c r="AA65" s="699"/>
      <c r="AB65" s="699"/>
      <c r="AC65" s="151"/>
      <c r="AD65" s="699"/>
      <c r="AE65" s="49"/>
      <c r="AF65" s="49"/>
      <c r="AG65" s="49"/>
      <c r="AH65" s="49"/>
      <c r="AI65" s="49"/>
      <c r="AJ65" s="49"/>
      <c r="AK65" s="49"/>
      <c r="AL65" s="49"/>
      <c r="AM65" s="49" t="s">
        <v>1134</v>
      </c>
      <c r="AN65" s="49"/>
      <c r="AO65" s="49"/>
      <c r="AP65" s="49"/>
      <c r="AQ65" s="83">
        <f ca="1">+SUM(AQ63:AQ64)</f>
        <v>0</v>
      </c>
      <c r="AR65" s="83">
        <f t="shared" ref="AR65:BK65" ca="1" si="151">+SUM(AR63:AR64)</f>
        <v>0</v>
      </c>
      <c r="AS65" s="83">
        <f t="shared" ca="1" si="151"/>
        <v>0</v>
      </c>
      <c r="AT65" s="83">
        <f t="shared" ca="1" si="151"/>
        <v>0</v>
      </c>
      <c r="AU65" s="83">
        <f t="shared" ca="1" si="151"/>
        <v>0</v>
      </c>
      <c r="AV65" s="83">
        <f t="shared" ca="1" si="151"/>
        <v>0</v>
      </c>
      <c r="AW65" s="83">
        <f t="shared" ca="1" si="151"/>
        <v>0</v>
      </c>
      <c r="AX65" s="83">
        <f t="shared" ca="1" si="151"/>
        <v>0</v>
      </c>
      <c r="AY65" s="83">
        <f t="shared" ca="1" si="151"/>
        <v>0</v>
      </c>
      <c r="AZ65" s="83">
        <f t="shared" ca="1" si="151"/>
        <v>0</v>
      </c>
      <c r="BA65" s="83">
        <f t="shared" ca="1" si="151"/>
        <v>0</v>
      </c>
      <c r="BB65" s="83">
        <f t="shared" ca="1" si="151"/>
        <v>0</v>
      </c>
      <c r="BC65" s="83">
        <f t="shared" ca="1" si="151"/>
        <v>0</v>
      </c>
      <c r="BD65" s="83">
        <f t="shared" ca="1" si="151"/>
        <v>0</v>
      </c>
      <c r="BE65" s="83">
        <f t="shared" ca="1" si="151"/>
        <v>0</v>
      </c>
      <c r="BF65" s="83">
        <f t="shared" ca="1" si="151"/>
        <v>0</v>
      </c>
      <c r="BG65" s="83">
        <f t="shared" ca="1" si="151"/>
        <v>0</v>
      </c>
      <c r="BH65" s="83">
        <f t="shared" ca="1" si="151"/>
        <v>0</v>
      </c>
      <c r="BI65" s="83">
        <f t="shared" ca="1" si="151"/>
        <v>0</v>
      </c>
      <c r="BJ65" s="83">
        <f t="shared" ca="1" si="151"/>
        <v>0</v>
      </c>
      <c r="BK65" s="83">
        <f t="shared" ca="1" si="151"/>
        <v>0</v>
      </c>
      <c r="BL65" s="49"/>
      <c r="BM65" s="49"/>
      <c r="BN65" s="49"/>
    </row>
    <row r="66" spans="1:66">
      <c r="A66" s="699"/>
      <c r="B66" s="699" t="s">
        <v>1132</v>
      </c>
      <c r="C66" s="699"/>
      <c r="D66" s="699"/>
      <c r="E66" s="699"/>
      <c r="F66" s="1087">
        <f>+F55*Assumptions!$N$106*F59</f>
        <v>0</v>
      </c>
      <c r="G66" s="1087">
        <f>+G55*Assumptions!$N$106*G59</f>
        <v>0</v>
      </c>
      <c r="H66" s="1087">
        <f>+H55*Assumptions!$N$106*H59</f>
        <v>0</v>
      </c>
      <c r="I66" s="1087">
        <f>+I55*Assumptions!$N$106*I59</f>
        <v>0</v>
      </c>
      <c r="J66" s="1087">
        <f>+J55*Assumptions!$N$106*J59</f>
        <v>272852.88015026256</v>
      </c>
      <c r="K66" s="1087">
        <f>+K55*Assumptions!$N$106*K59</f>
        <v>562076.93310954073</v>
      </c>
      <c r="L66" s="1087">
        <f>+L55*Assumptions!$N$106*L59</f>
        <v>578939.24110282701</v>
      </c>
      <c r="M66" s="1087">
        <f>+M55*Assumptions!$N$106*M59</f>
        <v>596307.41833591193</v>
      </c>
      <c r="N66" s="1087">
        <f>+N55*Assumptions!$N$106*N59</f>
        <v>614196.6408859893</v>
      </c>
      <c r="O66" s="1087">
        <f>+O55*Assumptions!$N$106*O59</f>
        <v>632622.540112569</v>
      </c>
      <c r="P66" s="1087">
        <f>+P55*Assumptions!$N$106*P59</f>
        <v>651601.21631594608</v>
      </c>
      <c r="Q66" s="1087">
        <f>+Q55*Assumptions!$N$106*Q59</f>
        <v>671149.25280542439</v>
      </c>
      <c r="R66" s="1087">
        <f>+R55*Assumptions!$N$106*R59</f>
        <v>691283.73038958712</v>
      </c>
      <c r="S66" s="1087">
        <f>+S55*Assumptions!$N$106*S59</f>
        <v>712022.24230127479</v>
      </c>
      <c r="T66" s="1087">
        <f>+T55*Assumptions!$N$106*T59</f>
        <v>733382.90957031318</v>
      </c>
      <c r="U66" s="1087">
        <f>+U55*Assumptions!$N$106*U59</f>
        <v>755384.39685742254</v>
      </c>
      <c r="V66" s="1087">
        <f>+V55*Assumptions!$N$106*V59</f>
        <v>778045.92876314535</v>
      </c>
      <c r="W66" s="1087">
        <f>+W55*Assumptions!$N$106*W59</f>
        <v>801387.30662603967</v>
      </c>
      <c r="X66" s="1087">
        <f>+X55*Assumptions!$N$106*X59</f>
        <v>825428.92582482088</v>
      </c>
      <c r="Y66" s="1087">
        <f>+Y55*Assumptions!$N$106*Y59</f>
        <v>850191.79359956551</v>
      </c>
      <c r="Z66" s="1087">
        <f>+Z55*Assumptions!$N$106*Z59</f>
        <v>875697.5474075526</v>
      </c>
      <c r="AA66" s="699"/>
      <c r="AB66" s="699"/>
      <c r="AC66" s="151"/>
      <c r="AD66" s="699"/>
      <c r="AE66" s="49"/>
      <c r="AF66" s="49"/>
      <c r="AG66" s="49"/>
      <c r="AH66" s="49"/>
      <c r="AI66" s="49"/>
      <c r="AJ66" s="49"/>
      <c r="AK66" s="49"/>
      <c r="AL66" s="49"/>
      <c r="AM66" s="49"/>
      <c r="AN66" s="49"/>
      <c r="AO66" s="49"/>
      <c r="AP66" s="49"/>
      <c r="AQ66" s="49"/>
      <c r="AR66" s="49"/>
      <c r="AS66" s="49"/>
      <c r="AT66" s="49"/>
      <c r="AU66" s="49"/>
      <c r="AV66" s="49"/>
      <c r="AW66" s="49"/>
      <c r="AX66" s="49"/>
      <c r="AY66" s="49"/>
      <c r="AZ66" s="49"/>
      <c r="BA66" s="49"/>
      <c r="BB66" s="49"/>
      <c r="BC66" s="49"/>
      <c r="BD66" s="49"/>
      <c r="BE66" s="49"/>
      <c r="BF66" s="49"/>
      <c r="BG66" s="49"/>
      <c r="BH66" s="49"/>
      <c r="BI66" s="49"/>
      <c r="BJ66" s="49"/>
      <c r="BK66" s="49"/>
      <c r="BL66" s="49"/>
      <c r="BM66" s="49"/>
      <c r="BN66" s="49"/>
    </row>
    <row r="67" spans="1:66" ht="15.75">
      <c r="A67" s="699"/>
      <c r="B67" s="699" t="s">
        <v>1133</v>
      </c>
      <c r="C67" s="699"/>
      <c r="D67" s="699"/>
      <c r="E67" s="699"/>
      <c r="F67" s="1050">
        <f ca="1">+IFERROR(INDEX('Taxes and TIF'!$M$11:$M$45,MATCH('Phase 1 Pro Forma'!F$7,'Taxes and TIF'!$B$11:$B$45,0)),0)*'Loan Sizing'!$I$26*'Phase 1 Pro Forma'!F56</f>
        <v>0</v>
      </c>
      <c r="G67" s="1050">
        <f ca="1">+IFERROR(INDEX('Taxes and TIF'!$M$11:$M$45,MATCH('Phase 1 Pro Forma'!G$7,'Taxes and TIF'!$B$11:$B$45,0)),0)*'Loan Sizing'!$I$26*'Phase 1 Pro Forma'!G56</f>
        <v>0</v>
      </c>
      <c r="H67" s="1050">
        <f ca="1">+IFERROR(INDEX('Taxes and TIF'!$M$11:$M$45,MATCH('Phase 1 Pro Forma'!H$7,'Taxes and TIF'!$B$11:$B$45,0)),0)*'Loan Sizing'!$I$26*'Phase 1 Pro Forma'!H56</f>
        <v>0</v>
      </c>
      <c r="I67" s="1050">
        <f ca="1">+IFERROR(INDEX('Taxes and TIF'!$M$11:$M$45,MATCH('Phase 1 Pro Forma'!I$7,'Taxes and TIF'!$B$11:$B$45,0)),0)*'Loan Sizing'!$I$26*'Phase 1 Pro Forma'!I56</f>
        <v>0</v>
      </c>
      <c r="J67" s="1050">
        <f ca="1">+IFERROR(INDEX('Taxes and TIF'!$M$11:$M$45,MATCH('Phase 1 Pro Forma'!J$7,'Taxes and TIF'!$B$11:$B$45,0)),0)*'Loan Sizing'!$I$26*'Phase 1 Pro Forma'!J56</f>
        <v>221773.89850883032</v>
      </c>
      <c r="K67" s="1050">
        <f ca="1">+IFERROR(INDEX('Taxes and TIF'!$M$11:$M$45,MATCH('Phase 1 Pro Forma'!K$7,'Taxes and TIF'!$B$11:$B$45,0)),0)*'Loan Sizing'!$I$26*'Phase 1 Pro Forma'!K56</f>
        <v>443547.79701766063</v>
      </c>
      <c r="L67" s="1050">
        <f ca="1">+IFERROR(INDEX('Taxes and TIF'!$M$11:$M$45,MATCH('Phase 1 Pro Forma'!L$7,'Taxes and TIF'!$B$11:$B$45,0)),0)*'Loan Sizing'!$I$26*'Phase 1 Pro Forma'!L56</f>
        <v>443547.79701766063</v>
      </c>
      <c r="M67" s="1050">
        <f ca="1">+IFERROR(INDEX('Taxes and TIF'!$M$11:$M$45,MATCH('Phase 1 Pro Forma'!M$7,'Taxes and TIF'!$B$11:$B$45,0)),0)*'Loan Sizing'!$I$26*'Phase 1 Pro Forma'!M56</f>
        <v>456854.23092819052</v>
      </c>
      <c r="N67" s="1050">
        <f ca="1">+IFERROR(INDEX('Taxes and TIF'!$M$11:$M$45,MATCH('Phase 1 Pro Forma'!N$7,'Taxes and TIF'!$B$11:$B$45,0)),0)*'Loan Sizing'!$I$26*'Phase 1 Pro Forma'!N56</f>
        <v>456854.23092819052</v>
      </c>
      <c r="O67" s="1050">
        <f ca="1">+IFERROR(INDEX('Taxes and TIF'!$M$11:$M$45,MATCH('Phase 1 Pro Forma'!O$7,'Taxes and TIF'!$B$11:$B$45,0)),0)*'Loan Sizing'!$I$26*'Phase 1 Pro Forma'!O56</f>
        <v>456854.23092819052</v>
      </c>
      <c r="P67" s="1050">
        <f ca="1">+IFERROR(INDEX('Taxes and TIF'!$M$11:$M$45,MATCH('Phase 1 Pro Forma'!P$7,'Taxes and TIF'!$B$11:$B$45,0)),0)*'Loan Sizing'!$I$26*'Phase 1 Pro Forma'!P56</f>
        <v>470559.85785603628</v>
      </c>
      <c r="Q67" s="1050">
        <f ca="1">+IFERROR(INDEX('Taxes and TIF'!$M$11:$M$45,MATCH('Phase 1 Pro Forma'!Q$7,'Taxes and TIF'!$B$11:$B$45,0)),0)*'Loan Sizing'!$I$26*'Phase 1 Pro Forma'!Q56</f>
        <v>470559.85785603628</v>
      </c>
      <c r="R67" s="1050">
        <f ca="1">+IFERROR(INDEX('Taxes and TIF'!$M$11:$M$45,MATCH('Phase 1 Pro Forma'!R$7,'Taxes and TIF'!$B$11:$B$45,0)),0)*'Loan Sizing'!$I$26*'Phase 1 Pro Forma'!R56</f>
        <v>470559.85785603628</v>
      </c>
      <c r="S67" s="1050">
        <f ca="1">+IFERROR(INDEX('Taxes and TIF'!$M$11:$M$45,MATCH('Phase 1 Pro Forma'!S$7,'Taxes and TIF'!$B$11:$B$45,0)),0)*'Loan Sizing'!$I$26*'Phase 1 Pro Forma'!S56</f>
        <v>484676.65359171742</v>
      </c>
      <c r="T67" s="1050">
        <f ca="1">+IFERROR(INDEX('Taxes and TIF'!$M$11:$M$45,MATCH('Phase 1 Pro Forma'!T$7,'Taxes and TIF'!$B$11:$B$45,0)),0)*'Loan Sizing'!$I$26*'Phase 1 Pro Forma'!T56</f>
        <v>484676.65359171742</v>
      </c>
      <c r="U67" s="1050">
        <f ca="1">+IFERROR(INDEX('Taxes and TIF'!$M$11:$M$45,MATCH('Phase 1 Pro Forma'!U$7,'Taxes and TIF'!$B$11:$B$45,0)),0)*'Loan Sizing'!$I$26*'Phase 1 Pro Forma'!U56</f>
        <v>484676.65359171742</v>
      </c>
      <c r="V67" s="1050">
        <f ca="1">+IFERROR(INDEX('Taxes and TIF'!$M$11:$M$45,MATCH('Phase 1 Pro Forma'!V$7,'Taxes and TIF'!$B$11:$B$45,0)),0)*'Loan Sizing'!$I$26*'Phase 1 Pro Forma'!V56</f>
        <v>499216.9531994689</v>
      </c>
      <c r="W67" s="1050">
        <f ca="1">+IFERROR(INDEX('Taxes and TIF'!$M$11:$M$45,MATCH('Phase 1 Pro Forma'!W$7,'Taxes and TIF'!$B$11:$B$45,0)),0)*'Loan Sizing'!$I$26*'Phase 1 Pro Forma'!W56</f>
        <v>499216.9531994689</v>
      </c>
      <c r="X67" s="1050">
        <f ca="1">+IFERROR(INDEX('Taxes and TIF'!$M$11:$M$45,MATCH('Phase 1 Pro Forma'!X$7,'Taxes and TIF'!$B$11:$B$45,0)),0)*'Loan Sizing'!$I$26*'Phase 1 Pro Forma'!X56</f>
        <v>499216.9531994689</v>
      </c>
      <c r="Y67" s="1050">
        <f ca="1">+IFERROR(INDEX('Taxes and TIF'!$M$11:$M$45,MATCH('Phase 1 Pro Forma'!Y$7,'Taxes and TIF'!$B$11:$B$45,0)),0)*'Loan Sizing'!$I$26*'Phase 1 Pro Forma'!Y56</f>
        <v>514193.46179545298</v>
      </c>
      <c r="Z67" s="1050">
        <f ca="1">+IFERROR(INDEX('Taxes and TIF'!$M$11:$M$45,MATCH('Phase 1 Pro Forma'!Z$7,'Taxes and TIF'!$B$11:$B$45,0)),0)*'Loan Sizing'!$I$26*'Phase 1 Pro Forma'!Z56</f>
        <v>514193.46179545298</v>
      </c>
      <c r="AA67" s="699"/>
      <c r="AB67" s="699"/>
      <c r="AC67" s="151"/>
      <c r="AD67" s="699"/>
      <c r="AE67" s="49"/>
      <c r="AF67" s="49"/>
      <c r="AG67" s="49"/>
      <c r="AH67" s="49"/>
      <c r="AI67" s="49"/>
      <c r="AJ67" s="49"/>
      <c r="AK67" s="49"/>
      <c r="AL67" s="49"/>
      <c r="AM67" s="81" t="s">
        <v>1135</v>
      </c>
      <c r="AN67" s="81"/>
      <c r="AO67" s="81"/>
      <c r="AP67" s="81"/>
      <c r="AQ67" s="94">
        <f ca="1">+AQ61-AQ65</f>
        <v>0</v>
      </c>
      <c r="AR67" s="94">
        <f t="shared" ref="AR67:BK67" ca="1" si="152">+AR61-AR65</f>
        <v>0</v>
      </c>
      <c r="AS67" s="94">
        <f t="shared" ca="1" si="152"/>
        <v>0</v>
      </c>
      <c r="AT67" s="94">
        <f t="shared" ca="1" si="152"/>
        <v>0</v>
      </c>
      <c r="AU67" s="94">
        <f t="shared" ca="1" si="152"/>
        <v>0</v>
      </c>
      <c r="AV67" s="94">
        <f t="shared" ca="1" si="152"/>
        <v>0</v>
      </c>
      <c r="AW67" s="94">
        <f t="shared" ca="1" si="152"/>
        <v>0</v>
      </c>
      <c r="AX67" s="94">
        <f t="shared" ca="1" si="152"/>
        <v>0</v>
      </c>
      <c r="AY67" s="94">
        <f t="shared" ca="1" si="152"/>
        <v>0</v>
      </c>
      <c r="AZ67" s="94">
        <f t="shared" ca="1" si="152"/>
        <v>0</v>
      </c>
      <c r="BA67" s="94">
        <f t="shared" ca="1" si="152"/>
        <v>0</v>
      </c>
      <c r="BB67" s="94">
        <f t="shared" ca="1" si="152"/>
        <v>0</v>
      </c>
      <c r="BC67" s="94">
        <f t="shared" ca="1" si="152"/>
        <v>0</v>
      </c>
      <c r="BD67" s="94">
        <f t="shared" ca="1" si="152"/>
        <v>0</v>
      </c>
      <c r="BE67" s="94">
        <f t="shared" ca="1" si="152"/>
        <v>0</v>
      </c>
      <c r="BF67" s="94">
        <f t="shared" ca="1" si="152"/>
        <v>0</v>
      </c>
      <c r="BG67" s="94">
        <f t="shared" ca="1" si="152"/>
        <v>0</v>
      </c>
      <c r="BH67" s="94">
        <f t="shared" ca="1" si="152"/>
        <v>0</v>
      </c>
      <c r="BI67" s="94">
        <f t="shared" ca="1" si="152"/>
        <v>0</v>
      </c>
      <c r="BJ67" s="94">
        <f t="shared" ca="1" si="152"/>
        <v>0</v>
      </c>
      <c r="BK67" s="94">
        <f t="shared" ca="1" si="152"/>
        <v>0</v>
      </c>
      <c r="BL67" s="49"/>
      <c r="BM67" s="49"/>
      <c r="BN67" s="49"/>
    </row>
    <row r="68" spans="1:66">
      <c r="A68" s="699"/>
      <c r="B68" s="52" t="s">
        <v>1134</v>
      </c>
      <c r="C68" s="1052"/>
      <c r="D68" s="1052"/>
      <c r="E68" s="1052"/>
      <c r="F68" s="1088">
        <f ca="1">+SUM(F66:F67)</f>
        <v>0</v>
      </c>
      <c r="G68" s="1088">
        <f t="shared" ref="G68" ca="1" si="153">+SUM(G66:G67)</f>
        <v>0</v>
      </c>
      <c r="H68" s="1088">
        <f t="shared" ref="H68" ca="1" si="154">+SUM(H66:H67)</f>
        <v>0</v>
      </c>
      <c r="I68" s="1088">
        <f t="shared" ref="I68" ca="1" si="155">+SUM(I66:I67)</f>
        <v>0</v>
      </c>
      <c r="J68" s="1088">
        <f t="shared" ref="J68" ca="1" si="156">+SUM(J66:J67)</f>
        <v>494626.77865909284</v>
      </c>
      <c r="K68" s="1088">
        <f t="shared" ref="K68" ca="1" si="157">+SUM(K66:K67)</f>
        <v>1005624.7301272014</v>
      </c>
      <c r="L68" s="1088">
        <f t="shared" ref="L68" ca="1" si="158">+SUM(L66:L67)</f>
        <v>1022487.0381204877</v>
      </c>
      <c r="M68" s="1088">
        <f t="shared" ref="M68" ca="1" si="159">+SUM(M66:M67)</f>
        <v>1053161.6492641023</v>
      </c>
      <c r="N68" s="1088">
        <f t="shared" ref="N68" ca="1" si="160">+SUM(N66:N67)</f>
        <v>1071050.8718141797</v>
      </c>
      <c r="O68" s="1088">
        <f t="shared" ref="O68" ca="1" si="161">+SUM(O66:O67)</f>
        <v>1089476.7710407595</v>
      </c>
      <c r="P68" s="1088">
        <f t="shared" ref="P68" ca="1" si="162">+SUM(P66:P67)</f>
        <v>1122161.0741719822</v>
      </c>
      <c r="Q68" s="1088">
        <f t="shared" ref="Q68" ca="1" si="163">+SUM(Q66:Q67)</f>
        <v>1141709.1106614606</v>
      </c>
      <c r="R68" s="1088">
        <f t="shared" ref="R68" ca="1" si="164">+SUM(R66:R67)</f>
        <v>1161843.5882456233</v>
      </c>
      <c r="S68" s="1088">
        <f t="shared" ref="S68" ca="1" si="165">+SUM(S66:S67)</f>
        <v>1196698.8958929922</v>
      </c>
      <c r="T68" s="1088">
        <f t="shared" ref="T68" ca="1" si="166">+SUM(T66:T67)</f>
        <v>1218059.5631620307</v>
      </c>
      <c r="U68" s="1088">
        <f t="shared" ref="U68" ca="1" si="167">+SUM(U66:U67)</f>
        <v>1240061.0504491399</v>
      </c>
      <c r="V68" s="1088">
        <f t="shared" ref="V68" ca="1" si="168">+SUM(V66:V67)</f>
        <v>1277262.8819626141</v>
      </c>
      <c r="W68" s="1088">
        <f t="shared" ref="W68" ca="1" si="169">+SUM(W66:W67)</f>
        <v>1300604.2598255086</v>
      </c>
      <c r="X68" s="1088">
        <f t="shared" ref="X68" ca="1" si="170">+SUM(X66:X67)</f>
        <v>1324645.8790242898</v>
      </c>
      <c r="Y68" s="1088">
        <f t="shared" ref="Y68" ca="1" si="171">+SUM(Y66:Y67)</f>
        <v>1364385.2553950185</v>
      </c>
      <c r="Z68" s="1088">
        <f t="shared" ref="Z68" ca="1" si="172">+SUM(Z66:Z67)</f>
        <v>1389891.0092030056</v>
      </c>
      <c r="AA68" s="699"/>
      <c r="AB68" s="699"/>
      <c r="AC68" s="151"/>
      <c r="AD68" s="699"/>
      <c r="AE68" s="49"/>
      <c r="AF68" s="49"/>
      <c r="AG68" s="49"/>
      <c r="AH68" s="49"/>
      <c r="AI68" s="49"/>
      <c r="AJ68" s="49"/>
      <c r="AK68" s="49"/>
      <c r="AL68" s="49"/>
      <c r="AM68" s="223" t="s">
        <v>1136</v>
      </c>
      <c r="AN68" s="223"/>
      <c r="AO68" s="223"/>
      <c r="AP68" s="223"/>
      <c r="AQ68" s="772" t="str">
        <f ca="1">+IFERROR(AQ67/AQ61,"")</f>
        <v/>
      </c>
      <c r="AR68" s="772" t="str">
        <f t="shared" ref="AR68:BK68" ca="1" si="173">+IFERROR(AR67/AR61,"")</f>
        <v/>
      </c>
      <c r="AS68" s="772" t="str">
        <f t="shared" ca="1" si="173"/>
        <v/>
      </c>
      <c r="AT68" s="772" t="str">
        <f t="shared" ca="1" si="173"/>
        <v/>
      </c>
      <c r="AU68" s="772" t="str">
        <f t="shared" ca="1" si="173"/>
        <v/>
      </c>
      <c r="AV68" s="772" t="str">
        <f t="shared" ca="1" si="173"/>
        <v/>
      </c>
      <c r="AW68" s="772" t="str">
        <f t="shared" ca="1" si="173"/>
        <v/>
      </c>
      <c r="AX68" s="772" t="str">
        <f t="shared" ca="1" si="173"/>
        <v/>
      </c>
      <c r="AY68" s="772" t="str">
        <f t="shared" ca="1" si="173"/>
        <v/>
      </c>
      <c r="AZ68" s="772" t="str">
        <f t="shared" ca="1" si="173"/>
        <v/>
      </c>
      <c r="BA68" s="772" t="str">
        <f t="shared" ca="1" si="173"/>
        <v/>
      </c>
      <c r="BB68" s="772" t="str">
        <f t="shared" ca="1" si="173"/>
        <v/>
      </c>
      <c r="BC68" s="772" t="str">
        <f t="shared" ca="1" si="173"/>
        <v/>
      </c>
      <c r="BD68" s="772" t="str">
        <f t="shared" ca="1" si="173"/>
        <v/>
      </c>
      <c r="BE68" s="772" t="str">
        <f t="shared" ca="1" si="173"/>
        <v/>
      </c>
      <c r="BF68" s="772" t="str">
        <f t="shared" ca="1" si="173"/>
        <v/>
      </c>
      <c r="BG68" s="772" t="str">
        <f t="shared" ca="1" si="173"/>
        <v/>
      </c>
      <c r="BH68" s="772" t="str">
        <f t="shared" ca="1" si="173"/>
        <v/>
      </c>
      <c r="BI68" s="772" t="str">
        <f t="shared" ca="1" si="173"/>
        <v/>
      </c>
      <c r="BJ68" s="772" t="str">
        <f t="shared" ca="1" si="173"/>
        <v/>
      </c>
      <c r="BK68" s="772" t="str">
        <f t="shared" ca="1" si="173"/>
        <v/>
      </c>
      <c r="BL68" s="49"/>
      <c r="BM68" s="49"/>
      <c r="BN68" s="49"/>
    </row>
    <row r="69" spans="1:66" ht="15.75">
      <c r="A69" s="699"/>
      <c r="B69" s="699"/>
      <c r="C69" s="699"/>
      <c r="D69" s="699"/>
      <c r="E69" s="699"/>
      <c r="F69" s="699"/>
      <c r="G69" s="699"/>
      <c r="H69" s="699"/>
      <c r="I69" s="699"/>
      <c r="J69" s="699"/>
      <c r="K69" s="699"/>
      <c r="L69" s="699"/>
      <c r="M69" s="699"/>
      <c r="N69" s="699"/>
      <c r="O69" s="699"/>
      <c r="P69" s="699"/>
      <c r="Q69" s="699"/>
      <c r="R69" s="699"/>
      <c r="S69" s="699"/>
      <c r="T69" s="699"/>
      <c r="U69" s="699"/>
      <c r="V69" s="699"/>
      <c r="W69" s="699"/>
      <c r="X69" s="699"/>
      <c r="Y69" s="699"/>
      <c r="Z69" s="699"/>
      <c r="AA69" s="699"/>
      <c r="AB69" s="699"/>
      <c r="AC69" s="761">
        <f>0.05*SUM(I61:R61)</f>
        <v>1166014.894300113</v>
      </c>
      <c r="AD69" s="699"/>
      <c r="AE69" s="49"/>
      <c r="AF69" s="49"/>
      <c r="AG69" s="49"/>
      <c r="AH69" s="49"/>
      <c r="AI69" s="49"/>
      <c r="AJ69" s="49"/>
      <c r="AK69" s="49"/>
      <c r="AL69" s="49"/>
      <c r="AM69" s="223" t="s">
        <v>1064</v>
      </c>
      <c r="AN69" s="223"/>
      <c r="AO69" s="223"/>
      <c r="AP69" s="223"/>
      <c r="AQ69" s="224">
        <f ca="1">+AQ67/Assumptions!$AE$33</f>
        <v>0</v>
      </c>
      <c r="AR69" s="224">
        <f ca="1">+AR67/Assumptions!$AE$33</f>
        <v>0</v>
      </c>
      <c r="AS69" s="224">
        <f ca="1">+AS67/Assumptions!$AE$33</f>
        <v>0</v>
      </c>
      <c r="AT69" s="224">
        <f ca="1">+AT67/Assumptions!$AE$33</f>
        <v>0</v>
      </c>
      <c r="AU69" s="224">
        <f ca="1">+AU67/Assumptions!$AE$33</f>
        <v>0</v>
      </c>
      <c r="AV69" s="224">
        <f ca="1">+AV67/Assumptions!$AE$33</f>
        <v>0</v>
      </c>
      <c r="AW69" s="224">
        <f ca="1">+AW67/Assumptions!$AE$33</f>
        <v>0</v>
      </c>
      <c r="AX69" s="224">
        <f ca="1">+AX67/Assumptions!$AE$33</f>
        <v>0</v>
      </c>
      <c r="AY69" s="224">
        <f ca="1">+AY67/Assumptions!$AE$33</f>
        <v>0</v>
      </c>
      <c r="AZ69" s="224">
        <f ca="1">+AZ67/Assumptions!$AE$33</f>
        <v>0</v>
      </c>
      <c r="BA69" s="224">
        <f ca="1">+BA67/Assumptions!$AE$33</f>
        <v>0</v>
      </c>
      <c r="BB69" s="224">
        <f ca="1">+BB67/Assumptions!$AE$33</f>
        <v>0</v>
      </c>
      <c r="BC69" s="224">
        <f ca="1">+BC67/Assumptions!$AE$33</f>
        <v>0</v>
      </c>
      <c r="BD69" s="224">
        <f ca="1">+BD67/Assumptions!$AE$33</f>
        <v>0</v>
      </c>
      <c r="BE69" s="224">
        <f ca="1">+BE67/Assumptions!$AE$33</f>
        <v>0</v>
      </c>
      <c r="BF69" s="224">
        <f ca="1">+BF67/Assumptions!$AE$33</f>
        <v>0</v>
      </c>
      <c r="BG69" s="224">
        <f ca="1">+BG67/Assumptions!$AE$33</f>
        <v>0</v>
      </c>
      <c r="BH69" s="224">
        <f ca="1">+BH67/Assumptions!$AE$33</f>
        <v>0</v>
      </c>
      <c r="BI69" s="224">
        <f ca="1">+BI67/Assumptions!$AE$33</f>
        <v>0</v>
      </c>
      <c r="BJ69" s="224">
        <f ca="1">+BJ67/Assumptions!$AE$33</f>
        <v>0</v>
      </c>
      <c r="BK69" s="224">
        <f ca="1">+BK67/Assumptions!$AE$33</f>
        <v>0</v>
      </c>
      <c r="BL69" s="49"/>
      <c r="BM69" s="49"/>
      <c r="BN69" s="49"/>
    </row>
    <row r="70" spans="1:66" ht="15.75">
      <c r="A70" s="699"/>
      <c r="B70" s="50" t="s">
        <v>1135</v>
      </c>
      <c r="C70" s="50"/>
      <c r="D70" s="50"/>
      <c r="E70" s="50"/>
      <c r="F70" s="55">
        <f ca="1">+F64-F68</f>
        <v>0</v>
      </c>
      <c r="G70" s="55">
        <f t="shared" ref="G70:Z70" ca="1" si="174">+G64-G68</f>
        <v>0</v>
      </c>
      <c r="H70" s="55">
        <f t="shared" ca="1" si="174"/>
        <v>0</v>
      </c>
      <c r="I70" s="55">
        <f t="shared" ca="1" si="174"/>
        <v>0</v>
      </c>
      <c r="J70" s="55">
        <f t="shared" ca="1" si="174"/>
        <v>1046816.6690864038</v>
      </c>
      <c r="K70" s="55">
        <f t="shared" ca="1" si="174"/>
        <v>2091996.2208919059</v>
      </c>
      <c r="L70" s="55">
        <f t="shared" ca="1" si="174"/>
        <v>2090309.9900925774</v>
      </c>
      <c r="M70" s="55">
        <f t="shared" ca="1" si="174"/>
        <v>2416126.3330639098</v>
      </c>
      <c r="N70" s="55">
        <f t="shared" ca="1" si="174"/>
        <v>2414337.4108089018</v>
      </c>
      <c r="O70" s="55">
        <f t="shared" ca="1" si="174"/>
        <v>2412494.8208862441</v>
      </c>
      <c r="P70" s="55">
        <f t="shared" ca="1" si="174"/>
        <v>2409226.3905731216</v>
      </c>
      <c r="Q70" s="55">
        <f t="shared" ca="1" si="174"/>
        <v>2407271.5869241739</v>
      </c>
      <c r="R70" s="55">
        <f t="shared" ca="1" si="174"/>
        <v>2783474.5138643053</v>
      </c>
      <c r="S70" s="55">
        <f t="shared" ca="1" si="174"/>
        <v>2779988.9830995682</v>
      </c>
      <c r="T70" s="55">
        <f t="shared" ca="1" si="174"/>
        <v>2777852.9163726643</v>
      </c>
      <c r="U70" s="55">
        <f t="shared" ca="1" si="174"/>
        <v>2775652.7676439537</v>
      </c>
      <c r="V70" s="55">
        <f t="shared" ca="1" si="174"/>
        <v>2771932.5844926061</v>
      </c>
      <c r="W70" s="55">
        <f t="shared" ca="1" si="174"/>
        <v>3204547.2776096468</v>
      </c>
      <c r="X70" s="55">
        <f t="shared" ca="1" si="174"/>
        <v>3202143.1156897685</v>
      </c>
      <c r="Y70" s="55">
        <f t="shared" ca="1" si="174"/>
        <v>3198169.1780526955</v>
      </c>
      <c r="Z70" s="55">
        <f t="shared" ca="1" si="174"/>
        <v>3195618.602671897</v>
      </c>
      <c r="AA70" s="699"/>
      <c r="AB70" s="699"/>
      <c r="AC70" s="151"/>
      <c r="AD70" s="699"/>
      <c r="AE70" s="49"/>
      <c r="AF70" s="49"/>
      <c r="AG70" s="49"/>
      <c r="AH70" s="49"/>
      <c r="AI70" s="49"/>
      <c r="AJ70" s="49"/>
      <c r="AK70" s="49"/>
      <c r="AL70" s="49"/>
      <c r="AM70" s="81"/>
      <c r="AN70" s="49"/>
      <c r="AO70" s="49"/>
      <c r="AP70" s="49"/>
      <c r="AQ70" s="768"/>
      <c r="AR70" s="768"/>
      <c r="AS70" s="768"/>
      <c r="AT70" s="768"/>
      <c r="AU70" s="768"/>
      <c r="AV70" s="768"/>
      <c r="AW70" s="768"/>
      <c r="AX70" s="768"/>
      <c r="AY70" s="768"/>
      <c r="AZ70" s="768"/>
      <c r="BA70" s="768"/>
      <c r="BB70" s="768"/>
      <c r="BC70" s="768"/>
      <c r="BD70" s="768"/>
      <c r="BE70" s="768"/>
      <c r="BF70" s="768"/>
      <c r="BG70" s="768"/>
      <c r="BH70" s="768"/>
      <c r="BI70" s="768"/>
      <c r="BJ70" s="768"/>
      <c r="BK70" s="768"/>
      <c r="BL70" s="49"/>
      <c r="BM70" s="49"/>
      <c r="BN70" s="49"/>
    </row>
    <row r="71" spans="1:66" ht="15.75">
      <c r="A71" s="699"/>
      <c r="B71" s="51" t="s">
        <v>1136</v>
      </c>
      <c r="C71" s="51"/>
      <c r="D71" s="51"/>
      <c r="E71" s="51"/>
      <c r="F71" s="56" t="str">
        <f ca="1">+IFERROR(F70/F64,"")</f>
        <v/>
      </c>
      <c r="G71" s="56" t="str">
        <f t="shared" ref="G71" ca="1" si="175">+IFERROR(G70/G64,"")</f>
        <v/>
      </c>
      <c r="H71" s="56" t="str">
        <f t="shared" ref="H71" ca="1" si="176">+IFERROR(H70/H64,"")</f>
        <v/>
      </c>
      <c r="I71" s="56" t="str">
        <f t="shared" ref="I71" ca="1" si="177">+IFERROR(I70/I64,"")</f>
        <v/>
      </c>
      <c r="J71" s="56">
        <f t="shared" ref="J71" ca="1" si="178">+IFERROR(J70/J64,"")</f>
        <v>0.67911454722355846</v>
      </c>
      <c r="K71" s="56">
        <f t="shared" ref="K71" ca="1" si="179">+IFERROR(K70/K64,"")</f>
        <v>0.67535578237990868</v>
      </c>
      <c r="L71" s="56">
        <f t="shared" ref="L71" ca="1" si="180">+IFERROR(L70/L64,"")</f>
        <v>0.67152145518866113</v>
      </c>
      <c r="M71" s="56">
        <f t="shared" ref="M71" ca="1" si="181">+IFERROR(M70/M64,"")</f>
        <v>0.69643291227804205</v>
      </c>
      <c r="N71" s="56">
        <f t="shared" ref="N71" ca="1" si="182">+IFERROR(N70/N64,"")</f>
        <v>0.69270256712743827</v>
      </c>
      <c r="O71" s="56">
        <f t="shared" ref="O71" ca="1" si="183">+IFERROR(O70/O64,"")</f>
        <v>0.68889617107337486</v>
      </c>
      <c r="P71" s="56">
        <f t="shared" ref="P71" ca="1" si="184">+IFERROR(P70/P64,"")</f>
        <v>0.6822322428861598</v>
      </c>
      <c r="Q71" s="56">
        <f t="shared" ref="Q71" ca="1" si="185">+IFERROR(Q70/Q64,"")</f>
        <v>0.67829943075256416</v>
      </c>
      <c r="R71" s="56">
        <f t="shared" ref="R71" ca="1" si="186">+IFERROR(R70/R64,"")</f>
        <v>0.70551333043987574</v>
      </c>
      <c r="S71" s="56">
        <f t="shared" ref="S71" ca="1" si="187">+IFERROR(S70/S64,"")</f>
        <v>0.69907145536497084</v>
      </c>
      <c r="T71" s="56">
        <f t="shared" ref="T71" ca="1" si="188">+IFERROR(T70/T64,"")</f>
        <v>0.69517361318587545</v>
      </c>
      <c r="U71" s="56">
        <f t="shared" ref="U71" ca="1" si="189">+IFERROR(U70/U64,"")</f>
        <v>0.69119785258054156</v>
      </c>
      <c r="V71" s="56">
        <f t="shared" ref="V71" ca="1" si="190">+IFERROR(V70/V64,"")</f>
        <v>0.68456378741311641</v>
      </c>
      <c r="W71" s="56">
        <f t="shared" ref="W71" ca="1" si="191">+IFERROR(W70/W64,"")</f>
        <v>0.71130732251329321</v>
      </c>
      <c r="X71" s="56">
        <f t="shared" ref="X71" ca="1" si="192">+IFERROR(X70/X64,"")</f>
        <v>0.70737627033840511</v>
      </c>
      <c r="Y71" s="56">
        <f t="shared" ref="Y71" ca="1" si="193">+IFERROR(Y70/Y64,"")</f>
        <v>0.70096022408131253</v>
      </c>
      <c r="Z71" s="56">
        <f t="shared" ref="Z71" ca="1" si="194">+IFERROR(Z70/Z64,"")</f>
        <v>0.69689497420228652</v>
      </c>
      <c r="AA71" s="699"/>
      <c r="AB71" s="699"/>
      <c r="AC71" s="151"/>
      <c r="AD71" s="699"/>
      <c r="AE71" s="49"/>
      <c r="AF71" s="49"/>
      <c r="AG71" s="49"/>
      <c r="AH71" s="49"/>
      <c r="AI71" s="49"/>
      <c r="AJ71" s="49"/>
      <c r="AK71" s="49"/>
      <c r="AL71" s="49"/>
      <c r="AM71" s="81" t="s">
        <v>342</v>
      </c>
      <c r="AN71" s="49"/>
      <c r="AO71" s="49"/>
      <c r="AP71" s="49"/>
      <c r="AQ71" s="768">
        <f>+Assumptions!$F$27</f>
        <v>45291</v>
      </c>
      <c r="AR71" s="768">
        <f>+EOMONTH(AQ71,12)</f>
        <v>45657</v>
      </c>
      <c r="AS71" s="768">
        <f t="shared" ref="AS71" si="195">+EOMONTH(AR71,12)</f>
        <v>46022</v>
      </c>
      <c r="AT71" s="768">
        <f t="shared" ref="AT71" si="196">+EOMONTH(AS71,12)</f>
        <v>46387</v>
      </c>
      <c r="AU71" s="768">
        <f t="shared" ref="AU71" si="197">+EOMONTH(AT71,12)</f>
        <v>46752</v>
      </c>
      <c r="AV71" s="768">
        <f t="shared" ref="AV71" si="198">+EOMONTH(AU71,12)</f>
        <v>47118</v>
      </c>
      <c r="AW71" s="768">
        <f t="shared" ref="AW71" si="199">+EOMONTH(AV71,12)</f>
        <v>47483</v>
      </c>
      <c r="AX71" s="768">
        <f t="shared" ref="AX71" si="200">+EOMONTH(AW71,12)</f>
        <v>47848</v>
      </c>
      <c r="AY71" s="768">
        <f t="shared" ref="AY71" si="201">+EOMONTH(AX71,12)</f>
        <v>48213</v>
      </c>
      <c r="AZ71" s="768">
        <f t="shared" ref="AZ71" si="202">+EOMONTH(AY71,12)</f>
        <v>48579</v>
      </c>
      <c r="BA71" s="768">
        <f t="shared" ref="BA71" si="203">+EOMONTH(AZ71,12)</f>
        <v>48944</v>
      </c>
      <c r="BB71" s="768">
        <f t="shared" ref="BB71" si="204">+EOMONTH(BA71,12)</f>
        <v>49309</v>
      </c>
      <c r="BC71" s="768">
        <f t="shared" ref="BC71" si="205">+EOMONTH(BB71,12)</f>
        <v>49674</v>
      </c>
      <c r="BD71" s="768">
        <f t="shared" ref="BD71" si="206">+EOMONTH(BC71,12)</f>
        <v>50040</v>
      </c>
      <c r="BE71" s="768">
        <f t="shared" ref="BE71" si="207">+EOMONTH(BD71,12)</f>
        <v>50405</v>
      </c>
      <c r="BF71" s="768">
        <f t="shared" ref="BF71" si="208">+EOMONTH(BE71,12)</f>
        <v>50770</v>
      </c>
      <c r="BG71" s="768">
        <f t="shared" ref="BG71" si="209">+EOMONTH(BF71,12)</f>
        <v>51135</v>
      </c>
      <c r="BH71" s="768">
        <f t="shared" ref="BH71" si="210">+EOMONTH(BG71,12)</f>
        <v>51501</v>
      </c>
      <c r="BI71" s="768">
        <f t="shared" ref="BI71" si="211">+EOMONTH(BH71,12)</f>
        <v>51866</v>
      </c>
      <c r="BJ71" s="768">
        <f t="shared" ref="BJ71" si="212">+EOMONTH(BI71,12)</f>
        <v>52231</v>
      </c>
      <c r="BK71" s="768">
        <f t="shared" ref="BK71" si="213">+EOMONTH(BJ71,12)</f>
        <v>52596</v>
      </c>
      <c r="BL71" s="49"/>
      <c r="BM71" s="49"/>
      <c r="BN71" s="49"/>
    </row>
    <row r="72" spans="1:66">
      <c r="A72" s="699"/>
      <c r="B72" s="223"/>
      <c r="C72" s="223"/>
      <c r="D72" s="223"/>
      <c r="E72" s="223"/>
      <c r="F72" s="641"/>
      <c r="G72" s="641"/>
      <c r="H72" s="641"/>
      <c r="I72" s="641"/>
      <c r="J72" s="641"/>
      <c r="K72" s="641"/>
      <c r="L72" s="641"/>
      <c r="M72" s="641"/>
      <c r="N72" s="641"/>
      <c r="O72" s="641"/>
      <c r="P72" s="641"/>
      <c r="Q72" s="641"/>
      <c r="R72" s="641"/>
      <c r="S72" s="641"/>
      <c r="T72" s="641"/>
      <c r="U72" s="641"/>
      <c r="V72" s="641"/>
      <c r="W72" s="641"/>
      <c r="X72" s="641"/>
      <c r="Y72" s="641"/>
      <c r="Z72" s="641"/>
      <c r="AA72" s="699"/>
      <c r="AB72" s="699"/>
      <c r="AC72" s="151"/>
      <c r="AD72" s="699"/>
      <c r="AE72" s="49"/>
      <c r="AF72" s="49"/>
      <c r="AG72" s="49"/>
      <c r="AH72" s="49"/>
      <c r="AI72" s="49"/>
      <c r="AJ72" s="49"/>
      <c r="AK72" s="49"/>
      <c r="AL72" s="49"/>
      <c r="AM72" s="49" t="s">
        <v>1120</v>
      </c>
      <c r="AN72" s="49"/>
      <c r="AO72" s="49"/>
      <c r="AP72" s="253"/>
      <c r="AQ72" s="253">
        <f>+IF(AQ71=Assumptions!$F$31,Assumptions!$F$255/ROUNDUP((12/12),0),)</f>
        <v>0</v>
      </c>
      <c r="AR72" s="253">
        <f>+IF(AR71=Assumptions!$F$31,Assumptions!$F$255/ROUNDUP((12/12),0),)</f>
        <v>0</v>
      </c>
      <c r="AS72" s="253">
        <f>+IF(AS71=Assumptions!$F$31,Assumptions!$F$255/ROUNDUP((12/12),0),)</f>
        <v>0</v>
      </c>
      <c r="AT72" s="253">
        <f>+IF(AT71=Assumptions!$F$31,Assumptions!$F$255/ROUNDUP((12/12),0),)</f>
        <v>0</v>
      </c>
      <c r="AU72" s="253">
        <f>+IF(AU71=Assumptions!$F$31,Assumptions!$F$255/ROUNDUP((12/12),0),)</f>
        <v>0</v>
      </c>
      <c r="AV72" s="253">
        <f>+IF(AV71=Assumptions!$F$31,Assumptions!$F$255/ROUNDUP((12/12),0),)</f>
        <v>0</v>
      </c>
      <c r="AW72" s="253">
        <f>+IF(AW71=Assumptions!$F$31,Assumptions!$F$255/ROUNDUP((12/12),0),)</f>
        <v>0</v>
      </c>
      <c r="AX72" s="253">
        <f>+IF(AX71=Assumptions!$F$31,Assumptions!$F$255/ROUNDUP((12/12),0),)</f>
        <v>0</v>
      </c>
      <c r="AY72" s="253">
        <f>+IF(AY71=Assumptions!$F$31,Assumptions!$F$255/ROUNDUP((12/12),0),)</f>
        <v>0</v>
      </c>
      <c r="AZ72" s="253">
        <f>+IF(AZ71=Assumptions!$F$31,Assumptions!$F$255/ROUNDUP((12/12),0),)</f>
        <v>0</v>
      </c>
      <c r="BA72" s="253">
        <f>+IF(BA71=Assumptions!$F$31,Assumptions!$F$255/ROUNDUP((12/12),0),)</f>
        <v>0</v>
      </c>
      <c r="BB72" s="253">
        <f>+IF(BB71=Assumptions!$F$31,Assumptions!$F$255/ROUNDUP((12/12),0),)</f>
        <v>0</v>
      </c>
      <c r="BC72" s="253">
        <f>+IF(BC71=Assumptions!$F$31,Assumptions!$F$255/ROUNDUP((12/12),0),)</f>
        <v>0</v>
      </c>
      <c r="BD72" s="253">
        <f>+IF(BD71=Assumptions!$F$31,Assumptions!$F$255/ROUNDUP((12/12),0),)</f>
        <v>0</v>
      </c>
      <c r="BE72" s="253">
        <f>+IF(BE71=Assumptions!$F$31,Assumptions!$F$255/ROUNDUP((12/12),0),)</f>
        <v>0</v>
      </c>
      <c r="BF72" s="253">
        <f>+IF(BF71=Assumptions!$F$31,Assumptions!$F$255/ROUNDUP((12/12),0),)</f>
        <v>0</v>
      </c>
      <c r="BG72" s="253">
        <f>+IF(BG71=Assumptions!$F$31,Assumptions!$F$255/ROUNDUP((12/12),0),)</f>
        <v>0</v>
      </c>
      <c r="BH72" s="253">
        <f>+IF(BH71=Assumptions!$F$31,Assumptions!$F$255/ROUNDUP((12/12),0),)</f>
        <v>0</v>
      </c>
      <c r="BI72" s="253">
        <f>+IF(BI71=Assumptions!$F$31,Assumptions!$F$255/ROUNDUP((12/12),0),)</f>
        <v>0</v>
      </c>
      <c r="BJ72" s="253">
        <f>+IF(BJ71=Assumptions!$F$31,Assumptions!$F$255/ROUNDUP((12/12),0),)</f>
        <v>0</v>
      </c>
      <c r="BK72" s="253">
        <f>+IF(BK71=Assumptions!$F$31,Assumptions!$F$255/ROUNDUP((12/12),0),)</f>
        <v>0</v>
      </c>
      <c r="BL72" s="49"/>
      <c r="BM72" s="49"/>
      <c r="BN72" s="49"/>
    </row>
    <row r="73" spans="1:66">
      <c r="A73" s="699"/>
      <c r="B73" s="49" t="s">
        <v>1140</v>
      </c>
      <c r="C73" s="223"/>
      <c r="D73" s="223"/>
      <c r="E73" s="223"/>
      <c r="F73" s="642">
        <f>+F54*Assumptions!$N$109</f>
        <v>0</v>
      </c>
      <c r="G73" s="642">
        <f>+G54*Assumptions!$N$109</f>
        <v>0</v>
      </c>
      <c r="H73" s="642">
        <f>+H54*Assumptions!$N$109</f>
        <v>0</v>
      </c>
      <c r="I73" s="642">
        <f>+I54*Assumptions!$N$109</f>
        <v>0</v>
      </c>
      <c r="J73" s="642">
        <f>+J54*Assumptions!$N$109</f>
        <v>2436176.3265606957</v>
      </c>
      <c r="K73" s="642">
        <f>+K54*Assumptions!$N$109</f>
        <v>2436176.3265606957</v>
      </c>
      <c r="L73" s="642">
        <f>+L54*Assumptions!$N$109</f>
        <v>0</v>
      </c>
      <c r="M73" s="642">
        <f>+M54*Assumptions!$N$109</f>
        <v>0</v>
      </c>
      <c r="N73" s="642">
        <f>+N54*Assumptions!$N$109</f>
        <v>0</v>
      </c>
      <c r="O73" s="642">
        <f>+O54*Assumptions!$N$109</f>
        <v>0</v>
      </c>
      <c r="P73" s="642">
        <f>+P54*Assumptions!$N$109</f>
        <v>0</v>
      </c>
      <c r="Q73" s="642">
        <f>+Q54*Assumptions!$N$109</f>
        <v>0</v>
      </c>
      <c r="R73" s="642">
        <f>+R54*Assumptions!$N$109</f>
        <v>0</v>
      </c>
      <c r="S73" s="642">
        <f>+S54*Assumptions!$N$109</f>
        <v>0</v>
      </c>
      <c r="T73" s="642">
        <f>+T54*Assumptions!$N$109</f>
        <v>0</v>
      </c>
      <c r="U73" s="642">
        <f>+U54*Assumptions!$N$109</f>
        <v>0</v>
      </c>
      <c r="V73" s="642">
        <f>+V54*Assumptions!$N$109</f>
        <v>0</v>
      </c>
      <c r="W73" s="642">
        <f>+W54*Assumptions!$N$109</f>
        <v>0</v>
      </c>
      <c r="X73" s="642">
        <f>+X54*Assumptions!$N$109</f>
        <v>0</v>
      </c>
      <c r="Y73" s="642">
        <f>+Y54*Assumptions!$N$109</f>
        <v>0</v>
      </c>
      <c r="Z73" s="642">
        <f>+Z54*Assumptions!$N$109</f>
        <v>0</v>
      </c>
      <c r="AA73" s="699"/>
      <c r="AB73" s="699"/>
      <c r="AC73" s="151"/>
      <c r="AD73" s="699"/>
      <c r="AE73" s="49"/>
      <c r="AF73" s="49"/>
      <c r="AG73" s="49"/>
      <c r="AH73" s="49"/>
      <c r="AI73" s="49"/>
      <c r="AJ73" s="49"/>
      <c r="AK73" s="49"/>
      <c r="AL73" s="49"/>
      <c r="AM73" s="49" t="s">
        <v>1121</v>
      </c>
      <c r="AN73" s="49"/>
      <c r="AO73" s="49"/>
      <c r="AP73" s="253">
        <v>0</v>
      </c>
      <c r="AQ73" s="253">
        <f>+AP73+AQ72</f>
        <v>0</v>
      </c>
      <c r="AR73" s="253">
        <f t="shared" ref="AR73:BK73" si="214">+AQ73+AR72</f>
        <v>0</v>
      </c>
      <c r="AS73" s="253">
        <f t="shared" si="214"/>
        <v>0</v>
      </c>
      <c r="AT73" s="253">
        <f t="shared" si="214"/>
        <v>0</v>
      </c>
      <c r="AU73" s="253">
        <f t="shared" si="214"/>
        <v>0</v>
      </c>
      <c r="AV73" s="253">
        <f t="shared" si="214"/>
        <v>0</v>
      </c>
      <c r="AW73" s="253">
        <f t="shared" si="214"/>
        <v>0</v>
      </c>
      <c r="AX73" s="253">
        <f t="shared" si="214"/>
        <v>0</v>
      </c>
      <c r="AY73" s="253">
        <f t="shared" si="214"/>
        <v>0</v>
      </c>
      <c r="AZ73" s="253">
        <f t="shared" si="214"/>
        <v>0</v>
      </c>
      <c r="BA73" s="253">
        <f t="shared" si="214"/>
        <v>0</v>
      </c>
      <c r="BB73" s="253">
        <f t="shared" si="214"/>
        <v>0</v>
      </c>
      <c r="BC73" s="253">
        <f t="shared" si="214"/>
        <v>0</v>
      </c>
      <c r="BD73" s="253">
        <f t="shared" si="214"/>
        <v>0</v>
      </c>
      <c r="BE73" s="253">
        <f t="shared" si="214"/>
        <v>0</v>
      </c>
      <c r="BF73" s="253">
        <f t="shared" si="214"/>
        <v>0</v>
      </c>
      <c r="BG73" s="253">
        <f t="shared" si="214"/>
        <v>0</v>
      </c>
      <c r="BH73" s="253">
        <f t="shared" si="214"/>
        <v>0</v>
      </c>
      <c r="BI73" s="253">
        <f t="shared" si="214"/>
        <v>0</v>
      </c>
      <c r="BJ73" s="253">
        <f t="shared" si="214"/>
        <v>0</v>
      </c>
      <c r="BK73" s="253">
        <f t="shared" si="214"/>
        <v>0</v>
      </c>
      <c r="BL73" s="49"/>
      <c r="BM73" s="49"/>
      <c r="BN73" s="49"/>
    </row>
    <row r="74" spans="1:66">
      <c r="A74" s="699"/>
      <c r="B74" s="49" t="s">
        <v>1141</v>
      </c>
      <c r="C74" s="223"/>
      <c r="D74" s="223"/>
      <c r="E74" s="223"/>
      <c r="F74" s="642">
        <f>IF(F53=P1_Const_Completion,SUM('Phase 1 Pro Forma'!F61:O61)*Assumptions!$N$111,0)</f>
        <v>0</v>
      </c>
      <c r="G74" s="642">
        <f>IF(G53=P1_Const_Completion,SUM('Phase 1 Pro Forma'!G61:P61)*Assumptions!$N$111,0)</f>
        <v>0</v>
      </c>
      <c r="H74" s="642">
        <f>IF(H53=P1_Const_Completion,SUM('Phase 1 Pro Forma'!H61:Q61)*Assumptions!$N$111,0)</f>
        <v>0</v>
      </c>
      <c r="I74" s="642">
        <f>IF(I53=P1_Const_Completion,SUM('Phase 1 Pro Forma'!I61:R61)*Assumptions!$N$111,0)</f>
        <v>0</v>
      </c>
      <c r="J74" s="642">
        <f>IF(J53=P1_Const_Completion,SUM('Phase 1 Pro Forma'!J61:S61)*Assumptions!$N$111,0)</f>
        <v>1592528.4646727266</v>
      </c>
      <c r="K74" s="642">
        <f>IF(K53=P1_Const_Completion,SUM('Phase 1 Pro Forma'!K61:T61)*Assumptions!$N$111,0)</f>
        <v>0</v>
      </c>
      <c r="L74" s="642">
        <f>IF(L53=P1_Const_Completion,SUM('Phase 1 Pro Forma'!L61:U61)*Assumptions!$N$111,0)</f>
        <v>0</v>
      </c>
      <c r="M74" s="642">
        <f>IF(M53=P1_Const_Completion,SUM('Phase 1 Pro Forma'!M61:V61)*Assumptions!$N$111,0)</f>
        <v>0</v>
      </c>
      <c r="N74" s="642">
        <f>IF(N53=P1_Const_Completion,SUM('Phase 1 Pro Forma'!N61:W61)*Assumptions!$N$111,0)</f>
        <v>0</v>
      </c>
      <c r="O74" s="642">
        <f>IF(O53=P1_Const_Completion,SUM('Phase 1 Pro Forma'!O61:X61)*Assumptions!$N$111,0)</f>
        <v>0</v>
      </c>
      <c r="P74" s="642">
        <f>IF(P53=P1_Const_Completion,SUM('Phase 1 Pro Forma'!P61:Y61)*Assumptions!$N$111,0)</f>
        <v>0</v>
      </c>
      <c r="Q74" s="642">
        <f>IF(Q53=P1_Const_Completion,SUM('Phase 1 Pro Forma'!Q61:Z61)*Assumptions!$N$111,0)</f>
        <v>0</v>
      </c>
      <c r="R74" s="642">
        <f>IF(R53=P1_Const_Completion,SUM('Phase 1 Pro Forma'!R69:AA69)*Assumptions!$N$111,0)</f>
        <v>0</v>
      </c>
      <c r="S74" s="642">
        <f>IF(S53=P1_Const_Completion,SUM('Phase 1 Pro Forma'!S69:AB69)*Assumptions!$N$111,0)</f>
        <v>0</v>
      </c>
      <c r="T74" s="642">
        <f>IF(T53=P1_Const_Completion,SUM('Phase 1 Pro Forma'!T69:AC69)*Assumptions!$N$111,0)</f>
        <v>0</v>
      </c>
      <c r="U74" s="642">
        <f>IF(U53=P1_Const_Completion,SUM('Phase 1 Pro Forma'!U225:AD225)*Assumptions!$N$111,0)</f>
        <v>0</v>
      </c>
      <c r="V74" s="642">
        <f>IF(V53=P1_Const_Completion,SUM('Phase 1 Pro Forma'!V225:AE225)*Assumptions!$N$111,0)</f>
        <v>0</v>
      </c>
      <c r="W74" s="642">
        <f>IF(W53=P1_Const_Completion,SUM('Phase 1 Pro Forma'!W225:AF225)*Assumptions!$N$111,0)</f>
        <v>0</v>
      </c>
      <c r="X74" s="642">
        <f>IF(X53=P1_Const_Completion,SUM('Phase 1 Pro Forma'!X225:AG225)*Assumptions!$N$111,0)</f>
        <v>0</v>
      </c>
      <c r="Y74" s="642">
        <f>IF(Y53=P1_Const_Completion,SUM('Phase 1 Pro Forma'!Y225:AH225)*Assumptions!$N$111,0)</f>
        <v>0</v>
      </c>
      <c r="Z74" s="642">
        <f>IF(Z53=P1_Const_Completion,SUM('Phase 1 Pro Forma'!Z225:AI225)*Assumptions!$N$111,0)</f>
        <v>0</v>
      </c>
      <c r="AA74" s="699"/>
      <c r="AB74" s="699"/>
      <c r="AC74" s="151"/>
      <c r="AD74" s="699"/>
      <c r="AE74" s="49"/>
      <c r="AF74" s="49"/>
      <c r="AG74" s="49"/>
      <c r="AH74" s="49"/>
      <c r="AI74" s="49"/>
      <c r="AJ74" s="49"/>
      <c r="AK74" s="49"/>
      <c r="AL74" s="49"/>
      <c r="AM74" s="49" t="s">
        <v>1123</v>
      </c>
      <c r="AN74" s="49"/>
      <c r="AO74" s="49"/>
      <c r="AP74" s="49"/>
      <c r="AQ74" s="769">
        <f>+AQ75-AP75</f>
        <v>0</v>
      </c>
      <c r="AR74" s="769">
        <f t="shared" ref="AR74:BK74" si="215">+AR75-AQ75</f>
        <v>0</v>
      </c>
      <c r="AS74" s="769">
        <f t="shared" si="215"/>
        <v>0</v>
      </c>
      <c r="AT74" s="769">
        <f t="shared" si="215"/>
        <v>0</v>
      </c>
      <c r="AU74" s="769">
        <f t="shared" si="215"/>
        <v>0</v>
      </c>
      <c r="AV74" s="769">
        <f t="shared" si="215"/>
        <v>0</v>
      </c>
      <c r="AW74" s="769">
        <f t="shared" si="215"/>
        <v>0</v>
      </c>
      <c r="AX74" s="769">
        <f t="shared" si="215"/>
        <v>0</v>
      </c>
      <c r="AY74" s="769">
        <f t="shared" si="215"/>
        <v>0</v>
      </c>
      <c r="AZ74" s="769">
        <f t="shared" si="215"/>
        <v>0</v>
      </c>
      <c r="BA74" s="769">
        <f t="shared" si="215"/>
        <v>0</v>
      </c>
      <c r="BB74" s="769">
        <f t="shared" si="215"/>
        <v>0</v>
      </c>
      <c r="BC74" s="769">
        <f t="shared" si="215"/>
        <v>0</v>
      </c>
      <c r="BD74" s="769">
        <f t="shared" si="215"/>
        <v>0</v>
      </c>
      <c r="BE74" s="769">
        <f t="shared" si="215"/>
        <v>0</v>
      </c>
      <c r="BF74" s="769">
        <f t="shared" si="215"/>
        <v>0</v>
      </c>
      <c r="BG74" s="769">
        <f t="shared" si="215"/>
        <v>0</v>
      </c>
      <c r="BH74" s="769">
        <f t="shared" si="215"/>
        <v>0</v>
      </c>
      <c r="BI74" s="769">
        <f t="shared" si="215"/>
        <v>0</v>
      </c>
      <c r="BJ74" s="769">
        <f t="shared" si="215"/>
        <v>0</v>
      </c>
      <c r="BK74" s="769">
        <f t="shared" si="215"/>
        <v>0</v>
      </c>
      <c r="BL74" s="49"/>
      <c r="BM74" s="49"/>
      <c r="BN74" s="49"/>
    </row>
    <row r="75" spans="1:66" ht="15.75">
      <c r="A75" s="699"/>
      <c r="B75" s="81"/>
      <c r="C75" s="223"/>
      <c r="D75" s="223"/>
      <c r="E75" s="223"/>
      <c r="F75" s="641"/>
      <c r="G75" s="641"/>
      <c r="H75" s="641"/>
      <c r="I75" s="641"/>
      <c r="J75" s="641"/>
      <c r="K75" s="641"/>
      <c r="L75" s="641"/>
      <c r="M75" s="641"/>
      <c r="N75" s="641"/>
      <c r="O75" s="641"/>
      <c r="P75" s="641"/>
      <c r="Q75" s="641"/>
      <c r="R75" s="641"/>
      <c r="S75" s="641"/>
      <c r="T75" s="641"/>
      <c r="U75" s="641"/>
      <c r="V75" s="641"/>
      <c r="W75" s="641"/>
      <c r="X75" s="641"/>
      <c r="Y75" s="641"/>
      <c r="Z75" s="641"/>
      <c r="AA75" s="699"/>
      <c r="AB75" s="699"/>
      <c r="AC75" s="151"/>
      <c r="AD75" s="699"/>
      <c r="AE75" s="49"/>
      <c r="AF75" s="49"/>
      <c r="AG75" s="49"/>
      <c r="AH75" s="49"/>
      <c r="AI75" s="49"/>
      <c r="AJ75" s="49"/>
      <c r="AK75" s="49"/>
      <c r="AL75" s="49"/>
      <c r="AM75" s="49" t="s">
        <v>1124</v>
      </c>
      <c r="AN75" s="49"/>
      <c r="AO75" s="49"/>
      <c r="AP75" s="49"/>
      <c r="AQ75" s="769">
        <f>+AQ76*Assumptions!$F$256</f>
        <v>0</v>
      </c>
      <c r="AR75" s="769">
        <f>+AR76*Assumptions!$F$256</f>
        <v>0</v>
      </c>
      <c r="AS75" s="769">
        <f>+AS76*Assumptions!$F$256</f>
        <v>0</v>
      </c>
      <c r="AT75" s="769">
        <f>+AT76*Assumptions!$F$256</f>
        <v>0</v>
      </c>
      <c r="AU75" s="769">
        <f>+AU76*Assumptions!$F$256</f>
        <v>0</v>
      </c>
      <c r="AV75" s="769">
        <f>+AV76*Assumptions!$F$256</f>
        <v>0</v>
      </c>
      <c r="AW75" s="769">
        <f>+AW76*Assumptions!$F$256</f>
        <v>0</v>
      </c>
      <c r="AX75" s="769">
        <f>+AX76*Assumptions!$F$256</f>
        <v>0</v>
      </c>
      <c r="AY75" s="769">
        <f>+AY76*Assumptions!$F$256</f>
        <v>0</v>
      </c>
      <c r="AZ75" s="769">
        <f>+AZ76*Assumptions!$F$256</f>
        <v>0</v>
      </c>
      <c r="BA75" s="769">
        <f>+BA76*Assumptions!$F$256</f>
        <v>0</v>
      </c>
      <c r="BB75" s="769">
        <f>+BB76*Assumptions!$F$256</f>
        <v>0</v>
      </c>
      <c r="BC75" s="769">
        <f>+BC76*Assumptions!$F$256</f>
        <v>0</v>
      </c>
      <c r="BD75" s="769">
        <f>+BD76*Assumptions!$F$256</f>
        <v>0</v>
      </c>
      <c r="BE75" s="769">
        <f>+BE76*Assumptions!$F$256</f>
        <v>0</v>
      </c>
      <c r="BF75" s="769">
        <f>+BF76*Assumptions!$F$256</f>
        <v>0</v>
      </c>
      <c r="BG75" s="769">
        <f>+BG76*Assumptions!$F$256</f>
        <v>0</v>
      </c>
      <c r="BH75" s="769">
        <f>+BH76*Assumptions!$F$256</f>
        <v>0</v>
      </c>
      <c r="BI75" s="769">
        <f>+BI76*Assumptions!$F$256</f>
        <v>0</v>
      </c>
      <c r="BJ75" s="769">
        <f>+BJ76*Assumptions!$F$256</f>
        <v>0</v>
      </c>
      <c r="BK75" s="769">
        <f>+BK76*Assumptions!$F$256</f>
        <v>0</v>
      </c>
      <c r="BL75" s="49"/>
      <c r="BM75" s="49"/>
      <c r="BN75" s="49"/>
    </row>
    <row r="76" spans="1:66" ht="15.75">
      <c r="A76" s="699"/>
      <c r="B76" s="50" t="s">
        <v>1142</v>
      </c>
      <c r="C76" s="50"/>
      <c r="D76" s="50"/>
      <c r="E76" s="50"/>
      <c r="F76" s="55">
        <f ca="1">+F70-SUM(F73:F74)</f>
        <v>0</v>
      </c>
      <c r="G76" s="55">
        <f t="shared" ref="G76:Z76" ca="1" si="216">+G70-SUM(G73:G74)</f>
        <v>0</v>
      </c>
      <c r="H76" s="55">
        <f t="shared" ca="1" si="216"/>
        <v>0</v>
      </c>
      <c r="I76" s="55">
        <f t="shared" ca="1" si="216"/>
        <v>0</v>
      </c>
      <c r="J76" s="55">
        <f t="shared" ca="1" si="216"/>
        <v>-2981888.1221470186</v>
      </c>
      <c r="K76" s="55">
        <f t="shared" ca="1" si="216"/>
        <v>-344180.10566878971</v>
      </c>
      <c r="L76" s="55">
        <f t="shared" ca="1" si="216"/>
        <v>2090309.9900925774</v>
      </c>
      <c r="M76" s="55">
        <f t="shared" ca="1" si="216"/>
        <v>2416126.3330639098</v>
      </c>
      <c r="N76" s="55">
        <f t="shared" ca="1" si="216"/>
        <v>2414337.4108089018</v>
      </c>
      <c r="O76" s="55">
        <f t="shared" ca="1" si="216"/>
        <v>2412494.8208862441</v>
      </c>
      <c r="P76" s="55">
        <f t="shared" ca="1" si="216"/>
        <v>2409226.3905731216</v>
      </c>
      <c r="Q76" s="55">
        <f t="shared" ca="1" si="216"/>
        <v>2407271.5869241739</v>
      </c>
      <c r="R76" s="55">
        <f t="shared" ca="1" si="216"/>
        <v>2783474.5138643053</v>
      </c>
      <c r="S76" s="55">
        <f t="shared" ca="1" si="216"/>
        <v>2779988.9830995682</v>
      </c>
      <c r="T76" s="55">
        <f t="shared" ca="1" si="216"/>
        <v>2777852.9163726643</v>
      </c>
      <c r="U76" s="55">
        <f t="shared" ca="1" si="216"/>
        <v>2775652.7676439537</v>
      </c>
      <c r="V76" s="55">
        <f t="shared" ca="1" si="216"/>
        <v>2771932.5844926061</v>
      </c>
      <c r="W76" s="55">
        <f t="shared" ca="1" si="216"/>
        <v>3204547.2776096468</v>
      </c>
      <c r="X76" s="55">
        <f t="shared" ca="1" si="216"/>
        <v>3202143.1156897685</v>
      </c>
      <c r="Y76" s="55">
        <f t="shared" ca="1" si="216"/>
        <v>3198169.1780526955</v>
      </c>
      <c r="Z76" s="55">
        <f t="shared" ca="1" si="216"/>
        <v>3195618.602671897</v>
      </c>
      <c r="AA76" s="699"/>
      <c r="AB76" s="699"/>
      <c r="AC76" s="151"/>
      <c r="AD76" s="699"/>
      <c r="AE76" s="49"/>
      <c r="AF76" s="49"/>
      <c r="AG76" s="49"/>
      <c r="AH76" s="49"/>
      <c r="AI76" s="49"/>
      <c r="AJ76" s="49"/>
      <c r="AK76" s="49"/>
      <c r="AL76" s="49"/>
      <c r="AM76" s="49" t="s">
        <v>1125</v>
      </c>
      <c r="AN76" s="49"/>
      <c r="AO76" s="49"/>
      <c r="AP76" s="49"/>
      <c r="AQ76" s="770">
        <f t="shared" ref="AQ76:BK76" si="217">+IFERROR(AQ73/SUM($AQ72:$BK72),0)</f>
        <v>0</v>
      </c>
      <c r="AR76" s="770">
        <f t="shared" si="217"/>
        <v>0</v>
      </c>
      <c r="AS76" s="770">
        <f t="shared" si="217"/>
        <v>0</v>
      </c>
      <c r="AT76" s="770">
        <f t="shared" si="217"/>
        <v>0</v>
      </c>
      <c r="AU76" s="770">
        <f t="shared" si="217"/>
        <v>0</v>
      </c>
      <c r="AV76" s="770">
        <f t="shared" si="217"/>
        <v>0</v>
      </c>
      <c r="AW76" s="770">
        <f t="shared" si="217"/>
        <v>0</v>
      </c>
      <c r="AX76" s="770">
        <f t="shared" si="217"/>
        <v>0</v>
      </c>
      <c r="AY76" s="770">
        <f t="shared" si="217"/>
        <v>0</v>
      </c>
      <c r="AZ76" s="770">
        <f t="shared" si="217"/>
        <v>0</v>
      </c>
      <c r="BA76" s="770">
        <f t="shared" si="217"/>
        <v>0</v>
      </c>
      <c r="BB76" s="770">
        <f t="shared" si="217"/>
        <v>0</v>
      </c>
      <c r="BC76" s="770">
        <f t="shared" si="217"/>
        <v>0</v>
      </c>
      <c r="BD76" s="770">
        <f t="shared" si="217"/>
        <v>0</v>
      </c>
      <c r="BE76" s="770">
        <f t="shared" si="217"/>
        <v>0</v>
      </c>
      <c r="BF76" s="770">
        <f t="shared" si="217"/>
        <v>0</v>
      </c>
      <c r="BG76" s="770">
        <f t="shared" si="217"/>
        <v>0</v>
      </c>
      <c r="BH76" s="770">
        <f t="shared" si="217"/>
        <v>0</v>
      </c>
      <c r="BI76" s="770">
        <f t="shared" si="217"/>
        <v>0</v>
      </c>
      <c r="BJ76" s="770">
        <f t="shared" si="217"/>
        <v>0</v>
      </c>
      <c r="BK76" s="770">
        <f t="shared" si="217"/>
        <v>0</v>
      </c>
      <c r="BL76" s="49"/>
      <c r="BM76" s="49"/>
      <c r="BN76" s="49"/>
    </row>
    <row r="77" spans="1:66">
      <c r="A77" s="699"/>
      <c r="B77" s="51" t="s">
        <v>1064</v>
      </c>
      <c r="C77" s="51"/>
      <c r="D77" s="51"/>
      <c r="E77" s="51"/>
      <c r="F77" s="57">
        <f ca="1">+IF(F76&gt;0,F76/Assumptions!$F$48,0)</f>
        <v>0</v>
      </c>
      <c r="G77" s="57">
        <f ca="1">+IF(G76&gt;0,G76/Assumptions!$F$48,0)</f>
        <v>0</v>
      </c>
      <c r="H77" s="57">
        <f ca="1">+IF(H76&gt;0,H76/Assumptions!$F$48,0)</f>
        <v>0</v>
      </c>
      <c r="I77" s="57">
        <f ca="1">+IF(I76&gt;0,I76/Assumptions!$F$48,0)</f>
        <v>0</v>
      </c>
      <c r="J77" s="57">
        <f ca="1">+IF(J76&gt;0,J76/Assumptions!$F$48,0)</f>
        <v>0</v>
      </c>
      <c r="K77" s="57">
        <f ca="1">+IF(K76&gt;0,K76/Assumptions!$F$48,0)</f>
        <v>0</v>
      </c>
      <c r="L77" s="57">
        <f ca="1">+IF(L76&gt;0,L76/Assumptions!$F$48,0)</f>
        <v>40353474.712211922</v>
      </c>
      <c r="M77" s="57">
        <f ca="1">+IF(M76&gt;0,M76/Assumptions!$F$48,0)</f>
        <v>46643365.503164284</v>
      </c>
      <c r="N77" s="57">
        <f ca="1">+IF(N76&gt;0,N76/Assumptions!$F$48,0)</f>
        <v>46608830.324496172</v>
      </c>
      <c r="O77" s="57">
        <f ca="1">+IF(O76&gt;0,O76/Assumptions!$F$48,0)</f>
        <v>46573259.090468034</v>
      </c>
      <c r="P77" s="57">
        <f ca="1">+IF(P76&gt;0,P76/Assumptions!$F$48,0)</f>
        <v>46510161.980176091</v>
      </c>
      <c r="Q77" s="57">
        <f ca="1">+IF(Q76&gt;0,Q76/Assumptions!$F$48,0)</f>
        <v>46472424.457995638</v>
      </c>
      <c r="R77" s="57">
        <f ca="1">+IF(R76&gt;0,R76/Assumptions!$F$48,0)</f>
        <v>53735029.225179642</v>
      </c>
      <c r="S77" s="57">
        <f ca="1">+IF(S76&gt;0,S76/Assumptions!$F$48,0)</f>
        <v>53667740.98647815</v>
      </c>
      <c r="T77" s="57">
        <f ca="1">+IF(T76&gt;0,T76/Assumptions!$F$48,0)</f>
        <v>53626504.177078463</v>
      </c>
      <c r="U77" s="57">
        <f ca="1">+IF(U76&gt;0,U76/Assumptions!$F$48,0)</f>
        <v>53584030.263396792</v>
      </c>
      <c r="V77" s="57">
        <f ca="1">+IF(V76&gt;0,V76/Assumptions!$F$48,0)</f>
        <v>53512212.055841818</v>
      </c>
      <c r="W77" s="57">
        <f ca="1">+IF(W76&gt;0,W76/Assumptions!$F$48,0)</f>
        <v>61863847.058101289</v>
      </c>
      <c r="X77" s="57">
        <f ca="1">+IF(X76&gt;0,X76/Assumptions!$F$48,0)</f>
        <v>61817434.66582565</v>
      </c>
      <c r="Y77" s="57">
        <f ca="1">+IF(Y76&gt;0,Y76/Assumptions!$F$48,0)</f>
        <v>61740717.723025009</v>
      </c>
      <c r="Z77" s="57">
        <f ca="1">+IF(Z76&gt;0,Z76/Assumptions!$F$48,0)</f>
        <v>61691478.816059791</v>
      </c>
      <c r="AA77" s="699"/>
      <c r="AB77" s="699"/>
      <c r="AC77" s="151"/>
      <c r="AD77" s="699"/>
      <c r="AE77" s="49"/>
      <c r="AF77" s="49"/>
      <c r="AG77" s="49"/>
      <c r="AH77" s="49"/>
      <c r="AI77" s="49"/>
      <c r="AJ77" s="49"/>
      <c r="AK77" s="49"/>
      <c r="AL77" s="49"/>
      <c r="AM77" s="49"/>
      <c r="AN77" s="49"/>
      <c r="AO77" s="49"/>
      <c r="AP77" s="49"/>
      <c r="AQ77" s="49"/>
      <c r="AR77" s="49"/>
      <c r="AS77" s="49"/>
      <c r="AT77" s="49"/>
      <c r="AU77" s="49"/>
      <c r="AV77" s="49"/>
      <c r="AW77" s="49"/>
      <c r="AX77" s="49"/>
      <c r="AY77" s="49"/>
      <c r="AZ77" s="49"/>
      <c r="BA77" s="49"/>
      <c r="BB77" s="49"/>
      <c r="BC77" s="49"/>
      <c r="BD77" s="49"/>
      <c r="BE77" s="49"/>
      <c r="BF77" s="49"/>
      <c r="BG77" s="49"/>
      <c r="BH77" s="49"/>
      <c r="BI77" s="49"/>
      <c r="BJ77" s="49"/>
      <c r="BK77" s="49"/>
      <c r="BL77" s="49"/>
      <c r="BM77" s="49"/>
      <c r="BN77" s="49"/>
    </row>
    <row r="78" spans="1:66">
      <c r="A78" s="699"/>
      <c r="B78" s="699"/>
      <c r="C78" s="699"/>
      <c r="D78" s="699"/>
      <c r="E78" s="699"/>
      <c r="F78" s="699"/>
      <c r="G78" s="699"/>
      <c r="H78" s="699"/>
      <c r="I78" s="699"/>
      <c r="J78" s="699"/>
      <c r="K78" s="699"/>
      <c r="L78" s="699"/>
      <c r="M78" s="699"/>
      <c r="N78" s="699"/>
      <c r="O78" s="699"/>
      <c r="P78" s="699"/>
      <c r="Q78" s="699"/>
      <c r="R78" s="699"/>
      <c r="S78" s="699"/>
      <c r="T78" s="699"/>
      <c r="U78" s="699"/>
      <c r="V78" s="699"/>
      <c r="W78" s="699"/>
      <c r="X78" s="699"/>
      <c r="Y78" s="699"/>
      <c r="Z78" s="699"/>
      <c r="AA78" s="699"/>
      <c r="AB78" s="699"/>
      <c r="AC78" s="151"/>
      <c r="AD78" s="699"/>
      <c r="AE78" s="49"/>
      <c r="AF78" s="49"/>
      <c r="AG78" s="49"/>
      <c r="AH78" s="49"/>
      <c r="AI78" s="49"/>
      <c r="AJ78" s="49"/>
      <c r="AK78" s="49"/>
      <c r="AL78" s="49"/>
      <c r="AM78" s="49" t="s">
        <v>1126</v>
      </c>
      <c r="AN78" s="49"/>
      <c r="AO78" s="49"/>
      <c r="AP78" s="49"/>
      <c r="AQ78" s="770">
        <v>1</v>
      </c>
      <c r="AR78" s="770">
        <f>+AQ78*(1+Assumptions!$AP$87)</f>
        <v>1.03</v>
      </c>
      <c r="AS78" s="770">
        <f>+AR78*(1+Assumptions!$AP$87)</f>
        <v>1.0609</v>
      </c>
      <c r="AT78" s="770">
        <f>+AS78*(1+Assumptions!$AP$87)</f>
        <v>1.092727</v>
      </c>
      <c r="AU78" s="770">
        <f>+AT78*(1+Assumptions!$AP$87)</f>
        <v>1.1255088100000001</v>
      </c>
      <c r="AV78" s="770">
        <f>+AU78*(1+Assumptions!$AP$87)</f>
        <v>1.1592740743000001</v>
      </c>
      <c r="AW78" s="770">
        <f>+AV78*(1+Assumptions!$AP$87)</f>
        <v>1.1940522965290001</v>
      </c>
      <c r="AX78" s="770">
        <f>+AW78*(1+Assumptions!$AP$87)</f>
        <v>1.2298738654248702</v>
      </c>
      <c r="AY78" s="770">
        <f>+AX78*(1+Assumptions!$AP$87)</f>
        <v>1.2667700813876164</v>
      </c>
      <c r="AZ78" s="770">
        <f>+AY78*(1+Assumptions!$AP$87)</f>
        <v>1.3047731838292449</v>
      </c>
      <c r="BA78" s="770">
        <f>+AZ78*(1+Assumptions!$AP$87)</f>
        <v>1.3439163793441222</v>
      </c>
      <c r="BB78" s="770">
        <f>+BA78*(1+Assumptions!$AP$87)</f>
        <v>1.3842338707244459</v>
      </c>
      <c r="BC78" s="770">
        <f>+BB78*(1+Assumptions!$AP$87)</f>
        <v>1.4257608868461793</v>
      </c>
      <c r="BD78" s="770">
        <f>+BC78*(1+Assumptions!$AP$87)</f>
        <v>1.4685337134515648</v>
      </c>
      <c r="BE78" s="770">
        <f>+BD78*(1+Assumptions!$AP$87)</f>
        <v>1.5125897248551119</v>
      </c>
      <c r="BF78" s="770">
        <f>+BE78*(1+Assumptions!$AP$87)</f>
        <v>1.5579674166007653</v>
      </c>
      <c r="BG78" s="770">
        <f>+BF78*(1+Assumptions!$AP$87)</f>
        <v>1.6047064390987884</v>
      </c>
      <c r="BH78" s="770">
        <f>+BG78*(1+Assumptions!$AP$87)</f>
        <v>1.652847632271752</v>
      </c>
      <c r="BI78" s="770">
        <f>+BH78*(1+Assumptions!$AP$87)</f>
        <v>1.7024330612399046</v>
      </c>
      <c r="BJ78" s="770">
        <f>+BI78*(1+Assumptions!$AP$87)</f>
        <v>1.7535060530771018</v>
      </c>
      <c r="BK78" s="770">
        <f>+BJ78*(1+Assumptions!$AP$87)</f>
        <v>1.806111234669415</v>
      </c>
      <c r="BL78" s="49"/>
      <c r="BM78" s="49"/>
      <c r="BN78" s="49"/>
    </row>
    <row r="79" spans="1:66" ht="15.75">
      <c r="A79" s="699"/>
      <c r="B79" s="53" t="s">
        <v>160</v>
      </c>
      <c r="C79" s="699"/>
      <c r="D79" s="699"/>
      <c r="E79" s="699"/>
      <c r="F79" s="54">
        <f>+Assumptions!$F$27</f>
        <v>45291</v>
      </c>
      <c r="G79" s="54">
        <f>+EOMONTH(F79,12)</f>
        <v>45657</v>
      </c>
      <c r="H79" s="54">
        <f t="shared" ref="H79" si="218">+EOMONTH(G79,12)</f>
        <v>46022</v>
      </c>
      <c r="I79" s="54">
        <f t="shared" ref="I79" si="219">+EOMONTH(H79,12)</f>
        <v>46387</v>
      </c>
      <c r="J79" s="54">
        <f t="shared" ref="J79" si="220">+EOMONTH(I79,12)</f>
        <v>46752</v>
      </c>
      <c r="K79" s="54">
        <f t="shared" ref="K79" si="221">+EOMONTH(J79,12)</f>
        <v>47118</v>
      </c>
      <c r="L79" s="54">
        <f t="shared" ref="L79" si="222">+EOMONTH(K79,12)</f>
        <v>47483</v>
      </c>
      <c r="M79" s="54">
        <f t="shared" ref="M79" si="223">+EOMONTH(L79,12)</f>
        <v>47848</v>
      </c>
      <c r="N79" s="54">
        <f t="shared" ref="N79" si="224">+EOMONTH(M79,12)</f>
        <v>48213</v>
      </c>
      <c r="O79" s="54">
        <f t="shared" ref="O79" si="225">+EOMONTH(N79,12)</f>
        <v>48579</v>
      </c>
      <c r="P79" s="54">
        <f t="shared" ref="P79" si="226">+EOMONTH(O79,12)</f>
        <v>48944</v>
      </c>
      <c r="Q79" s="54">
        <f t="shared" ref="Q79" si="227">+EOMONTH(P79,12)</f>
        <v>49309</v>
      </c>
      <c r="R79" s="54">
        <f t="shared" ref="R79" si="228">+EOMONTH(Q79,12)</f>
        <v>49674</v>
      </c>
      <c r="S79" s="54">
        <f t="shared" ref="S79" si="229">+EOMONTH(R79,12)</f>
        <v>50040</v>
      </c>
      <c r="T79" s="54">
        <f t="shared" ref="T79" si="230">+EOMONTH(S79,12)</f>
        <v>50405</v>
      </c>
      <c r="U79" s="54">
        <f t="shared" ref="U79" si="231">+EOMONTH(T79,12)</f>
        <v>50770</v>
      </c>
      <c r="V79" s="54">
        <f t="shared" ref="V79" si="232">+EOMONTH(U79,12)</f>
        <v>51135</v>
      </c>
      <c r="W79" s="54">
        <f t="shared" ref="W79" si="233">+EOMONTH(V79,12)</f>
        <v>51501</v>
      </c>
      <c r="X79" s="54">
        <f t="shared" ref="X79" si="234">+EOMONTH(W79,12)</f>
        <v>51866</v>
      </c>
      <c r="Y79" s="54">
        <f t="shared" ref="Y79" si="235">+EOMONTH(X79,12)</f>
        <v>52231</v>
      </c>
      <c r="Z79" s="54">
        <f t="shared" ref="Z79" si="236">+EOMONTH(Y79,12)</f>
        <v>52596</v>
      </c>
      <c r="AA79" s="699"/>
      <c r="AB79" s="699"/>
      <c r="AC79" s="151"/>
      <c r="AD79" s="699"/>
      <c r="AE79" s="49"/>
      <c r="AF79" s="49"/>
      <c r="AG79" s="49"/>
      <c r="AH79" s="49"/>
      <c r="AI79" s="49"/>
      <c r="AJ79" s="49"/>
      <c r="AK79" s="49"/>
      <c r="AL79" s="49"/>
      <c r="AM79" s="49" t="s">
        <v>1127</v>
      </c>
      <c r="AN79" s="49"/>
      <c r="AO79" s="49"/>
      <c r="AP79" s="49"/>
      <c r="AQ79" s="770">
        <v>1</v>
      </c>
      <c r="AR79" s="770">
        <f>+AQ79*(1+Assumptions!$AP$98)</f>
        <v>1.03</v>
      </c>
      <c r="AS79" s="770">
        <f>+AR79*(1+Assumptions!$AP$98)</f>
        <v>1.0609</v>
      </c>
      <c r="AT79" s="770">
        <f>+AS79*(1+Assumptions!$AP$98)</f>
        <v>1.092727</v>
      </c>
      <c r="AU79" s="770">
        <f>+AT79*(1+Assumptions!$AP$98)</f>
        <v>1.1255088100000001</v>
      </c>
      <c r="AV79" s="770">
        <f>+AU79*(1+Assumptions!$AP$98)</f>
        <v>1.1592740743000001</v>
      </c>
      <c r="AW79" s="770">
        <f>+AV79*(1+Assumptions!$AP$98)</f>
        <v>1.1940522965290001</v>
      </c>
      <c r="AX79" s="770">
        <f>+AW79*(1+Assumptions!$AP$98)</f>
        <v>1.2298738654248702</v>
      </c>
      <c r="AY79" s="770">
        <f>+AX79*(1+Assumptions!$AP$98)</f>
        <v>1.2667700813876164</v>
      </c>
      <c r="AZ79" s="770">
        <f>+AY79*(1+Assumptions!$AP$98)</f>
        <v>1.3047731838292449</v>
      </c>
      <c r="BA79" s="770">
        <f>+AZ79*(1+Assumptions!$AP$98)</f>
        <v>1.3439163793441222</v>
      </c>
      <c r="BB79" s="770">
        <f>+BA79*(1+Assumptions!$AP$98)</f>
        <v>1.3842338707244459</v>
      </c>
      <c r="BC79" s="770">
        <f>+BB79*(1+Assumptions!$AP$98)</f>
        <v>1.4257608868461793</v>
      </c>
      <c r="BD79" s="770">
        <f>+BC79*(1+Assumptions!$AP$98)</f>
        <v>1.4685337134515648</v>
      </c>
      <c r="BE79" s="770">
        <f>+BD79*(1+Assumptions!$AP$98)</f>
        <v>1.5125897248551119</v>
      </c>
      <c r="BF79" s="770">
        <f>+BE79*(1+Assumptions!$AP$98)</f>
        <v>1.5579674166007653</v>
      </c>
      <c r="BG79" s="770">
        <f>+BF79*(1+Assumptions!$AP$98)</f>
        <v>1.6047064390987884</v>
      </c>
      <c r="BH79" s="770">
        <f>+BG79*(1+Assumptions!$AP$98)</f>
        <v>1.652847632271752</v>
      </c>
      <c r="BI79" s="770">
        <f>+BH79*(1+Assumptions!$AP$98)</f>
        <v>1.7024330612399046</v>
      </c>
      <c r="BJ79" s="770">
        <f>+BI79*(1+Assumptions!$AP$98)</f>
        <v>1.7535060530771018</v>
      </c>
      <c r="BK79" s="770">
        <f>+BJ79*(1+Assumptions!$AP$98)</f>
        <v>1.806111234669415</v>
      </c>
      <c r="BL79" s="49"/>
      <c r="BM79" s="49"/>
      <c r="BN79" s="49"/>
    </row>
    <row r="80" spans="1:66">
      <c r="A80" s="699"/>
      <c r="B80" s="699" t="s">
        <v>1138</v>
      </c>
      <c r="C80" s="699"/>
      <c r="D80" s="699"/>
      <c r="E80" s="1050"/>
      <c r="F80" s="1050">
        <f>+IF(AND(F79&gt;=Assumptions!$F$31,F79&lt;Assumptions!$F$33),Assumptions!$F$124/ROUNDUP((Assumptions!$F$32/12),0),)</f>
        <v>0</v>
      </c>
      <c r="G80" s="1050">
        <f>+IF(AND(G79&gt;=Assumptions!$F$31,G79&lt;Assumptions!$F$33),Assumptions!$F$124/ROUNDUP((Assumptions!$F$32/12),0),)</f>
        <v>0</v>
      </c>
      <c r="H80" s="1050">
        <f>+IF(AND(H79&gt;=Assumptions!$F$31,H79&lt;Assumptions!$F$33),Assumptions!$F$124/ROUNDUP((Assumptions!$F$32/12),0),)</f>
        <v>0</v>
      </c>
      <c r="I80" s="1050">
        <f>+IF(AND(I79&gt;=Assumptions!$F$31,I79&lt;Assumptions!$F$33),Assumptions!$F$124/ROUNDUP((Assumptions!$F$32/12),0),)</f>
        <v>0</v>
      </c>
      <c r="J80" s="1050">
        <f>+IF(AND(J79&gt;=Assumptions!$F$31,J79&lt;Assumptions!$F$33),Assumptions!$F$124/ROUNDUP((Assumptions!$F$32/12),0),)</f>
        <v>42226.125</v>
      </c>
      <c r="K80" s="1050">
        <f>+IF(AND(K79&gt;=Assumptions!$F$31,K79&lt;Assumptions!$F$33),Assumptions!$F$124/ROUNDUP((Assumptions!$F$32/12),0),)</f>
        <v>42226.125</v>
      </c>
      <c r="L80" s="1050">
        <f>+IF(AND(L79&gt;=Assumptions!$F$31,L79&lt;Assumptions!$F$33),Assumptions!$F$124/ROUNDUP((Assumptions!$F$32/12),0),)</f>
        <v>0</v>
      </c>
      <c r="M80" s="1050">
        <f>+IF(AND(M79&gt;=Assumptions!$F$31,M79&lt;Assumptions!$F$33),Assumptions!$F$124/ROUNDUP((Assumptions!$F$32/12),0),)</f>
        <v>0</v>
      </c>
      <c r="N80" s="1050">
        <f>+IF(AND(N79&gt;=Assumptions!$F$31,N79&lt;Assumptions!$F$33),Assumptions!$F$124/ROUNDUP((Assumptions!$F$32/12),0),)</f>
        <v>0</v>
      </c>
      <c r="O80" s="1050">
        <f>+IF(AND(O79&gt;=Assumptions!$F$31,O79&lt;Assumptions!$F$33),Assumptions!$F$124/ROUNDUP((Assumptions!$F$32/12),0),)</f>
        <v>0</v>
      </c>
      <c r="P80" s="1050">
        <f>+IF(AND(P79&gt;=Assumptions!$F$31,P79&lt;Assumptions!$F$33),Assumptions!$F$124/ROUNDUP((Assumptions!$F$32/12),0),)</f>
        <v>0</v>
      </c>
      <c r="Q80" s="1050">
        <f>+IF(AND(Q79&gt;=Assumptions!$F$31,Q79&lt;Assumptions!$F$33),Assumptions!$F$124/ROUNDUP((Assumptions!$F$32/12),0),)</f>
        <v>0</v>
      </c>
      <c r="R80" s="1050">
        <f>+IF(AND(R79&gt;=Assumptions!$F$31,R79&lt;Assumptions!$F$33),Assumptions!$F$124/ROUNDUP((Assumptions!$F$32/12),0),)</f>
        <v>0</v>
      </c>
      <c r="S80" s="1050">
        <f>+IF(AND(S79&gt;=Assumptions!$F$31,S79&lt;Assumptions!$F$33),Assumptions!$F$124/ROUNDUP((Assumptions!$F$32/12),0),)</f>
        <v>0</v>
      </c>
      <c r="T80" s="1050">
        <f>+IF(AND(T79&gt;=Assumptions!$F$31,T79&lt;Assumptions!$F$33),Assumptions!$F$124/ROUNDUP((Assumptions!$F$32/12),0),)</f>
        <v>0</v>
      </c>
      <c r="U80" s="1050">
        <f>+IF(AND(U79&gt;=Assumptions!$F$31,U79&lt;Assumptions!$F$33),Assumptions!$F$124/ROUNDUP((Assumptions!$F$32/12),0),)</f>
        <v>0</v>
      </c>
      <c r="V80" s="1050">
        <f>+IF(AND(V79&gt;=Assumptions!$F$31,V79&lt;Assumptions!$F$33),Assumptions!$F$124/ROUNDUP((Assumptions!$F$32/12),0),)</f>
        <v>0</v>
      </c>
      <c r="W80" s="1050">
        <f>+IF(AND(W79&gt;=Assumptions!$F$31,W79&lt;Assumptions!$F$33),Assumptions!$F$124/ROUNDUP((Assumptions!$F$32/12),0),)</f>
        <v>0</v>
      </c>
      <c r="X80" s="1050">
        <f>+IF(AND(X79&gt;=Assumptions!$F$31,X79&lt;Assumptions!$F$33),Assumptions!$F$124/ROUNDUP((Assumptions!$F$32/12),0),)</f>
        <v>0</v>
      </c>
      <c r="Y80" s="1050">
        <f>+IF(AND(Y79&gt;=Assumptions!$F$31,Y79&lt;Assumptions!$F$33),Assumptions!$F$124/ROUNDUP((Assumptions!$F$32/12),0),)</f>
        <v>0</v>
      </c>
      <c r="Z80" s="1050">
        <f>+IF(AND(Z79&gt;=Assumptions!$F$31,Z79&lt;Assumptions!$F$33),Assumptions!$F$124/ROUNDUP((Assumptions!$F$32/12),0),)</f>
        <v>0</v>
      </c>
      <c r="AA80" s="699"/>
      <c r="AB80" s="699"/>
      <c r="AC80" s="151"/>
      <c r="AD80" s="69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49"/>
      <c r="AY80" s="49"/>
      <c r="AZ80" s="49"/>
      <c r="BA80" s="49"/>
      <c r="BB80" s="49"/>
      <c r="BC80" s="49"/>
      <c r="BD80" s="49"/>
      <c r="BE80" s="49"/>
      <c r="BF80" s="49"/>
      <c r="BG80" s="49"/>
      <c r="BH80" s="49"/>
      <c r="BI80" s="49"/>
      <c r="BJ80" s="49"/>
      <c r="BK80" s="49"/>
      <c r="BL80" s="49"/>
      <c r="BM80" s="49"/>
      <c r="BN80" s="49"/>
    </row>
    <row r="81" spans="1:66">
      <c r="A81" s="699"/>
      <c r="B81" s="699" t="s">
        <v>1121</v>
      </c>
      <c r="C81" s="699"/>
      <c r="D81" s="699"/>
      <c r="E81" s="1050">
        <v>0</v>
      </c>
      <c r="F81" s="1050">
        <f>+E81+F80</f>
        <v>0</v>
      </c>
      <c r="G81" s="1050">
        <f t="shared" ref="G81:Z81" si="237">+F81+G80</f>
        <v>0</v>
      </c>
      <c r="H81" s="1050">
        <f t="shared" si="237"/>
        <v>0</v>
      </c>
      <c r="I81" s="1050">
        <f t="shared" si="237"/>
        <v>0</v>
      </c>
      <c r="J81" s="1050">
        <f t="shared" si="237"/>
        <v>42226.125</v>
      </c>
      <c r="K81" s="1050">
        <f t="shared" si="237"/>
        <v>84452.25</v>
      </c>
      <c r="L81" s="1050">
        <f t="shared" si="237"/>
        <v>84452.25</v>
      </c>
      <c r="M81" s="1050">
        <f t="shared" si="237"/>
        <v>84452.25</v>
      </c>
      <c r="N81" s="1050">
        <f t="shared" si="237"/>
        <v>84452.25</v>
      </c>
      <c r="O81" s="1050">
        <f t="shared" si="237"/>
        <v>84452.25</v>
      </c>
      <c r="P81" s="1050">
        <f t="shared" si="237"/>
        <v>84452.25</v>
      </c>
      <c r="Q81" s="1050">
        <f t="shared" si="237"/>
        <v>84452.25</v>
      </c>
      <c r="R81" s="1050">
        <f t="shared" si="237"/>
        <v>84452.25</v>
      </c>
      <c r="S81" s="1050">
        <f t="shared" si="237"/>
        <v>84452.25</v>
      </c>
      <c r="T81" s="1050">
        <f t="shared" si="237"/>
        <v>84452.25</v>
      </c>
      <c r="U81" s="1050">
        <f t="shared" si="237"/>
        <v>84452.25</v>
      </c>
      <c r="V81" s="1050">
        <f t="shared" si="237"/>
        <v>84452.25</v>
      </c>
      <c r="W81" s="1050">
        <f t="shared" si="237"/>
        <v>84452.25</v>
      </c>
      <c r="X81" s="1050">
        <f t="shared" si="237"/>
        <v>84452.25</v>
      </c>
      <c r="Y81" s="1050">
        <f t="shared" si="237"/>
        <v>84452.25</v>
      </c>
      <c r="Z81" s="1050">
        <f t="shared" si="237"/>
        <v>84452.25</v>
      </c>
      <c r="AA81" s="699"/>
      <c r="AB81" s="699"/>
      <c r="AC81" s="151"/>
      <c r="AD81" s="699"/>
      <c r="AE81" s="49"/>
      <c r="AF81" s="49"/>
      <c r="AG81" s="49"/>
      <c r="AH81" s="49"/>
      <c r="AI81" s="49"/>
      <c r="AJ81" s="49"/>
      <c r="AK81" s="49"/>
      <c r="AL81" s="49"/>
      <c r="AM81" s="49" t="s">
        <v>1128</v>
      </c>
      <c r="AN81" s="49"/>
      <c r="AO81" s="49"/>
      <c r="AP81" s="49"/>
      <c r="AQ81" s="771">
        <f>+AQ76*Assumptions!$F$254*AQ78</f>
        <v>0</v>
      </c>
      <c r="AR81" s="771">
        <f>+AR76*Assumptions!$F$254*AR78</f>
        <v>0</v>
      </c>
      <c r="AS81" s="771">
        <f>+AS76*Assumptions!$F$254*AS78</f>
        <v>0</v>
      </c>
      <c r="AT81" s="771">
        <f>+AT76*Assumptions!$F$254*AT78</f>
        <v>0</v>
      </c>
      <c r="AU81" s="771">
        <f>+AU76*Assumptions!$F$254*AU78</f>
        <v>0</v>
      </c>
      <c r="AV81" s="771">
        <f>+AV76*Assumptions!$F$254*AV78</f>
        <v>0</v>
      </c>
      <c r="AW81" s="771">
        <f>+AW76*Assumptions!$F$254*AW78</f>
        <v>0</v>
      </c>
      <c r="AX81" s="771">
        <f>+AX76*Assumptions!$F$254*AX78</f>
        <v>0</v>
      </c>
      <c r="AY81" s="771">
        <f>+AY76*Assumptions!$F$254*AY78</f>
        <v>0</v>
      </c>
      <c r="AZ81" s="771">
        <f>+AZ76*Assumptions!$F$254*AZ78</f>
        <v>0</v>
      </c>
      <c r="BA81" s="771">
        <f>+BA76*Assumptions!$F$254*BA78</f>
        <v>0</v>
      </c>
      <c r="BB81" s="771">
        <f>+BB76*Assumptions!$F$254*BB78</f>
        <v>0</v>
      </c>
      <c r="BC81" s="771">
        <f>+BC76*Assumptions!$F$254*BC78</f>
        <v>0</v>
      </c>
      <c r="BD81" s="771">
        <f>+BD76*Assumptions!$F$254*BD78</f>
        <v>0</v>
      </c>
      <c r="BE81" s="771">
        <f>+BE76*Assumptions!$F$254*BE78</f>
        <v>0</v>
      </c>
      <c r="BF81" s="771">
        <f>+BF76*Assumptions!$F$254*BF78</f>
        <v>0</v>
      </c>
      <c r="BG81" s="771">
        <f>+BG76*Assumptions!$F$254*BG78</f>
        <v>0</v>
      </c>
      <c r="BH81" s="771">
        <f>+BH76*Assumptions!$F$254*BH78</f>
        <v>0</v>
      </c>
      <c r="BI81" s="771">
        <f>+BI76*Assumptions!$F$254*BI78</f>
        <v>0</v>
      </c>
      <c r="BJ81" s="771">
        <f>+BJ76*Assumptions!$F$254*BJ78</f>
        <v>0</v>
      </c>
      <c r="BK81" s="771">
        <f>+BK76*Assumptions!$F$254*BK78</f>
        <v>0</v>
      </c>
      <c r="BL81" s="49"/>
      <c r="BM81" s="49"/>
      <c r="BN81" s="49"/>
    </row>
    <row r="82" spans="1:66">
      <c r="A82" s="699"/>
      <c r="B82" s="699" t="s">
        <v>1125</v>
      </c>
      <c r="C82" s="699"/>
      <c r="D82" s="699"/>
      <c r="E82" s="699"/>
      <c r="F82" s="1074">
        <f t="shared" ref="F82:Z82" si="238">+IFERROR(F81/SUM($F$80:$Z$80),0)</f>
        <v>0</v>
      </c>
      <c r="G82" s="1074">
        <f t="shared" si="238"/>
        <v>0</v>
      </c>
      <c r="H82" s="1074">
        <f t="shared" si="238"/>
        <v>0</v>
      </c>
      <c r="I82" s="1074">
        <f t="shared" si="238"/>
        <v>0</v>
      </c>
      <c r="J82" s="1074">
        <f t="shared" si="238"/>
        <v>0.5</v>
      </c>
      <c r="K82" s="1074">
        <f t="shared" si="238"/>
        <v>1</v>
      </c>
      <c r="L82" s="1074">
        <f t="shared" si="238"/>
        <v>1</v>
      </c>
      <c r="M82" s="1074">
        <f t="shared" si="238"/>
        <v>1</v>
      </c>
      <c r="N82" s="1074">
        <f t="shared" si="238"/>
        <v>1</v>
      </c>
      <c r="O82" s="1074">
        <f t="shared" si="238"/>
        <v>1</v>
      </c>
      <c r="P82" s="1074">
        <f t="shared" si="238"/>
        <v>1</v>
      </c>
      <c r="Q82" s="1074">
        <f t="shared" si="238"/>
        <v>1</v>
      </c>
      <c r="R82" s="1074">
        <f t="shared" si="238"/>
        <v>1</v>
      </c>
      <c r="S82" s="1074">
        <f t="shared" si="238"/>
        <v>1</v>
      </c>
      <c r="T82" s="1074">
        <f t="shared" si="238"/>
        <v>1</v>
      </c>
      <c r="U82" s="1074">
        <f t="shared" si="238"/>
        <v>1</v>
      </c>
      <c r="V82" s="1074">
        <f t="shared" si="238"/>
        <v>1</v>
      </c>
      <c r="W82" s="1074">
        <f t="shared" si="238"/>
        <v>1</v>
      </c>
      <c r="X82" s="1074">
        <f t="shared" si="238"/>
        <v>1</v>
      </c>
      <c r="Y82" s="1074">
        <f t="shared" si="238"/>
        <v>1</v>
      </c>
      <c r="Z82" s="1074">
        <f t="shared" si="238"/>
        <v>1</v>
      </c>
      <c r="AA82" s="699"/>
      <c r="AB82" s="699"/>
      <c r="AC82" s="151"/>
      <c r="AD82" s="699"/>
      <c r="AE82" s="49"/>
      <c r="AF82" s="49"/>
      <c r="AG82" s="49"/>
      <c r="AH82" s="49"/>
      <c r="AI82" s="49"/>
      <c r="AJ82" s="49"/>
      <c r="AK82" s="49"/>
      <c r="AL82" s="49"/>
      <c r="AM82" s="49" t="s">
        <v>1129</v>
      </c>
      <c r="AN82" s="49"/>
      <c r="AO82" s="49"/>
      <c r="AP82" s="49"/>
      <c r="AQ82" s="90">
        <f>-Assumptions!$E$99*'Phase 1 Pro Forma'!AQ81</f>
        <v>0</v>
      </c>
      <c r="AR82" s="90">
        <f>-Assumptions!$E$99*'Phase 1 Pro Forma'!AR81</f>
        <v>0</v>
      </c>
      <c r="AS82" s="90">
        <f>-Assumptions!$E$99*'Phase 1 Pro Forma'!AS81</f>
        <v>0</v>
      </c>
      <c r="AT82" s="90">
        <f>-Assumptions!$E$99*'Phase 1 Pro Forma'!AT81</f>
        <v>0</v>
      </c>
      <c r="AU82" s="90">
        <f>-Assumptions!$E$99*'Phase 1 Pro Forma'!AU81</f>
        <v>0</v>
      </c>
      <c r="AV82" s="90">
        <f>-Assumptions!$E$99*'Phase 1 Pro Forma'!AV81</f>
        <v>0</v>
      </c>
      <c r="AW82" s="90">
        <f>-Assumptions!$E$99*'Phase 1 Pro Forma'!AW81</f>
        <v>0</v>
      </c>
      <c r="AX82" s="90">
        <f>-Assumptions!$E$99*'Phase 1 Pro Forma'!AX81</f>
        <v>0</v>
      </c>
      <c r="AY82" s="90">
        <f>-Assumptions!$E$99*'Phase 1 Pro Forma'!AY81</f>
        <v>0</v>
      </c>
      <c r="AZ82" s="90">
        <f>-Assumptions!$E$99*'Phase 1 Pro Forma'!AZ81</f>
        <v>0</v>
      </c>
      <c r="BA82" s="90">
        <f>-Assumptions!$E$99*'Phase 1 Pro Forma'!BA81</f>
        <v>0</v>
      </c>
      <c r="BB82" s="90">
        <f>-Assumptions!$E$99*'Phase 1 Pro Forma'!BB81</f>
        <v>0</v>
      </c>
      <c r="BC82" s="90">
        <f>-Assumptions!$E$99*'Phase 1 Pro Forma'!BC81</f>
        <v>0</v>
      </c>
      <c r="BD82" s="90">
        <f>-Assumptions!$E$99*'Phase 1 Pro Forma'!BD81</f>
        <v>0</v>
      </c>
      <c r="BE82" s="90">
        <f>-Assumptions!$E$99*'Phase 1 Pro Forma'!BE81</f>
        <v>0</v>
      </c>
      <c r="BF82" s="90">
        <f>-Assumptions!$E$99*'Phase 1 Pro Forma'!BF81</f>
        <v>0</v>
      </c>
      <c r="BG82" s="90">
        <f>-Assumptions!$E$99*'Phase 1 Pro Forma'!BG81</f>
        <v>0</v>
      </c>
      <c r="BH82" s="90">
        <f>-Assumptions!$E$99*'Phase 1 Pro Forma'!BH81</f>
        <v>0</v>
      </c>
      <c r="BI82" s="90">
        <f>-Assumptions!$E$99*'Phase 1 Pro Forma'!BI81</f>
        <v>0</v>
      </c>
      <c r="BJ82" s="90">
        <f>-Assumptions!$E$99*'Phase 1 Pro Forma'!BJ81</f>
        <v>0</v>
      </c>
      <c r="BK82" s="90">
        <f>-Assumptions!$E$99*'Phase 1 Pro Forma'!BK81</f>
        <v>0</v>
      </c>
      <c r="BL82" s="49"/>
      <c r="BM82" s="49"/>
      <c r="BN82" s="49"/>
    </row>
    <row r="83" spans="1:66">
      <c r="A83" s="699"/>
      <c r="B83" s="699"/>
      <c r="C83" s="699"/>
      <c r="D83" s="699"/>
      <c r="E83" s="699"/>
      <c r="F83" s="699"/>
      <c r="G83" s="699"/>
      <c r="H83" s="699"/>
      <c r="I83" s="699"/>
      <c r="J83" s="699"/>
      <c r="K83" s="699"/>
      <c r="L83" s="699"/>
      <c r="M83" s="699"/>
      <c r="N83" s="699"/>
      <c r="O83" s="699"/>
      <c r="P83" s="699"/>
      <c r="Q83" s="699"/>
      <c r="R83" s="699"/>
      <c r="S83" s="699"/>
      <c r="T83" s="699"/>
      <c r="U83" s="699"/>
      <c r="V83" s="699"/>
      <c r="W83" s="699"/>
      <c r="X83" s="699"/>
      <c r="Y83" s="699"/>
      <c r="Z83" s="699"/>
      <c r="AA83" s="699"/>
      <c r="AB83" s="699"/>
      <c r="AC83" s="151"/>
      <c r="AD83" s="699"/>
      <c r="AE83" s="49"/>
      <c r="AF83" s="49"/>
      <c r="AG83" s="49"/>
      <c r="AH83" s="49"/>
      <c r="AI83" s="49"/>
      <c r="AJ83" s="49"/>
      <c r="AK83" s="49"/>
      <c r="AL83" s="49"/>
      <c r="AM83" s="49" t="s">
        <v>1130</v>
      </c>
      <c r="AN83" s="49"/>
      <c r="AO83" s="49"/>
      <c r="AP83" s="49"/>
      <c r="AQ83" s="90">
        <f>-AQ81*Assumptions!$AP$78</f>
        <v>0</v>
      </c>
      <c r="AR83" s="90">
        <f>-AR81*Assumptions!$AP$78</f>
        <v>0</v>
      </c>
      <c r="AS83" s="90">
        <f>-AS81*Assumptions!$AP$78</f>
        <v>0</v>
      </c>
      <c r="AT83" s="90">
        <f>-AT81*Assumptions!$AP$78</f>
        <v>0</v>
      </c>
      <c r="AU83" s="90">
        <f>-AU81*Assumptions!$AP$78</f>
        <v>0</v>
      </c>
      <c r="AV83" s="90">
        <f>-AV81*Assumptions!$AP$78</f>
        <v>0</v>
      </c>
      <c r="AW83" s="90">
        <f>-AW81*Assumptions!$AP$78</f>
        <v>0</v>
      </c>
      <c r="AX83" s="90">
        <f>-AX81*Assumptions!$AP$78</f>
        <v>0</v>
      </c>
      <c r="AY83" s="90">
        <f>-AY81*Assumptions!$AP$78</f>
        <v>0</v>
      </c>
      <c r="AZ83" s="90">
        <f>-AZ81*Assumptions!$AP$78</f>
        <v>0</v>
      </c>
      <c r="BA83" s="90">
        <f>-BA81*Assumptions!$AP$78</f>
        <v>0</v>
      </c>
      <c r="BB83" s="90">
        <f>-BB81*Assumptions!$AP$78</f>
        <v>0</v>
      </c>
      <c r="BC83" s="90">
        <f>-BC81*Assumptions!$AP$78</f>
        <v>0</v>
      </c>
      <c r="BD83" s="90">
        <f>-BD81*Assumptions!$AP$78</f>
        <v>0</v>
      </c>
      <c r="BE83" s="90">
        <f>-BE81*Assumptions!$AP$78</f>
        <v>0</v>
      </c>
      <c r="BF83" s="90">
        <f>-BF81*Assumptions!$AP$78</f>
        <v>0</v>
      </c>
      <c r="BG83" s="90">
        <f>-BG81*Assumptions!$AP$78</f>
        <v>0</v>
      </c>
      <c r="BH83" s="90">
        <f>-BH81*Assumptions!$AP$78</f>
        <v>0</v>
      </c>
      <c r="BI83" s="90">
        <f>-BI81*Assumptions!$AP$78</f>
        <v>0</v>
      </c>
      <c r="BJ83" s="90">
        <f>-BJ81*Assumptions!$AP$78</f>
        <v>0</v>
      </c>
      <c r="BK83" s="90">
        <f>-BK81*Assumptions!$AP$78</f>
        <v>0</v>
      </c>
      <c r="BL83" s="49"/>
      <c r="BM83" s="49"/>
      <c r="BN83" s="49"/>
    </row>
    <row r="84" spans="1:66">
      <c r="A84" s="699"/>
      <c r="B84" s="699" t="s">
        <v>1126</v>
      </c>
      <c r="C84" s="699"/>
      <c r="D84" s="699"/>
      <c r="E84" s="699"/>
      <c r="F84" s="1074">
        <v>1</v>
      </c>
      <c r="G84" s="1074">
        <f>+IF(MOD(G$2,Assumptions!$N$73)=(Assumptions!$N$73-1),'Phase 1 Pro Forma'!F84*(1+Assumptions!$N$72),'Phase 1 Pro Forma'!F84)</f>
        <v>1</v>
      </c>
      <c r="H84" s="1074">
        <f>+IF(MOD(H$2,Assumptions!$N$73)=(Assumptions!$N$73-1),'Phase 1 Pro Forma'!G84*(1+Assumptions!$N$72),'Phase 1 Pro Forma'!G84)</f>
        <v>1</v>
      </c>
      <c r="I84" s="1074">
        <f>+IF(MOD(I$2,Assumptions!$N$73)=(Assumptions!$N$73-1),'Phase 1 Pro Forma'!H84*(1+Assumptions!$N$72),'Phase 1 Pro Forma'!H84)</f>
        <v>1</v>
      </c>
      <c r="J84" s="1074">
        <f>+IF(MOD(J$2,Assumptions!$N$73)=(Assumptions!$N$73-1),'Phase 1 Pro Forma'!I84*(1+Assumptions!$N$72),'Phase 1 Pro Forma'!I84)</f>
        <v>1</v>
      </c>
      <c r="K84" s="1074">
        <f>+IF(MOD(K$2,Assumptions!$N$73)=(Assumptions!$N$73-1),'Phase 1 Pro Forma'!J84*(1+Assumptions!$N$72),'Phase 1 Pro Forma'!J84)</f>
        <v>1</v>
      </c>
      <c r="L84" s="1074">
        <f>+IF(MOD(L$2,Assumptions!$N$73)=(Assumptions!$N$73-1),'Phase 1 Pro Forma'!K84*(1+Assumptions!$N$72),'Phase 1 Pro Forma'!K84)</f>
        <v>1</v>
      </c>
      <c r="M84" s="1074">
        <f>+IF(MOD(M$2,Assumptions!$N$73)=(Assumptions!$N$73-1),'Phase 1 Pro Forma'!L84*(1+Assumptions!$N$72),'Phase 1 Pro Forma'!L84)</f>
        <v>1.1499999999999999</v>
      </c>
      <c r="N84" s="1074">
        <f>+IF(MOD(N$2,Assumptions!$N$73)=(Assumptions!$N$73-1),'Phase 1 Pro Forma'!M84*(1+Assumptions!$N$72),'Phase 1 Pro Forma'!M84)</f>
        <v>1.1499999999999999</v>
      </c>
      <c r="O84" s="1074">
        <f>+IF(MOD(O$2,Assumptions!$N$73)=(Assumptions!$N$73-1),'Phase 1 Pro Forma'!N84*(1+Assumptions!$N$72),'Phase 1 Pro Forma'!N84)</f>
        <v>1.1499999999999999</v>
      </c>
      <c r="P84" s="1074">
        <f>+IF(MOD(P$2,Assumptions!$N$73)=(Assumptions!$N$73-1),'Phase 1 Pro Forma'!O84*(1+Assumptions!$N$72),'Phase 1 Pro Forma'!O84)</f>
        <v>1.1499999999999999</v>
      </c>
      <c r="Q84" s="1074">
        <f>+IF(MOD(Q$2,Assumptions!$N$73)=(Assumptions!$N$73-1),'Phase 1 Pro Forma'!P84*(1+Assumptions!$N$72),'Phase 1 Pro Forma'!P84)</f>
        <v>1.1499999999999999</v>
      </c>
      <c r="R84" s="1074">
        <f>+IF(MOD(R$2,Assumptions!$N$73)=(Assumptions!$N$73-1),'Phase 1 Pro Forma'!Q84*(1+Assumptions!$N$72),'Phase 1 Pro Forma'!Q84)</f>
        <v>1.3224999999999998</v>
      </c>
      <c r="S84" s="1074">
        <f>+IF(MOD(S$2,Assumptions!$N$73)=(Assumptions!$N$73-1),'Phase 1 Pro Forma'!R84*(1+Assumptions!$N$72),'Phase 1 Pro Forma'!R84)</f>
        <v>1.3224999999999998</v>
      </c>
      <c r="T84" s="1074">
        <f>+IF(MOD(T$2,Assumptions!$N$73)=(Assumptions!$N$73-1),'Phase 1 Pro Forma'!S84*(1+Assumptions!$N$72),'Phase 1 Pro Forma'!S84)</f>
        <v>1.3224999999999998</v>
      </c>
      <c r="U84" s="1074">
        <f>+IF(MOD(U$2,Assumptions!$N$73)=(Assumptions!$N$73-1),'Phase 1 Pro Forma'!T84*(1+Assumptions!$N$72),'Phase 1 Pro Forma'!T84)</f>
        <v>1.3224999999999998</v>
      </c>
      <c r="V84" s="1074">
        <f>+IF(MOD(V$2,Assumptions!$N$73)=(Assumptions!$N$73-1),'Phase 1 Pro Forma'!U84*(1+Assumptions!$N$72),'Phase 1 Pro Forma'!U84)</f>
        <v>1.3224999999999998</v>
      </c>
      <c r="W84" s="1074">
        <f>+IF(MOD(W$2,Assumptions!$N$73)=(Assumptions!$N$73-1),'Phase 1 Pro Forma'!V84*(1+Assumptions!$N$72),'Phase 1 Pro Forma'!V84)</f>
        <v>1.5208749999999995</v>
      </c>
      <c r="X84" s="1074">
        <f>+IF(MOD(X$2,Assumptions!$N$73)=(Assumptions!$N$73-1),'Phase 1 Pro Forma'!W84*(1+Assumptions!$N$72),'Phase 1 Pro Forma'!W84)</f>
        <v>1.5208749999999995</v>
      </c>
      <c r="Y84" s="1074">
        <f>+IF(MOD(Y$2,Assumptions!$N$73)=(Assumptions!$N$73-1),'Phase 1 Pro Forma'!X84*(1+Assumptions!$N$72),'Phase 1 Pro Forma'!X84)</f>
        <v>1.5208749999999995</v>
      </c>
      <c r="Z84" s="1074">
        <f>+IF(MOD(Z$2,Assumptions!$N$73)=(Assumptions!$N$73-1),'Phase 1 Pro Forma'!Y84*(1+Assumptions!$N$72),'Phase 1 Pro Forma'!Y84)</f>
        <v>1.5208749999999995</v>
      </c>
      <c r="AA84" s="699"/>
      <c r="AB84" s="699"/>
      <c r="AC84" s="151"/>
      <c r="AD84" s="699"/>
      <c r="AE84" s="49"/>
      <c r="AF84" s="49"/>
      <c r="AG84" s="49"/>
      <c r="AH84" s="49"/>
      <c r="AI84" s="49"/>
      <c r="AJ84" s="49"/>
      <c r="AK84" s="49"/>
      <c r="AL84" s="49"/>
      <c r="AM84" s="49" t="s">
        <v>1131</v>
      </c>
      <c r="AN84" s="49"/>
      <c r="AO84" s="49"/>
      <c r="AP84" s="49"/>
      <c r="AQ84" s="771">
        <f t="shared" ref="AQ84:BK84" si="239">SUM(AQ81:AQ83)</f>
        <v>0</v>
      </c>
      <c r="AR84" s="771">
        <f t="shared" si="239"/>
        <v>0</v>
      </c>
      <c r="AS84" s="771">
        <f t="shared" si="239"/>
        <v>0</v>
      </c>
      <c r="AT84" s="771">
        <f t="shared" si="239"/>
        <v>0</v>
      </c>
      <c r="AU84" s="771">
        <f t="shared" si="239"/>
        <v>0</v>
      </c>
      <c r="AV84" s="771">
        <f t="shared" si="239"/>
        <v>0</v>
      </c>
      <c r="AW84" s="771">
        <f t="shared" si="239"/>
        <v>0</v>
      </c>
      <c r="AX84" s="771">
        <f t="shared" si="239"/>
        <v>0</v>
      </c>
      <c r="AY84" s="771">
        <f t="shared" si="239"/>
        <v>0</v>
      </c>
      <c r="AZ84" s="771">
        <f t="shared" si="239"/>
        <v>0</v>
      </c>
      <c r="BA84" s="771">
        <f t="shared" si="239"/>
        <v>0</v>
      </c>
      <c r="BB84" s="771">
        <f t="shared" si="239"/>
        <v>0</v>
      </c>
      <c r="BC84" s="771">
        <f t="shared" si="239"/>
        <v>0</v>
      </c>
      <c r="BD84" s="771">
        <f t="shared" si="239"/>
        <v>0</v>
      </c>
      <c r="BE84" s="771">
        <f t="shared" si="239"/>
        <v>0</v>
      </c>
      <c r="BF84" s="771">
        <f t="shared" si="239"/>
        <v>0</v>
      </c>
      <c r="BG84" s="771">
        <f t="shared" si="239"/>
        <v>0</v>
      </c>
      <c r="BH84" s="771">
        <f t="shared" si="239"/>
        <v>0</v>
      </c>
      <c r="BI84" s="771">
        <f t="shared" si="239"/>
        <v>0</v>
      </c>
      <c r="BJ84" s="771">
        <f t="shared" si="239"/>
        <v>0</v>
      </c>
      <c r="BK84" s="771">
        <f t="shared" si="239"/>
        <v>0</v>
      </c>
      <c r="BL84" s="49"/>
      <c r="BM84" s="49"/>
      <c r="BN84" s="49"/>
    </row>
    <row r="85" spans="1:66">
      <c r="A85" s="699"/>
      <c r="B85" s="699" t="s">
        <v>1127</v>
      </c>
      <c r="C85" s="699"/>
      <c r="D85" s="699"/>
      <c r="E85" s="699"/>
      <c r="F85" s="1074">
        <v>1</v>
      </c>
      <c r="G85" s="1074">
        <f>+F85*(1+Assumptions!$N$83)</f>
        <v>1.03</v>
      </c>
      <c r="H85" s="1074">
        <f>+G85*(1+Assumptions!$N$83)</f>
        <v>1.0609</v>
      </c>
      <c r="I85" s="1074">
        <f>+H85*(1+Assumptions!$N$83)</f>
        <v>1.092727</v>
      </c>
      <c r="J85" s="1074">
        <f>+I85*(1+Assumptions!$N$83)</f>
        <v>1.1255088100000001</v>
      </c>
      <c r="K85" s="1074">
        <f>+J85*(1+Assumptions!$N$83)</f>
        <v>1.1592740743000001</v>
      </c>
      <c r="L85" s="1074">
        <f>+K85*(1+Assumptions!$N$83)</f>
        <v>1.1940522965290001</v>
      </c>
      <c r="M85" s="1074">
        <f>+L85*(1+Assumptions!$N$83)</f>
        <v>1.2298738654248702</v>
      </c>
      <c r="N85" s="1074">
        <f>+M85*(1+Assumptions!$N$83)</f>
        <v>1.2667700813876164</v>
      </c>
      <c r="O85" s="1074">
        <f>+N85*(1+Assumptions!$N$83)</f>
        <v>1.3047731838292449</v>
      </c>
      <c r="P85" s="1074">
        <f>+O85*(1+Assumptions!$N$83)</f>
        <v>1.3439163793441222</v>
      </c>
      <c r="Q85" s="1074">
        <f>+P85*(1+Assumptions!$N$83)</f>
        <v>1.3842338707244459</v>
      </c>
      <c r="R85" s="1074">
        <f>+Q85*(1+Assumptions!$N$83)</f>
        <v>1.4257608868461793</v>
      </c>
      <c r="S85" s="1074">
        <f>+R85*(1+Assumptions!$N$83)</f>
        <v>1.4685337134515648</v>
      </c>
      <c r="T85" s="1074">
        <f>+S85*(1+Assumptions!$N$83)</f>
        <v>1.5125897248551119</v>
      </c>
      <c r="U85" s="1074">
        <f>+T85*(1+Assumptions!$N$83)</f>
        <v>1.5579674166007653</v>
      </c>
      <c r="V85" s="1074">
        <f>+U85*(1+Assumptions!$N$83)</f>
        <v>1.6047064390987884</v>
      </c>
      <c r="W85" s="1074">
        <f>+V85*(1+Assumptions!$N$83)</f>
        <v>1.652847632271752</v>
      </c>
      <c r="X85" s="1074">
        <f>+W85*(1+Assumptions!$N$83)</f>
        <v>1.7024330612399046</v>
      </c>
      <c r="Y85" s="1074">
        <f>+X85*(1+Assumptions!$N$83)</f>
        <v>1.7535060530771018</v>
      </c>
      <c r="Z85" s="1074">
        <f>+Y85*(1+Assumptions!$N$83)</f>
        <v>1.806111234669415</v>
      </c>
      <c r="AA85" s="699"/>
      <c r="AB85" s="699"/>
      <c r="AC85" s="151"/>
      <c r="AD85" s="699"/>
      <c r="AE85" s="49"/>
      <c r="AF85" s="49"/>
      <c r="AG85" s="49"/>
      <c r="AH85" s="49"/>
      <c r="AI85" s="49"/>
      <c r="AJ85" s="49"/>
      <c r="AK85" s="49"/>
      <c r="AL85" s="49"/>
      <c r="AM85" s="49"/>
      <c r="AN85" s="49"/>
      <c r="AO85" s="49"/>
      <c r="AP85" s="49"/>
      <c r="AQ85" s="49"/>
      <c r="AR85" s="49"/>
      <c r="AS85" s="49"/>
      <c r="AT85" s="49"/>
      <c r="AU85" s="49"/>
      <c r="AV85" s="49"/>
      <c r="AW85" s="49"/>
      <c r="AX85" s="49"/>
      <c r="AY85" s="49"/>
      <c r="AZ85" s="49"/>
      <c r="BA85" s="49"/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</row>
    <row r="86" spans="1:66">
      <c r="A86" s="699"/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9"/>
      <c r="M86" s="699"/>
      <c r="N86" s="699"/>
      <c r="O86" s="699"/>
      <c r="P86" s="699"/>
      <c r="Q86" s="699"/>
      <c r="R86" s="699"/>
      <c r="S86" s="699"/>
      <c r="T86" s="699"/>
      <c r="U86" s="699"/>
      <c r="V86" s="699"/>
      <c r="W86" s="699"/>
      <c r="X86" s="699"/>
      <c r="Y86" s="699"/>
      <c r="Z86" s="699"/>
      <c r="AA86" s="699"/>
      <c r="AB86" s="699"/>
      <c r="AC86" s="151"/>
      <c r="AD86" s="699"/>
      <c r="AE86" s="49"/>
      <c r="AF86" s="49"/>
      <c r="AG86" s="49"/>
      <c r="AH86" s="49"/>
      <c r="AI86" s="49"/>
      <c r="AJ86" s="49"/>
      <c r="AK86" s="49"/>
      <c r="AL86" s="49"/>
      <c r="AM86" s="49" t="s">
        <v>1132</v>
      </c>
      <c r="AN86" s="49"/>
      <c r="AO86" s="49"/>
      <c r="AP86" s="49"/>
      <c r="AQ86" s="83">
        <f>+AQ75*Assumptions!$AE$264*AQ79</f>
        <v>0</v>
      </c>
      <c r="AR86" s="83">
        <f>+AR75*Assumptions!$AE$264*AR79</f>
        <v>0</v>
      </c>
      <c r="AS86" s="83">
        <f>+AS75*Assumptions!$AE$264*AS79</f>
        <v>0</v>
      </c>
      <c r="AT86" s="83">
        <f>+AT75*Assumptions!$AE$264*AT79</f>
        <v>0</v>
      </c>
      <c r="AU86" s="83">
        <f>+AU75*Assumptions!$AE$264*AU79</f>
        <v>0</v>
      </c>
      <c r="AV86" s="83">
        <f>+AV75*Assumptions!$AE$264*AV79</f>
        <v>0</v>
      </c>
      <c r="AW86" s="83">
        <f>+AW75*Assumptions!$AE$264*AW79</f>
        <v>0</v>
      </c>
      <c r="AX86" s="83">
        <f>+AX75*Assumptions!$AE$264*AX79</f>
        <v>0</v>
      </c>
      <c r="AY86" s="83">
        <f>+AY75*Assumptions!$AE$264*AY79</f>
        <v>0</v>
      </c>
      <c r="AZ86" s="83">
        <f>+AZ75*Assumptions!$AE$264*AZ79</f>
        <v>0</v>
      </c>
      <c r="BA86" s="83">
        <f>+BA75*Assumptions!$AE$264*BA79</f>
        <v>0</v>
      </c>
      <c r="BB86" s="83">
        <f>+BB75*Assumptions!$AE$264*BB79</f>
        <v>0</v>
      </c>
      <c r="BC86" s="83">
        <f>+BC75*Assumptions!$AE$264*BC79</f>
        <v>0</v>
      </c>
      <c r="BD86" s="83">
        <f>+BD75*Assumptions!$AE$264*BD79</f>
        <v>0</v>
      </c>
      <c r="BE86" s="83">
        <f>+BE75*Assumptions!$AE$264*BE79</f>
        <v>0</v>
      </c>
      <c r="BF86" s="83">
        <f>+BF75*Assumptions!$AE$264*BF79</f>
        <v>0</v>
      </c>
      <c r="BG86" s="83">
        <f>+BG75*Assumptions!$AE$264*BG79</f>
        <v>0</v>
      </c>
      <c r="BH86" s="83">
        <f>+BH75*Assumptions!$AE$264*BH79</f>
        <v>0</v>
      </c>
      <c r="BI86" s="83">
        <f>+BI75*Assumptions!$AE$264*BI79</f>
        <v>0</v>
      </c>
      <c r="BJ86" s="83">
        <f>+BJ75*Assumptions!$AE$264*BJ79</f>
        <v>0</v>
      </c>
      <c r="BK86" s="83">
        <f>+BK75*Assumptions!$AE$264*BK79</f>
        <v>0</v>
      </c>
      <c r="BL86" s="49"/>
      <c r="BM86" s="49"/>
      <c r="BN86" s="49"/>
    </row>
    <row r="87" spans="1:66" ht="15.75">
      <c r="A87" s="699"/>
      <c r="B87" s="699" t="s">
        <v>1128</v>
      </c>
      <c r="C87" s="699"/>
      <c r="D87" s="699"/>
      <c r="E87" s="699"/>
      <c r="F87" s="1028">
        <f>+F82*Assumptions!$F$123*F84</f>
        <v>0</v>
      </c>
      <c r="G87" s="1028">
        <f>+G82*Assumptions!$F$123*G84</f>
        <v>0</v>
      </c>
      <c r="H87" s="1028">
        <f>+H82*Assumptions!$F$123*H84</f>
        <v>0</v>
      </c>
      <c r="I87" s="1028">
        <f>+I82*Assumptions!$F$123*I84</f>
        <v>0</v>
      </c>
      <c r="J87" s="1028">
        <f>+J82*Assumptions!$F$123*J84</f>
        <v>2848741.38643204</v>
      </c>
      <c r="K87" s="1028">
        <f>+K82*Assumptions!$F$123*K84</f>
        <v>5697482.77286408</v>
      </c>
      <c r="L87" s="1028">
        <f>+L82*Assumptions!$F$123*L84</f>
        <v>5697482.77286408</v>
      </c>
      <c r="M87" s="1028">
        <f>+M82*Assumptions!$F$123*M84</f>
        <v>6552105.1887936918</v>
      </c>
      <c r="N87" s="1028">
        <f>+N82*Assumptions!$F$123*N84</f>
        <v>6552105.1887936918</v>
      </c>
      <c r="O87" s="1028">
        <f>+O82*Assumptions!$F$123*O84</f>
        <v>6552105.1887936918</v>
      </c>
      <c r="P87" s="1028">
        <f>+P82*Assumptions!$F$123*P84</f>
        <v>6552105.1887936918</v>
      </c>
      <c r="Q87" s="1028">
        <f>+Q82*Assumptions!$F$123*Q84</f>
        <v>6552105.1887936918</v>
      </c>
      <c r="R87" s="1028">
        <f>+R82*Assumptions!$F$123*R84</f>
        <v>7534920.9671127442</v>
      </c>
      <c r="S87" s="1028">
        <f>+S82*Assumptions!$F$123*S84</f>
        <v>7534920.9671127442</v>
      </c>
      <c r="T87" s="1028">
        <f>+T82*Assumptions!$F$123*T84</f>
        <v>7534920.9671127442</v>
      </c>
      <c r="U87" s="1028">
        <f>+U82*Assumptions!$F$123*U84</f>
        <v>7534920.9671127442</v>
      </c>
      <c r="V87" s="1028">
        <f>+V82*Assumptions!$F$123*V84</f>
        <v>7534920.9671127442</v>
      </c>
      <c r="W87" s="1028">
        <f>+W82*Assumptions!$F$123*W84</f>
        <v>8665159.1121796556</v>
      </c>
      <c r="X87" s="1028">
        <f>+X82*Assumptions!$F$123*X84</f>
        <v>8665159.1121796556</v>
      </c>
      <c r="Y87" s="1028">
        <f>+Y82*Assumptions!$F$123*Y84</f>
        <v>8665159.1121796556</v>
      </c>
      <c r="Z87" s="1028">
        <f>+Z82*Assumptions!$F$123*Z84</f>
        <v>8665159.1121796556</v>
      </c>
      <c r="AA87" s="5"/>
      <c r="AB87" s="5"/>
      <c r="AC87" s="689"/>
      <c r="AD87" s="699"/>
      <c r="AE87" s="49"/>
      <c r="AF87" s="49"/>
      <c r="AG87" s="49"/>
      <c r="AH87" s="49"/>
      <c r="AI87" s="49"/>
      <c r="AJ87" s="49"/>
      <c r="AK87" s="49"/>
      <c r="AL87" s="49"/>
      <c r="AM87" s="49" t="s">
        <v>1133</v>
      </c>
      <c r="AN87" s="49"/>
      <c r="AO87" s="49"/>
      <c r="AP87" s="49"/>
      <c r="AQ87" s="253">
        <f ca="1">+IFERROR(INDEX('Taxes and TIF'!$M$11:$M$45,MATCH('Phase 1 Pro Forma'!F$7,'Taxes and TIF'!$B$11:$B$45,0)),0)*'Loan Sizing'!$I$33*'Phase 1 Pro Forma'!AQ76</f>
        <v>0</v>
      </c>
      <c r="AR87" s="253">
        <f ca="1">+IFERROR(INDEX('Taxes and TIF'!$M$11:$M$45,MATCH('Phase 1 Pro Forma'!G$7,'Taxes and TIF'!$B$11:$B$45,0)),0)*'Loan Sizing'!$I$33*'Phase 1 Pro Forma'!AR76</f>
        <v>0</v>
      </c>
      <c r="AS87" s="253">
        <f ca="1">+IFERROR(INDEX('Taxes and TIF'!$M$11:$M$45,MATCH('Phase 1 Pro Forma'!H$7,'Taxes and TIF'!$B$11:$B$45,0)),0)*'Loan Sizing'!$I$33*'Phase 1 Pro Forma'!AS76</f>
        <v>0</v>
      </c>
      <c r="AT87" s="253">
        <f ca="1">+IFERROR(INDEX('Taxes and TIF'!$M$11:$M$45,MATCH('Phase 1 Pro Forma'!I$7,'Taxes and TIF'!$B$11:$B$45,0)),0)*'Loan Sizing'!$I$33*'Phase 1 Pro Forma'!AT76</f>
        <v>0</v>
      </c>
      <c r="AU87" s="253">
        <f ca="1">+IFERROR(INDEX('Taxes and TIF'!$M$11:$M$45,MATCH('Phase 1 Pro Forma'!J$7,'Taxes and TIF'!$B$11:$B$45,0)),0)*'Loan Sizing'!$I$33*'Phase 1 Pro Forma'!AU76</f>
        <v>0</v>
      </c>
      <c r="AV87" s="253">
        <f ca="1">+IFERROR(INDEX('Taxes and TIF'!$M$11:$M$45,MATCH('Phase 1 Pro Forma'!K$7,'Taxes and TIF'!$B$11:$B$45,0)),0)*'Loan Sizing'!$I$33*'Phase 1 Pro Forma'!AV76</f>
        <v>0</v>
      </c>
      <c r="AW87" s="253">
        <f ca="1">+IFERROR(INDEX('Taxes and TIF'!$M$11:$M$45,MATCH('Phase 1 Pro Forma'!L$7,'Taxes and TIF'!$B$11:$B$45,0)),0)*'Loan Sizing'!$I$33*'Phase 1 Pro Forma'!AW76</f>
        <v>0</v>
      </c>
      <c r="AX87" s="253">
        <f ca="1">+IFERROR(INDEX('Taxes and TIF'!$M$11:$M$45,MATCH('Phase 1 Pro Forma'!M$7,'Taxes and TIF'!$B$11:$B$45,0)),0)*'Loan Sizing'!$I$33*'Phase 1 Pro Forma'!AX76</f>
        <v>0</v>
      </c>
      <c r="AY87" s="253">
        <f ca="1">+IFERROR(INDEX('Taxes and TIF'!$M$11:$M$45,MATCH('Phase 1 Pro Forma'!N$7,'Taxes and TIF'!$B$11:$B$45,0)),0)*'Loan Sizing'!$I$33*'Phase 1 Pro Forma'!AY76</f>
        <v>0</v>
      </c>
      <c r="AZ87" s="253">
        <f ca="1">+IFERROR(INDEX('Taxes and TIF'!$M$11:$M$45,MATCH('Phase 1 Pro Forma'!O$7,'Taxes and TIF'!$B$11:$B$45,0)),0)*'Loan Sizing'!$I$33*'Phase 1 Pro Forma'!AZ76</f>
        <v>0</v>
      </c>
      <c r="BA87" s="253">
        <f ca="1">+IFERROR(INDEX('Taxes and TIF'!$M$11:$M$45,MATCH('Phase 1 Pro Forma'!P$7,'Taxes and TIF'!$B$11:$B$45,0)),0)*'Loan Sizing'!$I$33*'Phase 1 Pro Forma'!BA76</f>
        <v>0</v>
      </c>
      <c r="BB87" s="253">
        <f ca="1">+IFERROR(INDEX('Taxes and TIF'!$M$11:$M$45,MATCH('Phase 1 Pro Forma'!Q$7,'Taxes and TIF'!$B$11:$B$45,0)),0)*'Loan Sizing'!$I$33*'Phase 1 Pro Forma'!BB76</f>
        <v>0</v>
      </c>
      <c r="BC87" s="253">
        <f ca="1">+IFERROR(INDEX('Taxes and TIF'!$M$11:$M$45,MATCH('Phase 1 Pro Forma'!R$7,'Taxes and TIF'!$B$11:$B$45,0)),0)*'Loan Sizing'!$I$33*'Phase 1 Pro Forma'!BC76</f>
        <v>0</v>
      </c>
      <c r="BD87" s="253">
        <f ca="1">+IFERROR(INDEX('Taxes and TIF'!$M$11:$M$45,MATCH('Phase 1 Pro Forma'!S$7,'Taxes and TIF'!$B$11:$B$45,0)),0)*'Loan Sizing'!$I$33*'Phase 1 Pro Forma'!BD76</f>
        <v>0</v>
      </c>
      <c r="BE87" s="253">
        <f ca="1">+IFERROR(INDEX('Taxes and TIF'!$M$11:$M$45,MATCH('Phase 1 Pro Forma'!T$7,'Taxes and TIF'!$B$11:$B$45,0)),0)*'Loan Sizing'!$I$33*'Phase 1 Pro Forma'!BE76</f>
        <v>0</v>
      </c>
      <c r="BF87" s="253">
        <f ca="1">+IFERROR(INDEX('Taxes and TIF'!$M$11:$M$45,MATCH('Phase 1 Pro Forma'!U$7,'Taxes and TIF'!$B$11:$B$45,0)),0)*'Loan Sizing'!$I$33*'Phase 1 Pro Forma'!BF76</f>
        <v>0</v>
      </c>
      <c r="BG87" s="253">
        <f ca="1">+IFERROR(INDEX('Taxes and TIF'!$M$11:$M$45,MATCH('Phase 1 Pro Forma'!V$7,'Taxes and TIF'!$B$11:$B$45,0)),0)*'Loan Sizing'!$I$33*'Phase 1 Pro Forma'!BG76</f>
        <v>0</v>
      </c>
      <c r="BH87" s="253">
        <f ca="1">+IFERROR(INDEX('Taxes and TIF'!$M$11:$M$45,MATCH('Phase 1 Pro Forma'!W$7,'Taxes and TIF'!$B$11:$B$45,0)),0)*'Loan Sizing'!$I$33*'Phase 1 Pro Forma'!BH76</f>
        <v>0</v>
      </c>
      <c r="BI87" s="253">
        <f ca="1">+IFERROR(INDEX('Taxes and TIF'!$M$11:$M$45,MATCH('Phase 1 Pro Forma'!X$7,'Taxes and TIF'!$B$11:$B$45,0)),0)*'Loan Sizing'!$I$33*'Phase 1 Pro Forma'!BI76</f>
        <v>0</v>
      </c>
      <c r="BJ87" s="253">
        <f ca="1">+IFERROR(INDEX('Taxes and TIF'!$M$11:$M$45,MATCH('Phase 1 Pro Forma'!Y$7,'Taxes and TIF'!$B$11:$B$45,0)),0)*'Loan Sizing'!$I$33*'Phase 1 Pro Forma'!BJ76</f>
        <v>0</v>
      </c>
      <c r="BK87" s="253">
        <f ca="1">+IFERROR(INDEX('Taxes and TIF'!$M$11:$M$45,MATCH('Phase 1 Pro Forma'!Z$7,'Taxes and TIF'!$B$11:$B$45,0)),0)*'Loan Sizing'!$I$33*'Phase 1 Pro Forma'!BK76</f>
        <v>0</v>
      </c>
      <c r="BL87" s="49"/>
      <c r="BM87" s="49"/>
      <c r="BN87" s="49"/>
    </row>
    <row r="88" spans="1:66">
      <c r="A88" s="699" t="s">
        <v>511</v>
      </c>
      <c r="B88" s="699" t="s">
        <v>1130</v>
      </c>
      <c r="C88" s="699"/>
      <c r="D88" s="699"/>
      <c r="E88" s="699"/>
      <c r="F88" s="1085">
        <f>-F87*Assumptions!$N$63</f>
        <v>0</v>
      </c>
      <c r="G88" s="1085">
        <f>-G87*Assumptions!$N$63</f>
        <v>0</v>
      </c>
      <c r="H88" s="1085">
        <f>-H87*Assumptions!$N$63</f>
        <v>0</v>
      </c>
      <c r="I88" s="1085">
        <f>-I87*Assumptions!$N$63</f>
        <v>0</v>
      </c>
      <c r="J88" s="1085">
        <f>-J87*Assumptions!$N$63</f>
        <v>-199411.89705024281</v>
      </c>
      <c r="K88" s="1085">
        <f>-K87*Assumptions!$N$63</f>
        <v>-398823.79410048563</v>
      </c>
      <c r="L88" s="1085">
        <f>-L87*Assumptions!$N$63</f>
        <v>-398823.79410048563</v>
      </c>
      <c r="M88" s="1085">
        <f>-M87*Assumptions!$N$63</f>
        <v>-458647.36321555846</v>
      </c>
      <c r="N88" s="1085">
        <f>-N87*Assumptions!$N$63</f>
        <v>-458647.36321555846</v>
      </c>
      <c r="O88" s="1085">
        <f>-O87*Assumptions!$N$63</f>
        <v>-458647.36321555846</v>
      </c>
      <c r="P88" s="1085">
        <f>-P87*Assumptions!$N$63</f>
        <v>-458647.36321555846</v>
      </c>
      <c r="Q88" s="1085">
        <f>-Q87*Assumptions!$N$63</f>
        <v>-458647.36321555846</v>
      </c>
      <c r="R88" s="1085">
        <f>-R87*Assumptions!$N$63</f>
        <v>-527444.46769789211</v>
      </c>
      <c r="S88" s="1085">
        <f>-S87*Assumptions!$N$63</f>
        <v>-527444.46769789211</v>
      </c>
      <c r="T88" s="1085">
        <f>-T87*Assumptions!$N$63</f>
        <v>-527444.46769789211</v>
      </c>
      <c r="U88" s="1085">
        <f>-U87*Assumptions!$N$63</f>
        <v>-527444.46769789211</v>
      </c>
      <c r="V88" s="1085">
        <f>-V87*Assumptions!$N$63</f>
        <v>-527444.46769789211</v>
      </c>
      <c r="W88" s="1085">
        <f>-W87*Assumptions!$N$63</f>
        <v>-606561.13785257598</v>
      </c>
      <c r="X88" s="1085">
        <f>-X87*Assumptions!$N$63</f>
        <v>-606561.13785257598</v>
      </c>
      <c r="Y88" s="1085">
        <f>-Y87*Assumptions!$N$63</f>
        <v>-606561.13785257598</v>
      </c>
      <c r="Z88" s="1085">
        <f>-Z87*Assumptions!$N$63</f>
        <v>-606561.13785257598</v>
      </c>
      <c r="AA88" s="699"/>
      <c r="AB88" s="699"/>
      <c r="AC88" s="151"/>
      <c r="AD88" s="699"/>
      <c r="AE88" s="49"/>
      <c r="AF88" s="49"/>
      <c r="AG88" s="49"/>
      <c r="AH88" s="49"/>
      <c r="AI88" s="49"/>
      <c r="AJ88" s="49"/>
      <c r="AK88" s="49"/>
      <c r="AL88" s="49"/>
      <c r="AM88" s="49" t="s">
        <v>1134</v>
      </c>
      <c r="AN88" s="49"/>
      <c r="AO88" s="49"/>
      <c r="AP88" s="49"/>
      <c r="AQ88" s="83">
        <f ca="1">+SUM(AQ86:AQ87)</f>
        <v>0</v>
      </c>
      <c r="AR88" s="83">
        <f t="shared" ref="AR88:BK88" ca="1" si="240">+SUM(AR86:AR87)</f>
        <v>0</v>
      </c>
      <c r="AS88" s="83">
        <f t="shared" ca="1" si="240"/>
        <v>0</v>
      </c>
      <c r="AT88" s="83">
        <f t="shared" ca="1" si="240"/>
        <v>0</v>
      </c>
      <c r="AU88" s="83">
        <f t="shared" ca="1" si="240"/>
        <v>0</v>
      </c>
      <c r="AV88" s="83">
        <f t="shared" ca="1" si="240"/>
        <v>0</v>
      </c>
      <c r="AW88" s="83">
        <f t="shared" ca="1" si="240"/>
        <v>0</v>
      </c>
      <c r="AX88" s="83">
        <f t="shared" ca="1" si="240"/>
        <v>0</v>
      </c>
      <c r="AY88" s="83">
        <f t="shared" ca="1" si="240"/>
        <v>0</v>
      </c>
      <c r="AZ88" s="83">
        <f t="shared" ca="1" si="240"/>
        <v>0</v>
      </c>
      <c r="BA88" s="83">
        <f t="shared" ca="1" si="240"/>
        <v>0</v>
      </c>
      <c r="BB88" s="83">
        <f t="shared" ca="1" si="240"/>
        <v>0</v>
      </c>
      <c r="BC88" s="83">
        <f t="shared" ca="1" si="240"/>
        <v>0</v>
      </c>
      <c r="BD88" s="83">
        <f t="shared" ca="1" si="240"/>
        <v>0</v>
      </c>
      <c r="BE88" s="83">
        <f t="shared" ca="1" si="240"/>
        <v>0</v>
      </c>
      <c r="BF88" s="83">
        <f t="shared" ca="1" si="240"/>
        <v>0</v>
      </c>
      <c r="BG88" s="83">
        <f t="shared" ca="1" si="240"/>
        <v>0</v>
      </c>
      <c r="BH88" s="83">
        <f t="shared" ca="1" si="240"/>
        <v>0</v>
      </c>
      <c r="BI88" s="83">
        <f t="shared" ca="1" si="240"/>
        <v>0</v>
      </c>
      <c r="BJ88" s="83">
        <f t="shared" ca="1" si="240"/>
        <v>0</v>
      </c>
      <c r="BK88" s="83">
        <f t="shared" ca="1" si="240"/>
        <v>0</v>
      </c>
      <c r="BL88" s="49"/>
      <c r="BM88" s="49"/>
      <c r="BN88" s="49"/>
    </row>
    <row r="89" spans="1:66">
      <c r="A89" s="699"/>
      <c r="B89" s="699" t="s">
        <v>1139</v>
      </c>
      <c r="C89" s="699"/>
      <c r="D89" s="699"/>
      <c r="E89" s="699"/>
      <c r="F89" s="1085">
        <f ca="1">+F94*Assumptions!$N$92</f>
        <v>0</v>
      </c>
      <c r="G89" s="1085">
        <f ca="1">+G94*Assumptions!$N$92</f>
        <v>0</v>
      </c>
      <c r="H89" s="1085">
        <f ca="1">+H94*Assumptions!$N$92</f>
        <v>0</v>
      </c>
      <c r="I89" s="1085">
        <f ca="1">+I94*Assumptions!$N$92</f>
        <v>0</v>
      </c>
      <c r="J89" s="1085">
        <f ca="1">+J94*Assumptions!$N$92</f>
        <v>1122893.9770569</v>
      </c>
      <c r="K89" s="1085">
        <f ca="1">+K94*Assumptions!$N$92</f>
        <v>2284283.9134305264</v>
      </c>
      <c r="L89" s="1085">
        <f ca="1">+L94*Assumptions!$N$92</f>
        <v>2323934.7515267534</v>
      </c>
      <c r="M89" s="1085">
        <f ca="1">+M94*Assumptions!$N$92</f>
        <v>2393652.7940725558</v>
      </c>
      <c r="N89" s="1085">
        <f ca="1">+N94*Assumptions!$N$92</f>
        <v>2435718.3682088437</v>
      </c>
      <c r="O89" s="1085">
        <f ca="1">+O94*Assumptions!$N$92</f>
        <v>2479045.9095692206</v>
      </c>
      <c r="P89" s="1085">
        <f ca="1">+P94*Assumptions!$N$92</f>
        <v>2553417.2868562974</v>
      </c>
      <c r="Q89" s="1085">
        <f ca="1">+Q94*Assumptions!$N$92</f>
        <v>2599383.47548552</v>
      </c>
      <c r="R89" s="1085">
        <f ca="1">+R94*Assumptions!$N$92</f>
        <v>2646728.6497736201</v>
      </c>
      <c r="S89" s="1085">
        <f ca="1">+S94*Assumptions!$N$92</f>
        <v>2726130.5092668287</v>
      </c>
      <c r="T89" s="1085">
        <f ca="1">+T94*Assumptions!$N$92</f>
        <v>2776359.0046690744</v>
      </c>
      <c r="U89" s="1085">
        <f ca="1">+U94*Assumptions!$N$92</f>
        <v>2828094.3549333867</v>
      </c>
      <c r="V89" s="1085">
        <f ca="1">+V94*Assumptions!$N$92</f>
        <v>2912937.1855813889</v>
      </c>
      <c r="W89" s="1085">
        <f ca="1">+W94*Assumptions!$N$92</f>
        <v>2967823.218676798</v>
      </c>
      <c r="X89" s="1085">
        <f ca="1">+X94*Assumptions!$N$92</f>
        <v>3024355.8327650693</v>
      </c>
      <c r="Y89" s="1085">
        <f ca="1">+Y94*Assumptions!$N$92</f>
        <v>3115086.5077480213</v>
      </c>
      <c r="Z89" s="1085">
        <f ca="1">+Z94*Assumptions!$N$92</f>
        <v>3175061.9580342686</v>
      </c>
      <c r="AA89" s="699"/>
      <c r="AB89" s="699"/>
      <c r="AC89" s="151"/>
      <c r="AD89" s="69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</row>
    <row r="90" spans="1:66" ht="15.75">
      <c r="A90" s="699"/>
      <c r="B90" s="52" t="s">
        <v>1131</v>
      </c>
      <c r="C90" s="1052"/>
      <c r="D90" s="1052"/>
      <c r="E90" s="1052"/>
      <c r="F90" s="1086">
        <f ca="1">SUM(F87:F89)</f>
        <v>0</v>
      </c>
      <c r="G90" s="1086">
        <f t="shared" ref="G90:Z90" ca="1" si="241">SUM(G87:G89)</f>
        <v>0</v>
      </c>
      <c r="H90" s="1086">
        <f t="shared" ca="1" si="241"/>
        <v>0</v>
      </c>
      <c r="I90" s="1086">
        <f t="shared" ca="1" si="241"/>
        <v>0</v>
      </c>
      <c r="J90" s="1086">
        <f t="shared" ca="1" si="241"/>
        <v>3772223.4664386972</v>
      </c>
      <c r="K90" s="1086">
        <f t="shared" ca="1" si="241"/>
        <v>7582942.8921941202</v>
      </c>
      <c r="L90" s="1086">
        <f t="shared" ca="1" si="241"/>
        <v>7622593.7302903477</v>
      </c>
      <c r="M90" s="1086">
        <f t="shared" ca="1" si="241"/>
        <v>8487110.6196506899</v>
      </c>
      <c r="N90" s="1086">
        <f t="shared" ca="1" si="241"/>
        <v>8529176.1937869769</v>
      </c>
      <c r="O90" s="1086">
        <f t="shared" ca="1" si="241"/>
        <v>8572503.7351473533</v>
      </c>
      <c r="P90" s="1086">
        <f t="shared" ca="1" si="241"/>
        <v>8646875.1124344319</v>
      </c>
      <c r="Q90" s="1086">
        <f t="shared" ca="1" si="241"/>
        <v>8692841.3010636531</v>
      </c>
      <c r="R90" s="1086">
        <f t="shared" ca="1" si="241"/>
        <v>9654205.149188472</v>
      </c>
      <c r="S90" s="1086">
        <f t="shared" ca="1" si="241"/>
        <v>9733607.008681681</v>
      </c>
      <c r="T90" s="1086">
        <f t="shared" ca="1" si="241"/>
        <v>9783835.5040839259</v>
      </c>
      <c r="U90" s="1086">
        <f t="shared" ca="1" si="241"/>
        <v>9835570.8543482386</v>
      </c>
      <c r="V90" s="1086">
        <f t="shared" ca="1" si="241"/>
        <v>9920413.6849962398</v>
      </c>
      <c r="W90" s="1086">
        <f t="shared" ca="1" si="241"/>
        <v>11026421.193003878</v>
      </c>
      <c r="X90" s="1086">
        <f t="shared" ca="1" si="241"/>
        <v>11082953.807092149</v>
      </c>
      <c r="Y90" s="1086">
        <f t="shared" ca="1" si="241"/>
        <v>11173684.482075101</v>
      </c>
      <c r="Z90" s="1086">
        <f t="shared" ca="1" si="241"/>
        <v>11233659.932361349</v>
      </c>
      <c r="AA90" s="699"/>
      <c r="AB90" s="699"/>
      <c r="AC90" s="151"/>
      <c r="AD90" s="699"/>
      <c r="AE90" s="49"/>
      <c r="AF90" s="49"/>
      <c r="AG90" s="49"/>
      <c r="AH90" s="49"/>
      <c r="AI90" s="49"/>
      <c r="AJ90" s="49"/>
      <c r="AK90" s="49"/>
      <c r="AL90" s="49"/>
      <c r="AM90" s="81" t="s">
        <v>1135</v>
      </c>
      <c r="AN90" s="81"/>
      <c r="AO90" s="81"/>
      <c r="AP90" s="81"/>
      <c r="AQ90" s="94">
        <f ca="1">+AQ84-AQ88</f>
        <v>0</v>
      </c>
      <c r="AR90" s="94">
        <f t="shared" ref="AR90:BK90" ca="1" si="242">+AR84-AR88</f>
        <v>0</v>
      </c>
      <c r="AS90" s="94">
        <f t="shared" ca="1" si="242"/>
        <v>0</v>
      </c>
      <c r="AT90" s="94">
        <f t="shared" ca="1" si="242"/>
        <v>0</v>
      </c>
      <c r="AU90" s="94">
        <f t="shared" ca="1" si="242"/>
        <v>0</v>
      </c>
      <c r="AV90" s="94">
        <f t="shared" ca="1" si="242"/>
        <v>0</v>
      </c>
      <c r="AW90" s="94">
        <f t="shared" ca="1" si="242"/>
        <v>0</v>
      </c>
      <c r="AX90" s="94">
        <f t="shared" ca="1" si="242"/>
        <v>0</v>
      </c>
      <c r="AY90" s="94">
        <f t="shared" ca="1" si="242"/>
        <v>0</v>
      </c>
      <c r="AZ90" s="94">
        <f t="shared" ca="1" si="242"/>
        <v>0</v>
      </c>
      <c r="BA90" s="94">
        <f t="shared" ca="1" si="242"/>
        <v>0</v>
      </c>
      <c r="BB90" s="94">
        <f t="shared" ca="1" si="242"/>
        <v>0</v>
      </c>
      <c r="BC90" s="94">
        <f t="shared" ca="1" si="242"/>
        <v>0</v>
      </c>
      <c r="BD90" s="94">
        <f t="shared" ca="1" si="242"/>
        <v>0</v>
      </c>
      <c r="BE90" s="94">
        <f t="shared" ca="1" si="242"/>
        <v>0</v>
      </c>
      <c r="BF90" s="94">
        <f t="shared" ca="1" si="242"/>
        <v>0</v>
      </c>
      <c r="BG90" s="94">
        <f t="shared" ca="1" si="242"/>
        <v>0</v>
      </c>
      <c r="BH90" s="94">
        <f t="shared" ca="1" si="242"/>
        <v>0</v>
      </c>
      <c r="BI90" s="94">
        <f t="shared" ca="1" si="242"/>
        <v>0</v>
      </c>
      <c r="BJ90" s="94">
        <f t="shared" ca="1" si="242"/>
        <v>0</v>
      </c>
      <c r="BK90" s="94">
        <f t="shared" ca="1" si="242"/>
        <v>0</v>
      </c>
      <c r="BL90" s="49"/>
      <c r="BM90" s="49"/>
      <c r="BN90" s="49"/>
    </row>
    <row r="91" spans="1:66">
      <c r="A91" s="699"/>
      <c r="B91" s="49"/>
      <c r="C91" s="699"/>
      <c r="D91" s="699"/>
      <c r="E91" s="699"/>
      <c r="F91" s="699"/>
      <c r="G91" s="699"/>
      <c r="H91" s="699"/>
      <c r="I91" s="699"/>
      <c r="J91" s="699"/>
      <c r="K91" s="699"/>
      <c r="L91" s="699"/>
      <c r="M91" s="699"/>
      <c r="N91" s="699"/>
      <c r="O91" s="699"/>
      <c r="P91" s="699"/>
      <c r="Q91" s="699"/>
      <c r="R91" s="699"/>
      <c r="S91" s="699"/>
      <c r="T91" s="699"/>
      <c r="U91" s="699"/>
      <c r="V91" s="699"/>
      <c r="W91" s="699"/>
      <c r="X91" s="699"/>
      <c r="Y91" s="699"/>
      <c r="Z91" s="699"/>
      <c r="AA91" s="699"/>
      <c r="AB91" s="699"/>
      <c r="AC91" s="151"/>
      <c r="AD91" s="699"/>
      <c r="AE91" s="49"/>
      <c r="AF91" s="49"/>
      <c r="AG91" s="49"/>
      <c r="AH91" s="49"/>
      <c r="AI91" s="49"/>
      <c r="AJ91" s="49"/>
      <c r="AK91" s="49"/>
      <c r="AL91" s="49"/>
      <c r="AM91" s="223" t="s">
        <v>1136</v>
      </c>
      <c r="AN91" s="223"/>
      <c r="AO91" s="223"/>
      <c r="AP91" s="223"/>
      <c r="AQ91" s="772" t="str">
        <f ca="1">+IFERROR(AQ90/AQ84,"")</f>
        <v/>
      </c>
      <c r="AR91" s="772" t="str">
        <f t="shared" ref="AR91:BK91" ca="1" si="243">+IFERROR(AR90/AR84,"")</f>
        <v/>
      </c>
      <c r="AS91" s="772" t="str">
        <f t="shared" ca="1" si="243"/>
        <v/>
      </c>
      <c r="AT91" s="772" t="str">
        <f t="shared" ca="1" si="243"/>
        <v/>
      </c>
      <c r="AU91" s="772" t="str">
        <f t="shared" ca="1" si="243"/>
        <v/>
      </c>
      <c r="AV91" s="772" t="str">
        <f t="shared" ca="1" si="243"/>
        <v/>
      </c>
      <c r="AW91" s="772" t="str">
        <f t="shared" ca="1" si="243"/>
        <v/>
      </c>
      <c r="AX91" s="772" t="str">
        <f t="shared" ca="1" si="243"/>
        <v/>
      </c>
      <c r="AY91" s="772" t="str">
        <f t="shared" ca="1" si="243"/>
        <v/>
      </c>
      <c r="AZ91" s="772" t="str">
        <f t="shared" ca="1" si="243"/>
        <v/>
      </c>
      <c r="BA91" s="772" t="str">
        <f t="shared" ca="1" si="243"/>
        <v/>
      </c>
      <c r="BB91" s="772" t="str">
        <f t="shared" ca="1" si="243"/>
        <v/>
      </c>
      <c r="BC91" s="772" t="str">
        <f t="shared" ca="1" si="243"/>
        <v/>
      </c>
      <c r="BD91" s="772" t="str">
        <f t="shared" ca="1" si="243"/>
        <v/>
      </c>
      <c r="BE91" s="772" t="str">
        <f t="shared" ca="1" si="243"/>
        <v/>
      </c>
      <c r="BF91" s="772" t="str">
        <f t="shared" ca="1" si="243"/>
        <v/>
      </c>
      <c r="BG91" s="772" t="str">
        <f t="shared" ca="1" si="243"/>
        <v/>
      </c>
      <c r="BH91" s="772" t="str">
        <f t="shared" ca="1" si="243"/>
        <v/>
      </c>
      <c r="BI91" s="772" t="str">
        <f t="shared" ca="1" si="243"/>
        <v/>
      </c>
      <c r="BJ91" s="772" t="str">
        <f t="shared" ca="1" si="243"/>
        <v/>
      </c>
      <c r="BK91" s="772" t="str">
        <f t="shared" ca="1" si="243"/>
        <v/>
      </c>
      <c r="BL91" s="49"/>
      <c r="BM91" s="49"/>
      <c r="BN91" s="49"/>
    </row>
    <row r="92" spans="1:66">
      <c r="A92" s="699"/>
      <c r="B92" s="699" t="s">
        <v>1132</v>
      </c>
      <c r="C92" s="699"/>
      <c r="D92" s="699"/>
      <c r="E92" s="699"/>
      <c r="F92" s="1087">
        <f>+F81*Assumptions!$N$105*F85</f>
        <v>0</v>
      </c>
      <c r="G92" s="1087">
        <f>+G81*Assumptions!$N$105*G85</f>
        <v>0</v>
      </c>
      <c r="H92" s="1087">
        <f>+H81*Assumptions!$N$105*H85</f>
        <v>0</v>
      </c>
      <c r="I92" s="1087">
        <f>+I81*Assumptions!$N$105*I85</f>
        <v>0</v>
      </c>
      <c r="J92" s="1087">
        <f>+J81*Assumptions!$N$105*J85</f>
        <v>712888.1354949188</v>
      </c>
      <c r="K92" s="1087">
        <f>+K81*Assumptions!$N$105*K85</f>
        <v>1468549.5591195328</v>
      </c>
      <c r="L92" s="1087">
        <f>+L81*Assumptions!$N$105*L85</f>
        <v>1512606.0458931187</v>
      </c>
      <c r="M92" s="1087">
        <f>+M81*Assumptions!$N$105*M85</f>
        <v>1557984.2272699124</v>
      </c>
      <c r="N92" s="1087">
        <f>+N81*Assumptions!$N$105*N85</f>
        <v>1604723.7540880099</v>
      </c>
      <c r="O92" s="1087">
        <f>+O81*Assumptions!$N$105*O85</f>
        <v>1652865.4667106501</v>
      </c>
      <c r="P92" s="1087">
        <f>+P81*Assumptions!$N$105*P85</f>
        <v>1702451.4307119697</v>
      </c>
      <c r="Q92" s="1087">
        <f>+Q81*Assumptions!$N$105*Q85</f>
        <v>1753524.9736333289</v>
      </c>
      <c r="R92" s="1087">
        <f>+R81*Assumptions!$N$105*R85</f>
        <v>1806130.7228423287</v>
      </c>
      <c r="S92" s="1087">
        <f>+S81*Assumptions!$N$105*S85</f>
        <v>1860314.6445275987</v>
      </c>
      <c r="T92" s="1087">
        <f>+T81*Assumptions!$N$105*T85</f>
        <v>1916124.0838634269</v>
      </c>
      <c r="U92" s="1087">
        <f>+U81*Assumptions!$N$105*U85</f>
        <v>1973607.8063793296</v>
      </c>
      <c r="V92" s="1087">
        <f>+V81*Assumptions!$N$105*V85</f>
        <v>2032816.0405707099</v>
      </c>
      <c r="W92" s="1087">
        <f>+W81*Assumptions!$N$105*W85</f>
        <v>2093800.5217878311</v>
      </c>
      <c r="X92" s="1087">
        <f>+X81*Assumptions!$N$105*X85</f>
        <v>2156614.537441466</v>
      </c>
      <c r="Y92" s="1087">
        <f>+Y81*Assumptions!$N$105*Y85</f>
        <v>2221312.97356471</v>
      </c>
      <c r="Z92" s="1087">
        <f>+Z81*Assumptions!$N$105*Z85</f>
        <v>2287952.3627716517</v>
      </c>
      <c r="AA92" s="699"/>
      <c r="AB92" s="699"/>
      <c r="AC92" s="151"/>
      <c r="AD92" s="699"/>
      <c r="AE92" s="49"/>
      <c r="AF92" s="49"/>
      <c r="AG92" s="49"/>
      <c r="AH92" s="49"/>
      <c r="AI92" s="49"/>
      <c r="AJ92" s="49"/>
      <c r="AK92" s="49"/>
      <c r="AL92" s="49"/>
      <c r="AM92" s="223" t="s">
        <v>1064</v>
      </c>
      <c r="AN92" s="223"/>
      <c r="AO92" s="223"/>
      <c r="AP92" s="223"/>
      <c r="AQ92" s="224">
        <f ca="1">+AQ90/Assumptions!$AE$34</f>
        <v>0</v>
      </c>
      <c r="AR92" s="224">
        <f ca="1">+AR90/Assumptions!$AE$34</f>
        <v>0</v>
      </c>
      <c r="AS92" s="224">
        <f ca="1">+AS90/Assumptions!$AE$34</f>
        <v>0</v>
      </c>
      <c r="AT92" s="224">
        <f ca="1">+AT90/Assumptions!$AE$34</f>
        <v>0</v>
      </c>
      <c r="AU92" s="224">
        <f ca="1">+AU90/Assumptions!$AE$34</f>
        <v>0</v>
      </c>
      <c r="AV92" s="224">
        <f ca="1">+AV90/Assumptions!$AE$34</f>
        <v>0</v>
      </c>
      <c r="AW92" s="224">
        <f ca="1">+AW90/Assumptions!$AE$34</f>
        <v>0</v>
      </c>
      <c r="AX92" s="224">
        <f ca="1">+AX90/Assumptions!$AE$34</f>
        <v>0</v>
      </c>
      <c r="AY92" s="224">
        <f ca="1">+AY90/Assumptions!$AE$34</f>
        <v>0</v>
      </c>
      <c r="AZ92" s="224">
        <f ca="1">+AZ90/Assumptions!$AE$34</f>
        <v>0</v>
      </c>
      <c r="BA92" s="224">
        <f ca="1">+BA90/Assumptions!$AE$34</f>
        <v>0</v>
      </c>
      <c r="BB92" s="224">
        <f ca="1">+BB90/Assumptions!$AE$34</f>
        <v>0</v>
      </c>
      <c r="BC92" s="224">
        <f ca="1">+BC90/Assumptions!$AE$34</f>
        <v>0</v>
      </c>
      <c r="BD92" s="224">
        <f ca="1">+BD90/Assumptions!$AE$34</f>
        <v>0</v>
      </c>
      <c r="BE92" s="224">
        <f ca="1">+BE90/Assumptions!$AE$34</f>
        <v>0</v>
      </c>
      <c r="BF92" s="224">
        <f ca="1">+BF90/Assumptions!$AE$34</f>
        <v>0</v>
      </c>
      <c r="BG92" s="224">
        <f ca="1">+BG90/Assumptions!$AE$34</f>
        <v>0</v>
      </c>
      <c r="BH92" s="224">
        <f ca="1">+BH90/Assumptions!$AE$34</f>
        <v>0</v>
      </c>
      <c r="BI92" s="224">
        <f ca="1">+BI90/Assumptions!$AE$34</f>
        <v>0</v>
      </c>
      <c r="BJ92" s="224">
        <f ca="1">+BJ90/Assumptions!$AE$34</f>
        <v>0</v>
      </c>
      <c r="BK92" s="224">
        <f ca="1">+BK90/Assumptions!$AE$34</f>
        <v>0</v>
      </c>
      <c r="BL92" s="49"/>
      <c r="BM92" s="49"/>
      <c r="BN92" s="49"/>
    </row>
    <row r="93" spans="1:66">
      <c r="A93" s="699"/>
      <c r="B93" s="699" t="s">
        <v>1133</v>
      </c>
      <c r="C93" s="699"/>
      <c r="D93" s="699"/>
      <c r="E93" s="699"/>
      <c r="F93" s="1050">
        <f ca="1">+IFERROR(INDEX('Taxes and TIF'!$M$11:$M$45,MATCH('Phase 1 Pro Forma'!F$7,'Taxes and TIF'!$B$11:$B$45,0)),0)*'Loan Sizing'!$I$27*'Phase 1 Pro Forma'!F82</f>
        <v>0</v>
      </c>
      <c r="G93" s="1050">
        <f ca="1">+IFERROR(INDEX('Taxes and TIF'!$M$11:$M$45,MATCH('Phase 1 Pro Forma'!G$7,'Taxes and TIF'!$B$11:$B$45,0)),0)*'Loan Sizing'!$I$27*'Phase 1 Pro Forma'!G82</f>
        <v>0</v>
      </c>
      <c r="H93" s="1050">
        <f ca="1">+IFERROR(INDEX('Taxes and TIF'!$M$11:$M$45,MATCH('Phase 1 Pro Forma'!H$7,'Taxes and TIF'!$B$11:$B$45,0)),0)*'Loan Sizing'!$I$27*'Phase 1 Pro Forma'!H82</f>
        <v>0</v>
      </c>
      <c r="I93" s="1050">
        <f ca="1">+IFERROR(INDEX('Taxes and TIF'!$M$11:$M$45,MATCH('Phase 1 Pro Forma'!I$7,'Taxes and TIF'!$B$11:$B$45,0)),0)*'Loan Sizing'!$I$27*'Phase 1 Pro Forma'!I82</f>
        <v>0</v>
      </c>
      <c r="J93" s="1050">
        <f ca="1">+IFERROR(INDEX('Taxes and TIF'!$M$11:$M$45,MATCH('Phase 1 Pro Forma'!J$7,'Taxes and TIF'!$B$11:$B$45,0)),0)*'Loan Sizing'!$I$27*'Phase 1 Pro Forma'!J82</f>
        <v>534771.8390127481</v>
      </c>
      <c r="K93" s="1050">
        <f ca="1">+IFERROR(INDEX('Taxes and TIF'!$M$11:$M$45,MATCH('Phase 1 Pro Forma'!K$7,'Taxes and TIF'!$B$11:$B$45,0)),0)*'Loan Sizing'!$I$27*'Phase 1 Pro Forma'!K82</f>
        <v>1069543.6780254962</v>
      </c>
      <c r="L93" s="1050">
        <f ca="1">+IFERROR(INDEX('Taxes and TIF'!$M$11:$M$45,MATCH('Phase 1 Pro Forma'!L$7,'Taxes and TIF'!$B$11:$B$45,0)),0)*'Loan Sizing'!$I$27*'Phase 1 Pro Forma'!L82</f>
        <v>1069543.6780254962</v>
      </c>
      <c r="M93" s="1050">
        <f ca="1">+IFERROR(INDEX('Taxes and TIF'!$M$11:$M$45,MATCH('Phase 1 Pro Forma'!M$7,'Taxes and TIF'!$B$11:$B$45,0)),0)*'Loan Sizing'!$I$27*'Phase 1 Pro Forma'!M82</f>
        <v>1101629.9883662611</v>
      </c>
      <c r="N93" s="1050">
        <f ca="1">+IFERROR(INDEX('Taxes and TIF'!$M$11:$M$45,MATCH('Phase 1 Pro Forma'!N$7,'Taxes and TIF'!$B$11:$B$45,0)),0)*'Loan Sizing'!$I$27*'Phase 1 Pro Forma'!N82</f>
        <v>1101629.9883662611</v>
      </c>
      <c r="O93" s="1050">
        <f ca="1">+IFERROR(INDEX('Taxes and TIF'!$M$11:$M$45,MATCH('Phase 1 Pro Forma'!O$7,'Taxes and TIF'!$B$11:$B$45,0)),0)*'Loan Sizing'!$I$27*'Phase 1 Pro Forma'!O82</f>
        <v>1101629.9883662611</v>
      </c>
      <c r="P93" s="1050">
        <f ca="1">+IFERROR(INDEX('Taxes and TIF'!$M$11:$M$45,MATCH('Phase 1 Pro Forma'!P$7,'Taxes and TIF'!$B$11:$B$45,0)),0)*'Loan Sizing'!$I$27*'Phase 1 Pro Forma'!P82</f>
        <v>1134678.8880172491</v>
      </c>
      <c r="Q93" s="1050">
        <f ca="1">+IFERROR(INDEX('Taxes and TIF'!$M$11:$M$45,MATCH('Phase 1 Pro Forma'!Q$7,'Taxes and TIF'!$B$11:$B$45,0)),0)*'Loan Sizing'!$I$27*'Phase 1 Pro Forma'!Q82</f>
        <v>1134678.8880172491</v>
      </c>
      <c r="R93" s="1050">
        <f ca="1">+IFERROR(INDEX('Taxes and TIF'!$M$11:$M$45,MATCH('Phase 1 Pro Forma'!R$7,'Taxes and TIF'!$B$11:$B$45,0)),0)*'Loan Sizing'!$I$27*'Phase 1 Pro Forma'!R82</f>
        <v>1134678.8880172491</v>
      </c>
      <c r="S93" s="1050">
        <f ca="1">+IFERROR(INDEX('Taxes and TIF'!$M$11:$M$45,MATCH('Phase 1 Pro Forma'!S$7,'Taxes and TIF'!$B$11:$B$45,0)),0)*'Loan Sizing'!$I$27*'Phase 1 Pro Forma'!S82</f>
        <v>1168719.2546577668</v>
      </c>
      <c r="T93" s="1050">
        <f ca="1">+IFERROR(INDEX('Taxes and TIF'!$M$11:$M$45,MATCH('Phase 1 Pro Forma'!T$7,'Taxes and TIF'!$B$11:$B$45,0)),0)*'Loan Sizing'!$I$27*'Phase 1 Pro Forma'!T82</f>
        <v>1168719.2546577668</v>
      </c>
      <c r="U93" s="1050">
        <f ca="1">+IFERROR(INDEX('Taxes and TIF'!$M$11:$M$45,MATCH('Phase 1 Pro Forma'!U$7,'Taxes and TIF'!$B$11:$B$45,0)),0)*'Loan Sizing'!$I$27*'Phase 1 Pro Forma'!U82</f>
        <v>1168719.2546577668</v>
      </c>
      <c r="V93" s="1050">
        <f ca="1">+IFERROR(INDEX('Taxes and TIF'!$M$11:$M$45,MATCH('Phase 1 Pro Forma'!V$7,'Taxes and TIF'!$B$11:$B$45,0)),0)*'Loan Sizing'!$I$27*'Phase 1 Pro Forma'!V82</f>
        <v>1203780.8322974995</v>
      </c>
      <c r="W93" s="1050">
        <f ca="1">+IFERROR(INDEX('Taxes and TIF'!$M$11:$M$45,MATCH('Phase 1 Pro Forma'!W$7,'Taxes and TIF'!$B$11:$B$45,0)),0)*'Loan Sizing'!$I$27*'Phase 1 Pro Forma'!W82</f>
        <v>1203780.8322974995</v>
      </c>
      <c r="X93" s="1050">
        <f ca="1">+IFERROR(INDEX('Taxes and TIF'!$M$11:$M$45,MATCH('Phase 1 Pro Forma'!X$7,'Taxes and TIF'!$B$11:$B$45,0)),0)*'Loan Sizing'!$I$27*'Phase 1 Pro Forma'!X82</f>
        <v>1203780.8322974995</v>
      </c>
      <c r="Y93" s="1050">
        <f ca="1">+IFERROR(INDEX('Taxes and TIF'!$M$11:$M$45,MATCH('Phase 1 Pro Forma'!Y$7,'Taxes and TIF'!$B$11:$B$45,0)),0)*'Loan Sizing'!$I$27*'Phase 1 Pro Forma'!Y82</f>
        <v>1239894.2572664246</v>
      </c>
      <c r="Z93" s="1050">
        <f ca="1">+IFERROR(INDEX('Taxes and TIF'!$M$11:$M$45,MATCH('Phase 1 Pro Forma'!Z$7,'Taxes and TIF'!$B$11:$B$45,0)),0)*'Loan Sizing'!$I$27*'Phase 1 Pro Forma'!Z82</f>
        <v>1239894.2572664246</v>
      </c>
      <c r="AA93" s="699"/>
      <c r="AB93" s="699"/>
      <c r="AC93" s="151"/>
      <c r="AD93" s="699"/>
      <c r="AE93" s="49"/>
      <c r="AF93" s="49"/>
      <c r="AG93" s="49"/>
      <c r="AH93" s="49"/>
      <c r="AI93" s="49"/>
      <c r="AJ93" s="49"/>
      <c r="AK93" s="49"/>
      <c r="AL93" s="49"/>
      <c r="AM93" s="223"/>
      <c r="AN93" s="223"/>
      <c r="AO93" s="223"/>
      <c r="AP93" s="223"/>
      <c r="AQ93" s="224"/>
      <c r="AR93" s="224"/>
      <c r="AS93" s="224"/>
      <c r="AT93" s="224"/>
      <c r="AU93" s="224"/>
      <c r="AV93" s="224"/>
      <c r="AW93" s="224"/>
      <c r="AX93" s="224"/>
      <c r="AY93" s="224"/>
      <c r="AZ93" s="224"/>
      <c r="BA93" s="224"/>
      <c r="BB93" s="224"/>
      <c r="BC93" s="224"/>
      <c r="BD93" s="224"/>
      <c r="BE93" s="224"/>
      <c r="BF93" s="224"/>
      <c r="BG93" s="224"/>
      <c r="BH93" s="224"/>
      <c r="BI93" s="224"/>
      <c r="BJ93" s="224"/>
      <c r="BK93" s="224"/>
      <c r="BL93" s="49"/>
      <c r="BM93" s="49"/>
      <c r="BN93" s="49"/>
    </row>
    <row r="94" spans="1:66" ht="15.75">
      <c r="A94" s="699"/>
      <c r="B94" s="52" t="s">
        <v>1134</v>
      </c>
      <c r="C94" s="1052"/>
      <c r="D94" s="1052"/>
      <c r="E94" s="1052"/>
      <c r="F94" s="1088">
        <f ca="1">+SUM(F92:F93)</f>
        <v>0</v>
      </c>
      <c r="G94" s="1088">
        <f t="shared" ref="G94:Z94" ca="1" si="244">+SUM(G92:G93)</f>
        <v>0</v>
      </c>
      <c r="H94" s="1088">
        <f t="shared" ca="1" si="244"/>
        <v>0</v>
      </c>
      <c r="I94" s="1088">
        <f t="shared" ca="1" si="244"/>
        <v>0</v>
      </c>
      <c r="J94" s="1088">
        <f t="shared" ca="1" si="244"/>
        <v>1247659.9745076669</v>
      </c>
      <c r="K94" s="1088">
        <f t="shared" ca="1" si="244"/>
        <v>2538093.237145029</v>
      </c>
      <c r="L94" s="1088">
        <f t="shared" ca="1" si="244"/>
        <v>2582149.7239186149</v>
      </c>
      <c r="M94" s="1088">
        <f t="shared" ca="1" si="244"/>
        <v>2659614.2156361733</v>
      </c>
      <c r="N94" s="1088">
        <f t="shared" ca="1" si="244"/>
        <v>2706353.7424542708</v>
      </c>
      <c r="O94" s="1088">
        <f t="shared" ca="1" si="244"/>
        <v>2754495.4550769115</v>
      </c>
      <c r="P94" s="1088">
        <f t="shared" ca="1" si="244"/>
        <v>2837130.318729219</v>
      </c>
      <c r="Q94" s="1088">
        <f t="shared" ca="1" si="244"/>
        <v>2888203.8616505777</v>
      </c>
      <c r="R94" s="1088">
        <f t="shared" ca="1" si="244"/>
        <v>2940809.6108595775</v>
      </c>
      <c r="S94" s="1088">
        <f t="shared" ca="1" si="244"/>
        <v>3029033.8991853655</v>
      </c>
      <c r="T94" s="1088">
        <f t="shared" ca="1" si="244"/>
        <v>3084843.3385211937</v>
      </c>
      <c r="U94" s="1088">
        <f t="shared" ca="1" si="244"/>
        <v>3142327.0610370962</v>
      </c>
      <c r="V94" s="1088">
        <f t="shared" ca="1" si="244"/>
        <v>3236596.8728682091</v>
      </c>
      <c r="W94" s="1088">
        <f t="shared" ca="1" si="244"/>
        <v>3297581.3540853309</v>
      </c>
      <c r="X94" s="1088">
        <f t="shared" ca="1" si="244"/>
        <v>3360395.3697389653</v>
      </c>
      <c r="Y94" s="1088">
        <f t="shared" ca="1" si="244"/>
        <v>3461207.2308311346</v>
      </c>
      <c r="Z94" s="1088">
        <f t="shared" ca="1" si="244"/>
        <v>3527846.6200380763</v>
      </c>
      <c r="AA94" s="699"/>
      <c r="AB94" s="699"/>
      <c r="AC94" s="151"/>
      <c r="AD94" s="699"/>
      <c r="AE94" s="49"/>
      <c r="AF94" s="49"/>
      <c r="AG94" s="49"/>
      <c r="AH94" s="49"/>
      <c r="AI94" s="49"/>
      <c r="AJ94" s="49"/>
      <c r="AK94" s="49"/>
      <c r="AL94" s="49"/>
      <c r="AM94" s="81" t="str">
        <f>+Assumptions!AL42</f>
        <v xml:space="preserve">Affordable Senior Living Residential </v>
      </c>
      <c r="AN94" s="49"/>
      <c r="AO94" s="49"/>
      <c r="AP94" s="49"/>
      <c r="AQ94" s="768">
        <f>+Assumptions!$F$27</f>
        <v>45291</v>
      </c>
      <c r="AR94" s="768">
        <f>+EOMONTH(AQ94,12)</f>
        <v>45657</v>
      </c>
      <c r="AS94" s="768">
        <f t="shared" ref="AS94" si="245">+EOMONTH(AR94,12)</f>
        <v>46022</v>
      </c>
      <c r="AT94" s="768">
        <f t="shared" ref="AT94" si="246">+EOMONTH(AS94,12)</f>
        <v>46387</v>
      </c>
      <c r="AU94" s="768">
        <f t="shared" ref="AU94" si="247">+EOMONTH(AT94,12)</f>
        <v>46752</v>
      </c>
      <c r="AV94" s="768">
        <f t="shared" ref="AV94" si="248">+EOMONTH(AU94,12)</f>
        <v>47118</v>
      </c>
      <c r="AW94" s="768">
        <f t="shared" ref="AW94" si="249">+EOMONTH(AV94,12)</f>
        <v>47483</v>
      </c>
      <c r="AX94" s="768">
        <f t="shared" ref="AX94" si="250">+EOMONTH(AW94,12)</f>
        <v>47848</v>
      </c>
      <c r="AY94" s="768">
        <f t="shared" ref="AY94" si="251">+EOMONTH(AX94,12)</f>
        <v>48213</v>
      </c>
      <c r="AZ94" s="768">
        <f t="shared" ref="AZ94" si="252">+EOMONTH(AY94,12)</f>
        <v>48579</v>
      </c>
      <c r="BA94" s="768">
        <f t="shared" ref="BA94" si="253">+EOMONTH(AZ94,12)</f>
        <v>48944</v>
      </c>
      <c r="BB94" s="768">
        <f t="shared" ref="BB94" si="254">+EOMONTH(BA94,12)</f>
        <v>49309</v>
      </c>
      <c r="BC94" s="768">
        <f t="shared" ref="BC94" si="255">+EOMONTH(BB94,12)</f>
        <v>49674</v>
      </c>
      <c r="BD94" s="768">
        <f t="shared" ref="BD94" si="256">+EOMONTH(BC94,12)</f>
        <v>50040</v>
      </c>
      <c r="BE94" s="768">
        <f t="shared" ref="BE94" si="257">+EOMONTH(BD94,12)</f>
        <v>50405</v>
      </c>
      <c r="BF94" s="768">
        <f t="shared" ref="BF94" si="258">+EOMONTH(BE94,12)</f>
        <v>50770</v>
      </c>
      <c r="BG94" s="768">
        <f t="shared" ref="BG94" si="259">+EOMONTH(BF94,12)</f>
        <v>51135</v>
      </c>
      <c r="BH94" s="768">
        <f t="shared" ref="BH94" si="260">+EOMONTH(BG94,12)</f>
        <v>51501</v>
      </c>
      <c r="BI94" s="768">
        <f t="shared" ref="BI94" si="261">+EOMONTH(BH94,12)</f>
        <v>51866</v>
      </c>
      <c r="BJ94" s="768">
        <f t="shared" ref="BJ94" si="262">+EOMONTH(BI94,12)</f>
        <v>52231</v>
      </c>
      <c r="BK94" s="768">
        <f t="shared" ref="BK94" si="263">+EOMONTH(BJ94,12)</f>
        <v>52596</v>
      </c>
      <c r="BL94" s="49"/>
      <c r="BM94" s="49"/>
      <c r="BN94" s="49"/>
    </row>
    <row r="95" spans="1:66" ht="15.75">
      <c r="A95" s="699"/>
      <c r="B95" s="699"/>
      <c r="C95" s="699"/>
      <c r="D95" s="699"/>
      <c r="E95" s="699"/>
      <c r="F95" s="699"/>
      <c r="G95" s="699"/>
      <c r="H95" s="699"/>
      <c r="I95" s="699"/>
      <c r="J95" s="699"/>
      <c r="K95" s="699"/>
      <c r="L95" s="699"/>
      <c r="M95" s="699"/>
      <c r="N95" s="699"/>
      <c r="O95" s="699"/>
      <c r="P95" s="699"/>
      <c r="Q95" s="699"/>
      <c r="R95" s="699"/>
      <c r="S95" s="699"/>
      <c r="T95" s="699"/>
      <c r="U95" s="699"/>
      <c r="V95" s="699"/>
      <c r="W95" s="699"/>
      <c r="X95" s="699"/>
      <c r="Y95" s="699"/>
      <c r="Z95" s="699"/>
      <c r="AA95" s="699"/>
      <c r="AB95" s="699"/>
      <c r="AC95" s="761">
        <f>0.06*SUM(F87:P87)</f>
        <v>2427127.6612400976</v>
      </c>
      <c r="AD95" s="699"/>
      <c r="AE95" s="49"/>
      <c r="AF95" s="49"/>
      <c r="AG95" s="49"/>
      <c r="AH95" s="49"/>
      <c r="AI95" s="49"/>
      <c r="AJ95" s="49"/>
      <c r="AK95" s="49"/>
      <c r="AL95" s="49"/>
      <c r="AM95" s="49" t="s">
        <v>1120</v>
      </c>
      <c r="AN95" s="49"/>
      <c r="AO95" s="49"/>
      <c r="AP95" s="253"/>
      <c r="AQ95" s="253">
        <f>+IF(AND(AQ94&gt;=Assumptions!$F$31,AQ94&lt;Assumptions!$F$33),Assumptions!$AE$116/ROUNDUP((Assumptions!$F$32/12),0),)</f>
        <v>0</v>
      </c>
      <c r="AR95" s="253">
        <f>+IF(AND(AR94&gt;=Assumptions!$F$31,AR94&lt;Assumptions!$F$33),Assumptions!$AE$116/ROUNDUP((Assumptions!$F$32/12),0),)</f>
        <v>0</v>
      </c>
      <c r="AS95" s="253">
        <f>+IF(AND(AS94&gt;=Assumptions!$F$31,AS94&lt;Assumptions!$F$33),Assumptions!$AE$116/ROUNDUP((Assumptions!$F$32/12),0),)</f>
        <v>0</v>
      </c>
      <c r="AT95" s="253">
        <f>+IF(AND(AT94&gt;=Assumptions!$F$31,AT94&lt;Assumptions!$F$33),Assumptions!$AE$116/ROUNDUP((Assumptions!$F$32/12),0),)</f>
        <v>0</v>
      </c>
      <c r="AU95" s="253">
        <f>+IF(AND(AU94&gt;=Assumptions!$F$31,AU94&lt;Assumptions!$F$33),Assumptions!$AE$116/ROUNDUP((Assumptions!$F$32/12),0),)</f>
        <v>0</v>
      </c>
      <c r="AV95" s="253">
        <f>+IF(AND(AV94&gt;=Assumptions!$F$31,AV94&lt;Assumptions!$F$33),Assumptions!$AE$116/ROUNDUP((Assumptions!$F$32/12),0),)</f>
        <v>0</v>
      </c>
      <c r="AW95" s="253">
        <f>+IF(AND(AW94&gt;=Assumptions!$F$31,AW94&lt;Assumptions!$F$33),Assumptions!$AE$116/ROUNDUP((Assumptions!$F$32/12),0),)</f>
        <v>0</v>
      </c>
      <c r="AX95" s="253">
        <f>+IF(AND(AX94&gt;=Assumptions!$F$31,AX94&lt;Assumptions!$F$33),Assumptions!$AE$116/ROUNDUP((Assumptions!$F$32/12),0),)</f>
        <v>0</v>
      </c>
      <c r="AY95" s="253">
        <f>+IF(AND(AY94&gt;=Assumptions!$F$31,AY94&lt;Assumptions!$F$33),Assumptions!$AE$116/ROUNDUP((Assumptions!$F$32/12),0),)</f>
        <v>0</v>
      </c>
      <c r="AZ95" s="253">
        <f>+IF(AND(AZ94&gt;=Assumptions!$F$31,AZ94&lt;Assumptions!$F$33),Assumptions!$AE$116/ROUNDUP((Assumptions!$F$32/12),0),)</f>
        <v>0</v>
      </c>
      <c r="BA95" s="253">
        <f>+IF(AND(BA94&gt;=Assumptions!$F$31,BA94&lt;Assumptions!$F$33),Assumptions!$AE$116/ROUNDUP((Assumptions!$F$32/12),0),)</f>
        <v>0</v>
      </c>
      <c r="BB95" s="253">
        <f>+IF(AND(BB94&gt;=Assumptions!$F$31,BB94&lt;Assumptions!$F$33),Assumptions!$AE$116/ROUNDUP((Assumptions!$F$32/12),0),)</f>
        <v>0</v>
      </c>
      <c r="BC95" s="253">
        <f>+IF(AND(BC94&gt;=Assumptions!$F$31,BC94&lt;Assumptions!$F$33),Assumptions!$AE$116/ROUNDUP((Assumptions!$F$32/12),0),)</f>
        <v>0</v>
      </c>
      <c r="BD95" s="253">
        <f>+IF(AND(BD94&gt;=Assumptions!$F$31,BD94&lt;Assumptions!$F$33),Assumptions!$AE$116/ROUNDUP((Assumptions!$F$32/12),0),)</f>
        <v>0</v>
      </c>
      <c r="BE95" s="253">
        <f>+IF(AND(BE94&gt;=Assumptions!$F$31,BE94&lt;Assumptions!$F$33),Assumptions!$AE$116/ROUNDUP((Assumptions!$F$32/12),0),)</f>
        <v>0</v>
      </c>
      <c r="BF95" s="253">
        <f>+IF(AND(BF94&gt;=Assumptions!$F$31,BF94&lt;Assumptions!$F$33),Assumptions!$AE$116/ROUNDUP((Assumptions!$F$32/12),0),)</f>
        <v>0</v>
      </c>
      <c r="BG95" s="253">
        <f>+IF(AND(BG94&gt;=Assumptions!$F$31,BG94&lt;Assumptions!$F$33),Assumptions!$AE$116/ROUNDUP((Assumptions!$F$32/12),0),)</f>
        <v>0</v>
      </c>
      <c r="BH95" s="253">
        <f>+IF(AND(BH94&gt;=Assumptions!$F$31,BH94&lt;Assumptions!$F$33),Assumptions!$AE$116/ROUNDUP((Assumptions!$F$32/12),0),)</f>
        <v>0</v>
      </c>
      <c r="BI95" s="253">
        <f>+IF(AND(BI94&gt;=Assumptions!$F$31,BI94&lt;Assumptions!$F$33),Assumptions!$AE$116/ROUNDUP((Assumptions!$F$32/12),0),)</f>
        <v>0</v>
      </c>
      <c r="BJ95" s="253">
        <f>+IF(AND(BJ94&gt;=Assumptions!$F$31,BJ94&lt;Assumptions!$F$33),Assumptions!$AE$116/ROUNDUP((Assumptions!$F$32/12),0),)</f>
        <v>0</v>
      </c>
      <c r="BK95" s="253">
        <f>+IF(AND(BK94&gt;=Assumptions!$F$31,BK94&lt;Assumptions!$F$33),Assumptions!$AE$116/ROUNDUP((Assumptions!$F$32/12),0),)</f>
        <v>0</v>
      </c>
      <c r="BL95" s="49"/>
      <c r="BM95" s="49"/>
      <c r="BN95" s="49"/>
    </row>
    <row r="96" spans="1:66" ht="15.75">
      <c r="A96" s="699"/>
      <c r="B96" s="50" t="s">
        <v>1135</v>
      </c>
      <c r="C96" s="50"/>
      <c r="D96" s="50"/>
      <c r="E96" s="50"/>
      <c r="F96" s="55">
        <f ca="1">+F90-F94</f>
        <v>0</v>
      </c>
      <c r="G96" s="55">
        <f t="shared" ref="G96:Z96" ca="1" si="264">+G90-G94</f>
        <v>0</v>
      </c>
      <c r="H96" s="55">
        <f t="shared" ca="1" si="264"/>
        <v>0</v>
      </c>
      <c r="I96" s="55">
        <f t="shared" ca="1" si="264"/>
        <v>0</v>
      </c>
      <c r="J96" s="55">
        <f t="shared" ca="1" si="264"/>
        <v>2524563.4919310305</v>
      </c>
      <c r="K96" s="55">
        <f t="shared" ca="1" si="264"/>
        <v>5044849.6550490912</v>
      </c>
      <c r="L96" s="55">
        <f t="shared" ca="1" si="264"/>
        <v>5040444.0063717328</v>
      </c>
      <c r="M96" s="55">
        <f t="shared" ca="1" si="264"/>
        <v>5827496.4040145166</v>
      </c>
      <c r="N96" s="55">
        <f t="shared" ca="1" si="264"/>
        <v>5822822.451332706</v>
      </c>
      <c r="O96" s="55">
        <f t="shared" ca="1" si="264"/>
        <v>5818008.2800704418</v>
      </c>
      <c r="P96" s="55">
        <f t="shared" ca="1" si="264"/>
        <v>5809744.7937052129</v>
      </c>
      <c r="Q96" s="55">
        <f t="shared" ca="1" si="264"/>
        <v>5804637.4394130753</v>
      </c>
      <c r="R96" s="55">
        <f t="shared" ca="1" si="264"/>
        <v>6713395.5383288944</v>
      </c>
      <c r="S96" s="55">
        <f t="shared" ca="1" si="264"/>
        <v>6704573.1094963159</v>
      </c>
      <c r="T96" s="55">
        <f t="shared" ca="1" si="264"/>
        <v>6698992.1655627321</v>
      </c>
      <c r="U96" s="55">
        <f t="shared" ca="1" si="264"/>
        <v>6693243.7933111424</v>
      </c>
      <c r="V96" s="55">
        <f t="shared" ca="1" si="264"/>
        <v>6683816.8121280307</v>
      </c>
      <c r="W96" s="55">
        <f t="shared" ca="1" si="264"/>
        <v>7728839.8389185471</v>
      </c>
      <c r="X96" s="55">
        <f t="shared" ca="1" si="264"/>
        <v>7722558.4373531835</v>
      </c>
      <c r="Y96" s="55">
        <f t="shared" ca="1" si="264"/>
        <v>7712477.2512439657</v>
      </c>
      <c r="Z96" s="55">
        <f t="shared" ca="1" si="264"/>
        <v>7705813.3123232732</v>
      </c>
      <c r="AA96" s="699"/>
      <c r="AB96" s="699"/>
      <c r="AC96" s="151"/>
      <c r="AD96" s="699"/>
      <c r="AE96" s="49"/>
      <c r="AF96" s="49"/>
      <c r="AG96" s="49"/>
      <c r="AH96" s="49"/>
      <c r="AI96" s="49"/>
      <c r="AJ96" s="49"/>
      <c r="AK96" s="49"/>
      <c r="AL96" s="49"/>
      <c r="AM96" s="49" t="s">
        <v>1121</v>
      </c>
      <c r="AN96" s="49"/>
      <c r="AO96" s="49"/>
      <c r="AP96" s="253">
        <v>0</v>
      </c>
      <c r="AQ96" s="253">
        <f>+AP96+AQ95</f>
        <v>0</v>
      </c>
      <c r="AR96" s="253">
        <f t="shared" ref="AR96:BK96" si="265">+AQ96+AR95</f>
        <v>0</v>
      </c>
      <c r="AS96" s="253">
        <f t="shared" si="265"/>
        <v>0</v>
      </c>
      <c r="AT96" s="253">
        <f t="shared" si="265"/>
        <v>0</v>
      </c>
      <c r="AU96" s="253">
        <f t="shared" si="265"/>
        <v>0</v>
      </c>
      <c r="AV96" s="253">
        <f t="shared" si="265"/>
        <v>0</v>
      </c>
      <c r="AW96" s="253">
        <f t="shared" si="265"/>
        <v>0</v>
      </c>
      <c r="AX96" s="253">
        <f t="shared" si="265"/>
        <v>0</v>
      </c>
      <c r="AY96" s="253">
        <f t="shared" si="265"/>
        <v>0</v>
      </c>
      <c r="AZ96" s="253">
        <f t="shared" si="265"/>
        <v>0</v>
      </c>
      <c r="BA96" s="253">
        <f t="shared" si="265"/>
        <v>0</v>
      </c>
      <c r="BB96" s="253">
        <f t="shared" si="265"/>
        <v>0</v>
      </c>
      <c r="BC96" s="253">
        <f t="shared" si="265"/>
        <v>0</v>
      </c>
      <c r="BD96" s="253">
        <f t="shared" si="265"/>
        <v>0</v>
      </c>
      <c r="BE96" s="253">
        <f t="shared" si="265"/>
        <v>0</v>
      </c>
      <c r="BF96" s="253">
        <f t="shared" si="265"/>
        <v>0</v>
      </c>
      <c r="BG96" s="253">
        <f t="shared" si="265"/>
        <v>0</v>
      </c>
      <c r="BH96" s="253">
        <f t="shared" si="265"/>
        <v>0</v>
      </c>
      <c r="BI96" s="253">
        <f t="shared" si="265"/>
        <v>0</v>
      </c>
      <c r="BJ96" s="253">
        <f t="shared" si="265"/>
        <v>0</v>
      </c>
      <c r="BK96" s="253">
        <f t="shared" si="265"/>
        <v>0</v>
      </c>
      <c r="BL96" s="49"/>
      <c r="BM96" s="49"/>
      <c r="BN96" s="49"/>
    </row>
    <row r="97" spans="2:66">
      <c r="B97" s="51" t="s">
        <v>1136</v>
      </c>
      <c r="C97" s="51"/>
      <c r="D97" s="51"/>
      <c r="E97" s="51"/>
      <c r="F97" s="56" t="str">
        <f ca="1">+IFERROR(F96/F90,"")</f>
        <v/>
      </c>
      <c r="G97" s="56" t="str">
        <f t="shared" ref="G97" ca="1" si="266">+IFERROR(G96/G90,"")</f>
        <v/>
      </c>
      <c r="H97" s="56" t="str">
        <f t="shared" ref="H97" ca="1" si="267">+IFERROR(H96/H90,"")</f>
        <v/>
      </c>
      <c r="I97" s="56" t="str">
        <f t="shared" ref="I97" ca="1" si="268">+IFERROR(I96/I90,"")</f>
        <v/>
      </c>
      <c r="J97" s="56">
        <f t="shared" ref="J97" ca="1" si="269">+IFERROR(J96/J90,"")</f>
        <v>0.66925077859038806</v>
      </c>
      <c r="K97" s="56">
        <f t="shared" ref="K97" ca="1" si="270">+IFERROR(K96/K90,"")</f>
        <v>0.66528915313898229</v>
      </c>
      <c r="L97" s="56">
        <f t="shared" ref="L97" ca="1" si="271">+IFERROR(L96/L90,"")</f>
        <v>0.66125051192774775</v>
      </c>
      <c r="M97" s="56">
        <f t="shared" ref="M97" ca="1" si="272">+IFERROR(M96/M90,"")</f>
        <v>0.68662901488779737</v>
      </c>
      <c r="N97" s="56">
        <f t="shared" ref="N97" ca="1" si="273">+IFERROR(N96/N90,"")</f>
        <v>0.68269459078290629</v>
      </c>
      <c r="O97" s="56">
        <f t="shared" ref="O97" ca="1" si="274">+IFERROR(O96/O90,"")</f>
        <v>0.67868250161461563</v>
      </c>
      <c r="P97" s="56">
        <f t="shared" ref="P97" ca="1" si="275">+IFERROR(P96/P90,"")</f>
        <v>0.67188952288100567</v>
      </c>
      <c r="Q97" s="56">
        <f t="shared" ref="Q97" ca="1" si="276">+IFERROR(Q96/Q90,"")</f>
        <v>0.66774915569927884</v>
      </c>
      <c r="R97" s="56">
        <f t="shared" ref="R97" ca="1" si="277">+IFERROR(R96/R90,"")</f>
        <v>0.69538563088160799</v>
      </c>
      <c r="S97" s="56">
        <f t="shared" ref="S97" ca="1" si="278">+IFERROR(S96/S90,"")</f>
        <v>0.68880663699657452</v>
      </c>
      <c r="T97" s="56">
        <f t="shared" ref="T97" ca="1" si="279">+IFERROR(T96/T90,"")</f>
        <v>0.68469999958262462</v>
      </c>
      <c r="U97" s="56">
        <f t="shared" ref="U97" ca="1" si="280">+IFERROR(U96/U90,"")</f>
        <v>0.68051401310907189</v>
      </c>
      <c r="V97" s="56">
        <f t="shared" ref="V97" ca="1" si="281">+IFERROR(V96/V90,"")</f>
        <v>0.67374375952050469</v>
      </c>
      <c r="W97" s="56">
        <f t="shared" ref="W97" ca="1" si="282">+IFERROR(W96/W90,"")</f>
        <v>0.70093820140141172</v>
      </c>
      <c r="X97" s="56">
        <f t="shared" ref="X97" ca="1" si="283">+IFERROR(X96/X90,"")</f>
        <v>0.69679605020201407</v>
      </c>
      <c r="Y97" s="56">
        <f t="shared" ref="Y97" ca="1" si="284">+IFERROR(Y96/Y90,"")</f>
        <v>0.69023581824029245</v>
      </c>
      <c r="Z97" s="56">
        <f t="shared" ref="Z97" ca="1" si="285">+IFERROR(Z96/Z90,"")</f>
        <v>0.68595750260560784</v>
      </c>
      <c r="AA97" s="699"/>
      <c r="AB97" s="699"/>
      <c r="AC97" s="151"/>
      <c r="AD97" s="699"/>
      <c r="AE97" s="49"/>
      <c r="AF97" s="49"/>
      <c r="AG97" s="49"/>
      <c r="AH97" s="49"/>
      <c r="AI97" s="49"/>
      <c r="AJ97" s="49"/>
      <c r="AK97" s="49"/>
      <c r="AL97" s="49"/>
      <c r="AM97" s="49" t="s">
        <v>1123</v>
      </c>
      <c r="AN97" s="49"/>
      <c r="AO97" s="49"/>
      <c r="AP97" s="49"/>
      <c r="AQ97" s="769">
        <f>+AQ98-AP98</f>
        <v>0</v>
      </c>
      <c r="AR97" s="769">
        <f t="shared" ref="AR97:BK97" si="286">+AR98-AQ98</f>
        <v>0</v>
      </c>
      <c r="AS97" s="769">
        <f t="shared" si="286"/>
        <v>0</v>
      </c>
      <c r="AT97" s="769">
        <f t="shared" si="286"/>
        <v>0</v>
      </c>
      <c r="AU97" s="769">
        <f t="shared" si="286"/>
        <v>0</v>
      </c>
      <c r="AV97" s="769">
        <f t="shared" si="286"/>
        <v>0</v>
      </c>
      <c r="AW97" s="769">
        <f t="shared" si="286"/>
        <v>0</v>
      </c>
      <c r="AX97" s="769">
        <f t="shared" si="286"/>
        <v>0</v>
      </c>
      <c r="AY97" s="769">
        <f t="shared" si="286"/>
        <v>0</v>
      </c>
      <c r="AZ97" s="769">
        <f t="shared" si="286"/>
        <v>0</v>
      </c>
      <c r="BA97" s="769">
        <f t="shared" si="286"/>
        <v>0</v>
      </c>
      <c r="BB97" s="769">
        <f t="shared" si="286"/>
        <v>0</v>
      </c>
      <c r="BC97" s="769">
        <f t="shared" si="286"/>
        <v>0</v>
      </c>
      <c r="BD97" s="769">
        <f t="shared" si="286"/>
        <v>0</v>
      </c>
      <c r="BE97" s="769">
        <f t="shared" si="286"/>
        <v>0</v>
      </c>
      <c r="BF97" s="769">
        <f t="shared" si="286"/>
        <v>0</v>
      </c>
      <c r="BG97" s="769">
        <f t="shared" si="286"/>
        <v>0</v>
      </c>
      <c r="BH97" s="769">
        <f t="shared" si="286"/>
        <v>0</v>
      </c>
      <c r="BI97" s="769">
        <f t="shared" si="286"/>
        <v>0</v>
      </c>
      <c r="BJ97" s="769">
        <f t="shared" si="286"/>
        <v>0</v>
      </c>
      <c r="BK97" s="769">
        <f t="shared" si="286"/>
        <v>0</v>
      </c>
      <c r="BL97" s="49"/>
      <c r="BM97" s="49"/>
      <c r="BN97" s="49"/>
    </row>
    <row r="98" spans="2:66">
      <c r="B98" s="223"/>
      <c r="C98" s="223"/>
      <c r="D98" s="223"/>
      <c r="E98" s="223"/>
      <c r="F98" s="641"/>
      <c r="G98" s="641"/>
      <c r="H98" s="641"/>
      <c r="I98" s="641"/>
      <c r="J98" s="641"/>
      <c r="K98" s="641"/>
      <c r="L98" s="641"/>
      <c r="M98" s="641"/>
      <c r="N98" s="641"/>
      <c r="O98" s="641"/>
      <c r="P98" s="641"/>
      <c r="Q98" s="641"/>
      <c r="R98" s="641"/>
      <c r="S98" s="641"/>
      <c r="T98" s="641"/>
      <c r="U98" s="641"/>
      <c r="V98" s="641"/>
      <c r="W98" s="641"/>
      <c r="X98" s="641"/>
      <c r="Y98" s="641"/>
      <c r="Z98" s="641"/>
      <c r="AA98" s="699"/>
      <c r="AB98" s="699"/>
      <c r="AC98" s="151"/>
      <c r="AD98" s="699"/>
      <c r="AE98" s="49"/>
      <c r="AF98" s="49"/>
      <c r="AG98" s="49"/>
      <c r="AH98" s="49"/>
      <c r="AI98" s="49"/>
      <c r="AJ98" s="49"/>
      <c r="AK98" s="49"/>
      <c r="AL98" s="49"/>
      <c r="AM98" s="49" t="s">
        <v>1124</v>
      </c>
      <c r="AN98" s="49"/>
      <c r="AO98" s="49"/>
      <c r="AP98" s="49"/>
      <c r="AQ98" s="769">
        <f>+AQ99*Assumptions!$AE$117</f>
        <v>0</v>
      </c>
      <c r="AR98" s="769">
        <f>+AR99*Assumptions!$AE$117</f>
        <v>0</v>
      </c>
      <c r="AS98" s="769">
        <f>+AS99*Assumptions!$AE$117</f>
        <v>0</v>
      </c>
      <c r="AT98" s="769">
        <f>+AT99*Assumptions!$AE$117</f>
        <v>0</v>
      </c>
      <c r="AU98" s="769">
        <f>+AU99*Assumptions!$AE$117</f>
        <v>0</v>
      </c>
      <c r="AV98" s="769">
        <f>+AV99*Assumptions!$AE$117</f>
        <v>0</v>
      </c>
      <c r="AW98" s="769">
        <f>+AW99*Assumptions!$AE$117</f>
        <v>0</v>
      </c>
      <c r="AX98" s="769">
        <f>+AX99*Assumptions!$AE$117</f>
        <v>0</v>
      </c>
      <c r="AY98" s="769">
        <f>+AY99*Assumptions!$AE$117</f>
        <v>0</v>
      </c>
      <c r="AZ98" s="769">
        <f>+AZ99*Assumptions!$AE$117</f>
        <v>0</v>
      </c>
      <c r="BA98" s="769">
        <f>+BA99*Assumptions!$AE$117</f>
        <v>0</v>
      </c>
      <c r="BB98" s="769">
        <f>+BB99*Assumptions!$AE$117</f>
        <v>0</v>
      </c>
      <c r="BC98" s="769">
        <f>+BC99*Assumptions!$AE$117</f>
        <v>0</v>
      </c>
      <c r="BD98" s="769">
        <f>+BD99*Assumptions!$AE$117</f>
        <v>0</v>
      </c>
      <c r="BE98" s="769">
        <f>+BE99*Assumptions!$AE$117</f>
        <v>0</v>
      </c>
      <c r="BF98" s="769">
        <f>+BF99*Assumptions!$AE$117</f>
        <v>0</v>
      </c>
      <c r="BG98" s="769">
        <f>+BG99*Assumptions!$AE$117</f>
        <v>0</v>
      </c>
      <c r="BH98" s="769">
        <f>+BH99*Assumptions!$AE$117</f>
        <v>0</v>
      </c>
      <c r="BI98" s="769">
        <f>+BI99*Assumptions!$AE$117</f>
        <v>0</v>
      </c>
      <c r="BJ98" s="769">
        <f>+BJ99*Assumptions!$AE$117</f>
        <v>0</v>
      </c>
      <c r="BK98" s="769">
        <f>+BK99*Assumptions!$AE$117</f>
        <v>0</v>
      </c>
      <c r="BL98" s="49"/>
      <c r="BM98" s="49"/>
      <c r="BN98" s="49"/>
    </row>
    <row r="99" spans="2:66">
      <c r="B99" s="49" t="s">
        <v>1140</v>
      </c>
      <c r="C99" s="223"/>
      <c r="D99" s="223"/>
      <c r="E99" s="223"/>
      <c r="F99" s="642">
        <f>+F80*Assumptions!$N$110</f>
        <v>0</v>
      </c>
      <c r="G99" s="642">
        <f>+G80*Assumptions!$N$110</f>
        <v>0</v>
      </c>
      <c r="H99" s="642">
        <f>+H80*Assumptions!$N$110</f>
        <v>0</v>
      </c>
      <c r="I99" s="642">
        <f>+I80*Assumptions!$N$110</f>
        <v>0</v>
      </c>
      <c r="J99" s="642">
        <f>+J80*Assumptions!$N$110</f>
        <v>5294121.160625915</v>
      </c>
      <c r="K99" s="642">
        <f>+K80*Assumptions!$N$110</f>
        <v>5294121.160625915</v>
      </c>
      <c r="L99" s="642">
        <f>+L80*Assumptions!$N$110</f>
        <v>0</v>
      </c>
      <c r="M99" s="642">
        <f>+M80*Assumptions!$N$110</f>
        <v>0</v>
      </c>
      <c r="N99" s="642">
        <f>+N80*Assumptions!$N$110</f>
        <v>0</v>
      </c>
      <c r="O99" s="642">
        <f>+O80*Assumptions!$N$110</f>
        <v>0</v>
      </c>
      <c r="P99" s="642">
        <f>+P80*Assumptions!$N$110</f>
        <v>0</v>
      </c>
      <c r="Q99" s="642">
        <f>+Q80*Assumptions!$N$110</f>
        <v>0</v>
      </c>
      <c r="R99" s="642">
        <f>+R80*Assumptions!$N$110</f>
        <v>0</v>
      </c>
      <c r="S99" s="642">
        <f>+S80*Assumptions!$N$110</f>
        <v>0</v>
      </c>
      <c r="T99" s="642">
        <f>+T80*Assumptions!$N$110</f>
        <v>0</v>
      </c>
      <c r="U99" s="642">
        <f>+U80*Assumptions!$N$110</f>
        <v>0</v>
      </c>
      <c r="V99" s="642">
        <f>+V80*Assumptions!$N$110</f>
        <v>0</v>
      </c>
      <c r="W99" s="642">
        <f>+W80*Assumptions!$N$110</f>
        <v>0</v>
      </c>
      <c r="X99" s="642">
        <f>+X80*Assumptions!$N$110</f>
        <v>0</v>
      </c>
      <c r="Y99" s="642">
        <f>+Y80*Assumptions!$N$110</f>
        <v>0</v>
      </c>
      <c r="Z99" s="642">
        <f>+Z80*Assumptions!$N$110</f>
        <v>0</v>
      </c>
      <c r="AA99" s="699"/>
      <c r="AB99" s="699"/>
      <c r="AC99" s="151"/>
      <c r="AD99" s="699"/>
      <c r="AE99" s="49"/>
      <c r="AF99" s="49"/>
      <c r="AG99" s="49"/>
      <c r="AH99" s="49"/>
      <c r="AI99" s="49"/>
      <c r="AJ99" s="49"/>
      <c r="AK99" s="49"/>
      <c r="AL99" s="49"/>
      <c r="AM99" s="49" t="s">
        <v>1125</v>
      </c>
      <c r="AN99" s="49"/>
      <c r="AO99" s="49"/>
      <c r="AP99" s="49"/>
      <c r="AQ99" s="770">
        <f t="shared" ref="AQ99:BK99" si="287">+IFERROR(AQ96/SUM($AQ$95:$BK$95),0)</f>
        <v>0</v>
      </c>
      <c r="AR99" s="770">
        <f t="shared" si="287"/>
        <v>0</v>
      </c>
      <c r="AS99" s="770">
        <f t="shared" si="287"/>
        <v>0</v>
      </c>
      <c r="AT99" s="770">
        <f t="shared" si="287"/>
        <v>0</v>
      </c>
      <c r="AU99" s="770">
        <f t="shared" si="287"/>
        <v>0</v>
      </c>
      <c r="AV99" s="770">
        <f t="shared" si="287"/>
        <v>0</v>
      </c>
      <c r="AW99" s="770">
        <f t="shared" si="287"/>
        <v>0</v>
      </c>
      <c r="AX99" s="770">
        <f t="shared" si="287"/>
        <v>0</v>
      </c>
      <c r="AY99" s="770">
        <f t="shared" si="287"/>
        <v>0</v>
      </c>
      <c r="AZ99" s="770">
        <f t="shared" si="287"/>
        <v>0</v>
      </c>
      <c r="BA99" s="770">
        <f t="shared" si="287"/>
        <v>0</v>
      </c>
      <c r="BB99" s="770">
        <f t="shared" si="287"/>
        <v>0</v>
      </c>
      <c r="BC99" s="770">
        <f t="shared" si="287"/>
        <v>0</v>
      </c>
      <c r="BD99" s="770">
        <f t="shared" si="287"/>
        <v>0</v>
      </c>
      <c r="BE99" s="770">
        <f t="shared" si="287"/>
        <v>0</v>
      </c>
      <c r="BF99" s="770">
        <f t="shared" si="287"/>
        <v>0</v>
      </c>
      <c r="BG99" s="770">
        <f t="shared" si="287"/>
        <v>0</v>
      </c>
      <c r="BH99" s="770">
        <f t="shared" si="287"/>
        <v>0</v>
      </c>
      <c r="BI99" s="770">
        <f t="shared" si="287"/>
        <v>0</v>
      </c>
      <c r="BJ99" s="770">
        <f t="shared" si="287"/>
        <v>0</v>
      </c>
      <c r="BK99" s="770">
        <f t="shared" si="287"/>
        <v>0</v>
      </c>
      <c r="BL99" s="49"/>
      <c r="BM99" s="49"/>
      <c r="BN99" s="49"/>
    </row>
    <row r="100" spans="2:66">
      <c r="B100" s="49" t="s">
        <v>1141</v>
      </c>
      <c r="C100" s="223"/>
      <c r="D100" s="223"/>
      <c r="E100" s="223"/>
      <c r="F100" s="642">
        <f>IF(F79=P1_Const_Completion,SUM('Phase 1 Pro Forma'!F87:O87)*Assumptions!$N$112,0)</f>
        <v>0</v>
      </c>
      <c r="G100" s="642">
        <f>IF(G79=P1_Const_Completion,SUM('Phase 1 Pro Forma'!G87:P87)*Assumptions!$N$112,0)</f>
        <v>0</v>
      </c>
      <c r="H100" s="642">
        <f>IF(H79=P1_Const_Completion,SUM('Phase 1 Pro Forma'!H87:Q87)*Assumptions!$N$112,0)</f>
        <v>0</v>
      </c>
      <c r="I100" s="642">
        <f>IF(I79=P1_Const_Completion,SUM('Phase 1 Pro Forma'!I87:R87)*Assumptions!$N$112,0)</f>
        <v>0</v>
      </c>
      <c r="J100" s="642">
        <f>IF(J79=P1_Const_Completion,SUM('Phase 1 Pro Forma'!J87:S87)*Assumptions!$N$112,0)</f>
        <v>3724444.4886212479</v>
      </c>
      <c r="K100" s="642">
        <f>IF(K79=P1_Const_Completion,SUM('Phase 1 Pro Forma'!K87:T87)*Assumptions!$N$112,0)</f>
        <v>0</v>
      </c>
      <c r="L100" s="642">
        <f>IF(L79=P1_Const_Completion,SUM('Phase 1 Pro Forma'!L87:U87)*Assumptions!$N$112,0)</f>
        <v>0</v>
      </c>
      <c r="M100" s="642">
        <f>IF(M79=P1_Const_Completion,SUM('Phase 1 Pro Forma'!M87:V87)*Assumptions!$N$112,0)</f>
        <v>0</v>
      </c>
      <c r="N100" s="642">
        <f>IF(N79=P1_Const_Completion,SUM('Phase 1 Pro Forma'!N87:W87)*Assumptions!$N$112,0)</f>
        <v>0</v>
      </c>
      <c r="O100" s="642">
        <f>IF(O79=P1_Const_Completion,SUM('Phase 1 Pro Forma'!O87:X87)*Assumptions!$N$112,0)</f>
        <v>0</v>
      </c>
      <c r="P100" s="642">
        <f>IF(P79=P1_Const_Completion,SUM('Phase 1 Pro Forma'!P87:Y87)*Assumptions!$N$112,0)</f>
        <v>0</v>
      </c>
      <c r="Q100" s="642">
        <f>IF(Q79=P1_Const_Completion,SUM('Phase 1 Pro Forma'!Q87:Z87)*Assumptions!$N$112,0)</f>
        <v>0</v>
      </c>
      <c r="R100" s="642">
        <f>IF(R79=P1_Const_Completion,SUM('Phase 1 Pro Forma'!R95:AA95)*Assumptions!$N$112,0)</f>
        <v>0</v>
      </c>
      <c r="S100" s="642">
        <f>IF(S79=P1_Const_Completion,SUM('Phase 1 Pro Forma'!S95:AB95)*Assumptions!$N$112,0)</f>
        <v>0</v>
      </c>
      <c r="T100" s="642">
        <f>IF(T79=P1_Const_Completion,SUM('Phase 1 Pro Forma'!T95:AC95)*Assumptions!$N$112,0)</f>
        <v>0</v>
      </c>
      <c r="U100" s="642">
        <f>IF(U79=P1_Const_Completion,SUM('Phase 1 Pro Forma'!AA251:AD251)*Assumptions!$N$112,0)</f>
        <v>0</v>
      </c>
      <c r="V100" s="642">
        <f>IF(V79=P1_Const_Completion,SUM('Phase 1 Pro Forma'!AA251:AE251)*Assumptions!$N$112,0)</f>
        <v>0</v>
      </c>
      <c r="W100" s="642">
        <f>IF(W79=P1_Const_Completion,SUM('Phase 1 Pro Forma'!AA251:AF251)*Assumptions!$N$112,0)</f>
        <v>0</v>
      </c>
      <c r="X100" s="642">
        <f>IF(X79=P1_Const_Completion,SUM('Phase 1 Pro Forma'!AA251:AG251)*Assumptions!$N$112,0)</f>
        <v>0</v>
      </c>
      <c r="Y100" s="642">
        <f>IF(Y79=P1_Const_Completion,SUM('Phase 1 Pro Forma'!AA251:AH251)*Assumptions!$N$112,0)</f>
        <v>0</v>
      </c>
      <c r="Z100" s="642">
        <f>IF(Z79=P1_Const_Completion,SUM('Phase 1 Pro Forma'!AA251:AI251)*Assumptions!$N$112,0)</f>
        <v>0</v>
      </c>
      <c r="AA100" s="699"/>
      <c r="AB100" s="699"/>
      <c r="AC100" s="151"/>
      <c r="AD100" s="699"/>
      <c r="AE100" s="49"/>
      <c r="AF100" s="49"/>
      <c r="AG100" s="49"/>
      <c r="AH100" s="49"/>
      <c r="AI100" s="49"/>
      <c r="AJ100" s="49"/>
      <c r="AK100" s="49"/>
      <c r="AL100" s="49"/>
      <c r="AM100" s="49"/>
      <c r="AN100" s="49"/>
      <c r="AO100" s="49"/>
      <c r="AP100" s="49"/>
      <c r="AQ100" s="49"/>
      <c r="AR100" s="49"/>
      <c r="AS100" s="49"/>
      <c r="AT100" s="49"/>
      <c r="AU100" s="49"/>
      <c r="AV100" s="49"/>
      <c r="AW100" s="49"/>
      <c r="AX100" s="49"/>
      <c r="AY100" s="49"/>
      <c r="AZ100" s="49"/>
      <c r="BA100" s="49"/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</row>
    <row r="101" spans="2:66" ht="15.75">
      <c r="B101" s="81"/>
      <c r="C101" s="223"/>
      <c r="D101" s="223"/>
      <c r="E101" s="223"/>
      <c r="F101" s="641"/>
      <c r="G101" s="641"/>
      <c r="H101" s="641"/>
      <c r="I101" s="641"/>
      <c r="J101" s="641"/>
      <c r="K101" s="641"/>
      <c r="L101" s="641"/>
      <c r="M101" s="641"/>
      <c r="N101" s="641"/>
      <c r="O101" s="641"/>
      <c r="P101" s="641"/>
      <c r="Q101" s="641"/>
      <c r="R101" s="641"/>
      <c r="S101" s="641"/>
      <c r="T101" s="641"/>
      <c r="U101" s="641"/>
      <c r="V101" s="641"/>
      <c r="W101" s="641"/>
      <c r="X101" s="641"/>
      <c r="Y101" s="641"/>
      <c r="Z101" s="641"/>
      <c r="AA101" s="699"/>
      <c r="AB101" s="699"/>
      <c r="AC101" s="151"/>
      <c r="AD101" s="699"/>
      <c r="AE101" s="49"/>
      <c r="AF101" s="49"/>
      <c r="AG101" s="49"/>
      <c r="AH101" s="49"/>
      <c r="AI101" s="49"/>
      <c r="AJ101" s="49"/>
      <c r="AK101" s="49"/>
      <c r="AL101" s="49"/>
      <c r="AM101" s="49" t="s">
        <v>1126</v>
      </c>
      <c r="AN101" s="49"/>
      <c r="AO101" s="49"/>
      <c r="AP101" s="49"/>
      <c r="AQ101" s="770">
        <v>1</v>
      </c>
      <c r="AR101" s="770">
        <f>+AQ101*(1+Assumptions!$AP$84)</f>
        <v>1.03</v>
      </c>
      <c r="AS101" s="770">
        <f>+AR101*(1+Assumptions!$AP$84)</f>
        <v>1.0609</v>
      </c>
      <c r="AT101" s="770">
        <f>+AS101*(1+Assumptions!$AP$84)</f>
        <v>1.092727</v>
      </c>
      <c r="AU101" s="770">
        <f>+AT101*(1+Assumptions!$AP$84)</f>
        <v>1.1255088100000001</v>
      </c>
      <c r="AV101" s="770">
        <f>+AU101*(1+Assumptions!$AP$84)</f>
        <v>1.1592740743000001</v>
      </c>
      <c r="AW101" s="770">
        <f>+AV101*(1+Assumptions!$AP$84)</f>
        <v>1.1940522965290001</v>
      </c>
      <c r="AX101" s="770">
        <f>+AW101*(1+Assumptions!$AP$84)</f>
        <v>1.2298738654248702</v>
      </c>
      <c r="AY101" s="770">
        <f>+AX101*(1+Assumptions!$AP$84)</f>
        <v>1.2667700813876164</v>
      </c>
      <c r="AZ101" s="770">
        <f>+AY101*(1+Assumptions!$AP$84)</f>
        <v>1.3047731838292449</v>
      </c>
      <c r="BA101" s="770">
        <f>+AZ101*(1+Assumptions!$AP$84)</f>
        <v>1.3439163793441222</v>
      </c>
      <c r="BB101" s="770">
        <f>+BA101*(1+Assumptions!$AP$84)</f>
        <v>1.3842338707244459</v>
      </c>
      <c r="BC101" s="770">
        <f>+BB101*(1+Assumptions!$AP$84)</f>
        <v>1.4257608868461793</v>
      </c>
      <c r="BD101" s="770">
        <f>+BC101*(1+Assumptions!$AP$84)</f>
        <v>1.4685337134515648</v>
      </c>
      <c r="BE101" s="770">
        <f>+BD101*(1+Assumptions!$AP$84)</f>
        <v>1.5125897248551119</v>
      </c>
      <c r="BF101" s="770">
        <f>+BE101*(1+Assumptions!$AP$84)</f>
        <v>1.5579674166007653</v>
      </c>
      <c r="BG101" s="770">
        <f>+BF101*(1+Assumptions!$AP$84)</f>
        <v>1.6047064390987884</v>
      </c>
      <c r="BH101" s="770">
        <f>+BG101*(1+Assumptions!$AP$84)</f>
        <v>1.652847632271752</v>
      </c>
      <c r="BI101" s="770">
        <f>+BH101*(1+Assumptions!$AP$84)</f>
        <v>1.7024330612399046</v>
      </c>
      <c r="BJ101" s="770">
        <f>+BI101*(1+Assumptions!$AP$84)</f>
        <v>1.7535060530771018</v>
      </c>
      <c r="BK101" s="770">
        <f>+BJ101*(1+Assumptions!$AP$84)</f>
        <v>1.806111234669415</v>
      </c>
      <c r="BL101" s="49"/>
      <c r="BM101" s="49"/>
      <c r="BN101" s="49"/>
    </row>
    <row r="102" spans="2:66" ht="15.75">
      <c r="B102" s="50" t="s">
        <v>1142</v>
      </c>
      <c r="C102" s="50"/>
      <c r="D102" s="50"/>
      <c r="E102" s="50"/>
      <c r="F102" s="55">
        <f ca="1">+F96-SUM(F99:F100)</f>
        <v>0</v>
      </c>
      <c r="G102" s="55">
        <f t="shared" ref="G102:Z102" ca="1" si="288">+G96-SUM(G99:G100)</f>
        <v>0</v>
      </c>
      <c r="H102" s="55">
        <f t="shared" ca="1" si="288"/>
        <v>0</v>
      </c>
      <c r="I102" s="55">
        <f t="shared" ca="1" si="288"/>
        <v>0</v>
      </c>
      <c r="J102" s="55">
        <f t="shared" ca="1" si="288"/>
        <v>-6494002.1573161315</v>
      </c>
      <c r="K102" s="55">
        <f t="shared" ca="1" si="288"/>
        <v>-249271.50557682384</v>
      </c>
      <c r="L102" s="55">
        <f t="shared" ca="1" si="288"/>
        <v>5040444.0063717328</v>
      </c>
      <c r="M102" s="55">
        <f t="shared" ca="1" si="288"/>
        <v>5827496.4040145166</v>
      </c>
      <c r="N102" s="55">
        <f t="shared" ca="1" si="288"/>
        <v>5822822.451332706</v>
      </c>
      <c r="O102" s="55">
        <f t="shared" ca="1" si="288"/>
        <v>5818008.2800704418</v>
      </c>
      <c r="P102" s="55">
        <f t="shared" ca="1" si="288"/>
        <v>5809744.7937052129</v>
      </c>
      <c r="Q102" s="55">
        <f t="shared" ca="1" si="288"/>
        <v>5804637.4394130753</v>
      </c>
      <c r="R102" s="55">
        <f t="shared" ca="1" si="288"/>
        <v>6713395.5383288944</v>
      </c>
      <c r="S102" s="55">
        <f t="shared" ca="1" si="288"/>
        <v>6704573.1094963159</v>
      </c>
      <c r="T102" s="55">
        <f t="shared" ca="1" si="288"/>
        <v>6698992.1655627321</v>
      </c>
      <c r="U102" s="55">
        <f t="shared" ca="1" si="288"/>
        <v>6693243.7933111424</v>
      </c>
      <c r="V102" s="55">
        <f t="shared" ca="1" si="288"/>
        <v>6683816.8121280307</v>
      </c>
      <c r="W102" s="55">
        <f t="shared" ca="1" si="288"/>
        <v>7728839.8389185471</v>
      </c>
      <c r="X102" s="55">
        <f t="shared" ca="1" si="288"/>
        <v>7722558.4373531835</v>
      </c>
      <c r="Y102" s="55">
        <f t="shared" ca="1" si="288"/>
        <v>7712477.2512439657</v>
      </c>
      <c r="Z102" s="55">
        <f t="shared" ca="1" si="288"/>
        <v>7705813.3123232732</v>
      </c>
      <c r="AA102" s="699"/>
      <c r="AB102" s="699"/>
      <c r="AC102" s="151"/>
      <c r="AD102" s="699"/>
      <c r="AE102" s="49"/>
      <c r="AF102" s="49"/>
      <c r="AG102" s="49"/>
      <c r="AH102" s="49"/>
      <c r="AI102" s="49"/>
      <c r="AJ102" s="49"/>
      <c r="AK102" s="49"/>
      <c r="AL102" s="49"/>
      <c r="AM102" s="49" t="s">
        <v>1127</v>
      </c>
      <c r="AN102" s="49"/>
      <c r="AO102" s="49"/>
      <c r="AP102" s="49"/>
      <c r="AQ102" s="770">
        <v>1</v>
      </c>
      <c r="AR102" s="770">
        <f>+AQ102*(1+Assumptions!$AP$95)</f>
        <v>1.03</v>
      </c>
      <c r="AS102" s="770">
        <f>+AR102*(1+Assumptions!$AP$95)</f>
        <v>1.0609</v>
      </c>
      <c r="AT102" s="770">
        <f>+AS102*(1+Assumptions!$AP$95)</f>
        <v>1.092727</v>
      </c>
      <c r="AU102" s="770">
        <f>+AT102*(1+Assumptions!$AP$95)</f>
        <v>1.1255088100000001</v>
      </c>
      <c r="AV102" s="770">
        <f>+AU102*(1+Assumptions!$AP$95)</f>
        <v>1.1592740743000001</v>
      </c>
      <c r="AW102" s="770">
        <f>+AV102*(1+Assumptions!$AP$95)</f>
        <v>1.1940522965290001</v>
      </c>
      <c r="AX102" s="770">
        <f>+AW102*(1+Assumptions!$AP$95)</f>
        <v>1.2298738654248702</v>
      </c>
      <c r="AY102" s="770">
        <f>+AX102*(1+Assumptions!$AP$95)</f>
        <v>1.2667700813876164</v>
      </c>
      <c r="AZ102" s="770">
        <f>+AY102*(1+Assumptions!$AP$95)</f>
        <v>1.3047731838292449</v>
      </c>
      <c r="BA102" s="770">
        <f>+AZ102*(1+Assumptions!$AP$95)</f>
        <v>1.3439163793441222</v>
      </c>
      <c r="BB102" s="770">
        <f>+BA102*(1+Assumptions!$AP$95)</f>
        <v>1.3842338707244459</v>
      </c>
      <c r="BC102" s="770">
        <f>+BB102*(1+Assumptions!$AP$95)</f>
        <v>1.4257608868461793</v>
      </c>
      <c r="BD102" s="770">
        <f>+BC102*(1+Assumptions!$AP$95)</f>
        <v>1.4685337134515648</v>
      </c>
      <c r="BE102" s="770">
        <f>+BD102*(1+Assumptions!$AP$95)</f>
        <v>1.5125897248551119</v>
      </c>
      <c r="BF102" s="770">
        <f>+BE102*(1+Assumptions!$AP$95)</f>
        <v>1.5579674166007653</v>
      </c>
      <c r="BG102" s="770">
        <f>+BF102*(1+Assumptions!$AP$95)</f>
        <v>1.6047064390987884</v>
      </c>
      <c r="BH102" s="770">
        <f>+BG102*(1+Assumptions!$AP$95)</f>
        <v>1.652847632271752</v>
      </c>
      <c r="BI102" s="770">
        <f>+BH102*(1+Assumptions!$AP$95)</f>
        <v>1.7024330612399046</v>
      </c>
      <c r="BJ102" s="770">
        <f>+BI102*(1+Assumptions!$AP$95)</f>
        <v>1.7535060530771018</v>
      </c>
      <c r="BK102" s="770">
        <f>+BJ102*(1+Assumptions!$AP$95)</f>
        <v>1.806111234669415</v>
      </c>
      <c r="BL102" s="49"/>
      <c r="BM102" s="49"/>
      <c r="BN102" s="49"/>
    </row>
    <row r="103" spans="2:66">
      <c r="B103" s="51" t="s">
        <v>1064</v>
      </c>
      <c r="C103" s="51"/>
      <c r="D103" s="51"/>
      <c r="E103" s="51"/>
      <c r="F103" s="57">
        <f ca="1">+IF(F102&gt;0,F102/Assumptions!$F$49,0)</f>
        <v>0</v>
      </c>
      <c r="G103" s="57">
        <f ca="1">+IF(G102&gt;0,G102/Assumptions!$F$49,0)</f>
        <v>0</v>
      </c>
      <c r="H103" s="57">
        <f ca="1">+IF(H102&gt;0,H102/Assumptions!$F$49,0)</f>
        <v>0</v>
      </c>
      <c r="I103" s="57">
        <f ca="1">+IF(I102&gt;0,I102/Assumptions!$F$49,0)</f>
        <v>0</v>
      </c>
      <c r="J103" s="57">
        <f ca="1">+IF(J102&gt;0,J102/Assumptions!$F$49,0)</f>
        <v>0</v>
      </c>
      <c r="K103" s="57">
        <f ca="1">+IF(K102&gt;0,K102/Assumptions!$F$49,0)</f>
        <v>0</v>
      </c>
      <c r="L103" s="57">
        <f ca="1">+IF(L102&gt;0,L102/Assumptions!$F$49,0)</f>
        <v>97872699.152849182</v>
      </c>
      <c r="M103" s="57">
        <f ca="1">+IF(M102&gt;0,M102/Assumptions!$F$49,0)</f>
        <v>113155269.98086441</v>
      </c>
      <c r="N103" s="57">
        <f ca="1">+IF(N102&gt;0,N102/Assumptions!$F$49,0)</f>
        <v>113064513.61811081</v>
      </c>
      <c r="O103" s="57">
        <f ca="1">+IF(O102&gt;0,O102/Assumptions!$F$49,0)</f>
        <v>112971034.5644746</v>
      </c>
      <c r="P103" s="57">
        <f ca="1">+IF(P102&gt;0,P102/Assumptions!$F$49,0)</f>
        <v>112810578.51854783</v>
      </c>
      <c r="Q103" s="57">
        <f ca="1">+IF(Q102&gt;0,Q102/Assumptions!$F$49,0)</f>
        <v>112711406.59054516</v>
      </c>
      <c r="R103" s="57">
        <f ca="1">+IF(R102&gt;0,R102/Assumptions!$F$49,0)</f>
        <v>130357194.91900766</v>
      </c>
      <c r="S103" s="57">
        <f ca="1">+IF(S102&gt;0,S102/Assumptions!$F$49,0)</f>
        <v>130185885.62128769</v>
      </c>
      <c r="T103" s="57">
        <f ca="1">+IF(T102&gt;0,T102/Assumptions!$F$49,0)</f>
        <v>130077517.77791713</v>
      </c>
      <c r="U103" s="57">
        <f ca="1">+IF(U102&gt;0,U102/Assumptions!$F$49,0)</f>
        <v>129965898.89924549</v>
      </c>
      <c r="V103" s="57">
        <f ca="1">+IF(V102&gt;0,V102/Assumptions!$F$49,0)</f>
        <v>129782850.72093265</v>
      </c>
      <c r="W103" s="57">
        <f ca="1">+IF(W102&gt;0,W102/Assumptions!$F$49,0)</f>
        <v>150074559.97900093</v>
      </c>
      <c r="X103" s="57">
        <f ca="1">+IF(X102&gt;0,X102/Assumptions!$F$49,0)</f>
        <v>149952591.01656666</v>
      </c>
      <c r="Y103" s="57">
        <f ca="1">+IF(Y102&gt;0,Y102/Assumptions!$F$49,0)</f>
        <v>149756839.82997993</v>
      </c>
      <c r="Z103" s="57">
        <f ca="1">+IF(Z102&gt;0,Z102/Assumptions!$F$49,0)</f>
        <v>149627442.95773348</v>
      </c>
      <c r="AA103" s="699"/>
      <c r="AB103" s="699"/>
      <c r="AC103" s="151"/>
      <c r="AD103" s="699"/>
      <c r="AE103" s="49"/>
      <c r="AF103" s="49"/>
      <c r="AG103" s="49"/>
      <c r="AH103" s="49"/>
      <c r="AI103" s="49"/>
      <c r="AJ103" s="49"/>
      <c r="AK103" s="49"/>
      <c r="AL103" s="49"/>
      <c r="AM103" s="49"/>
      <c r="AN103" s="49"/>
      <c r="AO103" s="49"/>
      <c r="AP103" s="49"/>
      <c r="AQ103" s="49"/>
      <c r="AR103" s="49"/>
      <c r="AS103" s="49"/>
      <c r="AT103" s="49"/>
      <c r="AU103" s="49"/>
      <c r="AV103" s="49"/>
      <c r="AW103" s="49"/>
      <c r="AX103" s="49"/>
      <c r="AY103" s="49"/>
      <c r="AZ103" s="49"/>
      <c r="BA103" s="49"/>
      <c r="BB103" s="49"/>
      <c r="BC103" s="49"/>
      <c r="BD103" s="49"/>
      <c r="BE103" s="49"/>
      <c r="BF103" s="49"/>
      <c r="BG103" s="49"/>
      <c r="BH103" s="49"/>
      <c r="BI103" s="49"/>
      <c r="BJ103" s="49"/>
      <c r="BK103" s="49"/>
      <c r="BL103" s="49"/>
      <c r="BM103" s="49"/>
      <c r="BN103" s="49"/>
    </row>
    <row r="104" spans="2:66">
      <c r="B104" s="699"/>
      <c r="C104" s="699"/>
      <c r="D104" s="699"/>
      <c r="E104" s="699"/>
      <c r="F104" s="699"/>
      <c r="G104" s="699"/>
      <c r="H104" s="699"/>
      <c r="I104" s="699"/>
      <c r="J104" s="699"/>
      <c r="K104" s="699"/>
      <c r="L104" s="699"/>
      <c r="M104" s="699"/>
      <c r="N104" s="699"/>
      <c r="O104" s="699"/>
      <c r="P104" s="699"/>
      <c r="Q104" s="699"/>
      <c r="R104" s="699"/>
      <c r="S104" s="699"/>
      <c r="T104" s="699"/>
      <c r="U104" s="699"/>
      <c r="V104" s="699"/>
      <c r="W104" s="699"/>
      <c r="X104" s="699"/>
      <c r="Y104" s="699"/>
      <c r="Z104" s="699"/>
      <c r="AA104" s="699"/>
      <c r="AB104" s="699"/>
      <c r="AC104" s="151"/>
      <c r="AD104" s="699"/>
      <c r="AE104" s="49"/>
      <c r="AF104" s="49"/>
      <c r="AG104" s="49"/>
      <c r="AH104" s="49"/>
      <c r="AI104" s="49"/>
      <c r="AJ104" s="49"/>
      <c r="AK104" s="49"/>
      <c r="AL104" s="49"/>
      <c r="AM104" s="49" t="s">
        <v>1128</v>
      </c>
      <c r="AN104" s="49"/>
      <c r="AO104" s="49"/>
      <c r="AP104" s="49"/>
      <c r="AQ104" s="771">
        <f>+AQ99*Assumptions!$AE$115*AQ101</f>
        <v>0</v>
      </c>
      <c r="AR104" s="771">
        <f>+AR99*Assumptions!$AE$115*AR101</f>
        <v>0</v>
      </c>
      <c r="AS104" s="771">
        <f>+AS99*Assumptions!$AE$115*AS101</f>
        <v>0</v>
      </c>
      <c r="AT104" s="771">
        <f>+AT99*Assumptions!$AE$115*AT101</f>
        <v>0</v>
      </c>
      <c r="AU104" s="771">
        <f>+AU99*Assumptions!$AE$115*AU101</f>
        <v>0</v>
      </c>
      <c r="AV104" s="771">
        <f>+AV99*Assumptions!$AE$115*AV101</f>
        <v>0</v>
      </c>
      <c r="AW104" s="771">
        <f>+AW99*Assumptions!$AE$115*AW101</f>
        <v>0</v>
      </c>
      <c r="AX104" s="771">
        <f>+AX99*Assumptions!$AE$115*AX101</f>
        <v>0</v>
      </c>
      <c r="AY104" s="771">
        <f>+AY99*Assumptions!$AE$115*AY101</f>
        <v>0</v>
      </c>
      <c r="AZ104" s="771">
        <f>+AZ99*Assumptions!$AE$115*AZ101</f>
        <v>0</v>
      </c>
      <c r="BA104" s="771">
        <f>+BA99*Assumptions!$AE$115*BA101</f>
        <v>0</v>
      </c>
      <c r="BB104" s="771">
        <f>+BB99*Assumptions!$AE$115*BB101</f>
        <v>0</v>
      </c>
      <c r="BC104" s="771">
        <f>+BC99*Assumptions!$AE$115*BC101</f>
        <v>0</v>
      </c>
      <c r="BD104" s="771">
        <f>+BD99*Assumptions!$AE$115*BD101</f>
        <v>0</v>
      </c>
      <c r="BE104" s="771">
        <f>+BE99*Assumptions!$AE$115*BE101</f>
        <v>0</v>
      </c>
      <c r="BF104" s="771">
        <f>+BF99*Assumptions!$AE$115*BF101</f>
        <v>0</v>
      </c>
      <c r="BG104" s="771">
        <f>+BG99*Assumptions!$AE$115*BG101</f>
        <v>0</v>
      </c>
      <c r="BH104" s="771">
        <f>+BH99*Assumptions!$AE$115*BH101</f>
        <v>0</v>
      </c>
      <c r="BI104" s="771">
        <f>+BI99*Assumptions!$AE$115*BI101</f>
        <v>0</v>
      </c>
      <c r="BJ104" s="771">
        <f>+BJ99*Assumptions!$AE$115*BJ101</f>
        <v>0</v>
      </c>
      <c r="BK104" s="771">
        <f>+BK99*Assumptions!$AE$115*BK101</f>
        <v>0</v>
      </c>
      <c r="BL104" s="49"/>
      <c r="BM104" s="49"/>
      <c r="BN104" s="49"/>
    </row>
    <row r="105" spans="2:66" ht="15.75">
      <c r="B105" s="53" t="s">
        <v>543</v>
      </c>
      <c r="C105" s="699"/>
      <c r="D105" s="699"/>
      <c r="E105" s="699"/>
      <c r="F105" s="54">
        <f>+Assumptions!$F$27</f>
        <v>45291</v>
      </c>
      <c r="G105" s="54">
        <f>+EOMONTH(F105,12)</f>
        <v>45657</v>
      </c>
      <c r="H105" s="54">
        <f t="shared" ref="H105" si="289">+EOMONTH(G105,12)</f>
        <v>46022</v>
      </c>
      <c r="I105" s="54">
        <f t="shared" ref="I105" si="290">+EOMONTH(H105,12)</f>
        <v>46387</v>
      </c>
      <c r="J105" s="54">
        <f t="shared" ref="J105" si="291">+EOMONTH(I105,12)</f>
        <v>46752</v>
      </c>
      <c r="K105" s="54">
        <f t="shared" ref="K105" si="292">+EOMONTH(J105,12)</f>
        <v>47118</v>
      </c>
      <c r="L105" s="54">
        <f t="shared" ref="L105" si="293">+EOMONTH(K105,12)</f>
        <v>47483</v>
      </c>
      <c r="M105" s="54">
        <f t="shared" ref="M105" si="294">+EOMONTH(L105,12)</f>
        <v>47848</v>
      </c>
      <c r="N105" s="54">
        <f t="shared" ref="N105" si="295">+EOMONTH(M105,12)</f>
        <v>48213</v>
      </c>
      <c r="O105" s="54">
        <f t="shared" ref="O105" si="296">+EOMONTH(N105,12)</f>
        <v>48579</v>
      </c>
      <c r="P105" s="54">
        <f t="shared" ref="P105" si="297">+EOMONTH(O105,12)</f>
        <v>48944</v>
      </c>
      <c r="Q105" s="54">
        <f t="shared" ref="Q105" si="298">+EOMONTH(P105,12)</f>
        <v>49309</v>
      </c>
      <c r="R105" s="54">
        <f t="shared" ref="R105" si="299">+EOMONTH(Q105,12)</f>
        <v>49674</v>
      </c>
      <c r="S105" s="54">
        <f t="shared" ref="S105" si="300">+EOMONTH(R105,12)</f>
        <v>50040</v>
      </c>
      <c r="T105" s="54">
        <f t="shared" ref="T105" si="301">+EOMONTH(S105,12)</f>
        <v>50405</v>
      </c>
      <c r="U105" s="54">
        <f t="shared" ref="U105" si="302">+EOMONTH(T105,12)</f>
        <v>50770</v>
      </c>
      <c r="V105" s="54">
        <f t="shared" ref="V105" si="303">+EOMONTH(U105,12)</f>
        <v>51135</v>
      </c>
      <c r="W105" s="54">
        <f t="shared" ref="W105" si="304">+EOMONTH(V105,12)</f>
        <v>51501</v>
      </c>
      <c r="X105" s="54">
        <f t="shared" ref="X105" si="305">+EOMONTH(W105,12)</f>
        <v>51866</v>
      </c>
      <c r="Y105" s="54">
        <f t="shared" ref="Y105" si="306">+EOMONTH(X105,12)</f>
        <v>52231</v>
      </c>
      <c r="Z105" s="54">
        <f t="shared" ref="Z105" si="307">+EOMONTH(Y105,12)</f>
        <v>52596</v>
      </c>
      <c r="AA105" s="699"/>
      <c r="AB105" s="699"/>
      <c r="AC105" s="699"/>
      <c r="AD105" s="699"/>
      <c r="AE105" s="49"/>
      <c r="AF105" s="49"/>
      <c r="AG105" s="49"/>
      <c r="AH105" s="49"/>
      <c r="AI105" s="49"/>
      <c r="AJ105" s="49"/>
      <c r="AK105" s="49"/>
      <c r="AL105" s="49"/>
      <c r="AM105" s="49" t="s">
        <v>1130</v>
      </c>
      <c r="AN105" s="49"/>
      <c r="AO105" s="49"/>
      <c r="AP105" s="49"/>
      <c r="AQ105" s="90">
        <f>-AQ104*Assumptions!$AP$75</f>
        <v>0</v>
      </c>
      <c r="AR105" s="90">
        <f>-AR104*Assumptions!$AP$75</f>
        <v>0</v>
      </c>
      <c r="AS105" s="90">
        <f>-AS104*Assumptions!$AP$75</f>
        <v>0</v>
      </c>
      <c r="AT105" s="90">
        <f>-AT104*Assumptions!$AP$75</f>
        <v>0</v>
      </c>
      <c r="AU105" s="90">
        <f>-AU104*Assumptions!$AP$75</f>
        <v>0</v>
      </c>
      <c r="AV105" s="90">
        <f>-AV104*Assumptions!$AP$75</f>
        <v>0</v>
      </c>
      <c r="AW105" s="90">
        <f>-AW104*Assumptions!$AP$75</f>
        <v>0</v>
      </c>
      <c r="AX105" s="90">
        <f>-AX104*Assumptions!$AP$75</f>
        <v>0</v>
      </c>
      <c r="AY105" s="90">
        <f>-AY104*Assumptions!$AP$75</f>
        <v>0</v>
      </c>
      <c r="AZ105" s="90">
        <f>-AZ104*Assumptions!$AP$75</f>
        <v>0</v>
      </c>
      <c r="BA105" s="90">
        <f>-BA104*Assumptions!$AP$75</f>
        <v>0</v>
      </c>
      <c r="BB105" s="90">
        <f>-BB104*Assumptions!$AP$75</f>
        <v>0</v>
      </c>
      <c r="BC105" s="90">
        <f>-BC104*Assumptions!$AP$75</f>
        <v>0</v>
      </c>
      <c r="BD105" s="90">
        <f>-BD104*Assumptions!$AP$75</f>
        <v>0</v>
      </c>
      <c r="BE105" s="90">
        <f>-BE104*Assumptions!$AP$75</f>
        <v>0</v>
      </c>
      <c r="BF105" s="90">
        <f>-BF104*Assumptions!$AP$75</f>
        <v>0</v>
      </c>
      <c r="BG105" s="90">
        <f>-BG104*Assumptions!$AP$75</f>
        <v>0</v>
      </c>
      <c r="BH105" s="90">
        <f>-BH104*Assumptions!$AP$75</f>
        <v>0</v>
      </c>
      <c r="BI105" s="90">
        <f>-BI104*Assumptions!$AP$75</f>
        <v>0</v>
      </c>
      <c r="BJ105" s="90">
        <f>-BJ104*Assumptions!$AP$75</f>
        <v>0</v>
      </c>
      <c r="BK105" s="90">
        <f>-BK104*Assumptions!$AP$75</f>
        <v>0</v>
      </c>
      <c r="BL105" s="49"/>
      <c r="BM105" s="49"/>
      <c r="BN105" s="49"/>
    </row>
    <row r="106" spans="2:66">
      <c r="B106" s="699" t="s">
        <v>1120</v>
      </c>
      <c r="C106" s="699"/>
      <c r="D106" s="699"/>
      <c r="E106" s="1050"/>
      <c r="F106" s="1050">
        <f>+IF(AND(F105&gt;=Assumptions!$F$31,F105&lt;Assumptions!$F$33),SUM(Assumptions!$F$199:$F$199)/ROUNDUP((Assumptions!$F$32/12),0),0)</f>
        <v>0</v>
      </c>
      <c r="G106" s="1050">
        <f>+IF(AND(G105&gt;=Assumptions!$F$31,G105&lt;Assumptions!$F$33),SUM(Assumptions!$F$199:$F$199)/ROUNDUP((Assumptions!$F$32/12),0),0)</f>
        <v>0</v>
      </c>
      <c r="H106" s="1050">
        <f>+IF(AND(H105&gt;=Assumptions!$F$31,H105&lt;Assumptions!$F$33),SUM(Assumptions!$F$199:$F$199)/ROUNDUP((Assumptions!$F$32/12),0),0)</f>
        <v>0</v>
      </c>
      <c r="I106" s="1050">
        <f>+IF(AND(I105&gt;=Assumptions!$F$31,I105&lt;Assumptions!$F$33),SUM(Assumptions!$F$199:$F$199)/ROUNDUP((Assumptions!$F$32/12),0),0)</f>
        <v>0</v>
      </c>
      <c r="J106" s="1050">
        <f>+IF(AND(J105&gt;=Assumptions!$F$31,J105&lt;Assumptions!$F$33),SUM(Assumptions!$F$199:$F$199)/ROUNDUP((Assumptions!$F$32/12),0),0)</f>
        <v>72000.024999999994</v>
      </c>
      <c r="K106" s="1050">
        <f>+IF(AND(K105&gt;=Assumptions!$F$31,K105&lt;Assumptions!$F$33),SUM(Assumptions!$F$199:$F$199)/ROUNDUP((Assumptions!$F$32/12),0),0)</f>
        <v>72000.024999999994</v>
      </c>
      <c r="L106" s="1050">
        <f>+IF(AND(L105&gt;=Assumptions!$F$31,L105&lt;Assumptions!$F$33),SUM(Assumptions!$F$199:$F$199)/ROUNDUP((Assumptions!$F$32/12),0),0)</f>
        <v>0</v>
      </c>
      <c r="M106" s="1050">
        <f>+IF(AND(M105&gt;=Assumptions!$F$31,M105&lt;Assumptions!$F$33),SUM(Assumptions!$F$199:$F$199)/ROUNDUP((Assumptions!$F$32/12),0),0)</f>
        <v>0</v>
      </c>
      <c r="N106" s="1050">
        <f>+IF(AND(N105&gt;=Assumptions!$F$31,N105&lt;Assumptions!$F$33),SUM(Assumptions!$F$199:$F$199)/ROUNDUP((Assumptions!$F$32/12),0),0)</f>
        <v>0</v>
      </c>
      <c r="O106" s="1050">
        <f>+IF(AND(O105&gt;=Assumptions!$F$31,O105&lt;Assumptions!$F$33),SUM(Assumptions!$F$199:$F$199)/ROUNDUP((Assumptions!$F$32/12),0),0)</f>
        <v>0</v>
      </c>
      <c r="P106" s="1050">
        <f>+IF(AND(P105&gt;=Assumptions!$F$31,P105&lt;Assumptions!$F$33),SUM(Assumptions!$F$199:$F$199)/ROUNDUP((Assumptions!$F$32/12),0),0)</f>
        <v>0</v>
      </c>
      <c r="Q106" s="1050">
        <f>+IF(AND(Q105&gt;=Assumptions!$F$31,Q105&lt;Assumptions!$F$33),SUM(Assumptions!$F$199:$F$199)/ROUNDUP((Assumptions!$F$32/12),0),0)</f>
        <v>0</v>
      </c>
      <c r="R106" s="1050">
        <f>+IF(AND(R105&gt;=Assumptions!$F$31,R105&lt;Assumptions!$F$33),SUM(Assumptions!$F$199:$F$199)/ROUNDUP((Assumptions!$F$32/12),0),0)</f>
        <v>0</v>
      </c>
      <c r="S106" s="1050">
        <f>+IF(AND(S105&gt;=Assumptions!$F$31,S105&lt;Assumptions!$F$33),SUM(Assumptions!$F$199:$F$199)/ROUNDUP((Assumptions!$F$32/12),0),0)</f>
        <v>0</v>
      </c>
      <c r="T106" s="1050">
        <f>+IF(AND(T105&gt;=Assumptions!$F$31,T105&lt;Assumptions!$F$33),SUM(Assumptions!$F$199:$F$199)/ROUNDUP((Assumptions!$F$32/12),0),0)</f>
        <v>0</v>
      </c>
      <c r="U106" s="1050">
        <f>+IF(AND(U105&gt;=Assumptions!$F$31,U105&lt;Assumptions!$F$33),SUM(Assumptions!$F$199:$F$199)/ROUNDUP((Assumptions!$F$32/12),0),0)</f>
        <v>0</v>
      </c>
      <c r="V106" s="1050">
        <f>+IF(AND(V105&gt;=Assumptions!$F$31,V105&lt;Assumptions!$F$33),SUM(Assumptions!$F$199:$F$199)/ROUNDUP((Assumptions!$F$32/12),0),0)</f>
        <v>0</v>
      </c>
      <c r="W106" s="1050">
        <f>+IF(AND(W105&gt;=Assumptions!$F$31,W105&lt;Assumptions!$F$33),SUM(Assumptions!$F$199:$F$199)/ROUNDUP((Assumptions!$F$32/12),0),0)</f>
        <v>0</v>
      </c>
      <c r="X106" s="1050">
        <f>+IF(AND(X105&gt;=Assumptions!$F$31,X105&lt;Assumptions!$F$33),SUM(Assumptions!$F$199:$F$199)/ROUNDUP((Assumptions!$F$32/12),0),0)</f>
        <v>0</v>
      </c>
      <c r="Y106" s="1050">
        <f>+IF(AND(Y105&gt;=Assumptions!$F$31,Y105&lt;Assumptions!$F$33),SUM(Assumptions!$F$199:$F$199)/ROUNDUP((Assumptions!$F$32/12),0),0)</f>
        <v>0</v>
      </c>
      <c r="Z106" s="1050">
        <f>+IF(AND(Z105&gt;=Assumptions!$F$31,Z105&lt;Assumptions!$F$33),SUM(Assumptions!$F$199:$F$199)/ROUNDUP((Assumptions!$F$32/12),0),0)</f>
        <v>0</v>
      </c>
      <c r="AA106" s="699"/>
      <c r="AB106" s="699"/>
      <c r="AC106" s="699"/>
      <c r="AD106" s="699"/>
      <c r="AE106" s="49"/>
      <c r="AF106" s="49"/>
      <c r="AG106" s="49"/>
      <c r="AH106" s="49"/>
      <c r="AI106" s="49"/>
      <c r="AJ106" s="49"/>
      <c r="AK106" s="49"/>
      <c r="AL106" s="49"/>
      <c r="AM106" s="49" t="s">
        <v>1143</v>
      </c>
      <c r="AN106" s="49"/>
      <c r="AO106" s="49"/>
      <c r="AP106" s="49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49"/>
      <c r="BM106" s="49"/>
      <c r="BN106" s="49"/>
    </row>
    <row r="107" spans="2:66">
      <c r="B107" s="699" t="s">
        <v>1123</v>
      </c>
      <c r="C107" s="699"/>
      <c r="D107" s="699"/>
      <c r="E107" s="699"/>
      <c r="F107" s="1050">
        <f>+F108-E108</f>
        <v>0</v>
      </c>
      <c r="G107" s="1050">
        <f t="shared" ref="G107:Z107" si="308">+G108-F108</f>
        <v>0</v>
      </c>
      <c r="H107" s="1050">
        <f t="shared" si="308"/>
        <v>0</v>
      </c>
      <c r="I107" s="1050">
        <f t="shared" si="308"/>
        <v>0</v>
      </c>
      <c r="J107" s="1050">
        <f t="shared" si="308"/>
        <v>221.53853846153845</v>
      </c>
      <c r="K107" s="1050">
        <f t="shared" si="308"/>
        <v>221.53853846153845</v>
      </c>
      <c r="L107" s="1050">
        <f t="shared" si="308"/>
        <v>0</v>
      </c>
      <c r="M107" s="1050">
        <f t="shared" si="308"/>
        <v>0</v>
      </c>
      <c r="N107" s="1050">
        <f t="shared" si="308"/>
        <v>0</v>
      </c>
      <c r="O107" s="1050">
        <f t="shared" si="308"/>
        <v>0</v>
      </c>
      <c r="P107" s="1050">
        <f t="shared" si="308"/>
        <v>0</v>
      </c>
      <c r="Q107" s="1050">
        <f t="shared" si="308"/>
        <v>0</v>
      </c>
      <c r="R107" s="1050">
        <f t="shared" si="308"/>
        <v>0</v>
      </c>
      <c r="S107" s="1050">
        <f t="shared" si="308"/>
        <v>0</v>
      </c>
      <c r="T107" s="1050">
        <f t="shared" si="308"/>
        <v>0</v>
      </c>
      <c r="U107" s="1050">
        <f t="shared" si="308"/>
        <v>0</v>
      </c>
      <c r="V107" s="1050">
        <f t="shared" si="308"/>
        <v>0</v>
      </c>
      <c r="W107" s="1050">
        <f t="shared" si="308"/>
        <v>0</v>
      </c>
      <c r="X107" s="1050">
        <f t="shared" si="308"/>
        <v>0</v>
      </c>
      <c r="Y107" s="1050">
        <f t="shared" si="308"/>
        <v>0</v>
      </c>
      <c r="Z107" s="1050">
        <f t="shared" si="308"/>
        <v>0</v>
      </c>
      <c r="AA107" s="699"/>
      <c r="AB107" s="699"/>
      <c r="AC107" s="699"/>
      <c r="AD107" s="699"/>
      <c r="AE107" s="49"/>
      <c r="AF107" s="49"/>
      <c r="AG107" s="49"/>
      <c r="AH107" s="49"/>
      <c r="AI107" s="49"/>
      <c r="AJ107" s="49"/>
      <c r="AK107" s="49"/>
      <c r="AL107" s="49"/>
      <c r="AM107" s="49" t="s">
        <v>1144</v>
      </c>
      <c r="AN107" s="49"/>
      <c r="AO107" s="49"/>
      <c r="AP107" s="49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49"/>
      <c r="BM107" s="49"/>
      <c r="BN107" s="49"/>
    </row>
    <row r="108" spans="2:66">
      <c r="B108" s="699" t="s">
        <v>1124</v>
      </c>
      <c r="C108" s="699"/>
      <c r="D108" s="699"/>
      <c r="E108" s="1050"/>
      <c r="F108" s="1084">
        <f>+F110*SUM(Assumptions!$N$55:$N$55)</f>
        <v>0</v>
      </c>
      <c r="G108" s="1084">
        <f>+G110*SUM(Assumptions!$N$55:$N$55)</f>
        <v>0</v>
      </c>
      <c r="H108" s="1084">
        <f>+H110*SUM(Assumptions!$N$55:$N$55)</f>
        <v>0</v>
      </c>
      <c r="I108" s="1084">
        <f>+I110*SUM(Assumptions!$N$55:$N$55)</f>
        <v>0</v>
      </c>
      <c r="J108" s="1084">
        <f>+J110*SUM(Assumptions!$N$55:$N$55)</f>
        <v>221.53853846153845</v>
      </c>
      <c r="K108" s="1084">
        <f>+K110*SUM(Assumptions!$N$55:$N$55)</f>
        <v>443.0770769230769</v>
      </c>
      <c r="L108" s="1084">
        <f>+L110*SUM(Assumptions!$N$55:$N$55)</f>
        <v>443.0770769230769</v>
      </c>
      <c r="M108" s="1084">
        <f>+M110*SUM(Assumptions!$N$55:$N$55)</f>
        <v>443.0770769230769</v>
      </c>
      <c r="N108" s="1084">
        <f>+N110*SUM(Assumptions!$N$55:$N$55)</f>
        <v>443.0770769230769</v>
      </c>
      <c r="O108" s="1084">
        <f>+O110*SUM(Assumptions!$N$55:$N$55)</f>
        <v>443.0770769230769</v>
      </c>
      <c r="P108" s="1084">
        <f>+P110*SUM(Assumptions!$N$55:$N$55)</f>
        <v>443.0770769230769</v>
      </c>
      <c r="Q108" s="1084">
        <f>+Q110*SUM(Assumptions!$N$55:$N$55)</f>
        <v>443.0770769230769</v>
      </c>
      <c r="R108" s="1084">
        <f>+R110*SUM(Assumptions!$N$55:$N$55)</f>
        <v>443.0770769230769</v>
      </c>
      <c r="S108" s="1084">
        <f>+S110*SUM(Assumptions!$N$55:$N$55)</f>
        <v>443.0770769230769</v>
      </c>
      <c r="T108" s="1084">
        <f>+T110*SUM(Assumptions!$N$55:$N$55)</f>
        <v>443.0770769230769</v>
      </c>
      <c r="U108" s="1084">
        <f>+U110*SUM(Assumptions!$N$55:$N$55)</f>
        <v>443.0770769230769</v>
      </c>
      <c r="V108" s="1084">
        <f>+V110*SUM(Assumptions!$N$55:$N$55)</f>
        <v>443.0770769230769</v>
      </c>
      <c r="W108" s="1084">
        <f>+W110*SUM(Assumptions!$N$55:$N$55)</f>
        <v>443.0770769230769</v>
      </c>
      <c r="X108" s="1084">
        <f>+X110*SUM(Assumptions!$N$55:$N$55)</f>
        <v>443.0770769230769</v>
      </c>
      <c r="Y108" s="1084">
        <f>+Y110*SUM(Assumptions!$N$55:$N$55)</f>
        <v>443.0770769230769</v>
      </c>
      <c r="Z108" s="1084">
        <f>+Z110*SUM(Assumptions!$N$55:$N$55)</f>
        <v>443.0770769230769</v>
      </c>
      <c r="AA108" s="699"/>
      <c r="AB108" s="699"/>
      <c r="AC108" s="699"/>
      <c r="AD108" s="699"/>
      <c r="AE108" s="49"/>
      <c r="AF108" s="49"/>
      <c r="AG108" s="49"/>
      <c r="AH108" s="49"/>
      <c r="AI108" s="49"/>
      <c r="AJ108" s="49"/>
      <c r="AK108" s="49"/>
      <c r="AL108" s="49"/>
      <c r="AM108" s="49" t="s">
        <v>1131</v>
      </c>
      <c r="AN108" s="49"/>
      <c r="AO108" s="49"/>
      <c r="AP108" s="49"/>
      <c r="AQ108" s="771">
        <f>SUM(AQ104:AQ107)</f>
        <v>0</v>
      </c>
      <c r="AR108" s="771">
        <f t="shared" ref="AR108:BK108" si="309">SUM(AR104:AR107)</f>
        <v>0</v>
      </c>
      <c r="AS108" s="771">
        <f t="shared" si="309"/>
        <v>0</v>
      </c>
      <c r="AT108" s="771">
        <f t="shared" si="309"/>
        <v>0</v>
      </c>
      <c r="AU108" s="771">
        <f t="shared" si="309"/>
        <v>0</v>
      </c>
      <c r="AV108" s="771">
        <f t="shared" si="309"/>
        <v>0</v>
      </c>
      <c r="AW108" s="771">
        <f t="shared" si="309"/>
        <v>0</v>
      </c>
      <c r="AX108" s="771">
        <f t="shared" si="309"/>
        <v>0</v>
      </c>
      <c r="AY108" s="771">
        <f t="shared" si="309"/>
        <v>0</v>
      </c>
      <c r="AZ108" s="771">
        <f t="shared" si="309"/>
        <v>0</v>
      </c>
      <c r="BA108" s="771">
        <f t="shared" si="309"/>
        <v>0</v>
      </c>
      <c r="BB108" s="771">
        <f t="shared" si="309"/>
        <v>0</v>
      </c>
      <c r="BC108" s="771">
        <f t="shared" si="309"/>
        <v>0</v>
      </c>
      <c r="BD108" s="771">
        <f t="shared" si="309"/>
        <v>0</v>
      </c>
      <c r="BE108" s="771">
        <f t="shared" si="309"/>
        <v>0</v>
      </c>
      <c r="BF108" s="771">
        <f t="shared" si="309"/>
        <v>0</v>
      </c>
      <c r="BG108" s="771">
        <f t="shared" si="309"/>
        <v>0</v>
      </c>
      <c r="BH108" s="771">
        <f t="shared" si="309"/>
        <v>0</v>
      </c>
      <c r="BI108" s="771">
        <f t="shared" si="309"/>
        <v>0</v>
      </c>
      <c r="BJ108" s="771">
        <f t="shared" si="309"/>
        <v>0</v>
      </c>
      <c r="BK108" s="771">
        <f t="shared" si="309"/>
        <v>0</v>
      </c>
      <c r="BL108" s="49"/>
      <c r="BM108" s="49"/>
      <c r="BN108" s="49"/>
    </row>
    <row r="109" spans="2:66">
      <c r="B109" s="699" t="s">
        <v>1121</v>
      </c>
      <c r="C109" s="699"/>
      <c r="D109" s="699"/>
      <c r="E109" s="1050">
        <v>0</v>
      </c>
      <c r="F109" s="1050">
        <f>+E109+F106</f>
        <v>0</v>
      </c>
      <c r="G109" s="1050">
        <f t="shared" ref="G109:Z109" si="310">+F109+G106</f>
        <v>0</v>
      </c>
      <c r="H109" s="1050">
        <f t="shared" si="310"/>
        <v>0</v>
      </c>
      <c r="I109" s="1050">
        <f t="shared" si="310"/>
        <v>0</v>
      </c>
      <c r="J109" s="1050">
        <f t="shared" si="310"/>
        <v>72000.024999999994</v>
      </c>
      <c r="K109" s="1050">
        <f t="shared" si="310"/>
        <v>144000.04999999999</v>
      </c>
      <c r="L109" s="1050">
        <f t="shared" si="310"/>
        <v>144000.04999999999</v>
      </c>
      <c r="M109" s="1050">
        <f t="shared" si="310"/>
        <v>144000.04999999999</v>
      </c>
      <c r="N109" s="1050">
        <f t="shared" si="310"/>
        <v>144000.04999999999</v>
      </c>
      <c r="O109" s="1050">
        <f t="shared" si="310"/>
        <v>144000.04999999999</v>
      </c>
      <c r="P109" s="1050">
        <f t="shared" si="310"/>
        <v>144000.04999999999</v>
      </c>
      <c r="Q109" s="1050">
        <f t="shared" si="310"/>
        <v>144000.04999999999</v>
      </c>
      <c r="R109" s="1050">
        <f t="shared" si="310"/>
        <v>144000.04999999999</v>
      </c>
      <c r="S109" s="1050">
        <f t="shared" si="310"/>
        <v>144000.04999999999</v>
      </c>
      <c r="T109" s="1050">
        <f t="shared" si="310"/>
        <v>144000.04999999999</v>
      </c>
      <c r="U109" s="1050">
        <f t="shared" si="310"/>
        <v>144000.04999999999</v>
      </c>
      <c r="V109" s="1050">
        <f t="shared" si="310"/>
        <v>144000.04999999999</v>
      </c>
      <c r="W109" s="1050">
        <f t="shared" si="310"/>
        <v>144000.04999999999</v>
      </c>
      <c r="X109" s="1050">
        <f t="shared" si="310"/>
        <v>144000.04999999999</v>
      </c>
      <c r="Y109" s="1050">
        <f t="shared" si="310"/>
        <v>144000.04999999999</v>
      </c>
      <c r="Z109" s="1050">
        <f t="shared" si="310"/>
        <v>144000.04999999999</v>
      </c>
      <c r="AA109" s="699"/>
      <c r="AB109" s="699"/>
      <c r="AC109" s="699"/>
      <c r="AD109" s="699"/>
      <c r="AE109" s="49"/>
      <c r="AF109" s="49"/>
      <c r="AG109" s="49"/>
      <c r="AH109" s="49"/>
      <c r="AI109" s="49"/>
      <c r="AJ109" s="49"/>
      <c r="AK109" s="49"/>
      <c r="AL109" s="49"/>
      <c r="AM109" s="49"/>
      <c r="AN109" s="49"/>
      <c r="AO109" s="49"/>
      <c r="AP109" s="49"/>
      <c r="AQ109" s="49"/>
      <c r="AR109" s="49"/>
      <c r="AS109" s="49"/>
      <c r="AT109" s="49"/>
      <c r="AU109" s="49"/>
      <c r="AV109" s="49"/>
      <c r="AW109" s="49"/>
      <c r="AX109" s="49"/>
      <c r="AY109" s="49"/>
      <c r="AZ109" s="49"/>
      <c r="BA109" s="49"/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</row>
    <row r="110" spans="2:66">
      <c r="B110" s="699" t="s">
        <v>1125</v>
      </c>
      <c r="C110" s="699"/>
      <c r="D110" s="699"/>
      <c r="E110" s="699"/>
      <c r="F110" s="1074">
        <f t="shared" ref="F110:Z110" si="311">+IFERROR(F109/SUM($F$106:$Z$106),0)</f>
        <v>0</v>
      </c>
      <c r="G110" s="1074">
        <f t="shared" si="311"/>
        <v>0</v>
      </c>
      <c r="H110" s="1074">
        <f t="shared" si="311"/>
        <v>0</v>
      </c>
      <c r="I110" s="1074">
        <f t="shared" si="311"/>
        <v>0</v>
      </c>
      <c r="J110" s="1074">
        <f t="shared" si="311"/>
        <v>0.5</v>
      </c>
      <c r="K110" s="1074">
        <f t="shared" si="311"/>
        <v>1</v>
      </c>
      <c r="L110" s="1074">
        <f t="shared" si="311"/>
        <v>1</v>
      </c>
      <c r="M110" s="1074">
        <f t="shared" si="311"/>
        <v>1</v>
      </c>
      <c r="N110" s="1074">
        <f t="shared" si="311"/>
        <v>1</v>
      </c>
      <c r="O110" s="1074">
        <f t="shared" si="311"/>
        <v>1</v>
      </c>
      <c r="P110" s="1074">
        <f t="shared" si="311"/>
        <v>1</v>
      </c>
      <c r="Q110" s="1074">
        <f t="shared" si="311"/>
        <v>1</v>
      </c>
      <c r="R110" s="1074">
        <f t="shared" si="311"/>
        <v>1</v>
      </c>
      <c r="S110" s="1074">
        <f t="shared" si="311"/>
        <v>1</v>
      </c>
      <c r="T110" s="1074">
        <f t="shared" si="311"/>
        <v>1</v>
      </c>
      <c r="U110" s="1074">
        <f t="shared" si="311"/>
        <v>1</v>
      </c>
      <c r="V110" s="1074">
        <f t="shared" si="311"/>
        <v>1</v>
      </c>
      <c r="W110" s="1074">
        <f t="shared" si="311"/>
        <v>1</v>
      </c>
      <c r="X110" s="1074">
        <f t="shared" si="311"/>
        <v>1</v>
      </c>
      <c r="Y110" s="1074">
        <f t="shared" si="311"/>
        <v>1</v>
      </c>
      <c r="Z110" s="1074">
        <f t="shared" si="311"/>
        <v>1</v>
      </c>
      <c r="AA110" s="699"/>
      <c r="AB110" s="699"/>
      <c r="AC110" s="699"/>
      <c r="AD110" s="699"/>
      <c r="AE110" s="49"/>
      <c r="AF110" s="49"/>
      <c r="AG110" s="49"/>
      <c r="AH110" s="49"/>
      <c r="AI110" s="49"/>
      <c r="AJ110" s="49"/>
      <c r="AK110" s="49"/>
      <c r="AL110" s="49"/>
      <c r="AM110" s="49" t="s">
        <v>1132</v>
      </c>
      <c r="AN110" s="49"/>
      <c r="AO110" s="49"/>
      <c r="AP110" s="49"/>
      <c r="AQ110" s="83">
        <f>+AQ98*Assumptions!$AE$261*AQ102</f>
        <v>0</v>
      </c>
      <c r="AR110" s="83">
        <f>+AR98*Assumptions!$AE$261*AR102</f>
        <v>0</v>
      </c>
      <c r="AS110" s="83">
        <f>+AS98*Assumptions!$AE$261*AS102</f>
        <v>0</v>
      </c>
      <c r="AT110" s="83">
        <f>+AT98*Assumptions!$AE$261*AT102</f>
        <v>0</v>
      </c>
      <c r="AU110" s="83">
        <f>+AU98*Assumptions!$AE$261*AU102</f>
        <v>0</v>
      </c>
      <c r="AV110" s="83">
        <f>+AV98*Assumptions!$AE$261*AV102</f>
        <v>0</v>
      </c>
      <c r="AW110" s="83">
        <f>+AW98*Assumptions!$AE$261*AW102</f>
        <v>0</v>
      </c>
      <c r="AX110" s="83">
        <f>+AX98*Assumptions!$AE$261*AX102</f>
        <v>0</v>
      </c>
      <c r="AY110" s="83">
        <f>+AY98*Assumptions!$AE$261*AY102</f>
        <v>0</v>
      </c>
      <c r="AZ110" s="83">
        <f>+AZ98*Assumptions!$AE$261*AZ102</f>
        <v>0</v>
      </c>
      <c r="BA110" s="83">
        <f>+BA98*Assumptions!$AE$261*BA102</f>
        <v>0</v>
      </c>
      <c r="BB110" s="83">
        <f>+BB98*Assumptions!$AE$261*BB102</f>
        <v>0</v>
      </c>
      <c r="BC110" s="83">
        <f>+BC98*Assumptions!$AE$261*BC102</f>
        <v>0</v>
      </c>
      <c r="BD110" s="83">
        <f>+BD98*Assumptions!$AE$261*BD102</f>
        <v>0</v>
      </c>
      <c r="BE110" s="83">
        <f>+BE98*Assumptions!$AE$261*BE102</f>
        <v>0</v>
      </c>
      <c r="BF110" s="83">
        <f>+BF98*Assumptions!$AE$261*BF102</f>
        <v>0</v>
      </c>
      <c r="BG110" s="83">
        <f>+BG98*Assumptions!$AE$261*BG102</f>
        <v>0</v>
      </c>
      <c r="BH110" s="83">
        <f>+BH98*Assumptions!$AE$261*BH102</f>
        <v>0</v>
      </c>
      <c r="BI110" s="83">
        <f>+BI98*Assumptions!$AE$261*BI102</f>
        <v>0</v>
      </c>
      <c r="BJ110" s="83">
        <f>+BJ98*Assumptions!$AE$261*BJ102</f>
        <v>0</v>
      </c>
      <c r="BK110" s="83">
        <f>+BK98*Assumptions!$AE$261*BK102</f>
        <v>0</v>
      </c>
      <c r="BL110" s="49"/>
      <c r="BM110" s="49"/>
      <c r="BN110" s="49"/>
    </row>
    <row r="111" spans="2:66">
      <c r="B111" s="699"/>
      <c r="C111" s="699"/>
      <c r="D111" s="699"/>
      <c r="E111" s="699"/>
      <c r="F111" s="699"/>
      <c r="G111" s="699"/>
      <c r="H111" s="699"/>
      <c r="I111" s="699"/>
      <c r="J111" s="699"/>
      <c r="K111" s="699"/>
      <c r="L111" s="699"/>
      <c r="M111" s="699"/>
      <c r="N111" s="699"/>
      <c r="O111" s="699"/>
      <c r="P111" s="699"/>
      <c r="Q111" s="699"/>
      <c r="R111" s="699"/>
      <c r="S111" s="699"/>
      <c r="T111" s="699"/>
      <c r="U111" s="699"/>
      <c r="V111" s="699"/>
      <c r="W111" s="699"/>
      <c r="X111" s="699"/>
      <c r="Y111" s="699"/>
      <c r="Z111" s="699"/>
      <c r="AA111" s="699"/>
      <c r="AB111" s="699"/>
      <c r="AC111" s="699"/>
      <c r="AD111" s="699"/>
      <c r="AE111" s="49"/>
      <c r="AF111" s="49"/>
      <c r="AG111" s="49"/>
      <c r="AH111" s="49"/>
      <c r="AI111" s="49"/>
      <c r="AJ111" s="49"/>
      <c r="AK111" s="49"/>
      <c r="AL111" s="49"/>
      <c r="AM111" s="49" t="s">
        <v>1133</v>
      </c>
      <c r="AN111" s="49"/>
      <c r="AO111" s="49"/>
      <c r="AP111" s="49"/>
      <c r="AQ111" s="253">
        <f ca="1">+IFERROR(INDEX('Taxes and TIF'!$M$11:$M$45,MATCH('Phase 1 Pro Forma'!F$7,'Taxes and TIF'!$B$11:$B$45,0)),0)*'Loan Sizing'!$I$24*'Phase 1 Pro Forma'!AQ99</f>
        <v>0</v>
      </c>
      <c r="AR111" s="253">
        <f ca="1">+IFERROR(INDEX('Taxes and TIF'!$M$11:$M$45,MATCH('Phase 1 Pro Forma'!G$7,'Taxes and TIF'!$B$11:$B$45,0)),0)*'Loan Sizing'!$I$24*'Phase 1 Pro Forma'!AR99</f>
        <v>0</v>
      </c>
      <c r="AS111" s="253">
        <f ca="1">+IFERROR(INDEX('Taxes and TIF'!$M$11:$M$45,MATCH('Phase 1 Pro Forma'!H$7,'Taxes and TIF'!$B$11:$B$45,0)),0)*'Loan Sizing'!$I$24*'Phase 1 Pro Forma'!AS99</f>
        <v>0</v>
      </c>
      <c r="AT111" s="253">
        <f ca="1">+IFERROR(INDEX('Taxes and TIF'!$M$11:$M$45,MATCH('Phase 1 Pro Forma'!I$7,'Taxes and TIF'!$B$11:$B$45,0)),0)*'Loan Sizing'!$I$24*'Phase 1 Pro Forma'!AT99</f>
        <v>0</v>
      </c>
      <c r="AU111" s="253">
        <f ca="1">+IFERROR(INDEX('Taxes and TIF'!$M$11:$M$45,MATCH('Phase 1 Pro Forma'!J$7,'Taxes and TIF'!$B$11:$B$45,0)),0)*'Loan Sizing'!$I$24*'Phase 1 Pro Forma'!AU99</f>
        <v>0</v>
      </c>
      <c r="AV111" s="253">
        <f ca="1">+IFERROR(INDEX('Taxes and TIF'!$M$11:$M$45,MATCH('Phase 1 Pro Forma'!K$7,'Taxes and TIF'!$B$11:$B$45,0)),0)*'Loan Sizing'!$I$24*'Phase 1 Pro Forma'!AV99</f>
        <v>0</v>
      </c>
      <c r="AW111" s="253">
        <f ca="1">+IFERROR(INDEX('Taxes and TIF'!$M$11:$M$45,MATCH('Phase 1 Pro Forma'!L$7,'Taxes and TIF'!$B$11:$B$45,0)),0)*'Loan Sizing'!$I$24*'Phase 1 Pro Forma'!AW99</f>
        <v>0</v>
      </c>
      <c r="AX111" s="253">
        <f ca="1">+IFERROR(INDEX('Taxes and TIF'!$M$11:$M$45,MATCH('Phase 1 Pro Forma'!M$7,'Taxes and TIF'!$B$11:$B$45,0)),0)*'Loan Sizing'!$I$24*'Phase 1 Pro Forma'!AX99</f>
        <v>0</v>
      </c>
      <c r="AY111" s="253">
        <f ca="1">+IFERROR(INDEX('Taxes and TIF'!$M$11:$M$45,MATCH('Phase 1 Pro Forma'!N$7,'Taxes and TIF'!$B$11:$B$45,0)),0)*'Loan Sizing'!$I$24*'Phase 1 Pro Forma'!AY99</f>
        <v>0</v>
      </c>
      <c r="AZ111" s="253">
        <f ca="1">+IFERROR(INDEX('Taxes and TIF'!$M$11:$M$45,MATCH('Phase 1 Pro Forma'!O$7,'Taxes and TIF'!$B$11:$B$45,0)),0)*'Loan Sizing'!$I$24*'Phase 1 Pro Forma'!AZ99</f>
        <v>0</v>
      </c>
      <c r="BA111" s="253">
        <f ca="1">+IFERROR(INDEX('Taxes and TIF'!$M$11:$M$45,MATCH('Phase 1 Pro Forma'!P$7,'Taxes and TIF'!$B$11:$B$45,0)),0)*'Loan Sizing'!$I$24*'Phase 1 Pro Forma'!BA99</f>
        <v>0</v>
      </c>
      <c r="BB111" s="253">
        <f ca="1">+IFERROR(INDEX('Taxes and TIF'!$M$11:$M$45,MATCH('Phase 1 Pro Forma'!Q$7,'Taxes and TIF'!$B$11:$B$45,0)),0)*'Loan Sizing'!$I$24*'Phase 1 Pro Forma'!BB99</f>
        <v>0</v>
      </c>
      <c r="BC111" s="253">
        <f ca="1">+IFERROR(INDEX('Taxes and TIF'!$M$11:$M$45,MATCH('Phase 1 Pro Forma'!R$7,'Taxes and TIF'!$B$11:$B$45,0)),0)*'Loan Sizing'!$I$24*'Phase 1 Pro Forma'!BC99</f>
        <v>0</v>
      </c>
      <c r="BD111" s="253">
        <f ca="1">+IFERROR(INDEX('Taxes and TIF'!$M$11:$M$45,MATCH('Phase 1 Pro Forma'!S$7,'Taxes and TIF'!$B$11:$B$45,0)),0)*'Loan Sizing'!$I$24*'Phase 1 Pro Forma'!BD99</f>
        <v>0</v>
      </c>
      <c r="BE111" s="253">
        <f ca="1">+IFERROR(INDEX('Taxes and TIF'!$M$11:$M$45,MATCH('Phase 1 Pro Forma'!T$7,'Taxes and TIF'!$B$11:$B$45,0)),0)*'Loan Sizing'!$I$24*'Phase 1 Pro Forma'!BE99</f>
        <v>0</v>
      </c>
      <c r="BF111" s="253">
        <f ca="1">+IFERROR(INDEX('Taxes and TIF'!$M$11:$M$45,MATCH('Phase 1 Pro Forma'!U$7,'Taxes and TIF'!$B$11:$B$45,0)),0)*'Loan Sizing'!$I$24*'Phase 1 Pro Forma'!BF99</f>
        <v>0</v>
      </c>
      <c r="BG111" s="253">
        <f ca="1">+IFERROR(INDEX('Taxes and TIF'!$M$11:$M$45,MATCH('Phase 1 Pro Forma'!V$7,'Taxes and TIF'!$B$11:$B$45,0)),0)*'Loan Sizing'!$I$24*'Phase 1 Pro Forma'!BG99</f>
        <v>0</v>
      </c>
      <c r="BH111" s="253">
        <f ca="1">+IFERROR(INDEX('Taxes and TIF'!$M$11:$M$45,MATCH('Phase 1 Pro Forma'!W$7,'Taxes and TIF'!$B$11:$B$45,0)),0)*'Loan Sizing'!$I$24*'Phase 1 Pro Forma'!BH99</f>
        <v>0</v>
      </c>
      <c r="BI111" s="253">
        <f ca="1">+IFERROR(INDEX('Taxes and TIF'!$M$11:$M$45,MATCH('Phase 1 Pro Forma'!X$7,'Taxes and TIF'!$B$11:$B$45,0)),0)*'Loan Sizing'!$I$24*'Phase 1 Pro Forma'!BI99</f>
        <v>0</v>
      </c>
      <c r="BJ111" s="253">
        <f ca="1">+IFERROR(INDEX('Taxes and TIF'!$M$11:$M$45,MATCH('Phase 1 Pro Forma'!Y$7,'Taxes and TIF'!$B$11:$B$45,0)),0)*'Loan Sizing'!$I$24*'Phase 1 Pro Forma'!BJ99</f>
        <v>0</v>
      </c>
      <c r="BK111" s="253">
        <f ca="1">+IFERROR(INDEX('Taxes and TIF'!$M$11:$M$45,MATCH('Phase 1 Pro Forma'!Z$7,'Taxes and TIF'!$B$11:$B$45,0)),0)*'Loan Sizing'!$I$24*'Phase 1 Pro Forma'!BK99</f>
        <v>0</v>
      </c>
      <c r="BL111" s="49"/>
      <c r="BM111" s="49"/>
      <c r="BN111" s="49"/>
    </row>
    <row r="112" spans="2:66">
      <c r="B112" s="699" t="s">
        <v>1126</v>
      </c>
      <c r="C112" s="699"/>
      <c r="D112" s="699"/>
      <c r="E112" s="699"/>
      <c r="F112" s="1074">
        <v>1</v>
      </c>
      <c r="G112" s="1074">
        <f>+F112*(1+Assumptions!$N$77)</f>
        <v>1.03</v>
      </c>
      <c r="H112" s="1074">
        <f>+G112*(1+Assumptions!$N$77)</f>
        <v>1.0609</v>
      </c>
      <c r="I112" s="1074">
        <f>+H112*(1+Assumptions!$N$77)</f>
        <v>1.092727</v>
      </c>
      <c r="J112" s="1074">
        <f>+I112*(1+Assumptions!$N$77)</f>
        <v>1.1255088100000001</v>
      </c>
      <c r="K112" s="1074">
        <f>+J112*(1+Assumptions!$N$77)</f>
        <v>1.1592740743000001</v>
      </c>
      <c r="L112" s="1074">
        <f>+K112*(1+Assumptions!$N$77)</f>
        <v>1.1940522965290001</v>
      </c>
      <c r="M112" s="1074">
        <f>+L112*(1+Assumptions!$N$77)</f>
        <v>1.2298738654248702</v>
      </c>
      <c r="N112" s="1074">
        <f>+M112*(1+Assumptions!$N$77)</f>
        <v>1.2667700813876164</v>
      </c>
      <c r="O112" s="1074">
        <f>+N112*(1+Assumptions!$N$77)</f>
        <v>1.3047731838292449</v>
      </c>
      <c r="P112" s="1074">
        <f>+O112*(1+Assumptions!$N$77)</f>
        <v>1.3439163793441222</v>
      </c>
      <c r="Q112" s="1074">
        <f>+P112*(1+Assumptions!$N$77)</f>
        <v>1.3842338707244459</v>
      </c>
      <c r="R112" s="1074">
        <f>+Q112*(1+Assumptions!$N$77)</f>
        <v>1.4257608868461793</v>
      </c>
      <c r="S112" s="1074">
        <f>+R112*(1+Assumptions!$N$77)</f>
        <v>1.4685337134515648</v>
      </c>
      <c r="T112" s="1074">
        <f>+S112*(1+Assumptions!$N$77)</f>
        <v>1.5125897248551119</v>
      </c>
      <c r="U112" s="1074">
        <f>+T112*(1+Assumptions!$N$77)</f>
        <v>1.5579674166007653</v>
      </c>
      <c r="V112" s="1074">
        <f>+U112*(1+Assumptions!$N$77)</f>
        <v>1.6047064390987884</v>
      </c>
      <c r="W112" s="1074">
        <f>+V112*(1+Assumptions!$N$77)</f>
        <v>1.652847632271752</v>
      </c>
      <c r="X112" s="1074">
        <f>+W112*(1+Assumptions!$N$77)</f>
        <v>1.7024330612399046</v>
      </c>
      <c r="Y112" s="1074">
        <f>+X112*(1+Assumptions!$N$77)</f>
        <v>1.7535060530771018</v>
      </c>
      <c r="Z112" s="1074">
        <f>+Y112*(1+Assumptions!$N$77)</f>
        <v>1.806111234669415</v>
      </c>
      <c r="AA112" s="699"/>
      <c r="AB112" s="699"/>
      <c r="AC112" s="699"/>
      <c r="AD112" s="699"/>
      <c r="AE112" s="49"/>
      <c r="AF112" s="49"/>
      <c r="AG112" s="49"/>
      <c r="AH112" s="49"/>
      <c r="AI112" s="49"/>
      <c r="AJ112" s="49"/>
      <c r="AK112" s="49"/>
      <c r="AL112" s="49"/>
      <c r="AM112" s="49" t="s">
        <v>1134</v>
      </c>
      <c r="AN112" s="49"/>
      <c r="AO112" s="49"/>
      <c r="AP112" s="49"/>
      <c r="AQ112" s="83">
        <f ca="1">+SUM(AQ110:AQ111)</f>
        <v>0</v>
      </c>
      <c r="AR112" s="83">
        <f t="shared" ref="AR112:BK112" ca="1" si="312">+SUM(AR110:AR111)</f>
        <v>0</v>
      </c>
      <c r="AS112" s="83">
        <f t="shared" ca="1" si="312"/>
        <v>0</v>
      </c>
      <c r="AT112" s="83">
        <f t="shared" ca="1" si="312"/>
        <v>0</v>
      </c>
      <c r="AU112" s="83">
        <f t="shared" ca="1" si="312"/>
        <v>0</v>
      </c>
      <c r="AV112" s="83">
        <f t="shared" ca="1" si="312"/>
        <v>0</v>
      </c>
      <c r="AW112" s="83">
        <f t="shared" ca="1" si="312"/>
        <v>0</v>
      </c>
      <c r="AX112" s="83">
        <f t="shared" ca="1" si="312"/>
        <v>0</v>
      </c>
      <c r="AY112" s="83">
        <f t="shared" ca="1" si="312"/>
        <v>0</v>
      </c>
      <c r="AZ112" s="83">
        <f t="shared" ca="1" si="312"/>
        <v>0</v>
      </c>
      <c r="BA112" s="83">
        <f t="shared" ca="1" si="312"/>
        <v>0</v>
      </c>
      <c r="BB112" s="83">
        <f t="shared" ca="1" si="312"/>
        <v>0</v>
      </c>
      <c r="BC112" s="83">
        <f t="shared" ca="1" si="312"/>
        <v>0</v>
      </c>
      <c r="BD112" s="83">
        <f t="shared" ca="1" si="312"/>
        <v>0</v>
      </c>
      <c r="BE112" s="83">
        <f t="shared" ca="1" si="312"/>
        <v>0</v>
      </c>
      <c r="BF112" s="83">
        <f t="shared" ca="1" si="312"/>
        <v>0</v>
      </c>
      <c r="BG112" s="83">
        <f t="shared" ca="1" si="312"/>
        <v>0</v>
      </c>
      <c r="BH112" s="83">
        <f t="shared" ca="1" si="312"/>
        <v>0</v>
      </c>
      <c r="BI112" s="83">
        <f t="shared" ca="1" si="312"/>
        <v>0</v>
      </c>
      <c r="BJ112" s="83">
        <f t="shared" ca="1" si="312"/>
        <v>0</v>
      </c>
      <c r="BK112" s="83">
        <f t="shared" ca="1" si="312"/>
        <v>0</v>
      </c>
      <c r="BL112" s="49"/>
      <c r="BM112" s="49"/>
      <c r="BN112" s="49"/>
    </row>
    <row r="113" spans="1:66">
      <c r="A113" s="699"/>
      <c r="B113" s="699" t="s">
        <v>1127</v>
      </c>
      <c r="C113" s="699"/>
      <c r="D113" s="699"/>
      <c r="E113" s="699"/>
      <c r="F113" s="1074">
        <v>1</v>
      </c>
      <c r="G113" s="1074">
        <f>+F113*(1+Assumptions!$N$85)</f>
        <v>1.03</v>
      </c>
      <c r="H113" s="1074">
        <f>+G113*(1+Assumptions!$N$85)</f>
        <v>1.0609</v>
      </c>
      <c r="I113" s="1074">
        <f>+H113*(1+Assumptions!$N$85)</f>
        <v>1.092727</v>
      </c>
      <c r="J113" s="1074">
        <f>+I113*(1+Assumptions!$N$85)</f>
        <v>1.1255088100000001</v>
      </c>
      <c r="K113" s="1074">
        <f>+J113*(1+Assumptions!$N$85)</f>
        <v>1.1592740743000001</v>
      </c>
      <c r="L113" s="1074">
        <f>+K113*(1+Assumptions!$N$85)</f>
        <v>1.1940522965290001</v>
      </c>
      <c r="M113" s="1074">
        <f>+L113*(1+Assumptions!$N$85)</f>
        <v>1.2298738654248702</v>
      </c>
      <c r="N113" s="1074">
        <f>+M113*(1+Assumptions!$N$85)</f>
        <v>1.2667700813876164</v>
      </c>
      <c r="O113" s="1074">
        <f>+N113*(1+Assumptions!$N$85)</f>
        <v>1.3047731838292449</v>
      </c>
      <c r="P113" s="1074">
        <f>+O113*(1+Assumptions!$N$85)</f>
        <v>1.3439163793441222</v>
      </c>
      <c r="Q113" s="1074">
        <f>+P113*(1+Assumptions!$N$85)</f>
        <v>1.3842338707244459</v>
      </c>
      <c r="R113" s="1074">
        <f>+Q113*(1+Assumptions!$N$85)</f>
        <v>1.4257608868461793</v>
      </c>
      <c r="S113" s="1074">
        <f>+R113*(1+Assumptions!$N$85)</f>
        <v>1.4685337134515648</v>
      </c>
      <c r="T113" s="1074">
        <f>+S113*(1+Assumptions!$N$85)</f>
        <v>1.5125897248551119</v>
      </c>
      <c r="U113" s="1074">
        <f>+T113*(1+Assumptions!$N$85)</f>
        <v>1.5579674166007653</v>
      </c>
      <c r="V113" s="1074">
        <f>+U113*(1+Assumptions!$N$85)</f>
        <v>1.6047064390987884</v>
      </c>
      <c r="W113" s="1074">
        <f>+V113*(1+Assumptions!$N$85)</f>
        <v>1.652847632271752</v>
      </c>
      <c r="X113" s="1074">
        <f>+W113*(1+Assumptions!$N$85)</f>
        <v>1.7024330612399046</v>
      </c>
      <c r="Y113" s="1074">
        <f>+X113*(1+Assumptions!$N$85)</f>
        <v>1.7535060530771018</v>
      </c>
      <c r="Z113" s="1074">
        <f>+Y113*(1+Assumptions!$N$85)</f>
        <v>1.806111234669415</v>
      </c>
      <c r="AA113" s="699"/>
      <c r="AB113" s="699"/>
      <c r="AC113" s="699"/>
      <c r="AD113" s="699"/>
      <c r="AE113" s="49"/>
      <c r="AF113" s="49"/>
      <c r="AG113" s="49"/>
      <c r="AH113" s="49"/>
      <c r="AI113" s="49"/>
      <c r="AJ113" s="49"/>
      <c r="AK113" s="49"/>
      <c r="AL113" s="49"/>
      <c r="AM113" s="49"/>
      <c r="AN113" s="49"/>
      <c r="AO113" s="49"/>
      <c r="AP113" s="49"/>
      <c r="AQ113" s="49"/>
      <c r="AR113" s="49"/>
      <c r="AS113" s="49"/>
      <c r="AT113" s="49"/>
      <c r="AU113" s="49"/>
      <c r="AV113" s="49"/>
      <c r="AW113" s="49"/>
      <c r="AX113" s="49"/>
      <c r="AY113" s="49"/>
      <c r="AZ113" s="49"/>
      <c r="BA113" s="49"/>
      <c r="BB113" s="49"/>
      <c r="BC113" s="49"/>
      <c r="BD113" s="49"/>
      <c r="BE113" s="49"/>
      <c r="BF113" s="49"/>
      <c r="BG113" s="49"/>
      <c r="BH113" s="49"/>
      <c r="BI113" s="49"/>
      <c r="BJ113" s="49"/>
      <c r="BK113" s="49"/>
      <c r="BL113" s="49"/>
      <c r="BM113" s="49"/>
      <c r="BN113" s="49"/>
    </row>
    <row r="114" spans="1:66" ht="15.75">
      <c r="A114" s="699"/>
      <c r="B114" s="699"/>
      <c r="C114" s="699"/>
      <c r="D114" s="699"/>
      <c r="E114" s="699"/>
      <c r="F114" s="699"/>
      <c r="G114" s="699"/>
      <c r="H114" s="699"/>
      <c r="I114" s="699"/>
      <c r="J114" s="699"/>
      <c r="K114" s="699"/>
      <c r="L114" s="699"/>
      <c r="M114" s="699"/>
      <c r="N114" s="699"/>
      <c r="O114" s="699"/>
      <c r="P114" s="699"/>
      <c r="Q114" s="699"/>
      <c r="R114" s="699"/>
      <c r="S114" s="699"/>
      <c r="T114" s="699"/>
      <c r="U114" s="699"/>
      <c r="V114" s="699"/>
      <c r="W114" s="699"/>
      <c r="X114" s="699"/>
      <c r="Y114" s="699"/>
      <c r="Z114" s="699"/>
      <c r="AA114" s="699"/>
      <c r="AB114" s="699"/>
      <c r="AC114" s="699"/>
      <c r="AD114" s="699"/>
      <c r="AE114" s="49"/>
      <c r="AF114" s="49"/>
      <c r="AG114" s="49"/>
      <c r="AH114" s="49"/>
      <c r="AI114" s="49"/>
      <c r="AJ114" s="49"/>
      <c r="AK114" s="49"/>
      <c r="AL114" s="49"/>
      <c r="AM114" s="81" t="s">
        <v>1135</v>
      </c>
      <c r="AN114" s="81"/>
      <c r="AO114" s="81"/>
      <c r="AP114" s="81"/>
      <c r="AQ114" s="94">
        <f ca="1">+AQ108-AQ112</f>
        <v>0</v>
      </c>
      <c r="AR114" s="94">
        <f t="shared" ref="AR114:BK114" ca="1" si="313">+AR108-AR112</f>
        <v>0</v>
      </c>
      <c r="AS114" s="94">
        <f t="shared" ca="1" si="313"/>
        <v>0</v>
      </c>
      <c r="AT114" s="94">
        <f t="shared" ca="1" si="313"/>
        <v>0</v>
      </c>
      <c r="AU114" s="94">
        <f t="shared" ca="1" si="313"/>
        <v>0</v>
      </c>
      <c r="AV114" s="94">
        <f t="shared" ca="1" si="313"/>
        <v>0</v>
      </c>
      <c r="AW114" s="94">
        <f t="shared" ca="1" si="313"/>
        <v>0</v>
      </c>
      <c r="AX114" s="94">
        <f t="shared" ca="1" si="313"/>
        <v>0</v>
      </c>
      <c r="AY114" s="94">
        <f t="shared" ca="1" si="313"/>
        <v>0</v>
      </c>
      <c r="AZ114" s="94">
        <f t="shared" ca="1" si="313"/>
        <v>0</v>
      </c>
      <c r="BA114" s="94">
        <f t="shared" ca="1" si="313"/>
        <v>0</v>
      </c>
      <c r="BB114" s="94">
        <f t="shared" ca="1" si="313"/>
        <v>0</v>
      </c>
      <c r="BC114" s="94">
        <f t="shared" ca="1" si="313"/>
        <v>0</v>
      </c>
      <c r="BD114" s="94">
        <f t="shared" ca="1" si="313"/>
        <v>0</v>
      </c>
      <c r="BE114" s="94">
        <f t="shared" ca="1" si="313"/>
        <v>0</v>
      </c>
      <c r="BF114" s="94">
        <f t="shared" ca="1" si="313"/>
        <v>0</v>
      </c>
      <c r="BG114" s="94">
        <f t="shared" ca="1" si="313"/>
        <v>0</v>
      </c>
      <c r="BH114" s="94">
        <f t="shared" ca="1" si="313"/>
        <v>0</v>
      </c>
      <c r="BI114" s="94">
        <f t="shared" ca="1" si="313"/>
        <v>0</v>
      </c>
      <c r="BJ114" s="94">
        <f t="shared" ca="1" si="313"/>
        <v>0</v>
      </c>
      <c r="BK114" s="94">
        <f t="shared" ca="1" si="313"/>
        <v>0</v>
      </c>
      <c r="BL114" s="49"/>
      <c r="BM114" s="49"/>
      <c r="BN114" s="49"/>
    </row>
    <row r="115" spans="1:66">
      <c r="A115" s="699" t="s">
        <v>511</v>
      </c>
      <c r="B115" s="699" t="s">
        <v>1128</v>
      </c>
      <c r="C115" s="699"/>
      <c r="D115" s="699"/>
      <c r="E115" s="699"/>
      <c r="F115" s="1028">
        <f>+F110*Assumptions!$F$198*F112</f>
        <v>0</v>
      </c>
      <c r="G115" s="1028">
        <f>+G110*Assumptions!$F$198*G112</f>
        <v>0</v>
      </c>
      <c r="H115" s="1028">
        <f>+H110*Assumptions!$F$198*H112</f>
        <v>0</v>
      </c>
      <c r="I115" s="1028">
        <f>+I110*Assumptions!$F$198*I112</f>
        <v>0</v>
      </c>
      <c r="J115" s="1028">
        <f>+J110*Assumptions!$F$198*J112</f>
        <v>893187.8114832578</v>
      </c>
      <c r="K115" s="1028">
        <f>+K110*Assumptions!$F$198*K112</f>
        <v>1839966.891655511</v>
      </c>
      <c r="L115" s="1028">
        <f>+L110*Assumptions!$F$198*L112</f>
        <v>1895165.8984051764</v>
      </c>
      <c r="M115" s="1028">
        <f>+M110*Assumptions!$F$198*M112</f>
        <v>1952020.8753573317</v>
      </c>
      <c r="N115" s="1028">
        <f>+N110*Assumptions!$F$198*N112</f>
        <v>2010581.5016180517</v>
      </c>
      <c r="O115" s="1028">
        <f>+O110*Assumptions!$F$198*O112</f>
        <v>2070898.9466665934</v>
      </c>
      <c r="P115" s="1028">
        <f>+P110*Assumptions!$F$198*P112</f>
        <v>2133025.915066591</v>
      </c>
      <c r="Q115" s="1028">
        <f>+Q110*Assumptions!$F$198*Q112</f>
        <v>2197016.6925185891</v>
      </c>
      <c r="R115" s="1028">
        <f>+R110*Assumptions!$F$198*R112</f>
        <v>2262927.1932941466</v>
      </c>
      <c r="S115" s="1028">
        <f>+S110*Assumptions!$F$198*S112</f>
        <v>2330815.0090929712</v>
      </c>
      <c r="T115" s="1028">
        <f>+T110*Assumptions!$F$198*T112</f>
        <v>2400739.4593657604</v>
      </c>
      <c r="U115" s="1028">
        <f>+U110*Assumptions!$F$198*U112</f>
        <v>2472761.6431467333</v>
      </c>
      <c r="V115" s="1028">
        <f>+V110*Assumptions!$F$198*V112</f>
        <v>2546944.4924411355</v>
      </c>
      <c r="W115" s="1028">
        <f>+W110*Assumptions!$F$198*W112</f>
        <v>2623352.8272143696</v>
      </c>
      <c r="X115" s="1028">
        <f>+X110*Assumptions!$F$198*X112</f>
        <v>2702053.4120308007</v>
      </c>
      <c r="Y115" s="1028">
        <f>+Y110*Assumptions!$F$198*Y112</f>
        <v>2783115.014391725</v>
      </c>
      <c r="Z115" s="1028">
        <f>+Z110*Assumptions!$F$198*Z112</f>
        <v>2866608.464823477</v>
      </c>
      <c r="AA115" s="699"/>
      <c r="AB115" s="699"/>
      <c r="AC115" s="699"/>
      <c r="AD115" s="699"/>
      <c r="AE115" s="49"/>
      <c r="AF115" s="49"/>
      <c r="AG115" s="49"/>
      <c r="AH115" s="49"/>
      <c r="AI115" s="49"/>
      <c r="AJ115" s="49"/>
      <c r="AK115" s="49"/>
      <c r="AL115" s="49"/>
      <c r="AM115" s="223" t="s">
        <v>1136</v>
      </c>
      <c r="AN115" s="223"/>
      <c r="AO115" s="223"/>
      <c r="AP115" s="223"/>
      <c r="AQ115" s="772" t="str">
        <f ca="1">+IFERROR(AQ114/AQ108,"")</f>
        <v/>
      </c>
      <c r="AR115" s="772" t="str">
        <f t="shared" ref="AR115:BK115" ca="1" si="314">+IFERROR(AR114/AR108,"")</f>
        <v/>
      </c>
      <c r="AS115" s="772" t="str">
        <f t="shared" ca="1" si="314"/>
        <v/>
      </c>
      <c r="AT115" s="772" t="str">
        <f t="shared" ca="1" si="314"/>
        <v/>
      </c>
      <c r="AU115" s="772" t="str">
        <f t="shared" ca="1" si="314"/>
        <v/>
      </c>
      <c r="AV115" s="772" t="str">
        <f t="shared" ca="1" si="314"/>
        <v/>
      </c>
      <c r="AW115" s="772" t="str">
        <f t="shared" ca="1" si="314"/>
        <v/>
      </c>
      <c r="AX115" s="772" t="str">
        <f t="shared" ca="1" si="314"/>
        <v/>
      </c>
      <c r="AY115" s="772" t="str">
        <f t="shared" ca="1" si="314"/>
        <v/>
      </c>
      <c r="AZ115" s="772" t="str">
        <f t="shared" ca="1" si="314"/>
        <v/>
      </c>
      <c r="BA115" s="772" t="str">
        <f t="shared" ca="1" si="314"/>
        <v/>
      </c>
      <c r="BB115" s="772" t="str">
        <f t="shared" ca="1" si="314"/>
        <v/>
      </c>
      <c r="BC115" s="772" t="str">
        <f t="shared" ca="1" si="314"/>
        <v/>
      </c>
      <c r="BD115" s="772" t="str">
        <f t="shared" ca="1" si="314"/>
        <v/>
      </c>
      <c r="BE115" s="772" t="str">
        <f t="shared" ca="1" si="314"/>
        <v/>
      </c>
      <c r="BF115" s="772" t="str">
        <f t="shared" ca="1" si="314"/>
        <v/>
      </c>
      <c r="BG115" s="772" t="str">
        <f t="shared" ca="1" si="314"/>
        <v/>
      </c>
      <c r="BH115" s="772" t="str">
        <f t="shared" ca="1" si="314"/>
        <v/>
      </c>
      <c r="BI115" s="772" t="str">
        <f t="shared" ca="1" si="314"/>
        <v/>
      </c>
      <c r="BJ115" s="772" t="str">
        <f t="shared" ca="1" si="314"/>
        <v/>
      </c>
      <c r="BK115" s="772" t="str">
        <f t="shared" ca="1" si="314"/>
        <v/>
      </c>
      <c r="BL115" s="49"/>
      <c r="BM115" s="49"/>
      <c r="BN115" s="49"/>
    </row>
    <row r="116" spans="1:66">
      <c r="A116" s="699"/>
      <c r="B116" s="699" t="s">
        <v>1130</v>
      </c>
      <c r="C116" s="699"/>
      <c r="D116" s="699"/>
      <c r="E116" s="699"/>
      <c r="F116" s="1085">
        <f>-F115*Assumptions!$N$65</f>
        <v>0</v>
      </c>
      <c r="G116" s="1085">
        <f>-G115*Assumptions!$N$65</f>
        <v>0</v>
      </c>
      <c r="H116" s="1085">
        <f>-H115*Assumptions!$N$65</f>
        <v>0</v>
      </c>
      <c r="I116" s="1085">
        <f>-I115*Assumptions!$N$65</f>
        <v>0</v>
      </c>
      <c r="J116" s="1085">
        <f>-J115*Assumptions!$N$65</f>
        <v>-89318.781148325783</v>
      </c>
      <c r="K116" s="1085">
        <f>-K115*Assumptions!$N$65</f>
        <v>-183996.6891655511</v>
      </c>
      <c r="L116" s="1085">
        <f>-L115*Assumptions!$N$65</f>
        <v>-189516.58984051764</v>
      </c>
      <c r="M116" s="1085">
        <f>-M115*Assumptions!$N$65</f>
        <v>-195202.08753573318</v>
      </c>
      <c r="N116" s="1085">
        <f>-N115*Assumptions!$N$65</f>
        <v>-201058.15016180518</v>
      </c>
      <c r="O116" s="1085">
        <f>-O115*Assumptions!$N$65</f>
        <v>-207089.89466665935</v>
      </c>
      <c r="P116" s="1085">
        <f>-P115*Assumptions!$N$65</f>
        <v>-213302.59150665911</v>
      </c>
      <c r="Q116" s="1085">
        <f>-Q115*Assumptions!$N$65</f>
        <v>-219701.66925185893</v>
      </c>
      <c r="R116" s="1085">
        <f>-R115*Assumptions!$N$65</f>
        <v>-226292.71932941466</v>
      </c>
      <c r="S116" s="1085">
        <f>-S115*Assumptions!$N$65</f>
        <v>-233081.50090929714</v>
      </c>
      <c r="T116" s="1085">
        <f>-T115*Assumptions!$N$65</f>
        <v>-240073.94593657606</v>
      </c>
      <c r="U116" s="1085">
        <f>-U115*Assumptions!$N$65</f>
        <v>-247276.16431467334</v>
      </c>
      <c r="V116" s="1085">
        <f>-V115*Assumptions!$N$65</f>
        <v>-254694.44924411355</v>
      </c>
      <c r="W116" s="1085">
        <f>-W115*Assumptions!$N$65</f>
        <v>-262335.28272143699</v>
      </c>
      <c r="X116" s="1085">
        <f>-X115*Assumptions!$N$65</f>
        <v>-270205.34120308008</v>
      </c>
      <c r="Y116" s="1085">
        <f>-Y115*Assumptions!$N$65</f>
        <v>-278311.50143917248</v>
      </c>
      <c r="Z116" s="1085">
        <f>-Z115*Assumptions!$N$65</f>
        <v>-286660.8464823477</v>
      </c>
      <c r="AA116" s="699"/>
      <c r="AB116" s="699"/>
      <c r="AC116" s="699"/>
      <c r="AD116" s="699"/>
      <c r="AE116" s="49"/>
      <c r="AF116" s="49"/>
      <c r="AG116" s="49"/>
      <c r="AH116" s="49"/>
      <c r="AI116" s="49"/>
      <c r="AJ116" s="49"/>
      <c r="AK116" s="49"/>
      <c r="AL116" s="49"/>
      <c r="AM116" s="223" t="s">
        <v>1064</v>
      </c>
      <c r="AN116" s="223"/>
      <c r="AO116" s="223"/>
      <c r="AP116" s="223"/>
      <c r="AQ116" s="224">
        <v>0</v>
      </c>
      <c r="AR116" s="224">
        <v>0</v>
      </c>
      <c r="AS116" s="224">
        <v>0</v>
      </c>
      <c r="AT116" s="224">
        <v>0</v>
      </c>
      <c r="AU116" s="224">
        <v>0</v>
      </c>
      <c r="AV116" s="224">
        <v>0</v>
      </c>
      <c r="AW116" s="224">
        <v>0</v>
      </c>
      <c r="AX116" s="224">
        <v>0</v>
      </c>
      <c r="AY116" s="224">
        <v>0</v>
      </c>
      <c r="AZ116" s="224">
        <v>0</v>
      </c>
      <c r="BA116" s="224">
        <v>0</v>
      </c>
      <c r="BB116" s="224">
        <v>0</v>
      </c>
      <c r="BC116" s="224">
        <v>0</v>
      </c>
      <c r="BD116" s="224">
        <v>0</v>
      </c>
      <c r="BE116" s="224">
        <v>0</v>
      </c>
      <c r="BF116" s="224">
        <v>0</v>
      </c>
      <c r="BG116" s="224">
        <v>0</v>
      </c>
      <c r="BH116" s="224">
        <v>0</v>
      </c>
      <c r="BI116" s="224">
        <v>0</v>
      </c>
      <c r="BJ116" s="224">
        <v>0</v>
      </c>
      <c r="BK116" s="224">
        <v>0</v>
      </c>
      <c r="BL116" s="49"/>
      <c r="BM116" s="49"/>
      <c r="BN116" s="49"/>
    </row>
    <row r="117" spans="1:66">
      <c r="A117" s="699"/>
      <c r="B117" s="52" t="s">
        <v>1131</v>
      </c>
      <c r="C117" s="1052"/>
      <c r="D117" s="1052"/>
      <c r="E117" s="1052"/>
      <c r="F117" s="1086">
        <f>SUM(F115:F116)</f>
        <v>0</v>
      </c>
      <c r="G117" s="1086">
        <f t="shared" ref="G117:Z117" si="315">SUM(G115:G116)</f>
        <v>0</v>
      </c>
      <c r="H117" s="1086">
        <f t="shared" si="315"/>
        <v>0</v>
      </c>
      <c r="I117" s="1086">
        <f t="shared" si="315"/>
        <v>0</v>
      </c>
      <c r="J117" s="1086">
        <f t="shared" si="315"/>
        <v>803869.03033493203</v>
      </c>
      <c r="K117" s="1086">
        <f t="shared" si="315"/>
        <v>1655970.20248996</v>
      </c>
      <c r="L117" s="1086">
        <f t="shared" si="315"/>
        <v>1705649.3085646587</v>
      </c>
      <c r="M117" s="1086">
        <f t="shared" si="315"/>
        <v>1756818.7878215986</v>
      </c>
      <c r="N117" s="1086">
        <f t="shared" si="315"/>
        <v>1809523.3514562466</v>
      </c>
      <c r="O117" s="1086">
        <f t="shared" si="315"/>
        <v>1863809.051999934</v>
      </c>
      <c r="P117" s="1086">
        <f t="shared" si="315"/>
        <v>1919723.3235599319</v>
      </c>
      <c r="Q117" s="1086">
        <f t="shared" si="315"/>
        <v>1977315.0232667301</v>
      </c>
      <c r="R117" s="1086">
        <f t="shared" si="315"/>
        <v>2036634.4739647319</v>
      </c>
      <c r="S117" s="1086">
        <f t="shared" si="315"/>
        <v>2097733.508183674</v>
      </c>
      <c r="T117" s="1086">
        <f t="shared" si="315"/>
        <v>2160665.5134291844</v>
      </c>
      <c r="U117" s="1086">
        <f t="shared" si="315"/>
        <v>2225485.47883206</v>
      </c>
      <c r="V117" s="1086">
        <f t="shared" si="315"/>
        <v>2292250.0431970218</v>
      </c>
      <c r="W117" s="1086">
        <f t="shared" si="315"/>
        <v>2361017.5444929325</v>
      </c>
      <c r="X117" s="1086">
        <f t="shared" si="315"/>
        <v>2431848.0708277207</v>
      </c>
      <c r="Y117" s="1086">
        <f t="shared" si="315"/>
        <v>2504803.5129525526</v>
      </c>
      <c r="Z117" s="1086">
        <f t="shared" si="315"/>
        <v>2579947.6183411293</v>
      </c>
      <c r="AA117" s="699"/>
      <c r="AB117" s="699"/>
      <c r="AC117" s="699"/>
      <c r="AD117" s="699"/>
      <c r="AE117" s="49"/>
      <c r="AF117" s="49"/>
      <c r="AG117" s="49"/>
      <c r="AH117" s="49"/>
      <c r="AI117" s="49"/>
      <c r="AJ117" s="49"/>
      <c r="AK117" s="49"/>
      <c r="AL117" s="49"/>
      <c r="AM117" s="49"/>
      <c r="AN117" s="49"/>
      <c r="AO117" s="49"/>
      <c r="AP117" s="49"/>
      <c r="AQ117" s="49"/>
      <c r="AR117" s="49"/>
      <c r="AS117" s="49"/>
      <c r="AT117" s="49"/>
      <c r="AU117" s="49"/>
      <c r="AV117" s="49"/>
      <c r="AW117" s="49"/>
      <c r="AX117" s="49"/>
      <c r="AY117" s="49"/>
      <c r="AZ117" s="49"/>
      <c r="BA117" s="49"/>
      <c r="BB117" s="49"/>
      <c r="BC117" s="49"/>
      <c r="BD117" s="49"/>
      <c r="BE117" s="49"/>
      <c r="BF117" s="49"/>
      <c r="BG117" s="49"/>
      <c r="BH117" s="49"/>
      <c r="BI117" s="49"/>
      <c r="BJ117" s="49"/>
      <c r="BK117" s="49"/>
      <c r="BL117" s="49"/>
      <c r="BM117" s="49"/>
      <c r="BN117" s="49"/>
    </row>
    <row r="118" spans="1:66" ht="15.75">
      <c r="A118" s="699"/>
      <c r="B118" s="49"/>
      <c r="C118" s="699"/>
      <c r="D118" s="699"/>
      <c r="E118" s="699"/>
      <c r="F118" s="699"/>
      <c r="G118" s="699"/>
      <c r="H118" s="699"/>
      <c r="I118" s="699"/>
      <c r="J118" s="699"/>
      <c r="K118" s="699"/>
      <c r="L118" s="699"/>
      <c r="M118" s="699"/>
      <c r="N118" s="699"/>
      <c r="O118" s="699"/>
      <c r="P118" s="699"/>
      <c r="Q118" s="699"/>
      <c r="R118" s="699"/>
      <c r="S118" s="699"/>
      <c r="T118" s="699"/>
      <c r="U118" s="699"/>
      <c r="V118" s="699"/>
      <c r="W118" s="699"/>
      <c r="X118" s="699"/>
      <c r="Y118" s="699"/>
      <c r="Z118" s="699"/>
      <c r="AA118" s="699"/>
      <c r="AB118" s="699"/>
      <c r="AC118" s="699"/>
      <c r="AD118" s="699"/>
      <c r="AE118" s="49"/>
      <c r="AF118" s="49"/>
      <c r="AG118" s="49"/>
      <c r="AH118" s="49"/>
      <c r="AI118" s="49"/>
      <c r="AJ118" s="49"/>
      <c r="AK118" s="49"/>
      <c r="AL118" s="49"/>
      <c r="AM118" s="81" t="str">
        <f>+Assumptions!AL43</f>
        <v xml:space="preserve">Market-Rate Senior Living Residential </v>
      </c>
      <c r="AN118" s="49"/>
      <c r="AO118" s="49"/>
      <c r="AP118" s="49"/>
      <c r="AQ118" s="768">
        <f>+Assumptions!$F$27</f>
        <v>45291</v>
      </c>
      <c r="AR118" s="768">
        <f>+EOMONTH(AQ118,12)</f>
        <v>45657</v>
      </c>
      <c r="AS118" s="768">
        <f t="shared" ref="AS118" si="316">+EOMONTH(AR118,12)</f>
        <v>46022</v>
      </c>
      <c r="AT118" s="768">
        <f t="shared" ref="AT118" si="317">+EOMONTH(AS118,12)</f>
        <v>46387</v>
      </c>
      <c r="AU118" s="768">
        <f t="shared" ref="AU118" si="318">+EOMONTH(AT118,12)</f>
        <v>46752</v>
      </c>
      <c r="AV118" s="768">
        <f t="shared" ref="AV118" si="319">+EOMONTH(AU118,12)</f>
        <v>47118</v>
      </c>
      <c r="AW118" s="768">
        <f t="shared" ref="AW118" si="320">+EOMONTH(AV118,12)</f>
        <v>47483</v>
      </c>
      <c r="AX118" s="768">
        <f t="shared" ref="AX118" si="321">+EOMONTH(AW118,12)</f>
        <v>47848</v>
      </c>
      <c r="AY118" s="768">
        <f t="shared" ref="AY118" si="322">+EOMONTH(AX118,12)</f>
        <v>48213</v>
      </c>
      <c r="AZ118" s="768">
        <f t="shared" ref="AZ118" si="323">+EOMONTH(AY118,12)</f>
        <v>48579</v>
      </c>
      <c r="BA118" s="768">
        <f t="shared" ref="BA118" si="324">+EOMONTH(AZ118,12)</f>
        <v>48944</v>
      </c>
      <c r="BB118" s="768">
        <f t="shared" ref="BB118" si="325">+EOMONTH(BA118,12)</f>
        <v>49309</v>
      </c>
      <c r="BC118" s="768">
        <f t="shared" ref="BC118" si="326">+EOMONTH(BB118,12)</f>
        <v>49674</v>
      </c>
      <c r="BD118" s="768">
        <f t="shared" ref="BD118" si="327">+EOMONTH(BC118,12)</f>
        <v>50040</v>
      </c>
      <c r="BE118" s="768">
        <f t="shared" ref="BE118" si="328">+EOMONTH(BD118,12)</f>
        <v>50405</v>
      </c>
      <c r="BF118" s="768">
        <f t="shared" ref="BF118" si="329">+EOMONTH(BE118,12)</f>
        <v>50770</v>
      </c>
      <c r="BG118" s="768">
        <f t="shared" ref="BG118" si="330">+EOMONTH(BF118,12)</f>
        <v>51135</v>
      </c>
      <c r="BH118" s="768">
        <f t="shared" ref="BH118" si="331">+EOMONTH(BG118,12)</f>
        <v>51501</v>
      </c>
      <c r="BI118" s="768">
        <f t="shared" ref="BI118" si="332">+EOMONTH(BH118,12)</f>
        <v>51866</v>
      </c>
      <c r="BJ118" s="768">
        <f t="shared" ref="BJ118" si="333">+EOMONTH(BI118,12)</f>
        <v>52231</v>
      </c>
      <c r="BK118" s="768">
        <f t="shared" ref="BK118" si="334">+EOMONTH(BJ118,12)</f>
        <v>52596</v>
      </c>
      <c r="BL118" s="49"/>
      <c r="BM118" s="49"/>
      <c r="BN118" s="49"/>
    </row>
    <row r="119" spans="1:66">
      <c r="A119" s="699"/>
      <c r="B119" s="699" t="s">
        <v>1132</v>
      </c>
      <c r="C119" s="699"/>
      <c r="D119" s="699"/>
      <c r="E119" s="699"/>
      <c r="F119" s="1087">
        <f>+F108*Assumptions!$N$100*F113</f>
        <v>0</v>
      </c>
      <c r="G119" s="1087">
        <f>+G108*Assumptions!$N$100*G113</f>
        <v>0</v>
      </c>
      <c r="H119" s="1087">
        <f>+H108*Assumptions!$N$100*H113</f>
        <v>0</v>
      </c>
      <c r="I119" s="1087">
        <f>+I108*Assumptions!$N$100*I113</f>
        <v>0</v>
      </c>
      <c r="J119" s="1087">
        <f>+J108*Assumptions!$N$100*J113</f>
        <v>124671.78839649269</v>
      </c>
      <c r="K119" s="1087">
        <f>+K108*Assumptions!$N$100*K113</f>
        <v>256823.88409677494</v>
      </c>
      <c r="L119" s="1087">
        <f>+L108*Assumptions!$N$100*L113</f>
        <v>264528.60061967821</v>
      </c>
      <c r="M119" s="1087">
        <f>+M108*Assumptions!$N$100*M113</f>
        <v>272464.45863826858</v>
      </c>
      <c r="N119" s="1087">
        <f>+N108*Assumptions!$N$100*N113</f>
        <v>280638.39239741664</v>
      </c>
      <c r="O119" s="1087">
        <f>+O108*Assumptions!$N$100*O113</f>
        <v>289057.54416933912</v>
      </c>
      <c r="P119" s="1087">
        <f>+P108*Assumptions!$N$100*P113</f>
        <v>297729.27049441932</v>
      </c>
      <c r="Q119" s="1087">
        <f>+Q108*Assumptions!$N$100*Q113</f>
        <v>306661.14860925189</v>
      </c>
      <c r="R119" s="1087">
        <f>+R108*Assumptions!$N$100*R113</f>
        <v>315860.98306752945</v>
      </c>
      <c r="S119" s="1087">
        <f>+S108*Assumptions!$N$100*S113</f>
        <v>325336.81255955534</v>
      </c>
      <c r="T119" s="1087">
        <f>+T108*Assumptions!$N$100*T113</f>
        <v>335096.91693634208</v>
      </c>
      <c r="U119" s="1087">
        <f>+U108*Assumptions!$N$100*U113</f>
        <v>345149.82444443234</v>
      </c>
      <c r="V119" s="1087">
        <f>+V108*Assumptions!$N$100*V113</f>
        <v>355504.31917776534</v>
      </c>
      <c r="W119" s="1087">
        <f>+W108*Assumptions!$N$100*W113</f>
        <v>366169.44875309826</v>
      </c>
      <c r="X119" s="1087">
        <f>+X108*Assumptions!$N$100*X113</f>
        <v>377154.53221569123</v>
      </c>
      <c r="Y119" s="1087">
        <f>+Y108*Assumptions!$N$100*Y113</f>
        <v>388469.16818216199</v>
      </c>
      <c r="Z119" s="1087">
        <f>+Z108*Assumptions!$N$100*Z113</f>
        <v>400123.2432276269</v>
      </c>
      <c r="AA119" s="699"/>
      <c r="AB119" s="699"/>
      <c r="AC119" s="699"/>
      <c r="AD119" s="699"/>
      <c r="AE119" s="49"/>
      <c r="AF119" s="49"/>
      <c r="AG119" s="49"/>
      <c r="AH119" s="49"/>
      <c r="AI119" s="49"/>
      <c r="AJ119" s="49"/>
      <c r="AK119" s="49"/>
      <c r="AL119" s="49"/>
      <c r="AM119" s="49" t="s">
        <v>1120</v>
      </c>
      <c r="AN119" s="49"/>
      <c r="AO119" s="49"/>
      <c r="AP119" s="253"/>
      <c r="AQ119" s="253">
        <f>+IF(AND(AQ118&gt;=Assumptions!$F$31,AQ118&lt;Assumptions!$F$33),Assumptions!$AE$146/ROUNDUP((Assumptions!$F$32/12),0),)</f>
        <v>0</v>
      </c>
      <c r="AR119" s="253">
        <f>+IF(AND(AR118&gt;=Assumptions!$F$31,AR118&lt;Assumptions!$F$33),Assumptions!$AE$146/ROUNDUP((Assumptions!$F$32/12),0),)</f>
        <v>0</v>
      </c>
      <c r="AS119" s="253">
        <f>+IF(AND(AS118&gt;=Assumptions!$F$31,AS118&lt;Assumptions!$F$33),Assumptions!$AE$146/ROUNDUP((Assumptions!$F$32/12),0),)</f>
        <v>0</v>
      </c>
      <c r="AT119" s="253">
        <f>+IF(AND(AT118&gt;=Assumptions!$F$31,AT118&lt;Assumptions!$F$33),Assumptions!$AE$146/ROUNDUP((Assumptions!$F$32/12),0),)</f>
        <v>0</v>
      </c>
      <c r="AU119" s="253">
        <f>+IF(AND(AU118&gt;=Assumptions!$F$31,AU118&lt;Assumptions!$F$33),Assumptions!$AE$146/ROUNDUP((Assumptions!$F$32/12),0),)</f>
        <v>0</v>
      </c>
      <c r="AV119" s="253">
        <f>+IF(AND(AV118&gt;=Assumptions!$F$31,AV118&lt;Assumptions!$F$33),Assumptions!$AE$146/ROUNDUP((Assumptions!$F$32/12),0),)</f>
        <v>0</v>
      </c>
      <c r="AW119" s="253">
        <f>+IF(AND(AW118&gt;=Assumptions!$F$31,AW118&lt;Assumptions!$F$33),Assumptions!$AE$146/ROUNDUP((Assumptions!$F$32/12),0),)</f>
        <v>0</v>
      </c>
      <c r="AX119" s="253">
        <f>+IF(AND(AX118&gt;=Assumptions!$F$31,AX118&lt;Assumptions!$F$33),Assumptions!$AE$146/ROUNDUP((Assumptions!$F$32/12),0),)</f>
        <v>0</v>
      </c>
      <c r="AY119" s="253">
        <f>+IF(AND(AY118&gt;=Assumptions!$F$31,AY118&lt;Assumptions!$F$33),Assumptions!$AE$146/ROUNDUP((Assumptions!$F$32/12),0),)</f>
        <v>0</v>
      </c>
      <c r="AZ119" s="253">
        <f>+IF(AND(AZ118&gt;=Assumptions!$F$31,AZ118&lt;Assumptions!$F$33),Assumptions!$AE$146/ROUNDUP((Assumptions!$F$32/12),0),)</f>
        <v>0</v>
      </c>
      <c r="BA119" s="253">
        <f>+IF(AND(BA118&gt;=Assumptions!$F$31,BA118&lt;Assumptions!$F$33),Assumptions!$AE$146/ROUNDUP((Assumptions!$F$32/12),0),)</f>
        <v>0</v>
      </c>
      <c r="BB119" s="253">
        <f>+IF(AND(BB118&gt;=Assumptions!$F$31,BB118&lt;Assumptions!$F$33),Assumptions!$AE$146/ROUNDUP((Assumptions!$F$32/12),0),)</f>
        <v>0</v>
      </c>
      <c r="BC119" s="253">
        <f>+IF(AND(BC118&gt;=Assumptions!$F$31,BC118&lt;Assumptions!$F$33),Assumptions!$AE$146/ROUNDUP((Assumptions!$F$32/12),0),)</f>
        <v>0</v>
      </c>
      <c r="BD119" s="253">
        <f>+IF(AND(BD118&gt;=Assumptions!$F$31,BD118&lt;Assumptions!$F$33),Assumptions!$AE$146/ROUNDUP((Assumptions!$F$32/12),0),)</f>
        <v>0</v>
      </c>
      <c r="BE119" s="253">
        <f>+IF(AND(BE118&gt;=Assumptions!$F$31,BE118&lt;Assumptions!$F$33),Assumptions!$AE$146/ROUNDUP((Assumptions!$F$32/12),0),)</f>
        <v>0</v>
      </c>
      <c r="BF119" s="253">
        <f>+IF(AND(BF118&gt;=Assumptions!$F$31,BF118&lt;Assumptions!$F$33),Assumptions!$AE$146/ROUNDUP((Assumptions!$F$32/12),0),)</f>
        <v>0</v>
      </c>
      <c r="BG119" s="253">
        <f>+IF(AND(BG118&gt;=Assumptions!$F$31,BG118&lt;Assumptions!$F$33),Assumptions!$AE$146/ROUNDUP((Assumptions!$F$32/12),0),)</f>
        <v>0</v>
      </c>
      <c r="BH119" s="253">
        <f>+IF(AND(BH118&gt;=Assumptions!$F$31,BH118&lt;Assumptions!$F$33),Assumptions!$AE$146/ROUNDUP((Assumptions!$F$32/12),0),)</f>
        <v>0</v>
      </c>
      <c r="BI119" s="253">
        <f>+IF(AND(BI118&gt;=Assumptions!$F$31,BI118&lt;Assumptions!$F$33),Assumptions!$AE$146/ROUNDUP((Assumptions!$F$32/12),0),)</f>
        <v>0</v>
      </c>
      <c r="BJ119" s="253">
        <f>+IF(AND(BJ118&gt;=Assumptions!$F$31,BJ118&lt;Assumptions!$F$33),Assumptions!$AE$146/ROUNDUP((Assumptions!$F$32/12),0),)</f>
        <v>0</v>
      </c>
      <c r="BK119" s="253">
        <f>+IF(AND(BK118&gt;=Assumptions!$F$31,BK118&lt;Assumptions!$F$33),Assumptions!$AE$146/ROUNDUP((Assumptions!$F$32/12),0),)</f>
        <v>0</v>
      </c>
      <c r="BL119" s="49"/>
      <c r="BM119" s="49"/>
      <c r="BN119" s="49"/>
    </row>
    <row r="120" spans="1:66">
      <c r="A120" s="699"/>
      <c r="B120" s="699" t="s">
        <v>1133</v>
      </c>
      <c r="C120" s="699"/>
      <c r="D120" s="699"/>
      <c r="E120" s="699"/>
      <c r="F120" s="1050">
        <f ca="1">+IFERROR(INDEX('Taxes and TIF'!$M$11:$M$45,MATCH('Phase 1 Pro Forma'!F$7,'Taxes and TIF'!$B$11:$B$45,0)),0)*'Loan Sizing'!$I$29*'Phase 1 Pro Forma'!F110</f>
        <v>0</v>
      </c>
      <c r="G120" s="1050">
        <f ca="1">+IFERROR(INDEX('Taxes and TIF'!$M$11:$M$45,MATCH('Phase 1 Pro Forma'!G$7,'Taxes and TIF'!$B$11:$B$45,0)),0)*'Loan Sizing'!$I$29*'Phase 1 Pro Forma'!G110</f>
        <v>0</v>
      </c>
      <c r="H120" s="1050">
        <f ca="1">+IFERROR(INDEX('Taxes and TIF'!$M$11:$M$45,MATCH('Phase 1 Pro Forma'!H$7,'Taxes and TIF'!$B$11:$B$45,0)),0)*'Loan Sizing'!$I$29*'Phase 1 Pro Forma'!H110</f>
        <v>0</v>
      </c>
      <c r="I120" s="1050">
        <f ca="1">+IFERROR(INDEX('Taxes and TIF'!$M$11:$M$45,MATCH('Phase 1 Pro Forma'!I$7,'Taxes and TIF'!$B$11:$B$45,0)),0)*'Loan Sizing'!$I$29*'Phase 1 Pro Forma'!I110</f>
        <v>0</v>
      </c>
      <c r="J120" s="1050">
        <f ca="1">+IFERROR(INDEX('Taxes and TIF'!$M$11:$M$45,MATCH('Phase 1 Pro Forma'!J$7,'Taxes and TIF'!$B$11:$B$45,0)),0)*'Loan Sizing'!$I$29*'Phase 1 Pro Forma'!J110</f>
        <v>126132.95002134197</v>
      </c>
      <c r="K120" s="1050">
        <f ca="1">+IFERROR(INDEX('Taxes and TIF'!$M$11:$M$45,MATCH('Phase 1 Pro Forma'!K$7,'Taxes and TIF'!$B$11:$B$45,0)),0)*'Loan Sizing'!$I$29*'Phase 1 Pro Forma'!K110</f>
        <v>252265.90004268393</v>
      </c>
      <c r="L120" s="1050">
        <f ca="1">+IFERROR(INDEX('Taxes and TIF'!$M$11:$M$45,MATCH('Phase 1 Pro Forma'!L$7,'Taxes and TIF'!$B$11:$B$45,0)),0)*'Loan Sizing'!$I$29*'Phase 1 Pro Forma'!L110</f>
        <v>252265.90004268393</v>
      </c>
      <c r="M120" s="1050">
        <f ca="1">+IFERROR(INDEX('Taxes and TIF'!$M$11:$M$45,MATCH('Phase 1 Pro Forma'!M$7,'Taxes and TIF'!$B$11:$B$45,0)),0)*'Loan Sizing'!$I$29*'Phase 1 Pro Forma'!M110</f>
        <v>259833.87704396449</v>
      </c>
      <c r="N120" s="1050">
        <f ca="1">+IFERROR(INDEX('Taxes and TIF'!$M$11:$M$45,MATCH('Phase 1 Pro Forma'!N$7,'Taxes and TIF'!$B$11:$B$45,0)),0)*'Loan Sizing'!$I$29*'Phase 1 Pro Forma'!N110</f>
        <v>259833.87704396449</v>
      </c>
      <c r="O120" s="1050">
        <f ca="1">+IFERROR(INDEX('Taxes and TIF'!$M$11:$M$45,MATCH('Phase 1 Pro Forma'!O$7,'Taxes and TIF'!$B$11:$B$45,0)),0)*'Loan Sizing'!$I$29*'Phase 1 Pro Forma'!O110</f>
        <v>259833.87704396449</v>
      </c>
      <c r="P120" s="1050">
        <f ca="1">+IFERROR(INDEX('Taxes and TIF'!$M$11:$M$45,MATCH('Phase 1 Pro Forma'!P$7,'Taxes and TIF'!$B$11:$B$45,0)),0)*'Loan Sizing'!$I$29*'Phase 1 Pro Forma'!P110</f>
        <v>267628.89335528342</v>
      </c>
      <c r="Q120" s="1050">
        <f ca="1">+IFERROR(INDEX('Taxes and TIF'!$M$11:$M$45,MATCH('Phase 1 Pro Forma'!Q$7,'Taxes and TIF'!$B$11:$B$45,0)),0)*'Loan Sizing'!$I$29*'Phase 1 Pro Forma'!Q110</f>
        <v>267628.89335528342</v>
      </c>
      <c r="R120" s="1050">
        <f ca="1">+IFERROR(INDEX('Taxes and TIF'!$M$11:$M$45,MATCH('Phase 1 Pro Forma'!R$7,'Taxes and TIF'!$B$11:$B$45,0)),0)*'Loan Sizing'!$I$29*'Phase 1 Pro Forma'!R110</f>
        <v>267628.89335528342</v>
      </c>
      <c r="S120" s="1050">
        <f ca="1">+IFERROR(INDEX('Taxes and TIF'!$M$11:$M$45,MATCH('Phase 1 Pro Forma'!S$7,'Taxes and TIF'!$B$11:$B$45,0)),0)*'Loan Sizing'!$I$29*'Phase 1 Pro Forma'!S110</f>
        <v>275657.760155942</v>
      </c>
      <c r="T120" s="1050">
        <f ca="1">+IFERROR(INDEX('Taxes and TIF'!$M$11:$M$45,MATCH('Phase 1 Pro Forma'!T$7,'Taxes and TIF'!$B$11:$B$45,0)),0)*'Loan Sizing'!$I$29*'Phase 1 Pro Forma'!T110</f>
        <v>275657.760155942</v>
      </c>
      <c r="U120" s="1050">
        <f ca="1">+IFERROR(INDEX('Taxes and TIF'!$M$11:$M$45,MATCH('Phase 1 Pro Forma'!U$7,'Taxes and TIF'!$B$11:$B$45,0)),0)*'Loan Sizing'!$I$29*'Phase 1 Pro Forma'!U110</f>
        <v>275657.760155942</v>
      </c>
      <c r="V120" s="1050">
        <f ca="1">+IFERROR(INDEX('Taxes and TIF'!$M$11:$M$45,MATCH('Phase 1 Pro Forma'!V$7,'Taxes and TIF'!$B$11:$B$45,0)),0)*'Loan Sizing'!$I$29*'Phase 1 Pro Forma'!V110</f>
        <v>283927.49296062021</v>
      </c>
      <c r="W120" s="1050">
        <f ca="1">+IFERROR(INDEX('Taxes and TIF'!$M$11:$M$45,MATCH('Phase 1 Pro Forma'!W$7,'Taxes and TIF'!$B$11:$B$45,0)),0)*'Loan Sizing'!$I$29*'Phase 1 Pro Forma'!W110</f>
        <v>283927.49296062021</v>
      </c>
      <c r="X120" s="1050">
        <f ca="1">+IFERROR(INDEX('Taxes and TIF'!$M$11:$M$45,MATCH('Phase 1 Pro Forma'!X$7,'Taxes and TIF'!$B$11:$B$45,0)),0)*'Loan Sizing'!$I$29*'Phase 1 Pro Forma'!X110</f>
        <v>283927.49296062021</v>
      </c>
      <c r="Y120" s="1050">
        <f ca="1">+IFERROR(INDEX('Taxes and TIF'!$M$11:$M$45,MATCH('Phase 1 Pro Forma'!Y$7,'Taxes and TIF'!$B$11:$B$45,0)),0)*'Loan Sizing'!$I$29*'Phase 1 Pro Forma'!Y110</f>
        <v>292445.31774943881</v>
      </c>
      <c r="Z120" s="1050">
        <f ca="1">+IFERROR(INDEX('Taxes and TIF'!$M$11:$M$45,MATCH('Phase 1 Pro Forma'!Z$7,'Taxes and TIF'!$B$11:$B$45,0)),0)*'Loan Sizing'!$I$29*'Phase 1 Pro Forma'!Z110</f>
        <v>292445.31774943881</v>
      </c>
      <c r="AA120" s="699"/>
      <c r="AB120" s="699"/>
      <c r="AC120" s="699"/>
      <c r="AD120" s="699"/>
      <c r="AE120" s="49"/>
      <c r="AF120" s="49"/>
      <c r="AG120" s="49"/>
      <c r="AH120" s="49"/>
      <c r="AI120" s="49"/>
      <c r="AJ120" s="49"/>
      <c r="AK120" s="49"/>
      <c r="AL120" s="49"/>
      <c r="AM120" s="49" t="s">
        <v>1121</v>
      </c>
      <c r="AN120" s="49"/>
      <c r="AO120" s="49"/>
      <c r="AP120" s="253">
        <v>0</v>
      </c>
      <c r="AQ120" s="253">
        <f>+AP120+AQ119</f>
        <v>0</v>
      </c>
      <c r="AR120" s="253">
        <f t="shared" ref="AR120:BK120" si="335">+AQ120+AR119</f>
        <v>0</v>
      </c>
      <c r="AS120" s="253">
        <f t="shared" si="335"/>
        <v>0</v>
      </c>
      <c r="AT120" s="253">
        <f t="shared" si="335"/>
        <v>0</v>
      </c>
      <c r="AU120" s="253">
        <f t="shared" si="335"/>
        <v>0</v>
      </c>
      <c r="AV120" s="253">
        <f t="shared" si="335"/>
        <v>0</v>
      </c>
      <c r="AW120" s="253">
        <f t="shared" si="335"/>
        <v>0</v>
      </c>
      <c r="AX120" s="253">
        <f t="shared" si="335"/>
        <v>0</v>
      </c>
      <c r="AY120" s="253">
        <f t="shared" si="335"/>
        <v>0</v>
      </c>
      <c r="AZ120" s="253">
        <f t="shared" si="335"/>
        <v>0</v>
      </c>
      <c r="BA120" s="253">
        <f t="shared" si="335"/>
        <v>0</v>
      </c>
      <c r="BB120" s="253">
        <f t="shared" si="335"/>
        <v>0</v>
      </c>
      <c r="BC120" s="253">
        <f t="shared" si="335"/>
        <v>0</v>
      </c>
      <c r="BD120" s="253">
        <f t="shared" si="335"/>
        <v>0</v>
      </c>
      <c r="BE120" s="253">
        <f t="shared" si="335"/>
        <v>0</v>
      </c>
      <c r="BF120" s="253">
        <f t="shared" si="335"/>
        <v>0</v>
      </c>
      <c r="BG120" s="253">
        <f t="shared" si="335"/>
        <v>0</v>
      </c>
      <c r="BH120" s="253">
        <f t="shared" si="335"/>
        <v>0</v>
      </c>
      <c r="BI120" s="253">
        <f t="shared" si="335"/>
        <v>0</v>
      </c>
      <c r="BJ120" s="253">
        <f t="shared" si="335"/>
        <v>0</v>
      </c>
      <c r="BK120" s="253">
        <f t="shared" si="335"/>
        <v>0</v>
      </c>
      <c r="BL120" s="49"/>
      <c r="BM120" s="49"/>
      <c r="BN120" s="49"/>
    </row>
    <row r="121" spans="1:66">
      <c r="A121" s="699"/>
      <c r="B121" s="52" t="s">
        <v>1134</v>
      </c>
      <c r="C121" s="1052"/>
      <c r="D121" s="1052"/>
      <c r="E121" s="1052"/>
      <c r="F121" s="1088">
        <f ca="1">+SUM(F119:F120)</f>
        <v>0</v>
      </c>
      <c r="G121" s="1088">
        <f t="shared" ref="G121" ca="1" si="336">+SUM(G119:G120)</f>
        <v>0</v>
      </c>
      <c r="H121" s="1088">
        <f t="shared" ref="H121" ca="1" si="337">+SUM(H119:H120)</f>
        <v>0</v>
      </c>
      <c r="I121" s="1088">
        <f t="shared" ref="I121" ca="1" si="338">+SUM(I119:I120)</f>
        <v>0</v>
      </c>
      <c r="J121" s="1088">
        <f t="shared" ref="J121" ca="1" si="339">+SUM(J119:J120)</f>
        <v>250804.73841783465</v>
      </c>
      <c r="K121" s="1088">
        <f t="shared" ref="K121" ca="1" si="340">+SUM(K119:K120)</f>
        <v>509089.7841394589</v>
      </c>
      <c r="L121" s="1088">
        <f t="shared" ref="L121" ca="1" si="341">+SUM(L119:L120)</f>
        <v>516794.50066236214</v>
      </c>
      <c r="M121" s="1088">
        <f t="shared" ref="M121" ca="1" si="342">+SUM(M119:M120)</f>
        <v>532298.3356822331</v>
      </c>
      <c r="N121" s="1088">
        <f t="shared" ref="N121" ca="1" si="343">+SUM(N119:N120)</f>
        <v>540472.2694413811</v>
      </c>
      <c r="O121" s="1088">
        <f t="shared" ref="O121" ca="1" si="344">+SUM(O119:O120)</f>
        <v>548891.42121330358</v>
      </c>
      <c r="P121" s="1088">
        <f t="shared" ref="P121" ca="1" si="345">+SUM(P119:P120)</f>
        <v>565358.1638497028</v>
      </c>
      <c r="Q121" s="1088">
        <f t="shared" ref="Q121" ca="1" si="346">+SUM(Q119:Q120)</f>
        <v>574290.04196453537</v>
      </c>
      <c r="R121" s="1088">
        <f t="shared" ref="R121" ca="1" si="347">+SUM(R119:R120)</f>
        <v>583489.87642281293</v>
      </c>
      <c r="S121" s="1088">
        <f t="shared" ref="S121" ca="1" si="348">+SUM(S119:S120)</f>
        <v>600994.57271549734</v>
      </c>
      <c r="T121" s="1088">
        <f t="shared" ref="T121" ca="1" si="349">+SUM(T119:T120)</f>
        <v>610754.67709228408</v>
      </c>
      <c r="U121" s="1088">
        <f t="shared" ref="U121" ca="1" si="350">+SUM(U119:U120)</f>
        <v>620807.58460037434</v>
      </c>
      <c r="V121" s="1088">
        <f t="shared" ref="V121" ca="1" si="351">+SUM(V119:V120)</f>
        <v>639431.81213838561</v>
      </c>
      <c r="W121" s="1088">
        <f t="shared" ref="W121" ca="1" si="352">+SUM(W119:W120)</f>
        <v>650096.94171371846</v>
      </c>
      <c r="X121" s="1088">
        <f t="shared" ref="X121" ca="1" si="353">+SUM(X119:X120)</f>
        <v>661082.02517631138</v>
      </c>
      <c r="Y121" s="1088">
        <f t="shared" ref="Y121" ca="1" si="354">+SUM(Y119:Y120)</f>
        <v>680914.48593160079</v>
      </c>
      <c r="Z121" s="1088">
        <f t="shared" ref="Z121" ca="1" si="355">+SUM(Z119:Z120)</f>
        <v>692568.5609770657</v>
      </c>
      <c r="AA121" s="699"/>
      <c r="AB121" s="699"/>
      <c r="AC121" s="699"/>
      <c r="AD121" s="699"/>
      <c r="AE121" s="49"/>
      <c r="AF121" s="49"/>
      <c r="AG121" s="49"/>
      <c r="AH121" s="49"/>
      <c r="AI121" s="49"/>
      <c r="AJ121" s="49"/>
      <c r="AK121" s="49"/>
      <c r="AL121" s="49"/>
      <c r="AM121" s="49" t="s">
        <v>1123</v>
      </c>
      <c r="AN121" s="49"/>
      <c r="AO121" s="49"/>
      <c r="AP121" s="49"/>
      <c r="AQ121" s="769">
        <f>+AQ122-AP122</f>
        <v>0</v>
      </c>
      <c r="AR121" s="769">
        <f t="shared" ref="AR121:BK121" si="356">+AR122-AQ122</f>
        <v>0</v>
      </c>
      <c r="AS121" s="769">
        <f t="shared" si="356"/>
        <v>0</v>
      </c>
      <c r="AT121" s="769">
        <f t="shared" si="356"/>
        <v>0</v>
      </c>
      <c r="AU121" s="769">
        <f t="shared" si="356"/>
        <v>0</v>
      </c>
      <c r="AV121" s="769">
        <f t="shared" si="356"/>
        <v>0</v>
      </c>
      <c r="AW121" s="769">
        <f t="shared" si="356"/>
        <v>0</v>
      </c>
      <c r="AX121" s="769">
        <f t="shared" si="356"/>
        <v>0</v>
      </c>
      <c r="AY121" s="769">
        <f t="shared" si="356"/>
        <v>0</v>
      </c>
      <c r="AZ121" s="769">
        <f t="shared" si="356"/>
        <v>0</v>
      </c>
      <c r="BA121" s="769">
        <f t="shared" si="356"/>
        <v>0</v>
      </c>
      <c r="BB121" s="769">
        <f t="shared" si="356"/>
        <v>0</v>
      </c>
      <c r="BC121" s="769">
        <f t="shared" si="356"/>
        <v>0</v>
      </c>
      <c r="BD121" s="769">
        <f t="shared" si="356"/>
        <v>0</v>
      </c>
      <c r="BE121" s="769">
        <f t="shared" si="356"/>
        <v>0</v>
      </c>
      <c r="BF121" s="769">
        <f t="shared" si="356"/>
        <v>0</v>
      </c>
      <c r="BG121" s="769">
        <f t="shared" si="356"/>
        <v>0</v>
      </c>
      <c r="BH121" s="769">
        <f t="shared" si="356"/>
        <v>0</v>
      </c>
      <c r="BI121" s="769">
        <f t="shared" si="356"/>
        <v>0</v>
      </c>
      <c r="BJ121" s="769">
        <f t="shared" si="356"/>
        <v>0</v>
      </c>
      <c r="BK121" s="769">
        <f t="shared" si="356"/>
        <v>0</v>
      </c>
      <c r="BL121" s="49"/>
      <c r="BM121" s="49"/>
      <c r="BN121" s="49"/>
    </row>
    <row r="122" spans="1:66">
      <c r="A122" s="699"/>
      <c r="B122" s="699"/>
      <c r="C122" s="699"/>
      <c r="D122" s="699"/>
      <c r="E122" s="699"/>
      <c r="F122" s="699"/>
      <c r="G122" s="699"/>
      <c r="H122" s="699"/>
      <c r="I122" s="699"/>
      <c r="J122" s="699"/>
      <c r="K122" s="699"/>
      <c r="L122" s="699"/>
      <c r="M122" s="699"/>
      <c r="N122" s="699"/>
      <c r="O122" s="699"/>
      <c r="P122" s="699"/>
      <c r="Q122" s="699"/>
      <c r="R122" s="699"/>
      <c r="S122" s="699"/>
      <c r="T122" s="699"/>
      <c r="U122" s="699"/>
      <c r="V122" s="699"/>
      <c r="W122" s="699"/>
      <c r="X122" s="699"/>
      <c r="Y122" s="699"/>
      <c r="Z122" s="699"/>
      <c r="AA122" s="699"/>
      <c r="AB122" s="699"/>
      <c r="AC122" s="699"/>
      <c r="AD122" s="699"/>
      <c r="AE122" s="49"/>
      <c r="AF122" s="49"/>
      <c r="AG122" s="49"/>
      <c r="AH122" s="49"/>
      <c r="AI122" s="49"/>
      <c r="AJ122" s="49"/>
      <c r="AK122" s="49"/>
      <c r="AL122" s="49"/>
      <c r="AM122" s="49" t="s">
        <v>1124</v>
      </c>
      <c r="AN122" s="49"/>
      <c r="AO122" s="49"/>
      <c r="AP122" s="49"/>
      <c r="AQ122" s="769">
        <f>+AQ123*Assumptions!$AE$147</f>
        <v>0</v>
      </c>
      <c r="AR122" s="769">
        <f>+AR123*Assumptions!$AE$147</f>
        <v>0</v>
      </c>
      <c r="AS122" s="769">
        <f>+AS123*Assumptions!$AE$147</f>
        <v>0</v>
      </c>
      <c r="AT122" s="769">
        <f>+AT123*Assumptions!$AE$147</f>
        <v>0</v>
      </c>
      <c r="AU122" s="769">
        <f>+AU123*Assumptions!$AE$147</f>
        <v>0</v>
      </c>
      <c r="AV122" s="769">
        <f>+AV123*Assumptions!$AE$147</f>
        <v>0</v>
      </c>
      <c r="AW122" s="769">
        <f>+AW123*Assumptions!$AE$147</f>
        <v>0</v>
      </c>
      <c r="AX122" s="769">
        <f>+AX123*Assumptions!$AE$147</f>
        <v>0</v>
      </c>
      <c r="AY122" s="769">
        <f>+AY123*Assumptions!$AE$147</f>
        <v>0</v>
      </c>
      <c r="AZ122" s="769">
        <f>+AZ123*Assumptions!$AE$147</f>
        <v>0</v>
      </c>
      <c r="BA122" s="769">
        <f>+BA123*Assumptions!$AE$147</f>
        <v>0</v>
      </c>
      <c r="BB122" s="769">
        <f>+BB123*Assumptions!$AE$147</f>
        <v>0</v>
      </c>
      <c r="BC122" s="769">
        <f>+BC123*Assumptions!$AE$147</f>
        <v>0</v>
      </c>
      <c r="BD122" s="769">
        <f>+BD123*Assumptions!$AE$147</f>
        <v>0</v>
      </c>
      <c r="BE122" s="769">
        <f>+BE123*Assumptions!$AE$147</f>
        <v>0</v>
      </c>
      <c r="BF122" s="769">
        <f>+BF123*Assumptions!$AE$147</f>
        <v>0</v>
      </c>
      <c r="BG122" s="769">
        <f>+BG123*Assumptions!$AE$147</f>
        <v>0</v>
      </c>
      <c r="BH122" s="769">
        <f>+BH123*Assumptions!$AE$147</f>
        <v>0</v>
      </c>
      <c r="BI122" s="769">
        <f>+BI123*Assumptions!$AE$147</f>
        <v>0</v>
      </c>
      <c r="BJ122" s="769">
        <f>+BJ123*Assumptions!$AE$147</f>
        <v>0</v>
      </c>
      <c r="BK122" s="769">
        <f>+BK123*Assumptions!$AE$147</f>
        <v>0</v>
      </c>
      <c r="BL122" s="49"/>
      <c r="BM122" s="49"/>
      <c r="BN122" s="49"/>
    </row>
    <row r="123" spans="1:66" ht="15.75">
      <c r="A123" s="699"/>
      <c r="B123" s="50" t="s">
        <v>1135</v>
      </c>
      <c r="C123" s="50"/>
      <c r="D123" s="50"/>
      <c r="E123" s="50"/>
      <c r="F123" s="55">
        <f ca="1">+F117-F121</f>
        <v>0</v>
      </c>
      <c r="G123" s="55">
        <f t="shared" ref="G123:Z123" ca="1" si="357">+G117-G121</f>
        <v>0</v>
      </c>
      <c r="H123" s="55">
        <f t="shared" ca="1" si="357"/>
        <v>0</v>
      </c>
      <c r="I123" s="55">
        <f t="shared" ca="1" si="357"/>
        <v>0</v>
      </c>
      <c r="J123" s="55">
        <f t="shared" ca="1" si="357"/>
        <v>553064.29191709741</v>
      </c>
      <c r="K123" s="55">
        <f t="shared" ca="1" si="357"/>
        <v>1146880.418350501</v>
      </c>
      <c r="L123" s="55">
        <f t="shared" ca="1" si="357"/>
        <v>1188854.8079022965</v>
      </c>
      <c r="M123" s="55">
        <f t="shared" ca="1" si="357"/>
        <v>1224520.4521393655</v>
      </c>
      <c r="N123" s="55">
        <f t="shared" ca="1" si="357"/>
        <v>1269051.0820148655</v>
      </c>
      <c r="O123" s="55">
        <f t="shared" ca="1" si="357"/>
        <v>1314917.6307866303</v>
      </c>
      <c r="P123" s="55">
        <f t="shared" ca="1" si="357"/>
        <v>1354365.1597102291</v>
      </c>
      <c r="Q123" s="55">
        <f t="shared" ca="1" si="357"/>
        <v>1403024.9813021948</v>
      </c>
      <c r="R123" s="55">
        <f t="shared" ca="1" si="357"/>
        <v>1453144.597541919</v>
      </c>
      <c r="S123" s="55">
        <f t="shared" ca="1" si="357"/>
        <v>1496738.9354681766</v>
      </c>
      <c r="T123" s="55">
        <f t="shared" ca="1" si="357"/>
        <v>1549910.8363369005</v>
      </c>
      <c r="U123" s="55">
        <f t="shared" ca="1" si="357"/>
        <v>1604677.8942316857</v>
      </c>
      <c r="V123" s="55">
        <f t="shared" ca="1" si="357"/>
        <v>1652818.2310586362</v>
      </c>
      <c r="W123" s="55">
        <f t="shared" ca="1" si="357"/>
        <v>1710920.602779214</v>
      </c>
      <c r="X123" s="55">
        <f t="shared" ca="1" si="357"/>
        <v>1770766.0456514093</v>
      </c>
      <c r="Y123" s="55">
        <f t="shared" ca="1" si="357"/>
        <v>1823889.0270209517</v>
      </c>
      <c r="Z123" s="55">
        <f t="shared" ca="1" si="357"/>
        <v>1887379.0573640636</v>
      </c>
      <c r="AA123" s="699"/>
      <c r="AB123" s="699"/>
      <c r="AC123" s="699"/>
      <c r="AD123" s="699"/>
      <c r="AE123" s="49"/>
      <c r="AF123" s="49"/>
      <c r="AG123" s="49"/>
      <c r="AH123" s="49"/>
      <c r="AI123" s="49"/>
      <c r="AJ123" s="49"/>
      <c r="AK123" s="49"/>
      <c r="AL123" s="49"/>
      <c r="AM123" s="49" t="s">
        <v>1125</v>
      </c>
      <c r="AN123" s="49"/>
      <c r="AO123" s="49"/>
      <c r="AP123" s="49"/>
      <c r="AQ123" s="770">
        <f t="shared" ref="AQ123:BK123" si="358">+IFERROR(AQ120/SUM($AQ$119:$BK$119),0)</f>
        <v>0</v>
      </c>
      <c r="AR123" s="770">
        <f t="shared" si="358"/>
        <v>0</v>
      </c>
      <c r="AS123" s="770">
        <f t="shared" si="358"/>
        <v>0</v>
      </c>
      <c r="AT123" s="770">
        <f t="shared" si="358"/>
        <v>0</v>
      </c>
      <c r="AU123" s="770">
        <f t="shared" si="358"/>
        <v>0</v>
      </c>
      <c r="AV123" s="770">
        <f t="shared" si="358"/>
        <v>0</v>
      </c>
      <c r="AW123" s="770">
        <f t="shared" si="358"/>
        <v>0</v>
      </c>
      <c r="AX123" s="770">
        <f t="shared" si="358"/>
        <v>0</v>
      </c>
      <c r="AY123" s="770">
        <f t="shared" si="358"/>
        <v>0</v>
      </c>
      <c r="AZ123" s="770">
        <f t="shared" si="358"/>
        <v>0</v>
      </c>
      <c r="BA123" s="770">
        <f t="shared" si="358"/>
        <v>0</v>
      </c>
      <c r="BB123" s="770">
        <f t="shared" si="358"/>
        <v>0</v>
      </c>
      <c r="BC123" s="770">
        <f t="shared" si="358"/>
        <v>0</v>
      </c>
      <c r="BD123" s="770">
        <f t="shared" si="358"/>
        <v>0</v>
      </c>
      <c r="BE123" s="770">
        <f t="shared" si="358"/>
        <v>0</v>
      </c>
      <c r="BF123" s="770">
        <f t="shared" si="358"/>
        <v>0</v>
      </c>
      <c r="BG123" s="770">
        <f t="shared" si="358"/>
        <v>0</v>
      </c>
      <c r="BH123" s="770">
        <f t="shared" si="358"/>
        <v>0</v>
      </c>
      <c r="BI123" s="770">
        <f t="shared" si="358"/>
        <v>0</v>
      </c>
      <c r="BJ123" s="770">
        <f t="shared" si="358"/>
        <v>0</v>
      </c>
      <c r="BK123" s="770">
        <f t="shared" si="358"/>
        <v>0</v>
      </c>
      <c r="BL123" s="49"/>
      <c r="BM123" s="49"/>
      <c r="BN123" s="49"/>
    </row>
    <row r="124" spans="1:66">
      <c r="A124" s="699"/>
      <c r="B124" s="51" t="s">
        <v>1136</v>
      </c>
      <c r="C124" s="51"/>
      <c r="D124" s="51"/>
      <c r="E124" s="51"/>
      <c r="F124" s="56" t="str">
        <f ca="1">+IFERROR(F123/F117,"")</f>
        <v/>
      </c>
      <c r="G124" s="56" t="str">
        <f t="shared" ref="G124" ca="1" si="359">+IFERROR(G123/G117,"")</f>
        <v/>
      </c>
      <c r="H124" s="56" t="str">
        <f t="shared" ref="H124" ca="1" si="360">+IFERROR(H123/H117,"")</f>
        <v/>
      </c>
      <c r="I124" s="56" t="str">
        <f t="shared" ref="I124" ca="1" si="361">+IFERROR(I123/I117,"")</f>
        <v/>
      </c>
      <c r="J124" s="56">
        <f t="shared" ref="J124" ca="1" si="362">+IFERROR(J123/J117,"")</f>
        <v>0.68800298437503327</v>
      </c>
      <c r="K124" s="56">
        <f t="shared" ref="K124" ca="1" si="363">+IFERROR(K123/K117,"")</f>
        <v>0.69257310102924663</v>
      </c>
      <c r="L124" s="56">
        <f t="shared" ref="L124" ca="1" si="364">+IFERROR(L123/L117,"")</f>
        <v>0.69701010748964798</v>
      </c>
      <c r="M124" s="56">
        <f t="shared" ref="M124" ca="1" si="365">+IFERROR(M123/M117,"")</f>
        <v>0.69701010748964798</v>
      </c>
      <c r="N124" s="56">
        <f t="shared" ref="N124" ca="1" si="366">+IFERROR(N123/N117,"")</f>
        <v>0.70131788075217361</v>
      </c>
      <c r="O124" s="56">
        <f t="shared" ref="O124" ca="1" si="367">+IFERROR(O123/O117,"")</f>
        <v>0.70550018489054789</v>
      </c>
      <c r="P124" s="56">
        <f t="shared" ref="P124" ca="1" si="368">+IFERROR(P123/P117,"")</f>
        <v>0.70550018489054789</v>
      </c>
      <c r="Q124" s="56">
        <f t="shared" ref="Q124" ca="1" si="369">+IFERROR(Q123/Q117,"")</f>
        <v>0.70956067434528036</v>
      </c>
      <c r="R124" s="56">
        <f t="shared" ref="R124" ca="1" si="370">+IFERROR(R123/R117,"")</f>
        <v>0.71350289711686521</v>
      </c>
      <c r="S124" s="56">
        <f t="shared" ref="S124" ca="1" si="371">+IFERROR(S123/S117,"")</f>
        <v>0.71350289711686521</v>
      </c>
      <c r="T124" s="56">
        <f t="shared" ref="T124" ca="1" si="372">+IFERROR(T123/T117,"")</f>
        <v>0.7173302978659768</v>
      </c>
      <c r="U124" s="56">
        <f t="shared" ref="U124" ca="1" si="373">+IFERROR(U123/U117,"")</f>
        <v>0.72104622092336657</v>
      </c>
      <c r="V124" s="56">
        <f t="shared" ref="V124" ca="1" si="374">+IFERROR(V123/V117,"")</f>
        <v>0.72104622092336645</v>
      </c>
      <c r="W124" s="56">
        <f t="shared" ref="W124" ca="1" si="375">+IFERROR(W123/W117,"")</f>
        <v>0.72465391321209449</v>
      </c>
      <c r="X124" s="56">
        <f t="shared" ref="X124" ca="1" si="376">+IFERROR(X123/X117,"")</f>
        <v>0.72815652708464595</v>
      </c>
      <c r="Y124" s="56">
        <f t="shared" ref="Y124" ca="1" si="377">+IFERROR(Y123/Y117,"")</f>
        <v>0.72815652708464595</v>
      </c>
      <c r="Z124" s="56">
        <f t="shared" ref="Z124" ca="1" si="378">+IFERROR(Z123/Z117,"")</f>
        <v>0.73155712307741438</v>
      </c>
      <c r="AA124" s="699"/>
      <c r="AB124" s="699"/>
      <c r="AC124" s="699"/>
      <c r="AD124" s="699"/>
      <c r="AE124" s="49"/>
      <c r="AF124" s="49"/>
      <c r="AG124" s="49"/>
      <c r="AH124" s="49"/>
      <c r="AI124" s="49"/>
      <c r="AJ124" s="49"/>
      <c r="AK124" s="49"/>
      <c r="AL124" s="49"/>
      <c r="AM124" s="49"/>
      <c r="AN124" s="49"/>
      <c r="AO124" s="49"/>
      <c r="AP124" s="49"/>
      <c r="AQ124" s="49"/>
      <c r="AR124" s="49"/>
      <c r="AS124" s="49"/>
      <c r="AT124" s="49"/>
      <c r="AU124" s="49"/>
      <c r="AV124" s="49"/>
      <c r="AW124" s="49"/>
      <c r="AX124" s="49"/>
      <c r="AY124" s="49"/>
      <c r="AZ124" s="49"/>
      <c r="BA124" s="49"/>
      <c r="BB124" s="49"/>
      <c r="BC124" s="49"/>
      <c r="BD124" s="49"/>
      <c r="BE124" s="49"/>
      <c r="BF124" s="49"/>
      <c r="BG124" s="49"/>
      <c r="BH124" s="49"/>
      <c r="BI124" s="49"/>
      <c r="BJ124" s="49"/>
      <c r="BK124" s="49"/>
      <c r="BL124" s="49"/>
      <c r="BM124" s="49"/>
      <c r="BN124" s="49"/>
    </row>
    <row r="125" spans="1:66">
      <c r="A125" s="699"/>
      <c r="B125" s="51" t="s">
        <v>1064</v>
      </c>
      <c r="C125" s="51"/>
      <c r="D125" s="51"/>
      <c r="E125" s="51"/>
      <c r="F125" s="57">
        <f ca="1">+F123/Assumptions!$F$51</f>
        <v>0</v>
      </c>
      <c r="G125" s="57">
        <f ca="1">+G123/Assumptions!$F$51</f>
        <v>0</v>
      </c>
      <c r="H125" s="57">
        <f ca="1">+H123/Assumptions!$F$51</f>
        <v>0</v>
      </c>
      <c r="I125" s="57">
        <f ca="1">+I123/Assumptions!$F$51</f>
        <v>0</v>
      </c>
      <c r="J125" s="57">
        <f ca="1">+J123/Assumptions!$F$51</f>
        <v>9618509.4246451724</v>
      </c>
      <c r="K125" s="57">
        <f ca="1">+K123/Assumptions!$F$51</f>
        <v>19945746.406095669</v>
      </c>
      <c r="L125" s="57">
        <f ca="1">+L123/Assumptions!$F$51</f>
        <v>20675735.789605156</v>
      </c>
      <c r="M125" s="57">
        <f ca="1">+M123/Assumptions!$F$51</f>
        <v>21296007.863293312</v>
      </c>
      <c r="N125" s="57">
        <f ca="1">+N123/Assumptions!$F$51</f>
        <v>22070453.600258529</v>
      </c>
      <c r="O125" s="57">
        <f ca="1">+O123/Assumptions!$F$51</f>
        <v>22868132.709332701</v>
      </c>
      <c r="P125" s="57">
        <f ca="1">+P123/Assumptions!$F$51</f>
        <v>23554176.690612681</v>
      </c>
      <c r="Q125" s="57">
        <f ca="1">+Q123/Assumptions!$F$51</f>
        <v>24400434.457429472</v>
      </c>
      <c r="R125" s="57">
        <f ca="1">+R123/Assumptions!$F$51</f>
        <v>25272079.957250763</v>
      </c>
      <c r="S125" s="57">
        <f ca="1">+S123/Assumptions!$F$51</f>
        <v>26030242.355968289</v>
      </c>
      <c r="T125" s="57">
        <f ca="1">+T123/Assumptions!$F$51</f>
        <v>26954971.066728704</v>
      </c>
      <c r="U125" s="57">
        <f ca="1">+U123/Assumptions!$F$51</f>
        <v>27907441.638811924</v>
      </c>
      <c r="V125" s="57">
        <f ca="1">+V123/Assumptions!$F$51</f>
        <v>28744664.887976281</v>
      </c>
      <c r="W125" s="57">
        <f ca="1">+W123/Assumptions!$F$51</f>
        <v>29755140.917899374</v>
      </c>
      <c r="X125" s="57">
        <f ca="1">+X123/Assumptions!$F$51</f>
        <v>30795931.228720162</v>
      </c>
      <c r="Y125" s="57">
        <f ca="1">+Y123/Assumptions!$F$51</f>
        <v>31719809.165581767</v>
      </c>
      <c r="Z125" s="57">
        <f ca="1">+Z123/Assumptions!$F$51</f>
        <v>32823983.606331538</v>
      </c>
      <c r="AA125" s="699"/>
      <c r="AB125" s="699"/>
      <c r="AC125" s="699"/>
      <c r="AD125" s="699"/>
      <c r="AE125" s="49"/>
      <c r="AF125" s="49"/>
      <c r="AG125" s="49"/>
      <c r="AH125" s="49"/>
      <c r="AI125" s="49"/>
      <c r="AJ125" s="49"/>
      <c r="AK125" s="49"/>
      <c r="AL125" s="49"/>
      <c r="AM125" s="49" t="s">
        <v>1126</v>
      </c>
      <c r="AN125" s="49"/>
      <c r="AO125" s="49"/>
      <c r="AP125" s="49"/>
      <c r="AQ125" s="770">
        <v>1</v>
      </c>
      <c r="AR125" s="770">
        <f>+AQ125*(1+Assumptions!$AP$85)</f>
        <v>1.03</v>
      </c>
      <c r="AS125" s="770">
        <f>+AR125*(1+Assumptions!$AP$85)</f>
        <v>1.0609</v>
      </c>
      <c r="AT125" s="770">
        <f>+AS125*(1+Assumptions!$AP$85)</f>
        <v>1.092727</v>
      </c>
      <c r="AU125" s="770">
        <f>+AT125*(1+Assumptions!$AP$85)</f>
        <v>1.1255088100000001</v>
      </c>
      <c r="AV125" s="770">
        <f>+AU125*(1+Assumptions!$AP$85)</f>
        <v>1.1592740743000001</v>
      </c>
      <c r="AW125" s="770">
        <f>+AV125*(1+Assumptions!$AP$85)</f>
        <v>1.1940522965290001</v>
      </c>
      <c r="AX125" s="770">
        <f>+AW125*(1+Assumptions!$AP$85)</f>
        <v>1.2298738654248702</v>
      </c>
      <c r="AY125" s="770">
        <f>+AX125*(1+Assumptions!$AP$85)</f>
        <v>1.2667700813876164</v>
      </c>
      <c r="AZ125" s="770">
        <f>+AY125*(1+Assumptions!$AP$85)</f>
        <v>1.3047731838292449</v>
      </c>
      <c r="BA125" s="770">
        <f>+AZ125*(1+Assumptions!$AP$85)</f>
        <v>1.3439163793441222</v>
      </c>
      <c r="BB125" s="770">
        <f>+BA125*(1+Assumptions!$AP$85)</f>
        <v>1.3842338707244459</v>
      </c>
      <c r="BC125" s="770">
        <f>+BB125*(1+Assumptions!$AP$85)</f>
        <v>1.4257608868461793</v>
      </c>
      <c r="BD125" s="770">
        <f>+BC125*(1+Assumptions!$AP$85)</f>
        <v>1.4685337134515648</v>
      </c>
      <c r="BE125" s="770">
        <f>+BD125*(1+Assumptions!$AP$85)</f>
        <v>1.5125897248551119</v>
      </c>
      <c r="BF125" s="770">
        <f>+BE125*(1+Assumptions!$AP$85)</f>
        <v>1.5579674166007653</v>
      </c>
      <c r="BG125" s="770">
        <f>+BF125*(1+Assumptions!$AP$85)</f>
        <v>1.6047064390987884</v>
      </c>
      <c r="BH125" s="770">
        <f>+BG125*(1+Assumptions!$AP$85)</f>
        <v>1.652847632271752</v>
      </c>
      <c r="BI125" s="770">
        <f>+BH125*(1+Assumptions!$AP$85)</f>
        <v>1.7024330612399046</v>
      </c>
      <c r="BJ125" s="770">
        <f>+BI125*(1+Assumptions!$AP$85)</f>
        <v>1.7535060530771018</v>
      </c>
      <c r="BK125" s="770">
        <f>+BJ125*(1+Assumptions!$AP$85)</f>
        <v>1.806111234669415</v>
      </c>
      <c r="BL125" s="49"/>
      <c r="BM125" s="49"/>
      <c r="BN125" s="49"/>
    </row>
    <row r="126" spans="1:66">
      <c r="A126" s="699"/>
      <c r="B126" s="699"/>
      <c r="C126" s="699"/>
      <c r="D126" s="699"/>
      <c r="E126" s="699"/>
      <c r="F126" s="699"/>
      <c r="G126" s="699"/>
      <c r="H126" s="699"/>
      <c r="I126" s="699"/>
      <c r="J126" s="699"/>
      <c r="K126" s="699"/>
      <c r="L126" s="699"/>
      <c r="M126" s="699"/>
      <c r="N126" s="699"/>
      <c r="O126" s="699"/>
      <c r="P126" s="699"/>
      <c r="Q126" s="699"/>
      <c r="R126" s="699"/>
      <c r="S126" s="699"/>
      <c r="T126" s="699"/>
      <c r="U126" s="699"/>
      <c r="V126" s="699"/>
      <c r="W126" s="699"/>
      <c r="X126" s="699"/>
      <c r="Y126" s="699"/>
      <c r="Z126" s="699"/>
      <c r="AA126" s="699"/>
      <c r="AB126" s="699"/>
      <c r="AC126" s="699"/>
      <c r="AD126" s="699"/>
      <c r="AE126" s="49"/>
      <c r="AF126" s="49"/>
      <c r="AG126" s="49"/>
      <c r="AH126" s="49"/>
      <c r="AI126" s="49"/>
      <c r="AJ126" s="49"/>
      <c r="AK126" s="49"/>
      <c r="AL126" s="49"/>
      <c r="AM126" s="49" t="s">
        <v>1127</v>
      </c>
      <c r="AN126" s="49"/>
      <c r="AO126" s="49"/>
      <c r="AP126" s="49"/>
      <c r="AQ126" s="770">
        <v>1</v>
      </c>
      <c r="AR126" s="770">
        <f>+AQ126*(1+Assumptions!$AP$96)</f>
        <v>1.03</v>
      </c>
      <c r="AS126" s="770">
        <f>+AR126*(1+Assumptions!$AP$96)</f>
        <v>1.0609</v>
      </c>
      <c r="AT126" s="770">
        <f>+AS126*(1+Assumptions!$AP$96)</f>
        <v>1.092727</v>
      </c>
      <c r="AU126" s="770">
        <f>+AT126*(1+Assumptions!$AP$96)</f>
        <v>1.1255088100000001</v>
      </c>
      <c r="AV126" s="770">
        <f>+AU126*(1+Assumptions!$AP$96)</f>
        <v>1.1592740743000001</v>
      </c>
      <c r="AW126" s="770">
        <f>+AV126*(1+Assumptions!$AP$96)</f>
        <v>1.1940522965290001</v>
      </c>
      <c r="AX126" s="770">
        <f>+AW126*(1+Assumptions!$AP$96)</f>
        <v>1.2298738654248702</v>
      </c>
      <c r="AY126" s="770">
        <f>+AX126*(1+Assumptions!$AP$96)</f>
        <v>1.2667700813876164</v>
      </c>
      <c r="AZ126" s="770">
        <f>+AY126*(1+Assumptions!$AP$96)</f>
        <v>1.3047731838292449</v>
      </c>
      <c r="BA126" s="770">
        <f>+AZ126*(1+Assumptions!$AP$96)</f>
        <v>1.3439163793441222</v>
      </c>
      <c r="BB126" s="770">
        <f>+BA126*(1+Assumptions!$AP$96)</f>
        <v>1.3842338707244459</v>
      </c>
      <c r="BC126" s="770">
        <f>+BB126*(1+Assumptions!$AP$96)</f>
        <v>1.4257608868461793</v>
      </c>
      <c r="BD126" s="770">
        <f>+BC126*(1+Assumptions!$AP$96)</f>
        <v>1.4685337134515648</v>
      </c>
      <c r="BE126" s="770">
        <f>+BD126*(1+Assumptions!$AP$96)</f>
        <v>1.5125897248551119</v>
      </c>
      <c r="BF126" s="770">
        <f>+BE126*(1+Assumptions!$AP$96)</f>
        <v>1.5579674166007653</v>
      </c>
      <c r="BG126" s="770">
        <f>+BF126*(1+Assumptions!$AP$96)</f>
        <v>1.6047064390987884</v>
      </c>
      <c r="BH126" s="770">
        <f>+BG126*(1+Assumptions!$AP$96)</f>
        <v>1.652847632271752</v>
      </c>
      <c r="BI126" s="770">
        <f>+BH126*(1+Assumptions!$AP$96)</f>
        <v>1.7024330612399046</v>
      </c>
      <c r="BJ126" s="770">
        <f>+BI126*(1+Assumptions!$AP$96)</f>
        <v>1.7535060530771018</v>
      </c>
      <c r="BK126" s="770">
        <f>+BJ126*(1+Assumptions!$AP$96)</f>
        <v>1.806111234669415</v>
      </c>
      <c r="BL126" s="49"/>
      <c r="BM126" s="49"/>
      <c r="BN126" s="49"/>
    </row>
    <row r="127" spans="1:66" ht="15.75">
      <c r="A127" s="699"/>
      <c r="B127" s="50" t="s">
        <v>1145</v>
      </c>
      <c r="C127" s="50"/>
      <c r="D127" s="50"/>
      <c r="E127" s="50"/>
      <c r="F127" s="55">
        <f t="shared" ref="F127:Z127" ca="1" si="379">+F26+F49+AQ21+AQ44+AQ114+AQ90+AQ67+AQ137+F76+F102+F475+F123</f>
        <v>0</v>
      </c>
      <c r="G127" s="55">
        <f t="shared" ca="1" si="379"/>
        <v>0</v>
      </c>
      <c r="H127" s="55">
        <f t="shared" ca="1" si="379"/>
        <v>0</v>
      </c>
      <c r="I127" s="55">
        <f t="shared" ca="1" si="379"/>
        <v>0</v>
      </c>
      <c r="J127" s="55">
        <f t="shared" ca="1" si="379"/>
        <v>2986992.3072690596</v>
      </c>
      <c r="K127" s="55">
        <f t="shared" ca="1" si="379"/>
        <v>12902026.961117944</v>
      </c>
      <c r="L127" s="55">
        <f t="shared" ca="1" si="379"/>
        <v>21120150.213353533</v>
      </c>
      <c r="M127" s="55">
        <f t="shared" ca="1" si="379"/>
        <v>22652700.840474334</v>
      </c>
      <c r="N127" s="55">
        <f t="shared" ca="1" si="379"/>
        <v>23170235.194614802</v>
      </c>
      <c r="O127" s="55">
        <f t="shared" ca="1" si="379"/>
        <v>23703295.579379488</v>
      </c>
      <c r="P127" s="55">
        <f t="shared" ca="1" si="379"/>
        <v>24155947.437053818</v>
      </c>
      <c r="Q127" s="55">
        <f t="shared" ca="1" si="379"/>
        <v>24721471.199250668</v>
      </c>
      <c r="R127" s="55">
        <f t="shared" ca="1" si="379"/>
        <v>26596195.722848691</v>
      </c>
      <c r="S127" s="55">
        <f t="shared" ca="1" si="379"/>
        <v>27096867.533371042</v>
      </c>
      <c r="T127" s="55">
        <f t="shared" ca="1" si="379"/>
        <v>27714830.61746512</v>
      </c>
      <c r="U127" s="55">
        <f t="shared" ca="1" si="379"/>
        <v>28351332.594082024</v>
      </c>
      <c r="V127" s="55">
        <f t="shared" ca="1" si="379"/>
        <v>28904658.510741375</v>
      </c>
      <c r="W127" s="55">
        <f t="shared" ca="1" si="379"/>
        <v>31065993.763549808</v>
      </c>
      <c r="X127" s="55">
        <f t="shared" ca="1" si="379"/>
        <v>31761516.658952467</v>
      </c>
      <c r="Y127" s="55">
        <f t="shared" ca="1" si="379"/>
        <v>32372565.988383457</v>
      </c>
      <c r="Z127" s="55">
        <f t="shared" ca="1" si="379"/>
        <v>33110446.228116151</v>
      </c>
      <c r="AA127" s="699"/>
      <c r="AB127" s="699"/>
      <c r="AC127" s="699"/>
      <c r="AD127" s="69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49"/>
      <c r="AY127" s="49"/>
      <c r="AZ127" s="49"/>
      <c r="BA127" s="49"/>
      <c r="BB127" s="49"/>
      <c r="BC127" s="49"/>
      <c r="BD127" s="49"/>
      <c r="BE127" s="49"/>
      <c r="BF127" s="49"/>
      <c r="BG127" s="49"/>
      <c r="BH127" s="49"/>
      <c r="BI127" s="49"/>
      <c r="BJ127" s="49"/>
      <c r="BK127" s="49"/>
      <c r="BL127" s="49"/>
      <c r="BM127" s="49"/>
      <c r="BN127" s="49"/>
    </row>
    <row r="128" spans="1:66" ht="15.75">
      <c r="A128" s="699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699"/>
      <c r="AB128" s="699"/>
      <c r="AC128" s="699"/>
      <c r="AD128" s="699"/>
      <c r="AE128" s="49"/>
      <c r="AF128" s="49"/>
      <c r="AG128" s="49"/>
      <c r="AH128" s="49"/>
      <c r="AI128" s="49"/>
      <c r="AJ128" s="49"/>
      <c r="AK128" s="49"/>
      <c r="AL128" s="49"/>
      <c r="AM128" s="49" t="s">
        <v>1128</v>
      </c>
      <c r="AN128" s="49"/>
      <c r="AO128" s="49"/>
      <c r="AP128" s="49"/>
      <c r="AQ128" s="771">
        <f>+AQ123*Assumptions!$AE$145*AQ125</f>
        <v>0</v>
      </c>
      <c r="AR128" s="771">
        <f>+AR123*Assumptions!$AE$145*AR125</f>
        <v>0</v>
      </c>
      <c r="AS128" s="771">
        <f>+AS123*Assumptions!$AE$145*AS125</f>
        <v>0</v>
      </c>
      <c r="AT128" s="771">
        <f>+AT123*Assumptions!$AE$145*AT125</f>
        <v>0</v>
      </c>
      <c r="AU128" s="771">
        <f>+AU123*Assumptions!$AE$145*AU125</f>
        <v>0</v>
      </c>
      <c r="AV128" s="771">
        <f>+AV123*Assumptions!$AE$145*AV125</f>
        <v>0</v>
      </c>
      <c r="AW128" s="771">
        <f>+AW123*Assumptions!$AE$145*AW125</f>
        <v>0</v>
      </c>
      <c r="AX128" s="771">
        <f>+AX123*Assumptions!$AE$145*AX125</f>
        <v>0</v>
      </c>
      <c r="AY128" s="771">
        <f>+AY123*Assumptions!$AE$145*AY125</f>
        <v>0</v>
      </c>
      <c r="AZ128" s="771">
        <f>+AZ123*Assumptions!$AE$145*AZ125</f>
        <v>0</v>
      </c>
      <c r="BA128" s="771">
        <f>+BA123*Assumptions!$AE$145*BA125</f>
        <v>0</v>
      </c>
      <c r="BB128" s="771">
        <f>+BB123*Assumptions!$AE$145*BB125</f>
        <v>0</v>
      </c>
      <c r="BC128" s="771">
        <f>+BC123*Assumptions!$AE$145*BC125</f>
        <v>0</v>
      </c>
      <c r="BD128" s="771">
        <f>+BD123*Assumptions!$AE$145*BD125</f>
        <v>0</v>
      </c>
      <c r="BE128" s="771">
        <f>+BE123*Assumptions!$AE$145*BE125</f>
        <v>0</v>
      </c>
      <c r="BF128" s="771">
        <f>+BF123*Assumptions!$AE$145*BF125</f>
        <v>0</v>
      </c>
      <c r="BG128" s="771">
        <f>+BG123*Assumptions!$AE$145*BG125</f>
        <v>0</v>
      </c>
      <c r="BH128" s="771">
        <f>+BH123*Assumptions!$AE$145*BH125</f>
        <v>0</v>
      </c>
      <c r="BI128" s="771">
        <f>+BI123*Assumptions!$AE$145*BI125</f>
        <v>0</v>
      </c>
      <c r="BJ128" s="771">
        <f>+BJ123*Assumptions!$AE$145*BJ125</f>
        <v>0</v>
      </c>
      <c r="BK128" s="771">
        <f>+BK123*Assumptions!$AE$145*BK125</f>
        <v>0</v>
      </c>
      <c r="BL128" s="49"/>
      <c r="BM128" s="49"/>
      <c r="BN128" s="49"/>
    </row>
    <row r="129" spans="1:66" ht="15.75">
      <c r="A129" s="699"/>
      <c r="B129" s="53" t="s">
        <v>1146</v>
      </c>
      <c r="C129" s="699"/>
      <c r="D129" s="699"/>
      <c r="E129" s="699"/>
      <c r="F129" s="54">
        <f>+Assumptions!$F$27</f>
        <v>45291</v>
      </c>
      <c r="G129" s="54">
        <f>+EOMONTH(F129,12)</f>
        <v>45657</v>
      </c>
      <c r="H129" s="54">
        <f t="shared" ref="H129:Z129" si="380">+EOMONTH(G129,12)</f>
        <v>46022</v>
      </c>
      <c r="I129" s="54">
        <f t="shared" si="380"/>
        <v>46387</v>
      </c>
      <c r="J129" s="54">
        <f t="shared" si="380"/>
        <v>46752</v>
      </c>
      <c r="K129" s="54">
        <f t="shared" si="380"/>
        <v>47118</v>
      </c>
      <c r="L129" s="54">
        <f t="shared" si="380"/>
        <v>47483</v>
      </c>
      <c r="M129" s="54">
        <f t="shared" si="380"/>
        <v>47848</v>
      </c>
      <c r="N129" s="54">
        <f t="shared" si="380"/>
        <v>48213</v>
      </c>
      <c r="O129" s="54">
        <f t="shared" si="380"/>
        <v>48579</v>
      </c>
      <c r="P129" s="54">
        <f t="shared" si="380"/>
        <v>48944</v>
      </c>
      <c r="Q129" s="54">
        <f t="shared" si="380"/>
        <v>49309</v>
      </c>
      <c r="R129" s="54">
        <f t="shared" si="380"/>
        <v>49674</v>
      </c>
      <c r="S129" s="54">
        <f t="shared" si="380"/>
        <v>50040</v>
      </c>
      <c r="T129" s="54">
        <f t="shared" si="380"/>
        <v>50405</v>
      </c>
      <c r="U129" s="54">
        <f t="shared" si="380"/>
        <v>50770</v>
      </c>
      <c r="V129" s="54">
        <f t="shared" si="380"/>
        <v>51135</v>
      </c>
      <c r="W129" s="54">
        <f t="shared" si="380"/>
        <v>51501</v>
      </c>
      <c r="X129" s="54">
        <f t="shared" si="380"/>
        <v>51866</v>
      </c>
      <c r="Y129" s="54">
        <f t="shared" si="380"/>
        <v>52231</v>
      </c>
      <c r="Z129" s="54">
        <f t="shared" si="380"/>
        <v>52596</v>
      </c>
      <c r="AA129" s="699"/>
      <c r="AB129" s="699"/>
      <c r="AC129" s="699"/>
      <c r="AD129" s="699"/>
      <c r="AE129" s="49"/>
      <c r="AF129" s="49"/>
      <c r="AG129" s="49"/>
      <c r="AH129" s="49"/>
      <c r="AI129" s="49"/>
      <c r="AJ129" s="49"/>
      <c r="AK129" s="49"/>
      <c r="AL129" s="49"/>
      <c r="AM129" s="49" t="s">
        <v>1130</v>
      </c>
      <c r="AN129" s="49"/>
      <c r="AO129" s="49"/>
      <c r="AP129" s="49"/>
      <c r="AQ129" s="90">
        <f>-AQ128*Assumptions!$AP$76</f>
        <v>0</v>
      </c>
      <c r="AR129" s="90">
        <f>-AR128*Assumptions!$AP$76</f>
        <v>0</v>
      </c>
      <c r="AS129" s="90">
        <f>-AS128*Assumptions!$AP$76</f>
        <v>0</v>
      </c>
      <c r="AT129" s="90">
        <f>-AT128*Assumptions!$AP$76</f>
        <v>0</v>
      </c>
      <c r="AU129" s="90">
        <f>-AU128*Assumptions!$AP$76</f>
        <v>0</v>
      </c>
      <c r="AV129" s="90">
        <f>-AV128*Assumptions!$AP$76</f>
        <v>0</v>
      </c>
      <c r="AW129" s="90">
        <f>-AW128*Assumptions!$AP$76</f>
        <v>0</v>
      </c>
      <c r="AX129" s="90">
        <f>-AX128*Assumptions!$AP$76</f>
        <v>0</v>
      </c>
      <c r="AY129" s="90">
        <f>-AY128*Assumptions!$AP$76</f>
        <v>0</v>
      </c>
      <c r="AZ129" s="90">
        <f>-AZ128*Assumptions!$AP$76</f>
        <v>0</v>
      </c>
      <c r="BA129" s="90">
        <f>-BA128*Assumptions!$AP$76</f>
        <v>0</v>
      </c>
      <c r="BB129" s="90">
        <f>-BB128*Assumptions!$AP$76</f>
        <v>0</v>
      </c>
      <c r="BC129" s="90">
        <f>-BC128*Assumptions!$AP$76</f>
        <v>0</v>
      </c>
      <c r="BD129" s="90">
        <f>-BD128*Assumptions!$AP$76</f>
        <v>0</v>
      </c>
      <c r="BE129" s="90">
        <f>-BE128*Assumptions!$AP$76</f>
        <v>0</v>
      </c>
      <c r="BF129" s="90">
        <f>-BF128*Assumptions!$AP$76</f>
        <v>0</v>
      </c>
      <c r="BG129" s="90">
        <f>-BG128*Assumptions!$AP$76</f>
        <v>0</v>
      </c>
      <c r="BH129" s="90">
        <f>-BH128*Assumptions!$AP$76</f>
        <v>0</v>
      </c>
      <c r="BI129" s="90">
        <f>-BI128*Assumptions!$AP$76</f>
        <v>0</v>
      </c>
      <c r="BJ129" s="90">
        <f>-BJ128*Assumptions!$AP$76</f>
        <v>0</v>
      </c>
      <c r="BK129" s="90">
        <f>-BK128*Assumptions!$AP$76</f>
        <v>0</v>
      </c>
      <c r="BL129" s="49"/>
      <c r="BM129" s="49"/>
      <c r="BN129" s="49"/>
    </row>
    <row r="130" spans="1:66" ht="16.5">
      <c r="A130" s="699"/>
      <c r="B130" s="1" t="s">
        <v>1147</v>
      </c>
      <c r="C130" s="699"/>
      <c r="D130" s="699"/>
      <c r="E130" s="699"/>
      <c r="F130" s="1028">
        <v>0</v>
      </c>
      <c r="G130" s="1028">
        <f ca="1">+F133</f>
        <v>0</v>
      </c>
      <c r="H130" s="1028">
        <f t="shared" ref="H130:Z130" ca="1" si="381">+G133</f>
        <v>0</v>
      </c>
      <c r="I130" s="1028">
        <f t="shared" ca="1" si="381"/>
        <v>0</v>
      </c>
      <c r="J130" s="1028">
        <f t="shared" ca="1" si="381"/>
        <v>0</v>
      </c>
      <c r="K130" s="1028">
        <f t="shared" ca="1" si="381"/>
        <v>270707753.9435823</v>
      </c>
      <c r="L130" s="1028">
        <f t="shared" ca="1" si="381"/>
        <v>265993482.7003608</v>
      </c>
      <c r="M130" s="1028">
        <f t="shared" ca="1" si="381"/>
        <v>261067069.25119424</v>
      </c>
      <c r="N130" s="1028">
        <f t="shared" ca="1" si="381"/>
        <v>255918967.19681504</v>
      </c>
      <c r="O130" s="1028">
        <f t="shared" ca="1" si="381"/>
        <v>250539200.54998904</v>
      </c>
      <c r="P130" s="1028">
        <f t="shared" ca="1" si="381"/>
        <v>244917344.40405574</v>
      </c>
      <c r="Q130" s="1028">
        <f t="shared" ca="1" si="381"/>
        <v>239042504.73155531</v>
      </c>
      <c r="R130" s="1028">
        <f t="shared" ca="1" si="381"/>
        <v>232903297.27379262</v>
      </c>
      <c r="S130" s="1028">
        <f t="shared" ca="1" si="381"/>
        <v>226487825.48043048</v>
      </c>
      <c r="T130" s="1028">
        <f t="shared" ca="1" si="381"/>
        <v>219783657.45636693</v>
      </c>
      <c r="U130" s="1028">
        <f t="shared" ca="1" si="381"/>
        <v>212777801.87122077</v>
      </c>
      <c r="V130" s="1028">
        <f t="shared" ca="1" si="381"/>
        <v>205456682.78474286</v>
      </c>
      <c r="W130" s="1028">
        <f t="shared" ca="1" si="381"/>
        <v>197806113.33937335</v>
      </c>
      <c r="X130" s="1028">
        <f t="shared" ca="1" si="381"/>
        <v>189811268.2689625</v>
      </c>
      <c r="Y130" s="1028">
        <f t="shared" ca="1" si="381"/>
        <v>181456655.17038298</v>
      </c>
      <c r="Z130" s="1028">
        <f t="shared" ca="1" si="381"/>
        <v>172726084.48236728</v>
      </c>
      <c r="AA130" s="699"/>
      <c r="AB130" s="699"/>
      <c r="AC130" s="699"/>
      <c r="AD130" s="699"/>
      <c r="AE130" s="49"/>
      <c r="AF130" s="49"/>
      <c r="AG130" s="49"/>
      <c r="AH130" s="49"/>
      <c r="AI130" s="49"/>
      <c r="AJ130" s="49"/>
      <c r="AK130" s="49"/>
      <c r="AL130" s="49"/>
      <c r="AM130" s="49" t="s">
        <v>42</v>
      </c>
      <c r="AN130" s="49"/>
      <c r="AO130" s="49"/>
      <c r="AP130" s="49"/>
      <c r="AQ130" s="49"/>
      <c r="AR130" s="90">
        <v>0</v>
      </c>
      <c r="AS130" s="90">
        <v>0</v>
      </c>
      <c r="AT130" s="90">
        <v>0</v>
      </c>
      <c r="AU130" s="90">
        <v>0</v>
      </c>
      <c r="AV130" s="90">
        <v>0</v>
      </c>
      <c r="AW130" s="90">
        <v>0</v>
      </c>
      <c r="AX130" s="90">
        <v>0</v>
      </c>
      <c r="AY130" s="90">
        <v>0</v>
      </c>
      <c r="AZ130" s="90">
        <v>0</v>
      </c>
      <c r="BA130" s="90">
        <v>0</v>
      </c>
      <c r="BB130" s="90">
        <v>0</v>
      </c>
      <c r="BC130" s="90">
        <v>0</v>
      </c>
      <c r="BD130" s="90">
        <v>0</v>
      </c>
      <c r="BE130" s="90">
        <v>0</v>
      </c>
      <c r="BF130" s="90">
        <v>0</v>
      </c>
      <c r="BG130" s="90">
        <v>0</v>
      </c>
      <c r="BH130" s="90">
        <v>0</v>
      </c>
      <c r="BI130" s="90">
        <v>0</v>
      </c>
      <c r="BJ130" s="90">
        <v>0</v>
      </c>
      <c r="BK130" s="90">
        <v>0</v>
      </c>
      <c r="BL130" s="49"/>
      <c r="BM130" s="49"/>
      <c r="BN130" s="49"/>
    </row>
    <row r="131" spans="1:66" ht="16.5">
      <c r="A131" s="699"/>
      <c r="B131" s="1" t="s">
        <v>1148</v>
      </c>
      <c r="C131" s="699"/>
      <c r="D131" s="699"/>
      <c r="E131" s="699"/>
      <c r="F131" s="90">
        <f>+IF(YEAR(F$129)=YEAR(Assumptions!$F$31),'S&amp;U'!$R$17,0)</f>
        <v>0</v>
      </c>
      <c r="G131" s="90">
        <f>+IF(YEAR(G$129)=YEAR(Assumptions!$F$31),'S&amp;U'!$R$17,0)</f>
        <v>0</v>
      </c>
      <c r="H131" s="90">
        <f>+IF(YEAR(H$129)=YEAR(Assumptions!$F$31),'S&amp;U'!$R$17,0)</f>
        <v>0</v>
      </c>
      <c r="I131" s="90">
        <f>+IF(YEAR(I$129)=YEAR(Assumptions!$F$31),'S&amp;U'!$R$17,0)</f>
        <v>0</v>
      </c>
      <c r="J131" s="90">
        <f ca="1">+IF(YEAR(J$129)=YEAR(Assumptions!$F$31),'S&amp;U'!$R$17,0)</f>
        <v>275219018.29116291</v>
      </c>
      <c r="K131" s="90">
        <f>+IF(YEAR(K$129)=YEAR(Assumptions!$F$31),'S&amp;U'!$R$17,0)</f>
        <v>0</v>
      </c>
      <c r="L131" s="90">
        <f>+IF(YEAR(L$129)=YEAR(Assumptions!$F$31),'S&amp;U'!$R$17,0)</f>
        <v>0</v>
      </c>
      <c r="M131" s="90">
        <f>+IF(YEAR(M$129)=YEAR(Assumptions!$F$31),'S&amp;U'!$R$17,0)</f>
        <v>0</v>
      </c>
      <c r="N131" s="90">
        <f>+IF(YEAR(N$129)=YEAR(Assumptions!$F$31),'S&amp;U'!$R$17,0)</f>
        <v>0</v>
      </c>
      <c r="O131" s="90">
        <f>+IF(YEAR(O$129)=YEAR(Assumptions!$F$31),'S&amp;U'!$R$17,0)</f>
        <v>0</v>
      </c>
      <c r="P131" s="90">
        <f>+IF(YEAR(P$129)=YEAR(Assumptions!$F$31),'S&amp;U'!$R$17,0)</f>
        <v>0</v>
      </c>
      <c r="Q131" s="90">
        <f>+IF(YEAR(Q$129)=YEAR(Assumptions!$F$31),'S&amp;U'!$R$17,0)</f>
        <v>0</v>
      </c>
      <c r="R131" s="90">
        <f>+IF(YEAR(R$129)=YEAR(Assumptions!$F$31),'S&amp;U'!$R$17,0)</f>
        <v>0</v>
      </c>
      <c r="S131" s="90">
        <f>+IF(YEAR(S$129)=YEAR(Assumptions!$F$31),'S&amp;U'!$R$17,0)</f>
        <v>0</v>
      </c>
      <c r="T131" s="90">
        <f>+IF(YEAR(T$129)=YEAR(Assumptions!$F$31),'S&amp;U'!$R$17,0)</f>
        <v>0</v>
      </c>
      <c r="U131" s="90">
        <f>+IF(YEAR(U$129)=YEAR(Assumptions!$F$31),'S&amp;U'!$R$17,0)</f>
        <v>0</v>
      </c>
      <c r="V131" s="90">
        <f>+IF(YEAR(V$129)=YEAR(Assumptions!$F$31),'S&amp;U'!$R$17,0)</f>
        <v>0</v>
      </c>
      <c r="W131" s="90">
        <f>+IF(YEAR(W$129)=YEAR(Assumptions!$F$31),'S&amp;U'!$R$17,0)</f>
        <v>0</v>
      </c>
      <c r="X131" s="90">
        <f>+IF(YEAR(X$129)=YEAR(Assumptions!$F$31),'S&amp;U'!$R$17,0)</f>
        <v>0</v>
      </c>
      <c r="Y131" s="90">
        <f>+IF(YEAR(Y$129)=YEAR(Assumptions!$F$31),'S&amp;U'!$R$17,0)</f>
        <v>0</v>
      </c>
      <c r="Z131" s="90">
        <f>+IF(YEAR(Z$129)=YEAR(Assumptions!$F$31),'S&amp;U'!$R$17,0)</f>
        <v>0</v>
      </c>
      <c r="AA131" s="699"/>
      <c r="AB131" s="699"/>
      <c r="AC131" s="699"/>
      <c r="AD131" s="699"/>
      <c r="AE131" s="49"/>
      <c r="AF131" s="49"/>
      <c r="AG131" s="49"/>
      <c r="AH131" s="49"/>
      <c r="AI131" s="49"/>
      <c r="AJ131" s="49"/>
      <c r="AK131" s="49"/>
      <c r="AL131" s="49"/>
      <c r="AM131" s="49" t="s">
        <v>1144</v>
      </c>
      <c r="AN131" s="49"/>
      <c r="AO131" s="49"/>
      <c r="AP131" s="49"/>
      <c r="AQ131" s="90">
        <v>0</v>
      </c>
      <c r="AR131" s="90"/>
      <c r="AS131" s="90"/>
      <c r="AT131" s="90"/>
      <c r="AU131" s="90"/>
      <c r="AV131" s="90"/>
      <c r="AW131" s="90"/>
      <c r="AX131" s="90"/>
      <c r="AY131" s="90"/>
      <c r="AZ131" s="90"/>
      <c r="BA131" s="90"/>
      <c r="BB131" s="90"/>
      <c r="BC131" s="90"/>
      <c r="BD131" s="90"/>
      <c r="BE131" s="90"/>
      <c r="BF131" s="90"/>
      <c r="BG131" s="90"/>
      <c r="BH131" s="90"/>
      <c r="BI131" s="90"/>
      <c r="BJ131" s="90"/>
      <c r="BK131" s="90"/>
      <c r="BL131" s="49"/>
      <c r="BM131" s="49"/>
      <c r="BN131" s="49"/>
    </row>
    <row r="132" spans="1:66" ht="16.5">
      <c r="A132" s="699"/>
      <c r="B132" s="1" t="s">
        <v>682</v>
      </c>
      <c r="C132" s="699"/>
      <c r="D132" s="699"/>
      <c r="E132" s="699"/>
      <c r="F132" s="90">
        <f ca="1">+IFERROR(PPMT(Assumptions!$N$145,'Phase 1 Pro Forma'!F2,Assumptions!$N$147,'S&amp;U'!$R$17),0)</f>
        <v>0</v>
      </c>
      <c r="G132" s="90">
        <f ca="1">+IFERROR(PPMT(Assumptions!$N$145,'Phase 1 Pro Forma'!G2,Assumptions!$N$147,'S&amp;U'!$R$17),0)</f>
        <v>0</v>
      </c>
      <c r="H132" s="90">
        <f ca="1">+IFERROR(PPMT(Assumptions!$N$145,'Phase 1 Pro Forma'!H2,Assumptions!$N$147,'S&amp;U'!$R$17),0)</f>
        <v>0</v>
      </c>
      <c r="I132" s="90">
        <f ca="1">+IFERROR(PPMT(Assumptions!$N$145,'Phase 1 Pro Forma'!I2,Assumptions!$N$147,'S&amp;U'!$R$17),0)</f>
        <v>0</v>
      </c>
      <c r="J132" s="90">
        <f ca="1">+IFERROR(PPMT(Assumptions!$N$145,'Phase 1 Pro Forma'!J2,Assumptions!$N$147,'S&amp;U'!$R$17),0)</f>
        <v>-4511264.3475804804</v>
      </c>
      <c r="K132" s="90">
        <f ca="1">+IFERROR(PPMT(Assumptions!$N$145,'Phase 1 Pro Forma'!K2,Assumptions!$N$147,'S&amp;U'!$R$17),0)</f>
        <v>-4714271.2432216024</v>
      </c>
      <c r="L132" s="90">
        <f ca="1">+IFERROR(PPMT(Assumptions!$N$145,'Phase 1 Pro Forma'!L2,Assumptions!$N$147,'S&amp;U'!$R$17),0)</f>
        <v>-4926413.4491665745</v>
      </c>
      <c r="M132" s="90">
        <f ca="1">+IFERROR(PPMT(Assumptions!$N$145,'Phase 1 Pro Forma'!M2,Assumptions!$N$147,'S&amp;U'!$R$17),0)</f>
        <v>-5148102.0543790702</v>
      </c>
      <c r="N132" s="90">
        <f ca="1">+IFERROR(PPMT(Assumptions!$N$145,'Phase 1 Pro Forma'!N2,Assumptions!$N$147,'S&amp;U'!$R$17),0)</f>
        <v>-5379766.6468261285</v>
      </c>
      <c r="O132" s="90">
        <f ca="1">+IFERROR(PPMT(Assumptions!$N$145,'Phase 1 Pro Forma'!O2,Assumptions!$N$147,'S&amp;U'!$R$17),0)</f>
        <v>-5621856.145933304</v>
      </c>
      <c r="P132" s="90">
        <f ca="1">+IFERROR(PPMT(Assumptions!$N$145,'Phase 1 Pro Forma'!P2,Assumptions!$N$147,'S&amp;U'!$R$17),0)</f>
        <v>-5874839.6725003039</v>
      </c>
      <c r="Q132" s="90">
        <f ca="1">+IFERROR(PPMT(Assumptions!$N$145,'Phase 1 Pro Forma'!Q2,Assumptions!$N$147,'S&amp;U'!$R$17),0)</f>
        <v>-6139207.457762816</v>
      </c>
      <c r="R132" s="90">
        <f ca="1">+IFERROR(PPMT(Assumptions!$N$145,'Phase 1 Pro Forma'!R2,Assumptions!$N$147,'S&amp;U'!$R$17),0)</f>
        <v>-6415471.7933621444</v>
      </c>
      <c r="S132" s="90">
        <f ca="1">+IFERROR(PPMT(Assumptions!$N$145,'Phase 1 Pro Forma'!S2,Assumptions!$N$147,'S&amp;U'!$R$17),0)</f>
        <v>-6704168.02406344</v>
      </c>
      <c r="T132" s="90">
        <f ca="1">+IFERROR(PPMT(Assumptions!$N$145,'Phase 1 Pro Forma'!T2,Assumptions!$N$147,'S&amp;U'!$R$17),0)</f>
        <v>-7005855.5851462949</v>
      </c>
      <c r="U132" s="90">
        <f ca="1">+IFERROR(PPMT(Assumptions!$N$145,'Phase 1 Pro Forma'!U2,Assumptions!$N$147,'S&amp;U'!$R$17),0)</f>
        <v>-7321119.0864778776</v>
      </c>
      <c r="V132" s="90">
        <f ca="1">+IFERROR(PPMT(Assumptions!$N$145,'Phase 1 Pro Forma'!V2,Assumptions!$N$147,'S&amp;U'!$R$17),0)</f>
        <v>-7650569.4453693815</v>
      </c>
      <c r="W132" s="90">
        <f ca="1">+IFERROR(PPMT(Assumptions!$N$145,'Phase 1 Pro Forma'!W2,Assumptions!$N$147,'S&amp;U'!$R$17),0)</f>
        <v>-7994845.0704110041</v>
      </c>
      <c r="X132" s="90">
        <f ca="1">+IFERROR(PPMT(Assumptions!$N$145,'Phase 1 Pro Forma'!X2,Assumptions!$N$147,'S&amp;U'!$R$17),0)</f>
        <v>-8354613.0985794999</v>
      </c>
      <c r="Y132" s="90">
        <f ca="1">+IFERROR(PPMT(Assumptions!$N$145,'Phase 1 Pro Forma'!Y2,Assumptions!$N$147,'S&amp;U'!$R$17),0)</f>
        <v>-8730570.6880155765</v>
      </c>
      <c r="Z132" s="90">
        <f ca="1">+IFERROR(PPMT(Assumptions!$N$145,'Phase 1 Pro Forma'!Z2,Assumptions!$N$147,'S&amp;U'!$R$17),0)</f>
        <v>-9123446.3689762782</v>
      </c>
      <c r="AA132" s="699"/>
      <c r="AB132" s="699"/>
      <c r="AC132" s="699"/>
      <c r="AD132" s="699"/>
      <c r="AE132" s="49"/>
      <c r="AF132" s="49"/>
      <c r="AG132" s="49"/>
      <c r="AH132" s="49"/>
      <c r="AI132" s="49"/>
      <c r="AJ132" s="49"/>
      <c r="AK132" s="49"/>
      <c r="AL132" s="49"/>
      <c r="AM132" s="49" t="s">
        <v>1131</v>
      </c>
      <c r="AN132" s="49"/>
      <c r="AO132" s="49"/>
      <c r="AP132" s="49"/>
      <c r="AQ132" s="771">
        <f>SUM(AQ128:AQ131)</f>
        <v>0</v>
      </c>
      <c r="AR132" s="771">
        <f t="shared" ref="AR132:BK132" si="382">SUM(AR128:AR131)</f>
        <v>0</v>
      </c>
      <c r="AS132" s="771">
        <f t="shared" si="382"/>
        <v>0</v>
      </c>
      <c r="AT132" s="771">
        <f t="shared" si="382"/>
        <v>0</v>
      </c>
      <c r="AU132" s="771">
        <f t="shared" si="382"/>
        <v>0</v>
      </c>
      <c r="AV132" s="771">
        <f t="shared" si="382"/>
        <v>0</v>
      </c>
      <c r="AW132" s="771">
        <f t="shared" si="382"/>
        <v>0</v>
      </c>
      <c r="AX132" s="771">
        <f t="shared" si="382"/>
        <v>0</v>
      </c>
      <c r="AY132" s="771">
        <f t="shared" si="382"/>
        <v>0</v>
      </c>
      <c r="AZ132" s="771">
        <f t="shared" si="382"/>
        <v>0</v>
      </c>
      <c r="BA132" s="771">
        <f t="shared" si="382"/>
        <v>0</v>
      </c>
      <c r="BB132" s="771">
        <f t="shared" si="382"/>
        <v>0</v>
      </c>
      <c r="BC132" s="771">
        <f t="shared" si="382"/>
        <v>0</v>
      </c>
      <c r="BD132" s="771">
        <f t="shared" si="382"/>
        <v>0</v>
      </c>
      <c r="BE132" s="771">
        <f t="shared" si="382"/>
        <v>0</v>
      </c>
      <c r="BF132" s="771">
        <f t="shared" si="382"/>
        <v>0</v>
      </c>
      <c r="BG132" s="771">
        <f t="shared" si="382"/>
        <v>0</v>
      </c>
      <c r="BH132" s="771">
        <f t="shared" si="382"/>
        <v>0</v>
      </c>
      <c r="BI132" s="771">
        <f t="shared" si="382"/>
        <v>0</v>
      </c>
      <c r="BJ132" s="771">
        <f t="shared" si="382"/>
        <v>0</v>
      </c>
      <c r="BK132" s="771">
        <f t="shared" si="382"/>
        <v>0</v>
      </c>
      <c r="BL132" s="49"/>
      <c r="BM132" s="49"/>
      <c r="BN132" s="49"/>
    </row>
    <row r="133" spans="1:66" ht="16.5">
      <c r="A133" s="699"/>
      <c r="B133" s="1" t="s">
        <v>1149</v>
      </c>
      <c r="C133" s="699"/>
      <c r="D133" s="699"/>
      <c r="E133" s="699"/>
      <c r="F133" s="90">
        <f ca="1">+SUM(F130:F132)</f>
        <v>0</v>
      </c>
      <c r="G133" s="90">
        <f t="shared" ref="G133:Z133" ca="1" si="383">+SUM(G130:G132)</f>
        <v>0</v>
      </c>
      <c r="H133" s="90">
        <f t="shared" ca="1" si="383"/>
        <v>0</v>
      </c>
      <c r="I133" s="90">
        <f t="shared" ca="1" si="383"/>
        <v>0</v>
      </c>
      <c r="J133" s="90">
        <f t="shared" ca="1" si="383"/>
        <v>270707753.94358242</v>
      </c>
      <c r="K133" s="90">
        <f t="shared" ca="1" si="383"/>
        <v>265993482.70036069</v>
      </c>
      <c r="L133" s="90">
        <f t="shared" ca="1" si="383"/>
        <v>261067069.25119424</v>
      </c>
      <c r="M133" s="90">
        <f t="shared" ca="1" si="383"/>
        <v>255918967.19681516</v>
      </c>
      <c r="N133" s="90">
        <f t="shared" ca="1" si="383"/>
        <v>250539200.54998893</v>
      </c>
      <c r="O133" s="90">
        <f t="shared" ca="1" si="383"/>
        <v>244917344.40405574</v>
      </c>
      <c r="P133" s="90">
        <f t="shared" ca="1" si="383"/>
        <v>239042504.73155543</v>
      </c>
      <c r="Q133" s="90">
        <f t="shared" ca="1" si="383"/>
        <v>232903297.27379251</v>
      </c>
      <c r="R133" s="90">
        <f t="shared" ca="1" si="383"/>
        <v>226487825.48043048</v>
      </c>
      <c r="S133" s="90">
        <f t="shared" ca="1" si="383"/>
        <v>219783657.45636705</v>
      </c>
      <c r="T133" s="90">
        <f t="shared" ca="1" si="383"/>
        <v>212777801.87122062</v>
      </c>
      <c r="U133" s="90">
        <f t="shared" ca="1" si="383"/>
        <v>205456682.78474289</v>
      </c>
      <c r="V133" s="90">
        <f t="shared" ca="1" si="383"/>
        <v>197806113.33937347</v>
      </c>
      <c r="W133" s="90">
        <f t="shared" ca="1" si="383"/>
        <v>189811268.26896235</v>
      </c>
      <c r="X133" s="90">
        <f t="shared" ca="1" si="383"/>
        <v>181456655.17038301</v>
      </c>
      <c r="Y133" s="90">
        <f t="shared" ca="1" si="383"/>
        <v>172726084.4823674</v>
      </c>
      <c r="Z133" s="90">
        <f t="shared" ca="1" si="383"/>
        <v>163602638.11339101</v>
      </c>
      <c r="AA133" s="699"/>
      <c r="AB133" s="699"/>
      <c r="AC133" s="699"/>
      <c r="AD133" s="699"/>
      <c r="AE133" s="49"/>
      <c r="AF133" s="49"/>
      <c r="AG133" s="49"/>
      <c r="AH133" s="49"/>
      <c r="AI133" s="49"/>
      <c r="AJ133" s="49"/>
      <c r="AK133" s="49"/>
      <c r="AL133" s="49"/>
      <c r="AM133" s="49"/>
      <c r="AN133" s="49"/>
      <c r="AO133" s="49"/>
      <c r="AP133" s="49"/>
      <c r="AQ133" s="49"/>
      <c r="AR133" s="49"/>
      <c r="AS133" s="49"/>
      <c r="AT133" s="49"/>
      <c r="AU133" s="49"/>
      <c r="AV133" s="49"/>
      <c r="AW133" s="49"/>
      <c r="AX133" s="49"/>
      <c r="AY133" s="49"/>
      <c r="AZ133" s="49"/>
      <c r="BA133" s="49"/>
      <c r="BB133" s="49"/>
      <c r="BC133" s="49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</row>
    <row r="134" spans="1:66" ht="16.5">
      <c r="A134" s="699"/>
      <c r="B134" s="47"/>
      <c r="C134" s="699"/>
      <c r="D134" s="699"/>
      <c r="E134" s="699"/>
      <c r="F134" s="699"/>
      <c r="G134" s="699"/>
      <c r="H134" s="699"/>
      <c r="I134" s="699"/>
      <c r="J134" s="699"/>
      <c r="K134" s="699"/>
      <c r="L134" s="699"/>
      <c r="M134" s="699"/>
      <c r="N134" s="699"/>
      <c r="O134" s="699"/>
      <c r="P134" s="699"/>
      <c r="Q134" s="699"/>
      <c r="R134" s="699"/>
      <c r="S134" s="699"/>
      <c r="T134" s="699"/>
      <c r="U134" s="699"/>
      <c r="V134" s="699"/>
      <c r="W134" s="699"/>
      <c r="X134" s="699"/>
      <c r="Y134" s="699"/>
      <c r="Z134" s="699"/>
      <c r="AA134" s="699"/>
      <c r="AB134" s="699"/>
      <c r="AC134" s="699"/>
      <c r="AD134" s="699"/>
      <c r="AE134" s="49"/>
      <c r="AF134" s="49"/>
      <c r="AG134" s="49"/>
      <c r="AH134" s="49"/>
      <c r="AI134" s="49"/>
      <c r="AJ134" s="49"/>
      <c r="AK134" s="49"/>
      <c r="AL134" s="49"/>
      <c r="AM134" s="49" t="s">
        <v>1132</v>
      </c>
      <c r="AN134" s="49"/>
      <c r="AO134" s="49"/>
      <c r="AP134" s="49"/>
      <c r="AQ134" s="83">
        <f>+AQ122*Assumptions!$AE$262*AQ126</f>
        <v>0</v>
      </c>
      <c r="AR134" s="83">
        <f>+AR122*Assumptions!$AE$262*AR126</f>
        <v>0</v>
      </c>
      <c r="AS134" s="83">
        <f>+AS122*Assumptions!$AE$262*AS126</f>
        <v>0</v>
      </c>
      <c r="AT134" s="83">
        <f>+AT122*Assumptions!$AE$262*AT126</f>
        <v>0</v>
      </c>
      <c r="AU134" s="83">
        <f>+AU122*Assumptions!$AE$262*AU126</f>
        <v>0</v>
      </c>
      <c r="AV134" s="83">
        <f>+AV122*Assumptions!$AE$262*AV126</f>
        <v>0</v>
      </c>
      <c r="AW134" s="83">
        <f>+AW122*Assumptions!$AE$262*AW126</f>
        <v>0</v>
      </c>
      <c r="AX134" s="83">
        <f>+AX122*Assumptions!$AE$262*AX126</f>
        <v>0</v>
      </c>
      <c r="AY134" s="83">
        <f>+AY122*Assumptions!$AE$262*AY126</f>
        <v>0</v>
      </c>
      <c r="AZ134" s="83">
        <f>+AZ122*Assumptions!$AE$262*AZ126</f>
        <v>0</v>
      </c>
      <c r="BA134" s="83">
        <f>+BA122*Assumptions!$AE$262*BA126</f>
        <v>0</v>
      </c>
      <c r="BB134" s="83">
        <f>+BB122*Assumptions!$AE$262*BB126</f>
        <v>0</v>
      </c>
      <c r="BC134" s="83">
        <f>+BC122*Assumptions!$AE$262*BC126</f>
        <v>0</v>
      </c>
      <c r="BD134" s="83">
        <f>+BD122*Assumptions!$AE$262*BD126</f>
        <v>0</v>
      </c>
      <c r="BE134" s="83">
        <f>+BE122*Assumptions!$AE$262*BE126</f>
        <v>0</v>
      </c>
      <c r="BF134" s="83">
        <f>+BF122*Assumptions!$AE$262*BF126</f>
        <v>0</v>
      </c>
      <c r="BG134" s="83">
        <f>+BG122*Assumptions!$AE$262*BG126</f>
        <v>0</v>
      </c>
      <c r="BH134" s="83">
        <f>+BH122*Assumptions!$AE$262*BH126</f>
        <v>0</v>
      </c>
      <c r="BI134" s="83">
        <f>+BI122*Assumptions!$AE$262*BI126</f>
        <v>0</v>
      </c>
      <c r="BJ134" s="83">
        <f>+BJ122*Assumptions!$AE$262*BJ126</f>
        <v>0</v>
      </c>
      <c r="BK134" s="83">
        <f>+BK122*Assumptions!$AE$262*BK126</f>
        <v>0</v>
      </c>
      <c r="BL134" s="49"/>
      <c r="BM134" s="49"/>
      <c r="BN134" s="49"/>
    </row>
    <row r="135" spans="1:66" ht="16.5">
      <c r="A135" s="699"/>
      <c r="B135" s="47" t="s">
        <v>1150</v>
      </c>
      <c r="C135" s="699"/>
      <c r="D135" s="699"/>
      <c r="E135" s="699"/>
      <c r="F135" s="1028">
        <f ca="1">-IFERROR(IPMT(Assumptions!$N$145,F2,Assumptions!$N$147,'S&amp;U'!$R$17),0)</f>
        <v>0</v>
      </c>
      <c r="G135" s="1028">
        <f ca="1">-IFERROR(IPMT(Assumptions!$N$145,G2,Assumptions!$N$147,'S&amp;U'!$R$17),0)</f>
        <v>0</v>
      </c>
      <c r="H135" s="1028">
        <f ca="1">-IFERROR(IPMT(Assumptions!$N$145,H2,Assumptions!$N$147,'S&amp;U'!$R$17),0)</f>
        <v>0</v>
      </c>
      <c r="I135" s="1028">
        <f ca="1">-IFERROR(IPMT(Assumptions!$N$145,I2,Assumptions!$N$147,'S&amp;U'!$R$17),0)</f>
        <v>0</v>
      </c>
      <c r="J135" s="1028">
        <f ca="1">-IFERROR(IPMT(Assumptions!$N$145,J2,Assumptions!$N$147,'S&amp;U'!$R$17),0)</f>
        <v>12384855.823102331</v>
      </c>
      <c r="K135" s="1028">
        <f ca="1">-IFERROR(IPMT(Assumptions!$N$145,K2,Assumptions!$N$147,'S&amp;U'!$R$17),0)</f>
        <v>12181848.927461211</v>
      </c>
      <c r="L135" s="1028">
        <f ca="1">-IFERROR(IPMT(Assumptions!$N$145,L2,Assumptions!$N$147,'S&amp;U'!$R$17),0)</f>
        <v>11969706.721516237</v>
      </c>
      <c r="M135" s="1028">
        <f ca="1">-IFERROR(IPMT(Assumptions!$N$145,M2,Assumptions!$N$147,'S&amp;U'!$R$17),0)</f>
        <v>11748018.116303742</v>
      </c>
      <c r="N135" s="1028">
        <f ca="1">-IFERROR(IPMT(Assumptions!$N$145,N2,Assumptions!$N$147,'S&amp;U'!$R$17),0)</f>
        <v>11516353.523856683</v>
      </c>
      <c r="O135" s="1028">
        <f ca="1">-IFERROR(IPMT(Assumptions!$N$145,O2,Assumptions!$N$147,'S&amp;U'!$R$17),0)</f>
        <v>11274264.024749506</v>
      </c>
      <c r="P135" s="1028">
        <f ca="1">-IFERROR(IPMT(Assumptions!$N$145,P2,Assumptions!$N$147,'S&amp;U'!$R$17),0)</f>
        <v>11021280.498182507</v>
      </c>
      <c r="Q135" s="1028">
        <f ca="1">-IFERROR(IPMT(Assumptions!$N$145,Q2,Assumptions!$N$147,'S&amp;U'!$R$17),0)</f>
        <v>10756912.712919993</v>
      </c>
      <c r="R135" s="1028">
        <f ca="1">-IFERROR(IPMT(Assumptions!$N$145,R2,Assumptions!$N$147,'S&amp;U'!$R$17),0)</f>
        <v>10480648.377320668</v>
      </c>
      <c r="S135" s="1028">
        <f ca="1">-IFERROR(IPMT(Assumptions!$N$145,S2,Assumptions!$N$147,'S&amp;U'!$R$17),0)</f>
        <v>10191952.146619372</v>
      </c>
      <c r="T135" s="1028">
        <f ca="1">-IFERROR(IPMT(Assumptions!$N$145,T2,Assumptions!$N$147,'S&amp;U'!$R$17),0)</f>
        <v>9890264.5855365172</v>
      </c>
      <c r="U135" s="1028">
        <f ca="1">-IFERROR(IPMT(Assumptions!$N$145,U2,Assumptions!$N$147,'S&amp;U'!$R$17),0)</f>
        <v>9575001.0842049345</v>
      </c>
      <c r="V135" s="1028">
        <f ca="1">-IFERROR(IPMT(Assumptions!$N$145,V2,Assumptions!$N$147,'S&amp;U'!$R$17),0)</f>
        <v>9245550.7253134307</v>
      </c>
      <c r="W135" s="1028">
        <f ca="1">-IFERROR(IPMT(Assumptions!$N$145,W2,Assumptions!$N$147,'S&amp;U'!$R$17),0)</f>
        <v>8901275.100271808</v>
      </c>
      <c r="X135" s="1028">
        <f ca="1">-IFERROR(IPMT(Assumptions!$N$145,X2,Assumptions!$N$147,'S&amp;U'!$R$17),0)</f>
        <v>8541507.0721033122</v>
      </c>
      <c r="Y135" s="1028">
        <f ca="1">-IFERROR(IPMT(Assumptions!$N$145,Y2,Assumptions!$N$147,'S&amp;U'!$R$17),0)</f>
        <v>8165549.4826672347</v>
      </c>
      <c r="Z135" s="1028">
        <f ca="1">-IFERROR(IPMT(Assumptions!$N$145,Z2,Assumptions!$N$147,'S&amp;U'!$R$17),0)</f>
        <v>7772673.8017065311</v>
      </c>
      <c r="AA135" s="699"/>
      <c r="AB135" s="699"/>
      <c r="AC135" s="699"/>
      <c r="AD135" s="699"/>
      <c r="AE135" s="49"/>
      <c r="AF135" s="49"/>
      <c r="AG135" s="49"/>
      <c r="AH135" s="49"/>
      <c r="AI135" s="49"/>
      <c r="AJ135" s="49"/>
      <c r="AK135" s="49"/>
      <c r="AL135" s="49"/>
      <c r="AM135" s="49" t="s">
        <v>1133</v>
      </c>
      <c r="AN135" s="49"/>
      <c r="AO135" s="49"/>
      <c r="AP135" s="49"/>
      <c r="AQ135" s="253">
        <f ca="1">+IFERROR(INDEX('Taxes and TIF'!$M$11:$M$45,MATCH('Phase 1 Pro Forma'!F$7,'Taxes and TIF'!$B$11:$B$45,0)),0)*'Loan Sizing'!$I$25*'Phase 1 Pro Forma'!AQ123</f>
        <v>0</v>
      </c>
      <c r="AR135" s="253">
        <f ca="1">+IFERROR(INDEX('Taxes and TIF'!$M$11:$M$45,MATCH('Phase 1 Pro Forma'!G$7,'Taxes and TIF'!$B$11:$B$45,0)),0)*'Loan Sizing'!$I$25*'Phase 1 Pro Forma'!AR123</f>
        <v>0</v>
      </c>
      <c r="AS135" s="253">
        <f ca="1">+IFERROR(INDEX('Taxes and TIF'!$M$11:$M$45,MATCH('Phase 1 Pro Forma'!H$7,'Taxes and TIF'!$B$11:$B$45,0)),0)*'Loan Sizing'!$I$25*'Phase 1 Pro Forma'!AS123</f>
        <v>0</v>
      </c>
      <c r="AT135" s="253">
        <f ca="1">+IFERROR(INDEX('Taxes and TIF'!$M$11:$M$45,MATCH('Phase 1 Pro Forma'!I$7,'Taxes and TIF'!$B$11:$B$45,0)),0)*'Loan Sizing'!$I$25*'Phase 1 Pro Forma'!AT123</f>
        <v>0</v>
      </c>
      <c r="AU135" s="253">
        <f ca="1">+IFERROR(INDEX('Taxes and TIF'!$M$11:$M$45,MATCH('Phase 1 Pro Forma'!J$7,'Taxes and TIF'!$B$11:$B$45,0)),0)*'Loan Sizing'!$I$25*'Phase 1 Pro Forma'!AU123</f>
        <v>0</v>
      </c>
      <c r="AV135" s="253">
        <f ca="1">+IFERROR(INDEX('Taxes and TIF'!$M$11:$M$45,MATCH('Phase 1 Pro Forma'!K$7,'Taxes and TIF'!$B$11:$B$45,0)),0)*'Loan Sizing'!$I$25*'Phase 1 Pro Forma'!AV123</f>
        <v>0</v>
      </c>
      <c r="AW135" s="253">
        <f ca="1">+IFERROR(INDEX('Taxes and TIF'!$M$11:$M$45,MATCH('Phase 1 Pro Forma'!L$7,'Taxes and TIF'!$B$11:$B$45,0)),0)*'Loan Sizing'!$I$25*'Phase 1 Pro Forma'!AW123</f>
        <v>0</v>
      </c>
      <c r="AX135" s="253">
        <f ca="1">+IFERROR(INDEX('Taxes and TIF'!$M$11:$M$45,MATCH('Phase 1 Pro Forma'!M$7,'Taxes and TIF'!$B$11:$B$45,0)),0)*'Loan Sizing'!$I$25*'Phase 1 Pro Forma'!AX123</f>
        <v>0</v>
      </c>
      <c r="AY135" s="253">
        <f ca="1">+IFERROR(INDEX('Taxes and TIF'!$M$11:$M$45,MATCH('Phase 1 Pro Forma'!N$7,'Taxes and TIF'!$B$11:$B$45,0)),0)*'Loan Sizing'!$I$25*'Phase 1 Pro Forma'!AY123</f>
        <v>0</v>
      </c>
      <c r="AZ135" s="253">
        <f ca="1">+IFERROR(INDEX('Taxes and TIF'!$M$11:$M$45,MATCH('Phase 1 Pro Forma'!O$7,'Taxes and TIF'!$B$11:$B$45,0)),0)*'Loan Sizing'!$I$25*'Phase 1 Pro Forma'!AZ123</f>
        <v>0</v>
      </c>
      <c r="BA135" s="253">
        <f ca="1">+IFERROR(INDEX('Taxes and TIF'!$M$11:$M$45,MATCH('Phase 1 Pro Forma'!P$7,'Taxes and TIF'!$B$11:$B$45,0)),0)*'Loan Sizing'!$I$25*'Phase 1 Pro Forma'!BA123</f>
        <v>0</v>
      </c>
      <c r="BB135" s="253">
        <f ca="1">+IFERROR(INDEX('Taxes and TIF'!$M$11:$M$45,MATCH('Phase 1 Pro Forma'!Q$7,'Taxes and TIF'!$B$11:$B$45,0)),0)*'Loan Sizing'!$I$25*'Phase 1 Pro Forma'!BB123</f>
        <v>0</v>
      </c>
      <c r="BC135" s="253">
        <f ca="1">+IFERROR(INDEX('Taxes and TIF'!$M$11:$M$45,MATCH('Phase 1 Pro Forma'!R$7,'Taxes and TIF'!$B$11:$B$45,0)),0)*'Loan Sizing'!$I$25*'Phase 1 Pro Forma'!BC123</f>
        <v>0</v>
      </c>
      <c r="BD135" s="253">
        <f ca="1">+IFERROR(INDEX('Taxes and TIF'!$M$11:$M$45,MATCH('Phase 1 Pro Forma'!S$7,'Taxes and TIF'!$B$11:$B$45,0)),0)*'Loan Sizing'!$I$25*'Phase 1 Pro Forma'!BD123</f>
        <v>0</v>
      </c>
      <c r="BE135" s="253">
        <f ca="1">+IFERROR(INDEX('Taxes and TIF'!$M$11:$M$45,MATCH('Phase 1 Pro Forma'!T$7,'Taxes and TIF'!$B$11:$B$45,0)),0)*'Loan Sizing'!$I$25*'Phase 1 Pro Forma'!BE123</f>
        <v>0</v>
      </c>
      <c r="BF135" s="253">
        <f ca="1">+IFERROR(INDEX('Taxes and TIF'!$M$11:$M$45,MATCH('Phase 1 Pro Forma'!U$7,'Taxes and TIF'!$B$11:$B$45,0)),0)*'Loan Sizing'!$I$25*'Phase 1 Pro Forma'!BF123</f>
        <v>0</v>
      </c>
      <c r="BG135" s="253">
        <f ca="1">+IFERROR(INDEX('Taxes and TIF'!$M$11:$M$45,MATCH('Phase 1 Pro Forma'!V$7,'Taxes and TIF'!$B$11:$B$45,0)),0)*'Loan Sizing'!$I$25*'Phase 1 Pro Forma'!BG123</f>
        <v>0</v>
      </c>
      <c r="BH135" s="253">
        <f ca="1">+IFERROR(INDEX('Taxes and TIF'!$M$11:$M$45,MATCH('Phase 1 Pro Forma'!W$7,'Taxes and TIF'!$B$11:$B$45,0)),0)*'Loan Sizing'!$I$25*'Phase 1 Pro Forma'!BH123</f>
        <v>0</v>
      </c>
      <c r="BI135" s="253">
        <f ca="1">+IFERROR(INDEX('Taxes and TIF'!$M$11:$M$45,MATCH('Phase 1 Pro Forma'!X$7,'Taxes and TIF'!$B$11:$B$45,0)),0)*'Loan Sizing'!$I$25*'Phase 1 Pro Forma'!BI123</f>
        <v>0</v>
      </c>
      <c r="BJ135" s="253">
        <f ca="1">+IFERROR(INDEX('Taxes and TIF'!$M$11:$M$45,MATCH('Phase 1 Pro Forma'!Y$7,'Taxes and TIF'!$B$11:$B$45,0)),0)*'Loan Sizing'!$I$25*'Phase 1 Pro Forma'!BJ123</f>
        <v>0</v>
      </c>
      <c r="BK135" s="253">
        <f ca="1">+IFERROR(INDEX('Taxes and TIF'!$M$11:$M$45,MATCH('Phase 1 Pro Forma'!Z$7,'Taxes and TIF'!$B$11:$B$45,0)),0)*'Loan Sizing'!$I$25*'Phase 1 Pro Forma'!BK123</f>
        <v>0</v>
      </c>
      <c r="BL135" s="49"/>
      <c r="BM135" s="49"/>
      <c r="BN135" s="49"/>
    </row>
    <row r="136" spans="1:66" ht="16.5">
      <c r="A136" s="699"/>
      <c r="B136" s="59" t="s">
        <v>1151</v>
      </c>
      <c r="C136" s="59"/>
      <c r="D136" s="59"/>
      <c r="E136" s="59"/>
      <c r="F136" s="145">
        <f ca="1">+F135-F132</f>
        <v>0</v>
      </c>
      <c r="G136" s="145">
        <f t="shared" ref="G136:Z136" ca="1" si="384">+G135-G132</f>
        <v>0</v>
      </c>
      <c r="H136" s="145">
        <f t="shared" ca="1" si="384"/>
        <v>0</v>
      </c>
      <c r="I136" s="145">
        <f t="shared" ca="1" si="384"/>
        <v>0</v>
      </c>
      <c r="J136" s="145">
        <f t="shared" ca="1" si="384"/>
        <v>16896120.17068281</v>
      </c>
      <c r="K136" s="145">
        <f t="shared" ca="1" si="384"/>
        <v>16896120.170682814</v>
      </c>
      <c r="L136" s="145">
        <f t="shared" ca="1" si="384"/>
        <v>16896120.17068281</v>
      </c>
      <c r="M136" s="145">
        <f t="shared" ca="1" si="384"/>
        <v>16896120.17068281</v>
      </c>
      <c r="N136" s="145">
        <f t="shared" ca="1" si="384"/>
        <v>16896120.17068281</v>
      </c>
      <c r="O136" s="145">
        <f t="shared" ca="1" si="384"/>
        <v>16896120.17068281</v>
      </c>
      <c r="P136" s="145">
        <f t="shared" ca="1" si="384"/>
        <v>16896120.17068281</v>
      </c>
      <c r="Q136" s="145">
        <f t="shared" ca="1" si="384"/>
        <v>16896120.17068281</v>
      </c>
      <c r="R136" s="145">
        <f t="shared" ca="1" si="384"/>
        <v>16896120.17068281</v>
      </c>
      <c r="S136" s="145">
        <f t="shared" ca="1" si="384"/>
        <v>16896120.17068281</v>
      </c>
      <c r="T136" s="145">
        <f t="shared" ca="1" si="384"/>
        <v>16896120.17068281</v>
      </c>
      <c r="U136" s="145">
        <f t="shared" ca="1" si="384"/>
        <v>16896120.17068281</v>
      </c>
      <c r="V136" s="145">
        <f t="shared" ca="1" si="384"/>
        <v>16896120.17068281</v>
      </c>
      <c r="W136" s="145">
        <f t="shared" ca="1" si="384"/>
        <v>16896120.17068281</v>
      </c>
      <c r="X136" s="145">
        <f t="shared" ca="1" si="384"/>
        <v>16896120.17068281</v>
      </c>
      <c r="Y136" s="145">
        <f t="shared" ca="1" si="384"/>
        <v>16896120.17068281</v>
      </c>
      <c r="Z136" s="145">
        <f t="shared" ca="1" si="384"/>
        <v>16896120.17068281</v>
      </c>
      <c r="AA136" s="699"/>
      <c r="AB136" s="699"/>
      <c r="AC136" s="699"/>
      <c r="AD136" s="699"/>
      <c r="AE136" s="49"/>
      <c r="AF136" s="49"/>
      <c r="AG136" s="49"/>
      <c r="AH136" s="49"/>
      <c r="AI136" s="49"/>
      <c r="AJ136" s="49"/>
      <c r="AK136" s="49"/>
      <c r="AL136" s="49"/>
      <c r="AM136" s="49" t="s">
        <v>1134</v>
      </c>
      <c r="AN136" s="49"/>
      <c r="AO136" s="49"/>
      <c r="AP136" s="49"/>
      <c r="AQ136" s="83">
        <f ca="1">+SUM(AQ134:AQ135)</f>
        <v>0</v>
      </c>
      <c r="AR136" s="83">
        <f t="shared" ref="AR136:BK136" ca="1" si="385">+SUM(AR134:AR135)</f>
        <v>0</v>
      </c>
      <c r="AS136" s="83">
        <f t="shared" ca="1" si="385"/>
        <v>0</v>
      </c>
      <c r="AT136" s="83">
        <f t="shared" ca="1" si="385"/>
        <v>0</v>
      </c>
      <c r="AU136" s="83">
        <f t="shared" ca="1" si="385"/>
        <v>0</v>
      </c>
      <c r="AV136" s="83">
        <f t="shared" ca="1" si="385"/>
        <v>0</v>
      </c>
      <c r="AW136" s="83">
        <f t="shared" ca="1" si="385"/>
        <v>0</v>
      </c>
      <c r="AX136" s="83">
        <f t="shared" ca="1" si="385"/>
        <v>0</v>
      </c>
      <c r="AY136" s="83">
        <f t="shared" ca="1" si="385"/>
        <v>0</v>
      </c>
      <c r="AZ136" s="83">
        <f t="shared" ca="1" si="385"/>
        <v>0</v>
      </c>
      <c r="BA136" s="83">
        <f t="shared" ca="1" si="385"/>
        <v>0</v>
      </c>
      <c r="BB136" s="83">
        <f t="shared" ca="1" si="385"/>
        <v>0</v>
      </c>
      <c r="BC136" s="83">
        <f t="shared" ca="1" si="385"/>
        <v>0</v>
      </c>
      <c r="BD136" s="83">
        <f t="shared" ca="1" si="385"/>
        <v>0</v>
      </c>
      <c r="BE136" s="83">
        <f t="shared" ca="1" si="385"/>
        <v>0</v>
      </c>
      <c r="BF136" s="83">
        <f t="shared" ca="1" si="385"/>
        <v>0</v>
      </c>
      <c r="BG136" s="83">
        <f t="shared" ca="1" si="385"/>
        <v>0</v>
      </c>
      <c r="BH136" s="83">
        <f t="shared" ca="1" si="385"/>
        <v>0</v>
      </c>
      <c r="BI136" s="83">
        <f t="shared" ca="1" si="385"/>
        <v>0</v>
      </c>
      <c r="BJ136" s="83">
        <f t="shared" ca="1" si="385"/>
        <v>0</v>
      </c>
      <c r="BK136" s="83">
        <f t="shared" ca="1" si="385"/>
        <v>0</v>
      </c>
      <c r="BL136" s="49"/>
      <c r="BM136" s="49"/>
      <c r="BN136" s="49"/>
    </row>
    <row r="137" spans="1:66" ht="16.5">
      <c r="A137" s="699"/>
      <c r="B137" s="60" t="s">
        <v>670</v>
      </c>
      <c r="C137" s="699"/>
      <c r="D137" s="699"/>
      <c r="E137" s="699"/>
      <c r="F137" s="146" t="str">
        <f t="shared" ref="F137:Z137" ca="1" si="386">+IFERROR(F127/F136,"")</f>
        <v/>
      </c>
      <c r="G137" s="146" t="str">
        <f t="shared" ca="1" si="386"/>
        <v/>
      </c>
      <c r="H137" s="146" t="str">
        <f t="shared" ca="1" si="386"/>
        <v/>
      </c>
      <c r="I137" s="146" t="str">
        <f t="shared" ca="1" si="386"/>
        <v/>
      </c>
      <c r="J137" s="146">
        <f t="shared" ca="1" si="386"/>
        <v>0.17678569263800095</v>
      </c>
      <c r="K137" s="146">
        <f t="shared" ca="1" si="386"/>
        <v>0.76360885403175616</v>
      </c>
      <c r="L137" s="146">
        <f t="shared" ca="1" si="386"/>
        <v>1.2500000000000011</v>
      </c>
      <c r="M137" s="146">
        <f t="shared" ca="1" si="386"/>
        <v>1.3407042925617927</v>
      </c>
      <c r="N137" s="146">
        <f t="shared" ca="1" si="386"/>
        <v>1.3713346591141367</v>
      </c>
      <c r="O137" s="146">
        <f t="shared" ca="1" si="386"/>
        <v>1.4028839366630514</v>
      </c>
      <c r="P137" s="146">
        <f t="shared" ca="1" si="386"/>
        <v>1.4296742206514279</v>
      </c>
      <c r="Q137" s="146">
        <f t="shared" ca="1" si="386"/>
        <v>1.4631448492030712</v>
      </c>
      <c r="R137" s="146">
        <f t="shared" ca="1" si="386"/>
        <v>1.5741007671688381</v>
      </c>
      <c r="S137" s="146">
        <f t="shared" ca="1" si="386"/>
        <v>1.6037331209556611</v>
      </c>
      <c r="T137" s="146">
        <f t="shared" ca="1" si="386"/>
        <v>1.6403073804810127</v>
      </c>
      <c r="U137" s="146">
        <f t="shared" ca="1" si="386"/>
        <v>1.6779788677921248</v>
      </c>
      <c r="V137" s="146">
        <f t="shared" ca="1" si="386"/>
        <v>1.7107275645976465</v>
      </c>
      <c r="W137" s="146">
        <f t="shared" ca="1" si="386"/>
        <v>1.8386465916272163</v>
      </c>
      <c r="X137" s="146">
        <f t="shared" ca="1" si="386"/>
        <v>1.8798112429422258</v>
      </c>
      <c r="Y137" s="146">
        <f t="shared" ca="1" si="386"/>
        <v>1.9159763106180139</v>
      </c>
      <c r="Z137" s="146">
        <f t="shared" ca="1" si="386"/>
        <v>1.9596478891981084</v>
      </c>
      <c r="AA137" s="699"/>
      <c r="AB137" s="699"/>
      <c r="AC137" s="699"/>
      <c r="AD137" s="699"/>
      <c r="AE137" s="49"/>
      <c r="AF137" s="49"/>
      <c r="AG137" s="49"/>
      <c r="AH137" s="49"/>
      <c r="AI137" s="49"/>
      <c r="AJ137" s="49"/>
      <c r="AK137" s="49"/>
      <c r="AL137" s="49"/>
      <c r="AM137" s="81" t="s">
        <v>1135</v>
      </c>
      <c r="AN137" s="81"/>
      <c r="AO137" s="81"/>
      <c r="AP137" s="81"/>
      <c r="AQ137" s="94">
        <f ca="1">+AQ132-AQ136</f>
        <v>0</v>
      </c>
      <c r="AR137" s="94">
        <f t="shared" ref="AR137:BK137" ca="1" si="387">+AR132-AR136</f>
        <v>0</v>
      </c>
      <c r="AS137" s="94">
        <f t="shared" ca="1" si="387"/>
        <v>0</v>
      </c>
      <c r="AT137" s="94">
        <f t="shared" ca="1" si="387"/>
        <v>0</v>
      </c>
      <c r="AU137" s="94">
        <f t="shared" ca="1" si="387"/>
        <v>0</v>
      </c>
      <c r="AV137" s="94">
        <f t="shared" ca="1" si="387"/>
        <v>0</v>
      </c>
      <c r="AW137" s="94">
        <f t="shared" ca="1" si="387"/>
        <v>0</v>
      </c>
      <c r="AX137" s="94">
        <f t="shared" ca="1" si="387"/>
        <v>0</v>
      </c>
      <c r="AY137" s="94">
        <f t="shared" ca="1" si="387"/>
        <v>0</v>
      </c>
      <c r="AZ137" s="94">
        <f t="shared" ca="1" si="387"/>
        <v>0</v>
      </c>
      <c r="BA137" s="94">
        <f t="shared" ca="1" si="387"/>
        <v>0</v>
      </c>
      <c r="BB137" s="94">
        <f t="shared" ca="1" si="387"/>
        <v>0</v>
      </c>
      <c r="BC137" s="94">
        <f t="shared" ca="1" si="387"/>
        <v>0</v>
      </c>
      <c r="BD137" s="94">
        <f t="shared" ca="1" si="387"/>
        <v>0</v>
      </c>
      <c r="BE137" s="94">
        <f t="shared" ca="1" si="387"/>
        <v>0</v>
      </c>
      <c r="BF137" s="94">
        <f t="shared" ca="1" si="387"/>
        <v>0</v>
      </c>
      <c r="BG137" s="94">
        <f t="shared" ca="1" si="387"/>
        <v>0</v>
      </c>
      <c r="BH137" s="94">
        <f t="shared" ca="1" si="387"/>
        <v>0</v>
      </c>
      <c r="BI137" s="94">
        <f t="shared" ca="1" si="387"/>
        <v>0</v>
      </c>
      <c r="BJ137" s="94">
        <f t="shared" ca="1" si="387"/>
        <v>0</v>
      </c>
      <c r="BK137" s="94">
        <f t="shared" ca="1" si="387"/>
        <v>0</v>
      </c>
      <c r="BL137" s="49"/>
      <c r="BM137" s="49"/>
      <c r="BN137" s="49"/>
    </row>
    <row r="138" spans="1:66" ht="16.5">
      <c r="A138" s="699"/>
      <c r="B138" s="47"/>
      <c r="C138" s="699"/>
      <c r="D138" s="699"/>
      <c r="E138" s="699"/>
      <c r="F138" s="699"/>
      <c r="G138" s="699"/>
      <c r="H138" s="699"/>
      <c r="I138" s="699"/>
      <c r="J138" s="699"/>
      <c r="K138" s="699"/>
      <c r="L138" s="699"/>
      <c r="M138" s="699"/>
      <c r="N138" s="699"/>
      <c r="O138" s="699"/>
      <c r="P138" s="699"/>
      <c r="Q138" s="699"/>
      <c r="R138" s="699"/>
      <c r="S138" s="699"/>
      <c r="T138" s="699"/>
      <c r="U138" s="699"/>
      <c r="V138" s="699"/>
      <c r="W138" s="699"/>
      <c r="X138" s="699"/>
      <c r="Y138" s="699"/>
      <c r="Z138" s="699"/>
      <c r="AA138" s="699"/>
      <c r="AB138" s="699"/>
      <c r="AC138" s="699"/>
      <c r="AD138" s="699"/>
      <c r="AE138" s="49"/>
      <c r="AF138" s="49"/>
      <c r="AG138" s="49"/>
      <c r="AH138" s="49"/>
      <c r="AI138" s="49"/>
      <c r="AJ138" s="49"/>
      <c r="AK138" s="49"/>
      <c r="AL138" s="49"/>
      <c r="AM138" s="223" t="s">
        <v>1136</v>
      </c>
      <c r="AN138" s="223"/>
      <c r="AO138" s="223"/>
      <c r="AP138" s="223"/>
      <c r="AQ138" s="772" t="str">
        <f t="shared" ref="AQ138:BK138" ca="1" si="388">+IFERROR(AQ137/AQ132,"")</f>
        <v/>
      </c>
      <c r="AR138" s="772" t="str">
        <f t="shared" ca="1" si="388"/>
        <v/>
      </c>
      <c r="AS138" s="772" t="str">
        <f t="shared" ca="1" si="388"/>
        <v/>
      </c>
      <c r="AT138" s="772" t="str">
        <f t="shared" ca="1" si="388"/>
        <v/>
      </c>
      <c r="AU138" s="772" t="str">
        <f t="shared" ca="1" si="388"/>
        <v/>
      </c>
      <c r="AV138" s="772" t="str">
        <f t="shared" ca="1" si="388"/>
        <v/>
      </c>
      <c r="AW138" s="772" t="str">
        <f t="shared" ca="1" si="388"/>
        <v/>
      </c>
      <c r="AX138" s="772" t="str">
        <f t="shared" ca="1" si="388"/>
        <v/>
      </c>
      <c r="AY138" s="772" t="str">
        <f t="shared" ca="1" si="388"/>
        <v/>
      </c>
      <c r="AZ138" s="772" t="str">
        <f t="shared" ca="1" si="388"/>
        <v/>
      </c>
      <c r="BA138" s="772" t="str">
        <f t="shared" ca="1" si="388"/>
        <v/>
      </c>
      <c r="BB138" s="772" t="str">
        <f t="shared" ca="1" si="388"/>
        <v/>
      </c>
      <c r="BC138" s="772" t="str">
        <f t="shared" ca="1" si="388"/>
        <v/>
      </c>
      <c r="BD138" s="772" t="str">
        <f t="shared" ca="1" si="388"/>
        <v/>
      </c>
      <c r="BE138" s="772" t="str">
        <f t="shared" ca="1" si="388"/>
        <v/>
      </c>
      <c r="BF138" s="772" t="str">
        <f t="shared" ca="1" si="388"/>
        <v/>
      </c>
      <c r="BG138" s="772" t="str">
        <f t="shared" ca="1" si="388"/>
        <v/>
      </c>
      <c r="BH138" s="772" t="str">
        <f t="shared" ca="1" si="388"/>
        <v/>
      </c>
      <c r="BI138" s="772" t="str">
        <f t="shared" ca="1" si="388"/>
        <v/>
      </c>
      <c r="BJ138" s="772" t="str">
        <f t="shared" ca="1" si="388"/>
        <v/>
      </c>
      <c r="BK138" s="772" t="str">
        <f t="shared" ca="1" si="388"/>
        <v/>
      </c>
      <c r="BL138" s="49"/>
      <c r="BM138" s="49"/>
      <c r="BN138" s="49"/>
    </row>
    <row r="139" spans="1:66" ht="16.5">
      <c r="A139" s="699"/>
      <c r="B139" s="47" t="s">
        <v>1152</v>
      </c>
      <c r="C139" s="699"/>
      <c r="D139" s="699"/>
      <c r="E139" s="699"/>
      <c r="F139" s="1087">
        <f>+F131*Assumptions!$N$146</f>
        <v>0</v>
      </c>
      <c r="G139" s="1087">
        <f>+G131*Assumptions!$N$146</f>
        <v>0</v>
      </c>
      <c r="H139" s="1087">
        <f>+H131*Assumptions!$N$146</f>
        <v>0</v>
      </c>
      <c r="I139" s="1087">
        <f>+I131*Assumptions!$N$146</f>
        <v>0</v>
      </c>
      <c r="J139" s="1087">
        <f ca="1">+J131*Assumptions!$N$146</f>
        <v>2752190.1829116293</v>
      </c>
      <c r="K139" s="1087">
        <f>+K131*Assumptions!$N$146</f>
        <v>0</v>
      </c>
      <c r="L139" s="1087">
        <f>+L131*Assumptions!$N$146</f>
        <v>0</v>
      </c>
      <c r="M139" s="1087">
        <f>+M131*Assumptions!$N$146</f>
        <v>0</v>
      </c>
      <c r="N139" s="1087">
        <f>+N131*Assumptions!$N$146</f>
        <v>0</v>
      </c>
      <c r="O139" s="1087">
        <f>+O131*Assumptions!$N$146</f>
        <v>0</v>
      </c>
      <c r="P139" s="1087">
        <f>+P131*Assumptions!$N$146</f>
        <v>0</v>
      </c>
      <c r="Q139" s="1087">
        <f>+Q131*Assumptions!$N$146</f>
        <v>0</v>
      </c>
      <c r="R139" s="1087">
        <f>+R131*Assumptions!$N$146</f>
        <v>0</v>
      </c>
      <c r="S139" s="1087">
        <f>+S131*Assumptions!$N$146</f>
        <v>0</v>
      </c>
      <c r="T139" s="1087">
        <f>+T131*Assumptions!$N$146</f>
        <v>0</v>
      </c>
      <c r="U139" s="1087">
        <f>+U131*Assumptions!$N$146</f>
        <v>0</v>
      </c>
      <c r="V139" s="1087">
        <f>+V131*Assumptions!$N$146</f>
        <v>0</v>
      </c>
      <c r="W139" s="1087">
        <f>+W131*Assumptions!$N$146</f>
        <v>0</v>
      </c>
      <c r="X139" s="1087">
        <f>+X131*Assumptions!$N$146</f>
        <v>0</v>
      </c>
      <c r="Y139" s="1087">
        <f>+Y131*Assumptions!$N$146</f>
        <v>0</v>
      </c>
      <c r="Z139" s="1087">
        <f>+Z131*Assumptions!$N$146</f>
        <v>0</v>
      </c>
      <c r="AA139" s="699"/>
      <c r="AB139" s="699"/>
      <c r="AC139" s="699"/>
      <c r="AD139" s="699"/>
      <c r="AE139" s="49"/>
      <c r="AF139" s="49"/>
      <c r="AG139" s="49"/>
      <c r="AH139" s="49"/>
      <c r="AI139" s="49"/>
      <c r="AJ139" s="49"/>
      <c r="AK139" s="49"/>
      <c r="AL139" s="49"/>
      <c r="AM139" s="223" t="s">
        <v>1064</v>
      </c>
      <c r="AN139" s="223"/>
      <c r="AO139" s="223"/>
      <c r="AP139" s="223"/>
      <c r="AQ139" s="224">
        <v>0</v>
      </c>
      <c r="AR139" s="224">
        <v>0</v>
      </c>
      <c r="AS139" s="224">
        <v>0</v>
      </c>
      <c r="AT139" s="224">
        <v>0</v>
      </c>
      <c r="AU139" s="224">
        <v>0</v>
      </c>
      <c r="AV139" s="224">
        <v>0</v>
      </c>
      <c r="AW139" s="224">
        <v>0</v>
      </c>
      <c r="AX139" s="224">
        <v>0</v>
      </c>
      <c r="AY139" s="224">
        <v>0</v>
      </c>
      <c r="AZ139" s="224">
        <v>0</v>
      </c>
      <c r="BA139" s="224">
        <v>0</v>
      </c>
      <c r="BB139" s="224">
        <v>0</v>
      </c>
      <c r="BC139" s="224">
        <v>0</v>
      </c>
      <c r="BD139" s="224">
        <v>0</v>
      </c>
      <c r="BE139" s="224">
        <v>0</v>
      </c>
      <c r="BF139" s="224">
        <v>0</v>
      </c>
      <c r="BG139" s="224">
        <v>0</v>
      </c>
      <c r="BH139" s="224">
        <v>0</v>
      </c>
      <c r="BI139" s="224">
        <v>0</v>
      </c>
      <c r="BJ139" s="224">
        <v>0</v>
      </c>
      <c r="BK139" s="224">
        <v>0</v>
      </c>
      <c r="BL139" s="49"/>
      <c r="BM139" s="49"/>
      <c r="BN139" s="49"/>
    </row>
    <row r="140" spans="1:66" ht="16.5">
      <c r="A140" s="699"/>
      <c r="B140" s="47"/>
      <c r="C140" s="699"/>
      <c r="D140" s="699"/>
      <c r="E140" s="699"/>
      <c r="F140" s="699"/>
      <c r="G140" s="699"/>
      <c r="H140" s="699"/>
      <c r="I140" s="699"/>
      <c r="J140" s="699"/>
      <c r="K140" s="699"/>
      <c r="L140" s="699"/>
      <c r="M140" s="699"/>
      <c r="N140" s="699"/>
      <c r="O140" s="699"/>
      <c r="P140" s="699"/>
      <c r="Q140" s="699"/>
      <c r="R140" s="699"/>
      <c r="S140" s="699"/>
      <c r="T140" s="699"/>
      <c r="U140" s="699"/>
      <c r="V140" s="699"/>
      <c r="W140" s="699"/>
      <c r="X140" s="699"/>
      <c r="Y140" s="699"/>
      <c r="Z140" s="699"/>
      <c r="AA140" s="699"/>
      <c r="AB140" s="699"/>
      <c r="AC140" s="699"/>
      <c r="AD140" s="69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49"/>
      <c r="AY140" s="49"/>
      <c r="AZ140" s="49"/>
      <c r="BA140" s="49"/>
      <c r="BB140" s="49"/>
      <c r="BC140" s="49"/>
      <c r="BD140" s="49"/>
      <c r="BE140" s="49"/>
      <c r="BF140" s="49"/>
      <c r="BG140" s="49"/>
      <c r="BH140" s="49"/>
      <c r="BI140" s="49"/>
      <c r="BJ140" s="49"/>
      <c r="BK140" s="49"/>
      <c r="BL140" s="49"/>
      <c r="BM140" s="49"/>
      <c r="BN140" s="49"/>
    </row>
    <row r="141" spans="1:66" ht="16.5">
      <c r="A141" s="699"/>
      <c r="B141" s="59" t="s">
        <v>1153</v>
      </c>
      <c r="C141" s="59"/>
      <c r="D141" s="59"/>
      <c r="E141" s="59"/>
      <c r="F141" s="144">
        <f t="shared" ref="F141:Z141" ca="1" si="389">+F127-F136-F139</f>
        <v>0</v>
      </c>
      <c r="G141" s="144">
        <f t="shared" ca="1" si="389"/>
        <v>0</v>
      </c>
      <c r="H141" s="144">
        <f t="shared" ca="1" si="389"/>
        <v>0</v>
      </c>
      <c r="I141" s="144">
        <f t="shared" ca="1" si="389"/>
        <v>0</v>
      </c>
      <c r="J141" s="144">
        <f t="shared" ca="1" si="389"/>
        <v>-16661318.04632538</v>
      </c>
      <c r="K141" s="144">
        <f t="shared" ca="1" si="389"/>
        <v>-3994093.2095648702</v>
      </c>
      <c r="L141" s="144">
        <f t="shared" ca="1" si="389"/>
        <v>4224030.0426707231</v>
      </c>
      <c r="M141" s="144">
        <f t="shared" ca="1" si="389"/>
        <v>5756580.6697915234</v>
      </c>
      <c r="N141" s="144">
        <f t="shared" ca="1" si="389"/>
        <v>6274115.0239319913</v>
      </c>
      <c r="O141" s="144">
        <f t="shared" ca="1" si="389"/>
        <v>6807175.4086966775</v>
      </c>
      <c r="P141" s="144">
        <f t="shared" ca="1" si="389"/>
        <v>7259827.266371008</v>
      </c>
      <c r="Q141" s="144">
        <f t="shared" ca="1" si="389"/>
        <v>7825351.028567858</v>
      </c>
      <c r="R141" s="144">
        <f t="shared" ca="1" si="389"/>
        <v>9700075.5521658808</v>
      </c>
      <c r="S141" s="144">
        <f t="shared" ca="1" si="389"/>
        <v>10200747.362688232</v>
      </c>
      <c r="T141" s="144">
        <f t="shared" ca="1" si="389"/>
        <v>10818710.44678231</v>
      </c>
      <c r="U141" s="144">
        <f t="shared" ca="1" si="389"/>
        <v>11455212.423399214</v>
      </c>
      <c r="V141" s="144">
        <f t="shared" ca="1" si="389"/>
        <v>12008538.340058565</v>
      </c>
      <c r="W141" s="144">
        <f t="shared" ca="1" si="389"/>
        <v>14169873.592866998</v>
      </c>
      <c r="X141" s="144">
        <f t="shared" ca="1" si="389"/>
        <v>14865396.488269657</v>
      </c>
      <c r="Y141" s="144">
        <f t="shared" ca="1" si="389"/>
        <v>15476445.817700647</v>
      </c>
      <c r="Z141" s="144">
        <f t="shared" ca="1" si="389"/>
        <v>16214326.057433341</v>
      </c>
      <c r="AA141" s="699"/>
      <c r="AB141" s="699"/>
      <c r="AC141" s="699"/>
      <c r="AD141" s="699"/>
      <c r="AE141" s="49"/>
      <c r="AF141" s="49"/>
      <c r="AG141" s="49"/>
      <c r="AH141" s="49"/>
      <c r="AI141" s="49"/>
      <c r="AJ141" s="49"/>
      <c r="AK141" s="49"/>
      <c r="AL141" s="49"/>
      <c r="AM141" s="81" t="s">
        <v>1154</v>
      </c>
      <c r="AN141" s="49"/>
      <c r="AO141" s="49"/>
      <c r="AP141" s="49"/>
      <c r="AQ141" s="768"/>
      <c r="AR141" s="768"/>
      <c r="AS141" s="768"/>
      <c r="AT141" s="768"/>
      <c r="AU141" s="768"/>
      <c r="AV141" s="768"/>
      <c r="AW141" s="768"/>
      <c r="AX141" s="768"/>
      <c r="AY141" s="768"/>
      <c r="AZ141" s="768"/>
      <c r="BA141" s="768"/>
      <c r="BB141" s="768"/>
      <c r="BC141" s="768"/>
      <c r="BD141" s="768"/>
      <c r="BE141" s="768"/>
      <c r="BF141" s="768"/>
      <c r="BG141" s="768"/>
      <c r="BH141" s="768"/>
      <c r="BI141" s="768"/>
      <c r="BJ141" s="768"/>
      <c r="BK141" s="768"/>
      <c r="BL141" s="49"/>
      <c r="BM141" s="49"/>
      <c r="BN141" s="49"/>
    </row>
    <row r="142" spans="1:66" ht="16.5">
      <c r="A142" s="699" t="s">
        <v>511</v>
      </c>
      <c r="B142" s="47"/>
      <c r="C142" s="699"/>
      <c r="D142" s="699"/>
      <c r="E142" s="699"/>
      <c r="F142" s="699"/>
      <c r="G142" s="699"/>
      <c r="H142" s="699"/>
      <c r="I142" s="699"/>
      <c r="J142" s="699"/>
      <c r="K142" s="699"/>
      <c r="L142" s="699"/>
      <c r="M142" s="699"/>
      <c r="N142" s="699"/>
      <c r="O142" s="699"/>
      <c r="P142" s="699"/>
      <c r="Q142" s="699"/>
      <c r="R142" s="699"/>
      <c r="S142" s="699"/>
      <c r="T142" s="699"/>
      <c r="U142" s="699"/>
      <c r="V142" s="699"/>
      <c r="W142" s="699"/>
      <c r="X142" s="699"/>
      <c r="Y142" s="699"/>
      <c r="Z142" s="699"/>
      <c r="AA142" s="699"/>
      <c r="AB142" s="699"/>
      <c r="AC142" s="699"/>
      <c r="AD142" s="69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49"/>
      <c r="AY142" s="49"/>
      <c r="AZ142" s="49"/>
      <c r="BA142" s="49"/>
      <c r="BB142" s="49"/>
      <c r="BC142" s="49"/>
      <c r="BD142" s="49"/>
      <c r="BE142" s="49"/>
      <c r="BF142" s="49"/>
      <c r="BG142" s="49"/>
      <c r="BH142" s="49"/>
      <c r="BI142" s="49"/>
      <c r="BJ142" s="49"/>
      <c r="BK142" s="49"/>
      <c r="BL142" s="49"/>
      <c r="BM142" s="49"/>
      <c r="BN142" s="49"/>
    </row>
    <row r="143" spans="1:66" ht="16.5">
      <c r="A143" s="699"/>
      <c r="B143" s="58" t="s">
        <v>1155</v>
      </c>
      <c r="C143" s="699"/>
      <c r="D143" s="699"/>
      <c r="E143" s="699"/>
      <c r="F143" s="699"/>
      <c r="G143" s="699"/>
      <c r="H143" s="699"/>
      <c r="I143" s="699"/>
      <c r="J143" s="699"/>
      <c r="K143" s="699"/>
      <c r="L143" s="699"/>
      <c r="M143" s="699"/>
      <c r="N143" s="699"/>
      <c r="O143" s="699"/>
      <c r="P143" s="699"/>
      <c r="Q143" s="699"/>
      <c r="R143" s="699"/>
      <c r="S143" s="699"/>
      <c r="T143" s="699"/>
      <c r="U143" s="699"/>
      <c r="V143" s="699"/>
      <c r="W143" s="699"/>
      <c r="X143" s="699"/>
      <c r="Y143" s="699"/>
      <c r="Z143" s="699"/>
      <c r="AA143" s="699"/>
      <c r="AB143" s="699"/>
      <c r="AC143" s="699"/>
      <c r="AD143" s="699"/>
      <c r="AE143" s="49"/>
      <c r="AF143" s="49"/>
      <c r="AG143" s="49"/>
      <c r="AH143" s="49"/>
      <c r="AI143" s="49"/>
      <c r="AJ143" s="49"/>
      <c r="AK143" s="49"/>
      <c r="AL143" s="49"/>
      <c r="AM143" s="81" t="s">
        <v>621</v>
      </c>
      <c r="AN143" s="49"/>
      <c r="AO143" s="49"/>
      <c r="AP143" s="49"/>
      <c r="AQ143" s="768">
        <f>+Assumptions!$F$27</f>
        <v>45291</v>
      </c>
      <c r="AR143" s="768">
        <f>+EOMONTH(AQ143,12)</f>
        <v>45657</v>
      </c>
      <c r="AS143" s="768">
        <f t="shared" ref="AS143" si="390">+EOMONTH(AR143,12)</f>
        <v>46022</v>
      </c>
      <c r="AT143" s="768">
        <f t="shared" ref="AT143" si="391">+EOMONTH(AS143,12)</f>
        <v>46387</v>
      </c>
      <c r="AU143" s="768">
        <f t="shared" ref="AU143" si="392">+EOMONTH(AT143,12)</f>
        <v>46752</v>
      </c>
      <c r="AV143" s="768">
        <f t="shared" ref="AV143" si="393">+EOMONTH(AU143,12)</f>
        <v>47118</v>
      </c>
      <c r="AW143" s="768">
        <f t="shared" ref="AW143" si="394">+EOMONTH(AV143,12)</f>
        <v>47483</v>
      </c>
      <c r="AX143" s="768">
        <f t="shared" ref="AX143" si="395">+EOMONTH(AW143,12)</f>
        <v>47848</v>
      </c>
      <c r="AY143" s="768">
        <f t="shared" ref="AY143" si="396">+EOMONTH(AX143,12)</f>
        <v>48213</v>
      </c>
      <c r="AZ143" s="768">
        <f t="shared" ref="AZ143" si="397">+EOMONTH(AY143,12)</f>
        <v>48579</v>
      </c>
      <c r="BA143" s="768">
        <f t="shared" ref="BA143" si="398">+EOMONTH(AZ143,12)</f>
        <v>48944</v>
      </c>
      <c r="BB143" s="768">
        <f t="shared" ref="BB143" si="399">+EOMONTH(BA143,12)</f>
        <v>49309</v>
      </c>
      <c r="BC143" s="768">
        <f t="shared" ref="BC143" si="400">+EOMONTH(BB143,12)</f>
        <v>49674</v>
      </c>
      <c r="BD143" s="768">
        <f t="shared" ref="BD143" si="401">+EOMONTH(BC143,12)</f>
        <v>50040</v>
      </c>
      <c r="BE143" s="768">
        <f t="shared" ref="BE143" si="402">+EOMONTH(BD143,12)</f>
        <v>50405</v>
      </c>
      <c r="BF143" s="768">
        <f t="shared" ref="BF143" si="403">+EOMONTH(BE143,12)</f>
        <v>50770</v>
      </c>
      <c r="BG143" s="768">
        <f t="shared" ref="BG143" si="404">+EOMONTH(BF143,12)</f>
        <v>51135</v>
      </c>
      <c r="BH143" s="768">
        <f t="shared" ref="BH143" si="405">+EOMONTH(BG143,12)</f>
        <v>51501</v>
      </c>
      <c r="BI143" s="768">
        <f t="shared" ref="BI143" si="406">+EOMONTH(BH143,12)</f>
        <v>51866</v>
      </c>
      <c r="BJ143" s="768">
        <f t="shared" ref="BJ143" si="407">+EOMONTH(BI143,12)</f>
        <v>52231</v>
      </c>
      <c r="BK143" s="768">
        <f t="shared" ref="BK143" si="408">+EOMONTH(BJ143,12)</f>
        <v>52596</v>
      </c>
      <c r="BL143" s="49"/>
      <c r="BM143" s="49"/>
      <c r="BN143" s="49"/>
    </row>
    <row r="144" spans="1:66" ht="16.5">
      <c r="A144" s="699"/>
      <c r="B144" s="1" t="s">
        <v>1156</v>
      </c>
      <c r="C144" s="699"/>
      <c r="D144" s="699"/>
      <c r="E144" s="699"/>
      <c r="F144" s="83">
        <f>+IF(YEAR(F$129)=YEAR(Assumptions!$F$35),F125+F477+F103+F77+AQ139+AQ116+AQ92+AQ69+AQ46+AQ23+F51+F28,0)</f>
        <v>0</v>
      </c>
      <c r="G144" s="83">
        <f>+IF(YEAR(G$129)=YEAR(Assumptions!$F$35),G125+G477+G103+G77+AR139+AR116+AR92+AR69+AR46+AR23+G51+G28,0)</f>
        <v>0</v>
      </c>
      <c r="H144" s="83">
        <f>+IF(YEAR(H$129)=YEAR(Assumptions!$F$35),H125+H477+H103+H77+AS139+AS116+AS92+AS69+AS46+AS23+H51+H28,0)</f>
        <v>0</v>
      </c>
      <c r="I144" s="83">
        <f>+IF(YEAR(I$129)=YEAR(Assumptions!$F$35),I125+I477+I103+I77+AT139+AT116+AT92+AT69+AT46+AT23+I51+I28,0)</f>
        <v>0</v>
      </c>
      <c r="J144" s="83">
        <f>+IF(YEAR(J$129)=YEAR(Assumptions!$F$35),J125+J477+J103+J77+AU139+AU116+AU92+AU69+AU46+AU23+J51+J28,0)</f>
        <v>0</v>
      </c>
      <c r="K144" s="83">
        <f>+IF(YEAR(K$129)=YEAR(Assumptions!$F$35),K125+K477+K103+K77+AV139+AV116+AV92+AV69+AV46+AV23+K51+K28,0)</f>
        <v>0</v>
      </c>
      <c r="L144" s="83">
        <f>+IF(YEAR(L$129)=YEAR(Assumptions!$F$35),L125+L477+L103+L77+AW139+AW116+AW92+AW69+AW46+AW23+L51+L28,0)</f>
        <v>0</v>
      </c>
      <c r="M144" s="83">
        <f>+IF(YEAR(M$129)=YEAR(Assumptions!$F$35),M125+M477+M103+M77+AX139+AX116+AX92+AX69+AX46+AX23+M51+M28,0)</f>
        <v>0</v>
      </c>
      <c r="N144" s="83">
        <f>+IF(YEAR(N$129)=YEAR(Assumptions!$F$35),N125+N477+N103+N77+AY139+AY116+AY92+AY69+AY46+AY23+N51+N28,0)</f>
        <v>0</v>
      </c>
      <c r="O144" s="83">
        <f>+IF(YEAR(O$129)=YEAR(Assumptions!$F$35),O125+O477+O103+O77+AZ139+AZ116+AZ92+AZ69+AZ46+AZ23+O51+O28,0)</f>
        <v>0</v>
      </c>
      <c r="P144" s="83">
        <f ca="1">+IF(YEAR(P$129)=YEAR(Assumptions!$F$35),P125+P477+P103+P77+BA139+BA116+BA92+BA69+BA46+BA23+P51+P28,0)</f>
        <v>525995178.20263666</v>
      </c>
      <c r="Q144" s="83">
        <f>+IF(YEAR(Q$129)=YEAR(Assumptions!$F$35),Q125+Q477+Q103+Q77+BB139+BB116+BB92+BB69+BB46+BB23+Q51+Q28,0)</f>
        <v>0</v>
      </c>
      <c r="R144" s="83">
        <f>+IF(YEAR(R$129)=YEAR(Assumptions!$F$35),R125+R477+R103+R77+BC139+BC116+BC92+BC69+BC46+BC23+R51+R28,0)</f>
        <v>0</v>
      </c>
      <c r="S144" s="83">
        <f>+IF(YEAR(S$129)=YEAR(Assumptions!$F$35),S125+S477+S103+S77+BD139+BD116+BD92+BD69+BD46+BD23+S51+S28,0)</f>
        <v>0</v>
      </c>
      <c r="T144" s="83">
        <f>+IF(YEAR(T$129)=YEAR(Assumptions!$F$35),T125+T477+T103+T77+BE139+BE116+BE92+BE69+BE46+BE23+T51+T28,0)</f>
        <v>0</v>
      </c>
      <c r="U144" s="83">
        <f>+IF(YEAR(U$129)=YEAR(Assumptions!$F$35),U125+U477+U103+U77+BF139+BF116+BF92+BF69+BF46+BF23+U51+U28,0)</f>
        <v>0</v>
      </c>
      <c r="V144" s="83">
        <f>+IF(YEAR(V$129)=YEAR(Assumptions!$F$35),V125+V477+V103+V77+BG139+BG116+BG92+BG69+BG46+BG23+V51+V28,0)</f>
        <v>0</v>
      </c>
      <c r="W144" s="83">
        <f>+IF(YEAR(W$129)=YEAR(Assumptions!$F$35),W125+W477+W103+W77+BH139+BH116+BH92+BH69+BH46+BH23+W51+W28,0)</f>
        <v>0</v>
      </c>
      <c r="X144" s="83">
        <f>+IF(YEAR(X$129)=YEAR(Assumptions!$F$35),X125+X477+X103+X77+BI139+BI116+BI92+BI69+BI46+BI23+X51+X28,0)</f>
        <v>0</v>
      </c>
      <c r="Y144" s="83">
        <f>+IF(YEAR(Y$129)=YEAR(Assumptions!$F$35),Y125+Y477+Y103+Y77+BJ139+BJ116+BJ92+BJ69+BJ46+BJ23+Y51+Y28,0)</f>
        <v>0</v>
      </c>
      <c r="Z144" s="83">
        <f>+IF(YEAR(Z$129)=YEAR(Assumptions!$F$35),Z125+Z477+Z103+Z77+BK139+BK116+BK92+BK69+BK46+BK23+Z51+Z28,0)</f>
        <v>0</v>
      </c>
      <c r="AA144" s="699"/>
      <c r="AB144" s="699"/>
      <c r="AC144" s="699"/>
      <c r="AD144" s="699"/>
      <c r="AE144" s="49"/>
      <c r="AF144" s="49"/>
      <c r="AG144" s="49"/>
      <c r="AH144" s="49"/>
      <c r="AI144" s="49"/>
      <c r="AJ144" s="49"/>
      <c r="AK144" s="49"/>
      <c r="AL144" s="49"/>
      <c r="AM144" s="49" t="s">
        <v>1120</v>
      </c>
      <c r="AN144" s="49"/>
      <c r="AO144" s="83"/>
      <c r="AP144" s="83"/>
      <c r="AQ144" s="253">
        <f>+IF(AND(AQ143&gt;=Assumptions!$F$31,AQ143&lt;Assumptions!$F$33),Assumptions!$AE$194/ROUNDUP((Assumptions!$F$32/12),0),)</f>
        <v>0</v>
      </c>
      <c r="AR144" s="253">
        <f>+IF(AND(AR143&gt;=Assumptions!$F$31,AR143&lt;Assumptions!$F$33),Assumptions!$AE$194/ROUNDUP((Assumptions!$F$32/12),0),)</f>
        <v>0</v>
      </c>
      <c r="AS144" s="253">
        <f>+IF(AND(AS143&gt;=Assumptions!$F$31,AS143&lt;Assumptions!$F$33),Assumptions!$AE$194/ROUNDUP((Assumptions!$F$32/12),0),)</f>
        <v>0</v>
      </c>
      <c r="AT144" s="253">
        <f>+IF(AND(AT143&gt;=Assumptions!$F$31,AT143&lt;Assumptions!$F$33),Assumptions!$AE$194/ROUNDUP((Assumptions!$F$32/12),0),)</f>
        <v>0</v>
      </c>
      <c r="AU144" s="253">
        <f>+IF(AND(AU143&gt;=Assumptions!$F$31,AU143&lt;Assumptions!$F$33),Assumptions!$AE$194/ROUNDUP((Assumptions!$F$32/12),0),)</f>
        <v>0</v>
      </c>
      <c r="AV144" s="253">
        <f>+IF(AND(AV143&gt;=Assumptions!$F$31,AV143&lt;Assumptions!$F$33),Assumptions!$AE$194/ROUNDUP((Assumptions!$F$32/12),0),)</f>
        <v>0</v>
      </c>
      <c r="AW144" s="253">
        <f>+IF(AND(AW143&gt;=Assumptions!$F$31,AW143&lt;Assumptions!$F$33),Assumptions!$AE$194/ROUNDUP((Assumptions!$F$32/12),0),)</f>
        <v>0</v>
      </c>
      <c r="AX144" s="253">
        <f>+IF(AND(AX143&gt;=Assumptions!$F$31,AX143&lt;Assumptions!$F$33),Assumptions!$AE$194/ROUNDUP((Assumptions!$F$32/12),0),)</f>
        <v>0</v>
      </c>
      <c r="AY144" s="253">
        <f>+IF(AND(AY143&gt;=Assumptions!$F$31,AY143&lt;Assumptions!$F$33),Assumptions!$AE$194/ROUNDUP((Assumptions!$F$32/12),0),)</f>
        <v>0</v>
      </c>
      <c r="AZ144" s="253">
        <f>+IF(AND(AZ143&gt;=Assumptions!$F$31,AZ143&lt;Assumptions!$F$33),Assumptions!$AE$194/ROUNDUP((Assumptions!$F$32/12),0),)</f>
        <v>0</v>
      </c>
      <c r="BA144" s="253">
        <f>+IF(AND(BA143&gt;=Assumptions!$F$31,BA143&lt;Assumptions!$F$33),Assumptions!$AE$194/ROUNDUP((Assumptions!$F$32/12),0),)</f>
        <v>0</v>
      </c>
      <c r="BB144" s="253">
        <f>+IF(AND(BB143&gt;=Assumptions!$F$31,BB143&lt;Assumptions!$F$33),Assumptions!$AE$194/ROUNDUP((Assumptions!$F$32/12),0),)</f>
        <v>0</v>
      </c>
      <c r="BC144" s="253">
        <f>+IF(AND(BC143&gt;=Assumptions!$F$31,BC143&lt;Assumptions!$F$33),Assumptions!$AE$194/ROUNDUP((Assumptions!$F$32/12),0),)</f>
        <v>0</v>
      </c>
      <c r="BD144" s="253">
        <f>+IF(AND(BD143&gt;=Assumptions!$F$31,BD143&lt;Assumptions!$F$33),Assumptions!$AE$194/ROUNDUP((Assumptions!$F$32/12),0),)</f>
        <v>0</v>
      </c>
      <c r="BE144" s="253">
        <f>+IF(AND(BE143&gt;=Assumptions!$F$31,BE143&lt;Assumptions!$F$33),Assumptions!$AE$194/ROUNDUP((Assumptions!$F$32/12),0),)</f>
        <v>0</v>
      </c>
      <c r="BF144" s="253">
        <f>+IF(AND(BF143&gt;=Assumptions!$F$31,BF143&lt;Assumptions!$F$33),Assumptions!$AE$194/ROUNDUP((Assumptions!$F$32/12),0),)</f>
        <v>0</v>
      </c>
      <c r="BG144" s="253">
        <f>+IF(AND(BG143&gt;=Assumptions!$F$31,BG143&lt;Assumptions!$F$33),Assumptions!$AE$194/ROUNDUP((Assumptions!$F$32/12),0),)</f>
        <v>0</v>
      </c>
      <c r="BH144" s="253">
        <f>+IF(AND(BH143&gt;=Assumptions!$F$31,BH143&lt;Assumptions!$F$33),Assumptions!$AE$194/ROUNDUP((Assumptions!$F$32/12),0),)</f>
        <v>0</v>
      </c>
      <c r="BI144" s="253">
        <f>+IF(AND(BI143&gt;=Assumptions!$F$31,BI143&lt;Assumptions!$F$33),Assumptions!$AE$194/ROUNDUP((Assumptions!$F$32/12),0),)</f>
        <v>0</v>
      </c>
      <c r="BJ144" s="253">
        <f>+IF(AND(BJ143&gt;=Assumptions!$F$31,BJ143&lt;Assumptions!$F$33),Assumptions!$AE$194/ROUNDUP((Assumptions!$F$32/12),0),)</f>
        <v>0</v>
      </c>
      <c r="BK144" s="253">
        <f>+IF(AND(BK143&gt;=Assumptions!$F$31,BK143&lt;Assumptions!$F$33),Assumptions!$AE$194/ROUNDUP((Assumptions!$F$32/12),0),)</f>
        <v>0</v>
      </c>
      <c r="BL144" s="49"/>
      <c r="BM144" s="49"/>
      <c r="BN144" s="49"/>
    </row>
    <row r="145" spans="2:66" ht="19.5">
      <c r="B145" s="47" t="s">
        <v>1157</v>
      </c>
      <c r="C145" s="699"/>
      <c r="D145" s="699"/>
      <c r="E145" s="699"/>
      <c r="F145" s="90">
        <f>+IF(YEAR(F$129)=YEAR(Assumptions!$F$31),('S&amp;U'!$H$23-'S&amp;U'!$R$25),0)</f>
        <v>0</v>
      </c>
      <c r="G145" s="90">
        <f>+IF(YEAR(G$129)=YEAR(Assumptions!$F$31),('S&amp;U'!$H$23-'S&amp;U'!$R$25),0)</f>
        <v>0</v>
      </c>
      <c r="H145" s="90">
        <f>+IF(YEAR(H$129)=YEAR(Assumptions!$F$31),('S&amp;U'!$H$23-'S&amp;U'!$R$25),0)</f>
        <v>0</v>
      </c>
      <c r="I145" s="90">
        <f>+IF(YEAR(I$129)=YEAR(Assumptions!$F$31),('S&amp;U'!$H$23-'S&amp;U'!$R$25),0)</f>
        <v>0</v>
      </c>
      <c r="J145" s="90">
        <f ca="1">+IF(YEAR(J$129)=YEAR(Assumptions!$F$31),('S&amp;U'!$H$23-'S&amp;U'!$R$25),0)</f>
        <v>0</v>
      </c>
      <c r="K145" s="90">
        <f>+IF(YEAR(K$129)=YEAR(Assumptions!$F$31),('S&amp;U'!$H$23-'S&amp;U'!$R$25),0)</f>
        <v>0</v>
      </c>
      <c r="L145" s="90">
        <f>+IF(YEAR(L$129)=YEAR(Assumptions!$F$31),('S&amp;U'!$H$23-'S&amp;U'!$R$25),0)</f>
        <v>0</v>
      </c>
      <c r="M145" s="90">
        <f>+IF(YEAR(M$129)=YEAR(Assumptions!$F$31),('S&amp;U'!$H$23-'S&amp;U'!$R$25),0)</f>
        <v>0</v>
      </c>
      <c r="N145" s="90">
        <f>+IF(YEAR(N$129)=YEAR(Assumptions!$F$31),('S&amp;U'!$H$23-'S&amp;U'!$R$25),0)</f>
        <v>0</v>
      </c>
      <c r="O145" s="90">
        <f>+IF(YEAR(O$129)=YEAR(Assumptions!$F$31),('S&amp;U'!$H$23-'S&amp;U'!$R$25),0)</f>
        <v>0</v>
      </c>
      <c r="P145" s="90">
        <f>+IF(YEAR(P$129)=YEAR(Assumptions!$F$31),('S&amp;U'!$H$23-'S&amp;U'!$R$25),0)</f>
        <v>0</v>
      </c>
      <c r="Q145" s="90">
        <f>+IF(YEAR(Q$129)=YEAR(Assumptions!$F$31),('S&amp;U'!$H$23-'S&amp;U'!$R$25),0)</f>
        <v>0</v>
      </c>
      <c r="R145" s="90">
        <f>+IF(YEAR(R$129)=YEAR(Assumptions!$F$31),('S&amp;U'!$H$23-'S&amp;U'!$R$25),0)</f>
        <v>0</v>
      </c>
      <c r="S145" s="90">
        <f>+IF(YEAR(S$129)=YEAR(Assumptions!$F$31),('S&amp;U'!$H$23-'S&amp;U'!$R$25),0)</f>
        <v>0</v>
      </c>
      <c r="T145" s="90">
        <f>+IF(YEAR(T$129)=YEAR(Assumptions!$F$31),('S&amp;U'!$H$23-'S&amp;U'!$R$25),0)</f>
        <v>0</v>
      </c>
      <c r="U145" s="90">
        <f>+IF(YEAR(U$129)=YEAR(Assumptions!$F$31),('S&amp;U'!$H$23-'S&amp;U'!$R$25),0)</f>
        <v>0</v>
      </c>
      <c r="V145" s="90">
        <f>+IF(YEAR(V$129)=YEAR(Assumptions!$F$31),('S&amp;U'!$H$23-'S&amp;U'!$R$25),0)</f>
        <v>0</v>
      </c>
      <c r="W145" s="90">
        <f>+IF(YEAR(W$129)=YEAR(Assumptions!$F$31),('S&amp;U'!$H$23-'S&amp;U'!$R$25),0)</f>
        <v>0</v>
      </c>
      <c r="X145" s="90">
        <f>+IF(YEAR(X$129)=YEAR(Assumptions!$F$31),('S&amp;U'!$H$23-'S&amp;U'!$R$25),0)</f>
        <v>0</v>
      </c>
      <c r="Y145" s="90">
        <f>+IF(YEAR(Y$129)=YEAR(Assumptions!$F$31),('S&amp;U'!$H$23-'S&amp;U'!$R$25),0)</f>
        <v>0</v>
      </c>
      <c r="Z145" s="90">
        <f>+IF(YEAR(Z$129)=YEAR(Assumptions!$F$31),('S&amp;U'!$H$23-'S&amp;U'!$R$25),0)</f>
        <v>0</v>
      </c>
      <c r="AA145" s="699"/>
      <c r="AB145" s="699"/>
      <c r="AC145" s="699"/>
      <c r="AD145" s="699"/>
      <c r="AE145" s="49"/>
      <c r="AF145" s="49"/>
      <c r="AG145" s="49"/>
      <c r="AH145" s="49"/>
      <c r="AI145" s="49"/>
      <c r="AJ145" s="49"/>
      <c r="AK145" s="49"/>
      <c r="AL145" s="49"/>
      <c r="AM145" s="49" t="s">
        <v>1121</v>
      </c>
      <c r="AN145" s="49"/>
      <c r="AO145" s="90"/>
      <c r="AP145" s="90">
        <v>0</v>
      </c>
      <c r="AQ145" s="253">
        <f>+AP145+AQ144</f>
        <v>0</v>
      </c>
      <c r="AR145" s="253">
        <f t="shared" ref="AR145:BK145" si="409">+AQ145+AR144</f>
        <v>0</v>
      </c>
      <c r="AS145" s="253">
        <f t="shared" si="409"/>
        <v>0</v>
      </c>
      <c r="AT145" s="253">
        <f t="shared" si="409"/>
        <v>0</v>
      </c>
      <c r="AU145" s="253">
        <f t="shared" si="409"/>
        <v>0</v>
      </c>
      <c r="AV145" s="253">
        <f t="shared" si="409"/>
        <v>0</v>
      </c>
      <c r="AW145" s="253">
        <f t="shared" si="409"/>
        <v>0</v>
      </c>
      <c r="AX145" s="253">
        <f t="shared" si="409"/>
        <v>0</v>
      </c>
      <c r="AY145" s="253">
        <f t="shared" si="409"/>
        <v>0</v>
      </c>
      <c r="AZ145" s="253">
        <f t="shared" si="409"/>
        <v>0</v>
      </c>
      <c r="BA145" s="253">
        <f t="shared" si="409"/>
        <v>0</v>
      </c>
      <c r="BB145" s="253">
        <f t="shared" si="409"/>
        <v>0</v>
      </c>
      <c r="BC145" s="253">
        <f t="shared" si="409"/>
        <v>0</v>
      </c>
      <c r="BD145" s="253">
        <f t="shared" si="409"/>
        <v>0</v>
      </c>
      <c r="BE145" s="253">
        <f t="shared" si="409"/>
        <v>0</v>
      </c>
      <c r="BF145" s="253">
        <f t="shared" si="409"/>
        <v>0</v>
      </c>
      <c r="BG145" s="253">
        <f t="shared" si="409"/>
        <v>0</v>
      </c>
      <c r="BH145" s="253">
        <f t="shared" si="409"/>
        <v>0</v>
      </c>
      <c r="BI145" s="253">
        <f t="shared" si="409"/>
        <v>0</v>
      </c>
      <c r="BJ145" s="253">
        <f t="shared" si="409"/>
        <v>0</v>
      </c>
      <c r="BK145" s="253">
        <f t="shared" si="409"/>
        <v>0</v>
      </c>
      <c r="BL145" s="49"/>
      <c r="BM145" s="49"/>
      <c r="BN145" s="49"/>
    </row>
    <row r="146" spans="2:66" ht="16.5">
      <c r="B146" s="1" t="s">
        <v>1158</v>
      </c>
      <c r="C146" s="699"/>
      <c r="D146" s="699"/>
      <c r="E146" s="699"/>
      <c r="F146" s="90">
        <f>-F144*Assumptions!$F$42</f>
        <v>0</v>
      </c>
      <c r="G146" s="90">
        <f>-G144*Assumptions!$F$42</f>
        <v>0</v>
      </c>
      <c r="H146" s="90">
        <f>-H144*Assumptions!$F$42</f>
        <v>0</v>
      </c>
      <c r="I146" s="90">
        <f>-I144*Assumptions!$F$42</f>
        <v>0</v>
      </c>
      <c r="J146" s="90">
        <f>-J144*Assumptions!$F$42</f>
        <v>0</v>
      </c>
      <c r="K146" s="90">
        <f>-K144*Assumptions!$F$42</f>
        <v>0</v>
      </c>
      <c r="L146" s="90">
        <f>-L144*Assumptions!$F$42</f>
        <v>0</v>
      </c>
      <c r="M146" s="90">
        <f>-M144*Assumptions!$F$42</f>
        <v>0</v>
      </c>
      <c r="N146" s="90">
        <f>-N144*Assumptions!$F$42</f>
        <v>0</v>
      </c>
      <c r="O146" s="90">
        <f>-O144*Assumptions!$F$42</f>
        <v>0</v>
      </c>
      <c r="P146" s="90">
        <f ca="1">-P144*Assumptions!$F$42</f>
        <v>-5259951.7820263663</v>
      </c>
      <c r="Q146" s="90">
        <f>-Q144*Assumptions!$F$42</f>
        <v>0</v>
      </c>
      <c r="R146" s="90">
        <f>-R144*Assumptions!$F$42</f>
        <v>0</v>
      </c>
      <c r="S146" s="90">
        <f>-S144*Assumptions!$F$42</f>
        <v>0</v>
      </c>
      <c r="T146" s="90">
        <f>-T144*Assumptions!$F$42</f>
        <v>0</v>
      </c>
      <c r="U146" s="90">
        <f>-U144*Assumptions!$F$42</f>
        <v>0</v>
      </c>
      <c r="V146" s="90">
        <f>-V144*Assumptions!$F$42</f>
        <v>0</v>
      </c>
      <c r="W146" s="90">
        <f>-W144*Assumptions!$F$42</f>
        <v>0</v>
      </c>
      <c r="X146" s="90">
        <f>-X144*Assumptions!$F$42</f>
        <v>0</v>
      </c>
      <c r="Y146" s="90">
        <f>-Y144*Assumptions!$F$42</f>
        <v>0</v>
      </c>
      <c r="Z146" s="90">
        <f>-Z144*Assumptions!$F$42</f>
        <v>0</v>
      </c>
      <c r="AA146" s="699"/>
      <c r="AB146" s="699"/>
      <c r="AC146" s="699"/>
      <c r="AD146" s="699"/>
      <c r="AE146" s="49"/>
      <c r="AF146" s="49"/>
      <c r="AG146" s="49"/>
      <c r="AH146" s="49"/>
      <c r="AI146" s="49"/>
      <c r="AJ146" s="49"/>
      <c r="AK146" s="49"/>
      <c r="AL146" s="49"/>
      <c r="AM146" s="49" t="s">
        <v>1125</v>
      </c>
      <c r="AN146" s="49"/>
      <c r="AO146" s="90"/>
      <c r="AP146" s="90"/>
      <c r="AQ146" s="770">
        <f t="shared" ref="AQ146:BK146" si="410">IFERROR(+AQ145/SUM($AQ$144:$BK$144),0)</f>
        <v>0</v>
      </c>
      <c r="AR146" s="770">
        <f t="shared" si="410"/>
        <v>0</v>
      </c>
      <c r="AS146" s="770">
        <f t="shared" si="410"/>
        <v>0</v>
      </c>
      <c r="AT146" s="770">
        <f t="shared" si="410"/>
        <v>0</v>
      </c>
      <c r="AU146" s="770">
        <f t="shared" si="410"/>
        <v>0</v>
      </c>
      <c r="AV146" s="770">
        <f t="shared" si="410"/>
        <v>0</v>
      </c>
      <c r="AW146" s="770">
        <f t="shared" si="410"/>
        <v>0</v>
      </c>
      <c r="AX146" s="770">
        <f t="shared" si="410"/>
        <v>0</v>
      </c>
      <c r="AY146" s="770">
        <f t="shared" si="410"/>
        <v>0</v>
      </c>
      <c r="AZ146" s="770">
        <f t="shared" si="410"/>
        <v>0</v>
      </c>
      <c r="BA146" s="770">
        <f t="shared" si="410"/>
        <v>0</v>
      </c>
      <c r="BB146" s="770">
        <f t="shared" si="410"/>
        <v>0</v>
      </c>
      <c r="BC146" s="770">
        <f t="shared" si="410"/>
        <v>0</v>
      </c>
      <c r="BD146" s="770">
        <f t="shared" si="410"/>
        <v>0</v>
      </c>
      <c r="BE146" s="770">
        <f t="shared" si="410"/>
        <v>0</v>
      </c>
      <c r="BF146" s="770">
        <f t="shared" si="410"/>
        <v>0</v>
      </c>
      <c r="BG146" s="770">
        <f t="shared" si="410"/>
        <v>0</v>
      </c>
      <c r="BH146" s="770">
        <f t="shared" si="410"/>
        <v>0</v>
      </c>
      <c r="BI146" s="770">
        <f t="shared" si="410"/>
        <v>0</v>
      </c>
      <c r="BJ146" s="770">
        <f t="shared" si="410"/>
        <v>0</v>
      </c>
      <c r="BK146" s="770">
        <f t="shared" si="410"/>
        <v>0</v>
      </c>
      <c r="BL146" s="49"/>
      <c r="BM146" s="49"/>
      <c r="BN146" s="49"/>
    </row>
    <row r="147" spans="2:66" ht="16.5">
      <c r="B147" s="1" t="s">
        <v>1159</v>
      </c>
      <c r="C147" s="699"/>
      <c r="D147" s="699"/>
      <c r="E147" s="699"/>
      <c r="F147" s="90">
        <f>+IF(YEAR(F$129)=YEAR(Assumptions!$F$35),-'Phase 1 Pro Forma'!F133,0)</f>
        <v>0</v>
      </c>
      <c r="G147" s="90">
        <f>+IF(YEAR(G$129)=YEAR(Assumptions!$F$35),-'Phase 1 Pro Forma'!G133,0)</f>
        <v>0</v>
      </c>
      <c r="H147" s="90">
        <f>+IF(YEAR(H$129)=YEAR(Assumptions!$F$35),-'Phase 1 Pro Forma'!H133,0)</f>
        <v>0</v>
      </c>
      <c r="I147" s="90">
        <f>+IF(YEAR(I$129)=YEAR(Assumptions!$F$35),-'Phase 1 Pro Forma'!I133,0)</f>
        <v>0</v>
      </c>
      <c r="J147" s="90">
        <f>+IF(YEAR(J$129)=YEAR(Assumptions!$F$35),-'Phase 1 Pro Forma'!J133,0)</f>
        <v>0</v>
      </c>
      <c r="K147" s="90">
        <f>+IF(YEAR(K$129)=YEAR(Assumptions!$F$35),-'Phase 1 Pro Forma'!K133,0)</f>
        <v>0</v>
      </c>
      <c r="L147" s="90">
        <f>+IF(YEAR(L$129)=YEAR(Assumptions!$F$35),-'Phase 1 Pro Forma'!L133,0)</f>
        <v>0</v>
      </c>
      <c r="M147" s="90">
        <f>+IF(YEAR(M$129)=YEAR(Assumptions!$F$35),-'Phase 1 Pro Forma'!M133,0)</f>
        <v>0</v>
      </c>
      <c r="N147" s="90">
        <f>+IF(YEAR(N$129)=YEAR(Assumptions!$F$35),-'Phase 1 Pro Forma'!N133,0)</f>
        <v>0</v>
      </c>
      <c r="O147" s="90">
        <f>+IF(YEAR(O$129)=YEAR(Assumptions!$F$35),-'Phase 1 Pro Forma'!O133,0)</f>
        <v>0</v>
      </c>
      <c r="P147" s="90">
        <f ca="1">+IF(YEAR(P$129)=YEAR(Assumptions!$F$35),-'Phase 1 Pro Forma'!P133,0)</f>
        <v>-239042504.73155543</v>
      </c>
      <c r="Q147" s="90">
        <f>+IF(YEAR(Q$129)=YEAR(Assumptions!$F$35),-'Phase 1 Pro Forma'!Q133,0)</f>
        <v>0</v>
      </c>
      <c r="R147" s="90">
        <f>+IF(YEAR(R$129)=YEAR(Assumptions!$F$35),-'Phase 1 Pro Forma'!R133,0)</f>
        <v>0</v>
      </c>
      <c r="S147" s="90">
        <f>+IF(YEAR(S$129)=YEAR(Assumptions!$F$35),-'Phase 1 Pro Forma'!S133,0)</f>
        <v>0</v>
      </c>
      <c r="T147" s="90">
        <f>+IF(YEAR(T$129)=YEAR(Assumptions!$F$35),-'Phase 1 Pro Forma'!T133,0)</f>
        <v>0</v>
      </c>
      <c r="U147" s="90">
        <f>+IF(YEAR(U$129)=YEAR(Assumptions!$F$35),-'Phase 1 Pro Forma'!U133,0)</f>
        <v>0</v>
      </c>
      <c r="V147" s="90">
        <f>+IF(YEAR(V$129)=YEAR(Assumptions!$F$35),-'Phase 1 Pro Forma'!V133,0)</f>
        <v>0</v>
      </c>
      <c r="W147" s="90">
        <f>+IF(YEAR(W$129)=YEAR(Assumptions!$F$35),-'Phase 1 Pro Forma'!W133,0)</f>
        <v>0</v>
      </c>
      <c r="X147" s="90">
        <f>+IF(YEAR(X$129)=YEAR(Assumptions!$F$35),-'Phase 1 Pro Forma'!X133,0)</f>
        <v>0</v>
      </c>
      <c r="Y147" s="90">
        <f>+IF(YEAR(Y$129)=YEAR(Assumptions!$F$35),-'Phase 1 Pro Forma'!Y133,0)</f>
        <v>0</v>
      </c>
      <c r="Z147" s="90">
        <f>+IF(YEAR(Z$129)=YEAR(Assumptions!$F$35),-'Phase 1 Pro Forma'!Z133,0)</f>
        <v>0</v>
      </c>
      <c r="AA147" s="699"/>
      <c r="AB147" s="699"/>
      <c r="AC147" s="699"/>
      <c r="AD147" s="69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83"/>
      <c r="AP147" s="83"/>
      <c r="AQ147" s="83"/>
      <c r="AR147" s="83"/>
      <c r="AS147" s="83"/>
      <c r="AT147" s="83"/>
      <c r="AU147" s="83"/>
      <c r="AV147" s="83"/>
      <c r="AW147" s="83"/>
      <c r="AX147" s="83"/>
      <c r="AY147" s="83"/>
      <c r="AZ147" s="83"/>
      <c r="BA147" s="83"/>
      <c r="BB147" s="83"/>
      <c r="BC147" s="83"/>
      <c r="BD147" s="83"/>
      <c r="BE147" s="83"/>
      <c r="BF147" s="83"/>
      <c r="BG147" s="83"/>
      <c r="BH147" s="83"/>
      <c r="BI147" s="83"/>
      <c r="BJ147" s="83"/>
      <c r="BK147" s="83"/>
      <c r="BL147" s="49"/>
      <c r="BM147" s="49"/>
      <c r="BN147" s="49"/>
    </row>
    <row r="148" spans="2:66" ht="16.5">
      <c r="B148" s="59" t="s">
        <v>1160</v>
      </c>
      <c r="C148" s="59"/>
      <c r="D148" s="59"/>
      <c r="E148" s="59"/>
      <c r="F148" s="64">
        <f t="shared" ref="F148:Z148" si="411">+SUM(F144:F147)</f>
        <v>0</v>
      </c>
      <c r="G148" s="64">
        <f t="shared" si="411"/>
        <v>0</v>
      </c>
      <c r="H148" s="64">
        <f t="shared" si="411"/>
        <v>0</v>
      </c>
      <c r="I148" s="64">
        <f t="shared" si="411"/>
        <v>0</v>
      </c>
      <c r="J148" s="64">
        <f t="shared" ca="1" si="411"/>
        <v>0</v>
      </c>
      <c r="K148" s="64">
        <f t="shared" si="411"/>
        <v>0</v>
      </c>
      <c r="L148" s="64">
        <f t="shared" si="411"/>
        <v>0</v>
      </c>
      <c r="M148" s="64">
        <f t="shared" si="411"/>
        <v>0</v>
      </c>
      <c r="N148" s="64">
        <f t="shared" si="411"/>
        <v>0</v>
      </c>
      <c r="O148" s="64">
        <f t="shared" si="411"/>
        <v>0</v>
      </c>
      <c r="P148" s="64">
        <f t="shared" ca="1" si="411"/>
        <v>281692721.68905485</v>
      </c>
      <c r="Q148" s="64">
        <f t="shared" si="411"/>
        <v>0</v>
      </c>
      <c r="R148" s="64">
        <f t="shared" si="411"/>
        <v>0</v>
      </c>
      <c r="S148" s="64">
        <f t="shared" si="411"/>
        <v>0</v>
      </c>
      <c r="T148" s="64">
        <f t="shared" si="411"/>
        <v>0</v>
      </c>
      <c r="U148" s="64">
        <f t="shared" si="411"/>
        <v>0</v>
      </c>
      <c r="V148" s="64">
        <f t="shared" si="411"/>
        <v>0</v>
      </c>
      <c r="W148" s="64">
        <f t="shared" si="411"/>
        <v>0</v>
      </c>
      <c r="X148" s="64">
        <f t="shared" si="411"/>
        <v>0</v>
      </c>
      <c r="Y148" s="64">
        <f t="shared" si="411"/>
        <v>0</v>
      </c>
      <c r="Z148" s="64">
        <f t="shared" si="411"/>
        <v>0</v>
      </c>
      <c r="AA148" s="699"/>
      <c r="AB148" s="699"/>
      <c r="AC148" s="699"/>
      <c r="AD148" s="699"/>
      <c r="AE148" s="49"/>
      <c r="AF148" s="49"/>
      <c r="AG148" s="49"/>
      <c r="AH148" s="49"/>
      <c r="AI148" s="49"/>
      <c r="AJ148" s="49"/>
      <c r="AK148" s="49"/>
      <c r="AL148" s="49"/>
      <c r="AM148" s="49" t="s">
        <v>1126</v>
      </c>
      <c r="AN148" s="49"/>
      <c r="AO148" s="90"/>
      <c r="AP148" s="90"/>
      <c r="AQ148" s="87">
        <v>1</v>
      </c>
      <c r="AR148" s="770">
        <f>+IF(MOD(G$2,Assumptions!$AP$93)=(Assumptions!$AP$93-1),'Phase 1 Pro Forma'!AQ148*(1+Assumptions!$AP$92),'Phase 1 Pro Forma'!AQ148)</f>
        <v>1</v>
      </c>
      <c r="AS148" s="770">
        <f>+IF(MOD(H$2,Assumptions!$AP$93)=(Assumptions!$AP$93-1),'Phase 1 Pro Forma'!AR148*(1+Assumptions!$AP$92),'Phase 1 Pro Forma'!AR148)</f>
        <v>1</v>
      </c>
      <c r="AT148" s="770">
        <f>+IF(MOD(I$2,Assumptions!$AP$93)=(Assumptions!$AP$93-1),'Phase 1 Pro Forma'!AS148*(1+Assumptions!$AP$92),'Phase 1 Pro Forma'!AS148)</f>
        <v>1</v>
      </c>
      <c r="AU148" s="770">
        <f>+IF(MOD(J$2,Assumptions!$AP$93)=(Assumptions!$AP$93-1),'Phase 1 Pro Forma'!AT148*(1+Assumptions!$AP$92),'Phase 1 Pro Forma'!AT148)</f>
        <v>1</v>
      </c>
      <c r="AV148" s="770">
        <f>+IF(MOD(K$2,Assumptions!$AP$93)=(Assumptions!$AP$93-1),'Phase 1 Pro Forma'!AU148*(1+Assumptions!$AP$92),'Phase 1 Pro Forma'!AU148)</f>
        <v>1.03</v>
      </c>
      <c r="AW148" s="770">
        <f>+IF(MOD(L$2,Assumptions!$AP$93)=(Assumptions!$AP$93-1),'Phase 1 Pro Forma'!AV148*(1+Assumptions!$AP$92),'Phase 1 Pro Forma'!AV148)</f>
        <v>1.03</v>
      </c>
      <c r="AX148" s="770">
        <f>+IF(MOD(M$2,Assumptions!$AP$93)=(Assumptions!$AP$93-1),'Phase 1 Pro Forma'!AW148*(1+Assumptions!$AP$92),'Phase 1 Pro Forma'!AW148)</f>
        <v>1.03</v>
      </c>
      <c r="AY148" s="770">
        <f>+IF(MOD(N$2,Assumptions!$AP$93)=(Assumptions!$AP$93-1),'Phase 1 Pro Forma'!AX148*(1+Assumptions!$AP$92),'Phase 1 Pro Forma'!AX148)</f>
        <v>1.0609</v>
      </c>
      <c r="AZ148" s="770">
        <f>+IF(MOD(O$2,Assumptions!$AP$93)=(Assumptions!$AP$93-1),'Phase 1 Pro Forma'!AY148*(1+Assumptions!$AP$92),'Phase 1 Pro Forma'!AY148)</f>
        <v>1.0609</v>
      </c>
      <c r="BA148" s="770">
        <f>+IF(MOD(P$2,Assumptions!$AP$93)=(Assumptions!$AP$93-1),'Phase 1 Pro Forma'!AZ148*(1+Assumptions!$AP$92),'Phase 1 Pro Forma'!AZ148)</f>
        <v>1.0609</v>
      </c>
      <c r="BB148" s="770">
        <f>+IF(MOD(Q$2,Assumptions!$AP$93)=(Assumptions!$AP$93-1),'Phase 1 Pro Forma'!BA148*(1+Assumptions!$AP$92),'Phase 1 Pro Forma'!BA148)</f>
        <v>1.092727</v>
      </c>
      <c r="BC148" s="770">
        <f>+IF(MOD(R$2,Assumptions!$AP$93)=(Assumptions!$AP$93-1),'Phase 1 Pro Forma'!BB148*(1+Assumptions!$AP$92),'Phase 1 Pro Forma'!BB148)</f>
        <v>1.092727</v>
      </c>
      <c r="BD148" s="770">
        <f>+IF(MOD(S$2,Assumptions!$AP$93)=(Assumptions!$AP$93-1),'Phase 1 Pro Forma'!BC148*(1+Assumptions!$AP$92),'Phase 1 Pro Forma'!BC148)</f>
        <v>1.092727</v>
      </c>
      <c r="BE148" s="770">
        <f>+IF(MOD(T$2,Assumptions!$AP$93)=(Assumptions!$AP$93-1),'Phase 1 Pro Forma'!BD148*(1+Assumptions!$AP$92),'Phase 1 Pro Forma'!BD148)</f>
        <v>1.1255088100000001</v>
      </c>
      <c r="BF148" s="770">
        <f>+IF(MOD(U$2,Assumptions!$AP$93)=(Assumptions!$AP$93-1),'Phase 1 Pro Forma'!BE148*(1+Assumptions!$AP$92),'Phase 1 Pro Forma'!BE148)</f>
        <v>1.1255088100000001</v>
      </c>
      <c r="BG148" s="770">
        <f>+IF(MOD(V$2,Assumptions!$AP$93)=(Assumptions!$AP$93-1),'Phase 1 Pro Forma'!BF148*(1+Assumptions!$AP$92),'Phase 1 Pro Forma'!BF148)</f>
        <v>1.1255088100000001</v>
      </c>
      <c r="BH148" s="770">
        <f>+IF(MOD(W$2,Assumptions!$AP$93)=(Assumptions!$AP$93-1),'Phase 1 Pro Forma'!BG148*(1+Assumptions!$AP$92),'Phase 1 Pro Forma'!BG148)</f>
        <v>1.1592740743000001</v>
      </c>
      <c r="BI148" s="770">
        <f>+IF(MOD(X$2,Assumptions!$AP$93)=(Assumptions!$AP$93-1),'Phase 1 Pro Forma'!BH148*(1+Assumptions!$AP$92),'Phase 1 Pro Forma'!BH148)</f>
        <v>1.1592740743000001</v>
      </c>
      <c r="BJ148" s="770">
        <f>+IF(MOD(Y$2,Assumptions!$AP$93)=(Assumptions!$AP$93-1),'Phase 1 Pro Forma'!BI148*(1+Assumptions!$AP$92),'Phase 1 Pro Forma'!BI148)</f>
        <v>1.1592740743000001</v>
      </c>
      <c r="BK148" s="770">
        <f>+IF(MOD(Z$2,Assumptions!$AP$93)=(Assumptions!$AP$93-1),'Phase 1 Pro Forma'!BJ148*(1+Assumptions!$AP$92),'Phase 1 Pro Forma'!BJ148)</f>
        <v>1.1940522965290001</v>
      </c>
      <c r="BL148" s="49"/>
      <c r="BM148" s="49"/>
      <c r="BN148" s="49"/>
    </row>
    <row r="149" spans="2:66">
      <c r="B149" s="699"/>
      <c r="C149" s="699"/>
      <c r="D149" s="699"/>
      <c r="E149" s="699"/>
      <c r="F149" s="699"/>
      <c r="G149" s="699"/>
      <c r="H149" s="699"/>
      <c r="I149" s="699"/>
      <c r="J149" s="699"/>
      <c r="K149" s="699"/>
      <c r="L149" s="699"/>
      <c r="M149" s="699"/>
      <c r="N149" s="699"/>
      <c r="O149" s="699"/>
      <c r="P149" s="699"/>
      <c r="Q149" s="699"/>
      <c r="R149" s="699"/>
      <c r="S149" s="699"/>
      <c r="T149" s="699"/>
      <c r="U149" s="699"/>
      <c r="V149" s="699"/>
      <c r="W149" s="699"/>
      <c r="X149" s="699"/>
      <c r="Y149" s="699"/>
      <c r="Z149" s="699"/>
      <c r="AA149" s="699"/>
      <c r="AB149" s="699"/>
      <c r="AC149" s="699"/>
      <c r="AD149" s="699"/>
      <c r="AE149" s="49"/>
      <c r="AF149" s="49"/>
      <c r="AG149" s="49"/>
      <c r="AH149" s="49"/>
      <c r="AI149" s="49"/>
      <c r="AJ149" s="49"/>
      <c r="AK149" s="49"/>
      <c r="AL149" s="49"/>
      <c r="AM149" s="49" t="s">
        <v>1127</v>
      </c>
      <c r="AN149" s="49"/>
      <c r="AO149" s="90"/>
      <c r="AP149" s="90"/>
      <c r="AQ149" s="87">
        <v>1</v>
      </c>
      <c r="AR149" s="87">
        <f>+AQ149*(1+Assumptions!$AP$102)</f>
        <v>1.03</v>
      </c>
      <c r="AS149" s="87">
        <f>+AR149*(1+Assumptions!$AP$102)</f>
        <v>1.0609</v>
      </c>
      <c r="AT149" s="87">
        <f>+AS149*(1+Assumptions!$AP$102)</f>
        <v>1.092727</v>
      </c>
      <c r="AU149" s="87">
        <f>+AT149*(1+Assumptions!$AP$102)</f>
        <v>1.1255088100000001</v>
      </c>
      <c r="AV149" s="87">
        <f>+AU149*(1+Assumptions!$AP$102)</f>
        <v>1.1592740743000001</v>
      </c>
      <c r="AW149" s="87">
        <f>+AV149*(1+Assumptions!$AP$102)</f>
        <v>1.1940522965290001</v>
      </c>
      <c r="AX149" s="87">
        <f>+AW149*(1+Assumptions!$AP$102)</f>
        <v>1.2298738654248702</v>
      </c>
      <c r="AY149" s="87">
        <f>+AX149*(1+Assumptions!$AP$102)</f>
        <v>1.2667700813876164</v>
      </c>
      <c r="AZ149" s="87">
        <f>+AY149*(1+Assumptions!$AP$102)</f>
        <v>1.3047731838292449</v>
      </c>
      <c r="BA149" s="87">
        <f>+AZ149*(1+Assumptions!$AP$102)</f>
        <v>1.3439163793441222</v>
      </c>
      <c r="BB149" s="87">
        <f>+BA149*(1+Assumptions!$AP$102)</f>
        <v>1.3842338707244459</v>
      </c>
      <c r="BC149" s="87">
        <f>+BB149*(1+Assumptions!$AP$102)</f>
        <v>1.4257608868461793</v>
      </c>
      <c r="BD149" s="87">
        <f>+BC149*(1+Assumptions!$AP$102)</f>
        <v>1.4685337134515648</v>
      </c>
      <c r="BE149" s="87">
        <f>+BD149*(1+Assumptions!$AP$102)</f>
        <v>1.5125897248551119</v>
      </c>
      <c r="BF149" s="87">
        <f>+BE149*(1+Assumptions!$AP$102)</f>
        <v>1.5579674166007653</v>
      </c>
      <c r="BG149" s="87">
        <f>+BF149*(1+Assumptions!$AP$102)</f>
        <v>1.6047064390987884</v>
      </c>
      <c r="BH149" s="87">
        <f>+BG149*(1+Assumptions!$AP$102)</f>
        <v>1.652847632271752</v>
      </c>
      <c r="BI149" s="87">
        <f>+BH149*(1+Assumptions!$AP$102)</f>
        <v>1.7024330612399046</v>
      </c>
      <c r="BJ149" s="87">
        <f>+BI149*(1+Assumptions!$AP$102)</f>
        <v>1.7535060530771018</v>
      </c>
      <c r="BK149" s="87">
        <f>+BJ149*(1+Assumptions!$AP$102)</f>
        <v>1.806111234669415</v>
      </c>
      <c r="BL149" s="49"/>
      <c r="BM149" s="49"/>
      <c r="BN149" s="49"/>
    </row>
    <row r="150" spans="2:66" ht="15.75">
      <c r="B150" s="50" t="s">
        <v>1161</v>
      </c>
      <c r="C150" s="50"/>
      <c r="D150" s="50"/>
      <c r="E150" s="50"/>
      <c r="F150" s="55">
        <f ca="1">+IF(YEAR(F$129)&lt;=YEAR(Assumptions!$F$35),'Phase 1 Pro Forma'!F148+'Phase 1 Pro Forma'!F141,0)</f>
        <v>0</v>
      </c>
      <c r="G150" s="55">
        <f ca="1">+IF(YEAR(G$129)&lt;=YEAR(Assumptions!$F$35),'Phase 1 Pro Forma'!G148+'Phase 1 Pro Forma'!G141,0)</f>
        <v>0</v>
      </c>
      <c r="H150" s="55">
        <f ca="1">+IF(YEAR(H$129)&lt;=YEAR(Assumptions!$F$35),'Phase 1 Pro Forma'!H148+'Phase 1 Pro Forma'!H141,0)</f>
        <v>0</v>
      </c>
      <c r="I150" s="55">
        <f ca="1">+IF(YEAR(I$129)&lt;=YEAR(Assumptions!$F$35),'Phase 1 Pro Forma'!I148+'Phase 1 Pro Forma'!I141,0)</f>
        <v>0</v>
      </c>
      <c r="J150" s="55">
        <f ca="1">+IF(YEAR(J$129)&lt;=YEAR(Assumptions!$F$35),'Phase 1 Pro Forma'!J148+'Phase 1 Pro Forma'!J141,0)</f>
        <v>-16661318.04632538</v>
      </c>
      <c r="K150" s="55">
        <f ca="1">+IF(YEAR(K$129)&lt;=YEAR(Assumptions!$F$35),'Phase 1 Pro Forma'!K148+'Phase 1 Pro Forma'!K141,0)</f>
        <v>-3994093.2095648702</v>
      </c>
      <c r="L150" s="55">
        <f ca="1">+IF(YEAR(L$129)&lt;=YEAR(Assumptions!$F$35),'Phase 1 Pro Forma'!L148+'Phase 1 Pro Forma'!L141,0)</f>
        <v>4224030.0426707231</v>
      </c>
      <c r="M150" s="55">
        <f ca="1">+IF(YEAR(M$129)&lt;=YEAR(Assumptions!$F$35),'Phase 1 Pro Forma'!M148+'Phase 1 Pro Forma'!M141,0)</f>
        <v>5756580.6697915234</v>
      </c>
      <c r="N150" s="55">
        <f ca="1">+IF(YEAR(N$129)&lt;=YEAR(Assumptions!$F$35),'Phase 1 Pro Forma'!N148+'Phase 1 Pro Forma'!N141,0)</f>
        <v>6274115.0239319913</v>
      </c>
      <c r="O150" s="55">
        <f ca="1">+IF(YEAR(O$129)&lt;=YEAR(Assumptions!$F$35),'Phase 1 Pro Forma'!O148+'Phase 1 Pro Forma'!O141,0)</f>
        <v>6807175.4086966775</v>
      </c>
      <c r="P150" s="55">
        <f ca="1">+IF(YEAR(P$129)&lt;=YEAR(Assumptions!$F$35),'Phase 1 Pro Forma'!P148+'Phase 1 Pro Forma'!P141,0)</f>
        <v>288952548.95542586</v>
      </c>
      <c r="Q150" s="55">
        <f>+IF(YEAR(Q$129)&lt;=YEAR(Assumptions!$F$35),'Phase 1 Pro Forma'!Q148+'Phase 1 Pro Forma'!Q141,0)</f>
        <v>0</v>
      </c>
      <c r="R150" s="55">
        <f>+IF(YEAR(R$129)&lt;=YEAR(Assumptions!$F$35),'Phase 1 Pro Forma'!R148+'Phase 1 Pro Forma'!R141,0)</f>
        <v>0</v>
      </c>
      <c r="S150" s="55">
        <f>+IF(YEAR(S$129)&lt;=YEAR(Assumptions!$F$35),'Phase 1 Pro Forma'!S148+'Phase 1 Pro Forma'!S141,0)</f>
        <v>0</v>
      </c>
      <c r="T150" s="55">
        <f>+IF(YEAR(T$129)&lt;=YEAR(Assumptions!$F$35),'Phase 1 Pro Forma'!T148+'Phase 1 Pro Forma'!T141,0)</f>
        <v>0</v>
      </c>
      <c r="U150" s="55">
        <f>+IF(YEAR(U$129)&lt;=YEAR(Assumptions!$F$35),'Phase 1 Pro Forma'!U148+'Phase 1 Pro Forma'!U141,0)</f>
        <v>0</v>
      </c>
      <c r="V150" s="55">
        <f>+IF(YEAR(V$129)&lt;=YEAR(Assumptions!$F$35),'Phase 1 Pro Forma'!V148+'Phase 1 Pro Forma'!V141,0)</f>
        <v>0</v>
      </c>
      <c r="W150" s="55">
        <f>+IF(YEAR(W$129)&lt;=YEAR(Assumptions!$F$35),'Phase 1 Pro Forma'!W148+'Phase 1 Pro Forma'!W141,0)</f>
        <v>0</v>
      </c>
      <c r="X150" s="55">
        <f>+IF(YEAR(X$129)&lt;=YEAR(Assumptions!$F$35),'Phase 1 Pro Forma'!X148+'Phase 1 Pro Forma'!X141,0)</f>
        <v>0</v>
      </c>
      <c r="Y150" s="55">
        <f>+IF(YEAR(Y$129)&lt;=YEAR(Assumptions!$F$35),'Phase 1 Pro Forma'!Y148+'Phase 1 Pro Forma'!Y141,0)</f>
        <v>0</v>
      </c>
      <c r="Z150" s="55">
        <f>+IF(YEAR(Z$129)&lt;=YEAR(Assumptions!$F$35),'Phase 1 Pro Forma'!Z148+'Phase 1 Pro Forma'!Z141,0)</f>
        <v>0</v>
      </c>
      <c r="AA150" s="699"/>
      <c r="AB150" s="699"/>
      <c r="AC150" s="699"/>
      <c r="AD150" s="699"/>
      <c r="AE150" s="49"/>
      <c r="AF150" s="49"/>
      <c r="AG150" s="49"/>
      <c r="AH150" s="49"/>
      <c r="AI150" s="49"/>
      <c r="AJ150" s="49"/>
      <c r="AK150" s="49"/>
      <c r="AL150" s="49"/>
      <c r="AM150" s="49"/>
      <c r="AN150" s="49"/>
      <c r="AO150" s="83"/>
      <c r="AP150" s="83"/>
      <c r="AQ150" s="83"/>
      <c r="AR150" s="83"/>
      <c r="AS150" s="83"/>
      <c r="AT150" s="83"/>
      <c r="AU150" s="83"/>
      <c r="AV150" s="83"/>
      <c r="AW150" s="83"/>
      <c r="AX150" s="83"/>
      <c r="AY150" s="83"/>
      <c r="AZ150" s="83"/>
      <c r="BA150" s="83"/>
      <c r="BB150" s="83"/>
      <c r="BC150" s="83"/>
      <c r="BD150" s="83"/>
      <c r="BE150" s="83"/>
      <c r="BF150" s="83"/>
      <c r="BG150" s="83"/>
      <c r="BH150" s="83"/>
      <c r="BI150" s="83"/>
      <c r="BJ150" s="83"/>
      <c r="BK150" s="83"/>
      <c r="BL150" s="49"/>
      <c r="BM150" s="49"/>
      <c r="BN150" s="49"/>
    </row>
    <row r="151" spans="2:66">
      <c r="B151" s="699"/>
      <c r="C151" s="699"/>
      <c r="D151" s="699"/>
      <c r="E151" s="699"/>
      <c r="F151" s="699"/>
      <c r="G151" s="699"/>
      <c r="H151" s="699"/>
      <c r="I151" s="699"/>
      <c r="J151" s="699"/>
      <c r="K151" s="699"/>
      <c r="L151" s="699"/>
      <c r="M151" s="699"/>
      <c r="N151" s="699"/>
      <c r="O151" s="699"/>
      <c r="P151" s="699"/>
      <c r="Q151" s="699"/>
      <c r="R151" s="699"/>
      <c r="S151" s="699"/>
      <c r="T151" s="699"/>
      <c r="U151" s="699"/>
      <c r="V151" s="699"/>
      <c r="W151" s="699"/>
      <c r="X151" s="699"/>
      <c r="Y151" s="699"/>
      <c r="Z151" s="699"/>
      <c r="AA151" s="699"/>
      <c r="AB151" s="699"/>
      <c r="AC151" s="699"/>
      <c r="AD151" s="699"/>
      <c r="AE151" s="49"/>
      <c r="AF151" s="49"/>
      <c r="AG151" s="49"/>
      <c r="AH151" s="49"/>
      <c r="AI151" s="49"/>
      <c r="AJ151" s="49"/>
      <c r="AK151" s="49"/>
      <c r="AL151" s="49"/>
      <c r="AM151" s="49" t="s">
        <v>1128</v>
      </c>
      <c r="AN151" s="49"/>
      <c r="AO151" s="83"/>
      <c r="AP151" s="83"/>
      <c r="AQ151" s="771">
        <v>0</v>
      </c>
      <c r="AR151" s="771">
        <v>0</v>
      </c>
      <c r="AS151" s="771">
        <v>0</v>
      </c>
      <c r="AT151" s="771">
        <v>0</v>
      </c>
      <c r="AU151" s="771">
        <v>0</v>
      </c>
      <c r="AV151" s="771">
        <v>0</v>
      </c>
      <c r="AW151" s="771">
        <v>0</v>
      </c>
      <c r="AX151" s="771">
        <v>0</v>
      </c>
      <c r="AY151" s="771">
        <v>0</v>
      </c>
      <c r="AZ151" s="771">
        <v>0</v>
      </c>
      <c r="BA151" s="771">
        <v>0</v>
      </c>
      <c r="BB151" s="771">
        <v>0</v>
      </c>
      <c r="BC151" s="771">
        <v>0</v>
      </c>
      <c r="BD151" s="771">
        <v>0</v>
      </c>
      <c r="BE151" s="771">
        <v>0</v>
      </c>
      <c r="BF151" s="771">
        <v>0</v>
      </c>
      <c r="BG151" s="771">
        <v>0</v>
      </c>
      <c r="BH151" s="771">
        <v>0</v>
      </c>
      <c r="BI151" s="771">
        <v>0</v>
      </c>
      <c r="BJ151" s="771">
        <v>0</v>
      </c>
      <c r="BK151" s="771">
        <v>0</v>
      </c>
      <c r="BL151" s="49"/>
      <c r="BM151" s="49"/>
      <c r="BN151" s="49"/>
    </row>
    <row r="152" spans="2:66" ht="15.75">
      <c r="B152" s="468" t="s">
        <v>1162</v>
      </c>
      <c r="C152" s="540"/>
      <c r="D152" s="540"/>
      <c r="E152" s="540"/>
      <c r="F152" s="759"/>
      <c r="G152" s="759"/>
      <c r="H152" s="759"/>
      <c r="I152" s="759"/>
      <c r="J152" s="759"/>
      <c r="K152" s="759"/>
      <c r="L152" s="759"/>
      <c r="M152" s="759"/>
      <c r="N152" s="759"/>
      <c r="O152" s="759"/>
      <c r="P152" s="759"/>
      <c r="Q152" s="759"/>
      <c r="R152" s="759"/>
      <c r="S152" s="759"/>
      <c r="T152" s="759"/>
      <c r="U152" s="759"/>
      <c r="V152" s="759"/>
      <c r="W152" s="759"/>
      <c r="X152" s="759"/>
      <c r="Y152" s="759"/>
      <c r="Z152" s="759"/>
      <c r="AA152" s="699"/>
      <c r="AB152" s="699"/>
      <c r="AC152" s="699"/>
      <c r="AD152" s="699"/>
      <c r="AE152" s="49"/>
      <c r="AF152" s="49"/>
      <c r="AG152" s="49"/>
      <c r="AH152" s="49"/>
      <c r="AI152" s="49"/>
      <c r="AJ152" s="49"/>
      <c r="AK152" s="49"/>
      <c r="AL152" s="49"/>
      <c r="AM152" s="49" t="s">
        <v>1130</v>
      </c>
      <c r="AN152" s="49"/>
      <c r="AO152" s="83"/>
      <c r="AP152" s="83"/>
      <c r="AQ152" s="771">
        <v>0</v>
      </c>
      <c r="AR152" s="771">
        <v>0</v>
      </c>
      <c r="AS152" s="771">
        <v>0</v>
      </c>
      <c r="AT152" s="771">
        <v>0</v>
      </c>
      <c r="AU152" s="771">
        <v>0</v>
      </c>
      <c r="AV152" s="771">
        <v>0</v>
      </c>
      <c r="AW152" s="771">
        <v>0</v>
      </c>
      <c r="AX152" s="771">
        <v>0</v>
      </c>
      <c r="AY152" s="771">
        <v>0</v>
      </c>
      <c r="AZ152" s="771">
        <v>0</v>
      </c>
      <c r="BA152" s="771">
        <v>0</v>
      </c>
      <c r="BB152" s="771">
        <v>0</v>
      </c>
      <c r="BC152" s="771">
        <v>0</v>
      </c>
      <c r="BD152" s="771">
        <v>0</v>
      </c>
      <c r="BE152" s="771">
        <v>0</v>
      </c>
      <c r="BF152" s="771">
        <v>0</v>
      </c>
      <c r="BG152" s="771">
        <v>0</v>
      </c>
      <c r="BH152" s="771">
        <v>0</v>
      </c>
      <c r="BI152" s="771">
        <v>0</v>
      </c>
      <c r="BJ152" s="771">
        <v>0</v>
      </c>
      <c r="BK152" s="771">
        <v>0</v>
      </c>
      <c r="BL152" s="49"/>
      <c r="BM152" s="49"/>
      <c r="BN152" s="49"/>
    </row>
    <row r="153" spans="2:66">
      <c r="B153" s="49"/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699"/>
      <c r="AB153" s="699"/>
      <c r="AC153" s="699"/>
      <c r="AD153" s="699"/>
      <c r="AE153" s="49"/>
      <c r="AF153" s="49"/>
      <c r="AG153" s="49"/>
      <c r="AH153" s="49"/>
      <c r="AI153" s="49"/>
      <c r="AJ153" s="49"/>
      <c r="AK153" s="49"/>
      <c r="AL153" s="49"/>
      <c r="AM153" s="49" t="s">
        <v>1163</v>
      </c>
      <c r="AN153" s="49"/>
      <c r="AO153" s="83"/>
      <c r="AP153" s="83"/>
      <c r="AQ153" s="90">
        <f ca="1">+AQ158*Assumptions!$AE$269</f>
        <v>0</v>
      </c>
      <c r="AR153" s="90">
        <f ca="1">+AR158*Assumptions!$AE$269</f>
        <v>0</v>
      </c>
      <c r="AS153" s="90">
        <f ca="1">+AS158*Assumptions!$AE$269</f>
        <v>0</v>
      </c>
      <c r="AT153" s="90">
        <f ca="1">+AT158*Assumptions!$AE$269</f>
        <v>0</v>
      </c>
      <c r="AU153" s="90">
        <f ca="1">+AU158*Assumptions!$AE$269</f>
        <v>0</v>
      </c>
      <c r="AV153" s="90">
        <f ca="1">+AV158*Assumptions!$AE$269</f>
        <v>0</v>
      </c>
      <c r="AW153" s="90">
        <f ca="1">+AW158*Assumptions!$AE$269</f>
        <v>0</v>
      </c>
      <c r="AX153" s="90">
        <f ca="1">+AX158*Assumptions!$AE$269</f>
        <v>0</v>
      </c>
      <c r="AY153" s="90">
        <f ca="1">+AY158*Assumptions!$AE$269</f>
        <v>0</v>
      </c>
      <c r="AZ153" s="90">
        <f ca="1">+AZ158*Assumptions!$AE$269</f>
        <v>0</v>
      </c>
      <c r="BA153" s="90">
        <f ca="1">+BA158*Assumptions!$AE$269</f>
        <v>0</v>
      </c>
      <c r="BB153" s="90">
        <f ca="1">+BB158*Assumptions!$AE$269</f>
        <v>0</v>
      </c>
      <c r="BC153" s="90">
        <f ca="1">+BC158*Assumptions!$AE$269</f>
        <v>0</v>
      </c>
      <c r="BD153" s="90">
        <f ca="1">+BD158*Assumptions!$AE$269</f>
        <v>0</v>
      </c>
      <c r="BE153" s="90">
        <f ca="1">+BE158*Assumptions!$AE$269</f>
        <v>0</v>
      </c>
      <c r="BF153" s="90">
        <f ca="1">+BF158*Assumptions!$AE$269</f>
        <v>0</v>
      </c>
      <c r="BG153" s="90">
        <f ca="1">+BG158*Assumptions!$AE$269</f>
        <v>0</v>
      </c>
      <c r="BH153" s="90">
        <f ca="1">+BH158*Assumptions!$AE$269</f>
        <v>0</v>
      </c>
      <c r="BI153" s="90">
        <f ca="1">+BI158*Assumptions!$AE$269</f>
        <v>0</v>
      </c>
      <c r="BJ153" s="90">
        <f ca="1">+BJ158*Assumptions!$AE$269</f>
        <v>0</v>
      </c>
      <c r="BK153" s="90">
        <f ca="1">+BK158*Assumptions!$AE$269</f>
        <v>0</v>
      </c>
      <c r="BL153" s="49"/>
      <c r="BM153" s="49"/>
      <c r="BN153" s="49"/>
    </row>
    <row r="154" spans="2:66" ht="16.5">
      <c r="B154" s="112" t="s">
        <v>212</v>
      </c>
      <c r="C154" s="147"/>
      <c r="D154" s="147"/>
      <c r="E154" s="147"/>
      <c r="F154" s="148">
        <f>+Assumptions!$F$27</f>
        <v>45291</v>
      </c>
      <c r="G154" s="148">
        <f>+EOMONTH(F154,12)</f>
        <v>45657</v>
      </c>
      <c r="H154" s="148">
        <f t="shared" ref="H154:Z154" si="412">+EOMONTH(G154,12)</f>
        <v>46022</v>
      </c>
      <c r="I154" s="148">
        <f t="shared" si="412"/>
        <v>46387</v>
      </c>
      <c r="J154" s="148">
        <f t="shared" si="412"/>
        <v>46752</v>
      </c>
      <c r="K154" s="148">
        <f t="shared" si="412"/>
        <v>47118</v>
      </c>
      <c r="L154" s="148">
        <f t="shared" si="412"/>
        <v>47483</v>
      </c>
      <c r="M154" s="148">
        <f t="shared" si="412"/>
        <v>47848</v>
      </c>
      <c r="N154" s="148">
        <f t="shared" si="412"/>
        <v>48213</v>
      </c>
      <c r="O154" s="148">
        <f t="shared" si="412"/>
        <v>48579</v>
      </c>
      <c r="P154" s="148">
        <f t="shared" si="412"/>
        <v>48944</v>
      </c>
      <c r="Q154" s="148">
        <f t="shared" si="412"/>
        <v>49309</v>
      </c>
      <c r="R154" s="148">
        <f t="shared" si="412"/>
        <v>49674</v>
      </c>
      <c r="S154" s="148">
        <f t="shared" si="412"/>
        <v>50040</v>
      </c>
      <c r="T154" s="148">
        <f t="shared" si="412"/>
        <v>50405</v>
      </c>
      <c r="U154" s="148">
        <f t="shared" si="412"/>
        <v>50770</v>
      </c>
      <c r="V154" s="148">
        <f t="shared" si="412"/>
        <v>51135</v>
      </c>
      <c r="W154" s="148">
        <f t="shared" si="412"/>
        <v>51501</v>
      </c>
      <c r="X154" s="148">
        <f t="shared" si="412"/>
        <v>51866</v>
      </c>
      <c r="Y154" s="148">
        <f t="shared" si="412"/>
        <v>52231</v>
      </c>
      <c r="Z154" s="148">
        <f t="shared" si="412"/>
        <v>52596</v>
      </c>
      <c r="AA154" s="699"/>
      <c r="AB154" s="699"/>
      <c r="AC154" s="699"/>
      <c r="AD154" s="699"/>
      <c r="AE154" s="49"/>
      <c r="AF154" s="49"/>
      <c r="AG154" s="49"/>
      <c r="AH154" s="49"/>
      <c r="AI154" s="49"/>
      <c r="AJ154" s="49"/>
      <c r="AK154" s="49"/>
      <c r="AL154" s="49"/>
      <c r="AM154" s="49" t="s">
        <v>1131</v>
      </c>
      <c r="AN154" s="49"/>
      <c r="AO154" s="49"/>
      <c r="AP154" s="49"/>
      <c r="AQ154" s="773">
        <v>0</v>
      </c>
      <c r="AR154" s="773">
        <v>0</v>
      </c>
      <c r="AS154" s="773">
        <v>0</v>
      </c>
      <c r="AT154" s="773">
        <v>0</v>
      </c>
      <c r="AU154" s="773">
        <v>0</v>
      </c>
      <c r="AV154" s="773">
        <v>0</v>
      </c>
      <c r="AW154" s="773">
        <v>0</v>
      </c>
      <c r="AX154" s="773">
        <v>0</v>
      </c>
      <c r="AY154" s="773">
        <v>0</v>
      </c>
      <c r="AZ154" s="773">
        <v>0</v>
      </c>
      <c r="BA154" s="773">
        <v>0</v>
      </c>
      <c r="BB154" s="773">
        <v>0</v>
      </c>
      <c r="BC154" s="773">
        <v>0</v>
      </c>
      <c r="BD154" s="773">
        <v>0</v>
      </c>
      <c r="BE154" s="773">
        <v>0</v>
      </c>
      <c r="BF154" s="773">
        <v>0</v>
      </c>
      <c r="BG154" s="773">
        <v>0</v>
      </c>
      <c r="BH154" s="773">
        <v>0</v>
      </c>
      <c r="BI154" s="773">
        <v>0</v>
      </c>
      <c r="BJ154" s="773">
        <v>0</v>
      </c>
      <c r="BK154" s="773">
        <v>0</v>
      </c>
      <c r="BL154" s="49"/>
      <c r="BM154" s="49"/>
      <c r="BN154" s="49"/>
    </row>
    <row r="155" spans="2:66">
      <c r="B155" s="699" t="s">
        <v>1164</v>
      </c>
      <c r="C155" s="699"/>
      <c r="D155" s="103"/>
      <c r="E155" s="103"/>
      <c r="F155" s="90">
        <f>+IF(AND(F154&gt;=Assumptions!$F$31,F154&lt;Assumptions!$F$33),Assumptions!$F$162/ROUNDUP((Assumptions!$F$32/12),0),0)</f>
        <v>0</v>
      </c>
      <c r="G155" s="90">
        <f>+IF(AND(G154&gt;=Assumptions!$F$31,G154&lt;Assumptions!$F$33),Assumptions!$F$162/ROUNDUP((Assumptions!$F$32/12),0),0)</f>
        <v>0</v>
      </c>
      <c r="H155" s="90">
        <f>+IF(AND(H154&gt;=Assumptions!$F$31,H154&lt;Assumptions!$F$33),Assumptions!$F$162/ROUNDUP((Assumptions!$F$32/12),0),0)</f>
        <v>0</v>
      </c>
      <c r="I155" s="90">
        <f>+IF(AND(I154&gt;=Assumptions!$F$31,I154&lt;Assumptions!$F$33),Assumptions!$F$162/ROUNDUP((Assumptions!$F$32/12),0),0)</f>
        <v>0</v>
      </c>
      <c r="J155" s="90">
        <f>+IF(AND(J154&gt;=Assumptions!$F$31,J154&lt;Assumptions!$F$33),Assumptions!$F$162/ROUNDUP((Assumptions!$F$32/12),0),0)</f>
        <v>0</v>
      </c>
      <c r="K155" s="90">
        <f>+IF(AND(K154&gt;=Assumptions!$F$31,K154&lt;Assumptions!$F$33),Assumptions!$F$162/ROUNDUP((Assumptions!$F$32/12),0),0)</f>
        <v>0</v>
      </c>
      <c r="L155" s="90">
        <f>+IF(AND(L154&gt;=Assumptions!$F$31,L154&lt;Assumptions!$F$33),Assumptions!$F$162/ROUNDUP((Assumptions!$F$32/12),0),0)</f>
        <v>0</v>
      </c>
      <c r="M155" s="90">
        <f>+IF(AND(M154&gt;=Assumptions!$F$31,M154&lt;Assumptions!$F$33),Assumptions!$F$162/ROUNDUP((Assumptions!$F$32/12),0),0)</f>
        <v>0</v>
      </c>
      <c r="N155" s="90">
        <f>+IF(AND(N154&gt;=Assumptions!$F$31,N154&lt;Assumptions!$F$33),Assumptions!$F$162/ROUNDUP((Assumptions!$F$32/12),0),0)</f>
        <v>0</v>
      </c>
      <c r="O155" s="90">
        <f>+IF(AND(O154&gt;=Assumptions!$F$31,O154&lt;Assumptions!$F$33),Assumptions!$F$162/ROUNDUP((Assumptions!$F$32/12),0),0)</f>
        <v>0</v>
      </c>
      <c r="P155" s="90">
        <f>+IF(AND(P154&gt;=Assumptions!$F$31,P154&lt;Assumptions!$F$33),Assumptions!$F$162/ROUNDUP((Assumptions!$F$32/12),0),0)</f>
        <v>0</v>
      </c>
      <c r="Q155" s="90">
        <f>+IF(AND(Q154&gt;=Assumptions!$F$31,Q154&lt;Assumptions!$F$33),Assumptions!$F$162/ROUNDUP((Assumptions!$F$32/12),0),0)</f>
        <v>0</v>
      </c>
      <c r="R155" s="90">
        <f>+IF(AND(R154&gt;=Assumptions!$F$31,R154&lt;Assumptions!$F$33),Assumptions!$F$162/ROUNDUP((Assumptions!$F$32/12),0),0)</f>
        <v>0</v>
      </c>
      <c r="S155" s="90">
        <f>+IF(AND(S154&gt;=Assumptions!$F$31,S154&lt;Assumptions!$F$33),Assumptions!$F$162/ROUNDUP((Assumptions!$F$32/12),0),0)</f>
        <v>0</v>
      </c>
      <c r="T155" s="90">
        <f>+IF(AND(T154&gt;=Assumptions!$F$31,T154&lt;Assumptions!$F$33),Assumptions!$F$162/ROUNDUP((Assumptions!$F$32/12),0),0)</f>
        <v>0</v>
      </c>
      <c r="U155" s="90">
        <f>+IF(AND(U154&gt;=Assumptions!$F$31,U154&lt;Assumptions!$F$33),Assumptions!$F$162/ROUNDUP((Assumptions!$F$32/12),0),0)</f>
        <v>0</v>
      </c>
      <c r="V155" s="90">
        <f>+IF(AND(V154&gt;=Assumptions!$F$31,V154&lt;Assumptions!$F$33),Assumptions!$F$162/ROUNDUP((Assumptions!$F$32/12),0),0)</f>
        <v>0</v>
      </c>
      <c r="W155" s="90">
        <f>+IF(AND(W154&gt;=Assumptions!$F$31,W154&lt;Assumptions!$F$33),Assumptions!$F$162/ROUNDUP((Assumptions!$F$32/12),0),0)</f>
        <v>0</v>
      </c>
      <c r="X155" s="90">
        <f>+IF(AND(X154&gt;=Assumptions!$F$31,X154&lt;Assumptions!$F$33),Assumptions!$F$162/ROUNDUP((Assumptions!$F$32/12),0),0)</f>
        <v>0</v>
      </c>
      <c r="Y155" s="90">
        <f>+IF(AND(Y154&gt;=Assumptions!$F$31,Y154&lt;Assumptions!$F$33),Assumptions!$F$162/ROUNDUP((Assumptions!$F$32/12),0),0)</f>
        <v>0</v>
      </c>
      <c r="Z155" s="90">
        <f>+IF(AND(Z154&gt;=Assumptions!$F$31,Z154&lt;Assumptions!$F$33),Assumptions!$F$162/ROUNDUP((Assumptions!$F$32/12),0),0)</f>
        <v>0</v>
      </c>
      <c r="AA155" s="699"/>
      <c r="AB155" s="699"/>
      <c r="AC155" s="699"/>
      <c r="AD155" s="69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49"/>
      <c r="AY155" s="49"/>
      <c r="AZ155" s="49"/>
      <c r="BA155" s="49"/>
      <c r="BB155" s="49"/>
      <c r="BC155" s="49"/>
      <c r="BD155" s="49"/>
      <c r="BE155" s="49"/>
      <c r="BF155" s="49"/>
      <c r="BG155" s="49"/>
      <c r="BH155" s="49"/>
      <c r="BI155" s="49"/>
      <c r="BJ155" s="49"/>
      <c r="BK155" s="49"/>
      <c r="BL155" s="49"/>
      <c r="BM155" s="49"/>
      <c r="BN155" s="49"/>
    </row>
    <row r="156" spans="2:66">
      <c r="B156" s="699" t="s">
        <v>1165</v>
      </c>
      <c r="C156" s="699"/>
      <c r="D156" s="103"/>
      <c r="E156" s="103"/>
      <c r="F156" s="90">
        <f>+E156+F155</f>
        <v>0</v>
      </c>
      <c r="G156" s="90">
        <f t="shared" ref="G156:Z156" si="413">+F156+G155</f>
        <v>0</v>
      </c>
      <c r="H156" s="90">
        <f t="shared" si="413"/>
        <v>0</v>
      </c>
      <c r="I156" s="90">
        <f t="shared" si="413"/>
        <v>0</v>
      </c>
      <c r="J156" s="90">
        <f t="shared" si="413"/>
        <v>0</v>
      </c>
      <c r="K156" s="90">
        <f t="shared" si="413"/>
        <v>0</v>
      </c>
      <c r="L156" s="90">
        <f t="shared" si="413"/>
        <v>0</v>
      </c>
      <c r="M156" s="90">
        <f t="shared" si="413"/>
        <v>0</v>
      </c>
      <c r="N156" s="90">
        <f t="shared" si="413"/>
        <v>0</v>
      </c>
      <c r="O156" s="90">
        <f t="shared" si="413"/>
        <v>0</v>
      </c>
      <c r="P156" s="90">
        <f t="shared" si="413"/>
        <v>0</v>
      </c>
      <c r="Q156" s="90">
        <f t="shared" si="413"/>
        <v>0</v>
      </c>
      <c r="R156" s="90">
        <f t="shared" si="413"/>
        <v>0</v>
      </c>
      <c r="S156" s="90">
        <f t="shared" si="413"/>
        <v>0</v>
      </c>
      <c r="T156" s="90">
        <f t="shared" si="413"/>
        <v>0</v>
      </c>
      <c r="U156" s="90">
        <f t="shared" si="413"/>
        <v>0</v>
      </c>
      <c r="V156" s="90">
        <f t="shared" si="413"/>
        <v>0</v>
      </c>
      <c r="W156" s="90">
        <f t="shared" si="413"/>
        <v>0</v>
      </c>
      <c r="X156" s="90">
        <f t="shared" si="413"/>
        <v>0</v>
      </c>
      <c r="Y156" s="90">
        <f t="shared" si="413"/>
        <v>0</v>
      </c>
      <c r="Z156" s="90">
        <f t="shared" si="413"/>
        <v>0</v>
      </c>
      <c r="AA156" s="699"/>
      <c r="AB156" s="699"/>
      <c r="AC156" s="699"/>
      <c r="AD156" s="699"/>
      <c r="AE156" s="49"/>
      <c r="AF156" s="49"/>
      <c r="AG156" s="49"/>
      <c r="AH156" s="49"/>
      <c r="AI156" s="49"/>
      <c r="AJ156" s="49"/>
      <c r="AK156" s="49"/>
      <c r="AL156" s="49"/>
      <c r="AM156" s="49" t="s">
        <v>1132</v>
      </c>
      <c r="AN156" s="49"/>
      <c r="AO156" s="49"/>
      <c r="AP156" s="49"/>
      <c r="AQ156" s="83">
        <f>+AQ145*Assumptions!$AP$104*AQ149</f>
        <v>0</v>
      </c>
      <c r="AR156" s="83">
        <f>+AR145*Assumptions!$AP$104*AR149</f>
        <v>0</v>
      </c>
      <c r="AS156" s="83">
        <f>+AS145*Assumptions!$AP$104*AS149</f>
        <v>0</v>
      </c>
      <c r="AT156" s="83">
        <f>+AT145*Assumptions!$AP$104*AT149</f>
        <v>0</v>
      </c>
      <c r="AU156" s="83">
        <f>+AU145*Assumptions!$AP$104*AU149</f>
        <v>0</v>
      </c>
      <c r="AV156" s="83">
        <f>+AV145*Assumptions!$AP$104*AV149</f>
        <v>0</v>
      </c>
      <c r="AW156" s="83">
        <f>+AW145*Assumptions!$AP$104*AW149</f>
        <v>0</v>
      </c>
      <c r="AX156" s="83">
        <f>+AX145*Assumptions!$AP$104*AX149</f>
        <v>0</v>
      </c>
      <c r="AY156" s="83">
        <f>+AY145*Assumptions!$AP$104*AY149</f>
        <v>0</v>
      </c>
      <c r="AZ156" s="83">
        <f>+AZ145*Assumptions!$AP$104*AZ149</f>
        <v>0</v>
      </c>
      <c r="BA156" s="83">
        <f>+BA145*Assumptions!$AP$104*BA149</f>
        <v>0</v>
      </c>
      <c r="BB156" s="83">
        <f>+BB145*Assumptions!$AP$104*BB149</f>
        <v>0</v>
      </c>
      <c r="BC156" s="83">
        <f>+BC145*Assumptions!$AP$104*BC149</f>
        <v>0</v>
      </c>
      <c r="BD156" s="83">
        <f>+BD145*Assumptions!$AP$104*BD149</f>
        <v>0</v>
      </c>
      <c r="BE156" s="83">
        <f>+BE145*Assumptions!$AP$104*BE149</f>
        <v>0</v>
      </c>
      <c r="BF156" s="83">
        <f>+BF145*Assumptions!$AP$104*BF149</f>
        <v>0</v>
      </c>
      <c r="BG156" s="83">
        <f>+BG145*Assumptions!$AP$104*BG149</f>
        <v>0</v>
      </c>
      <c r="BH156" s="83">
        <f>+BH145*Assumptions!$AP$104*BH149</f>
        <v>0</v>
      </c>
      <c r="BI156" s="83">
        <f>+BI145*Assumptions!$AP$104*BI149</f>
        <v>0</v>
      </c>
      <c r="BJ156" s="83">
        <f>+BJ145*Assumptions!$AP$104*BJ149</f>
        <v>0</v>
      </c>
      <c r="BK156" s="83">
        <f>+BK145*Assumptions!$AP$104*BK149</f>
        <v>0</v>
      </c>
      <c r="BL156" s="49"/>
      <c r="BM156" s="49"/>
      <c r="BN156" s="49"/>
    </row>
    <row r="157" spans="2:66">
      <c r="B157" s="699" t="s">
        <v>1166</v>
      </c>
      <c r="C157" s="699"/>
      <c r="D157" s="90"/>
      <c r="E157" s="90"/>
      <c r="F157" s="87">
        <f t="shared" ref="F157:Z157" si="414">+IFERROR(F156/SUM($F155:$Z155),0)</f>
        <v>0</v>
      </c>
      <c r="G157" s="87">
        <f t="shared" si="414"/>
        <v>0</v>
      </c>
      <c r="H157" s="87">
        <f t="shared" si="414"/>
        <v>0</v>
      </c>
      <c r="I157" s="87">
        <f t="shared" si="414"/>
        <v>0</v>
      </c>
      <c r="J157" s="87">
        <f t="shared" si="414"/>
        <v>0</v>
      </c>
      <c r="K157" s="87">
        <f t="shared" si="414"/>
        <v>0</v>
      </c>
      <c r="L157" s="87">
        <f t="shared" si="414"/>
        <v>0</v>
      </c>
      <c r="M157" s="87">
        <f t="shared" si="414"/>
        <v>0</v>
      </c>
      <c r="N157" s="87">
        <f t="shared" si="414"/>
        <v>0</v>
      </c>
      <c r="O157" s="87">
        <f t="shared" si="414"/>
        <v>0</v>
      </c>
      <c r="P157" s="87">
        <f t="shared" si="414"/>
        <v>0</v>
      </c>
      <c r="Q157" s="87">
        <f t="shared" si="414"/>
        <v>0</v>
      </c>
      <c r="R157" s="87">
        <f t="shared" si="414"/>
        <v>0</v>
      </c>
      <c r="S157" s="87">
        <f t="shared" si="414"/>
        <v>0</v>
      </c>
      <c r="T157" s="87">
        <f t="shared" si="414"/>
        <v>0</v>
      </c>
      <c r="U157" s="87">
        <f t="shared" si="414"/>
        <v>0</v>
      </c>
      <c r="V157" s="87">
        <f t="shared" si="414"/>
        <v>0</v>
      </c>
      <c r="W157" s="87">
        <f t="shared" si="414"/>
        <v>0</v>
      </c>
      <c r="X157" s="87">
        <f t="shared" si="414"/>
        <v>0</v>
      </c>
      <c r="Y157" s="87">
        <f t="shared" si="414"/>
        <v>0</v>
      </c>
      <c r="Z157" s="87">
        <f t="shared" si="414"/>
        <v>0</v>
      </c>
      <c r="AA157" s="699"/>
      <c r="AB157" s="699"/>
      <c r="AC157" s="699"/>
      <c r="AD157" s="699"/>
      <c r="AE157" s="49"/>
      <c r="AF157" s="49"/>
      <c r="AG157" s="49"/>
      <c r="AH157" s="49"/>
      <c r="AI157" s="49"/>
      <c r="AJ157" s="49"/>
      <c r="AK157" s="49"/>
      <c r="AL157" s="49"/>
      <c r="AM157" s="49" t="s">
        <v>1133</v>
      </c>
      <c r="AN157" s="49"/>
      <c r="AO157" s="49"/>
      <c r="AP157" s="49"/>
      <c r="AQ157" s="253">
        <f ca="1">+IFERROR(INDEX('Taxes and TIF'!$M$11:$M$45,MATCH('Phase 1 Pro Forma'!F$7,'Taxes and TIF'!$B$11:$B$45,0)),0)*'Loan Sizing'!$I$66*'Phase 1 Pro Forma'!AQ146</f>
        <v>0</v>
      </c>
      <c r="AR157" s="253">
        <f ca="1">+IFERROR(INDEX('Taxes and TIF'!$M$11:$M$45,MATCH('Phase 1 Pro Forma'!G$7,'Taxes and TIF'!$B$11:$B$45,0)),0)*'Loan Sizing'!$I$66*'Phase 1 Pro Forma'!AR146</f>
        <v>0</v>
      </c>
      <c r="AS157" s="253">
        <f ca="1">+IFERROR(INDEX('Taxes and TIF'!$M$11:$M$45,MATCH('Phase 1 Pro Forma'!H$7,'Taxes and TIF'!$B$11:$B$45,0)),0)*'Loan Sizing'!$I$66*'Phase 1 Pro Forma'!AS146</f>
        <v>0</v>
      </c>
      <c r="AT157" s="253">
        <f ca="1">+IFERROR(INDEX('Taxes and TIF'!$M$11:$M$45,MATCH('Phase 1 Pro Forma'!I$7,'Taxes and TIF'!$B$11:$B$45,0)),0)*'Loan Sizing'!$I$66*'Phase 1 Pro Forma'!AT146</f>
        <v>0</v>
      </c>
      <c r="AU157" s="253">
        <f ca="1">+IFERROR(INDEX('Taxes and TIF'!$M$11:$M$45,MATCH('Phase 1 Pro Forma'!J$7,'Taxes and TIF'!$B$11:$B$45,0)),0)*'Loan Sizing'!$I$66*'Phase 1 Pro Forma'!AU146</f>
        <v>0</v>
      </c>
      <c r="AV157" s="253">
        <f ca="1">+IFERROR(INDEX('Taxes and TIF'!$M$11:$M$45,MATCH('Phase 1 Pro Forma'!K$7,'Taxes and TIF'!$B$11:$B$45,0)),0)*'Loan Sizing'!$I$66*'Phase 1 Pro Forma'!AV146</f>
        <v>0</v>
      </c>
      <c r="AW157" s="253">
        <f ca="1">+IFERROR(INDEX('Taxes and TIF'!$M$11:$M$45,MATCH('Phase 1 Pro Forma'!L$7,'Taxes and TIF'!$B$11:$B$45,0)),0)*'Loan Sizing'!$I$66*'Phase 1 Pro Forma'!AW146</f>
        <v>0</v>
      </c>
      <c r="AX157" s="253">
        <f ca="1">+IFERROR(INDEX('Taxes and TIF'!$M$11:$M$45,MATCH('Phase 1 Pro Forma'!M$7,'Taxes and TIF'!$B$11:$B$45,0)),0)*'Loan Sizing'!$I$66*'Phase 1 Pro Forma'!AX146</f>
        <v>0</v>
      </c>
      <c r="AY157" s="253">
        <f ca="1">+IFERROR(INDEX('Taxes and TIF'!$M$11:$M$45,MATCH('Phase 1 Pro Forma'!N$7,'Taxes and TIF'!$B$11:$B$45,0)),0)*'Loan Sizing'!$I$66*'Phase 1 Pro Forma'!AY146</f>
        <v>0</v>
      </c>
      <c r="AZ157" s="253">
        <f ca="1">+IFERROR(INDEX('Taxes and TIF'!$M$11:$M$45,MATCH('Phase 1 Pro Forma'!O$7,'Taxes and TIF'!$B$11:$B$45,0)),0)*'Loan Sizing'!$I$66*'Phase 1 Pro Forma'!AZ146</f>
        <v>0</v>
      </c>
      <c r="BA157" s="253">
        <f ca="1">+IFERROR(INDEX('Taxes and TIF'!$M$11:$M$45,MATCH('Phase 1 Pro Forma'!P$7,'Taxes and TIF'!$B$11:$B$45,0)),0)*'Loan Sizing'!$I$66*'Phase 1 Pro Forma'!BA146</f>
        <v>0</v>
      </c>
      <c r="BB157" s="253">
        <f ca="1">+IFERROR(INDEX('Taxes and TIF'!$M$11:$M$45,MATCH('Phase 1 Pro Forma'!Q$7,'Taxes and TIF'!$B$11:$B$45,0)),0)*'Loan Sizing'!$I$66*'Phase 1 Pro Forma'!BB146</f>
        <v>0</v>
      </c>
      <c r="BC157" s="253">
        <f ca="1">+IFERROR(INDEX('Taxes and TIF'!$M$11:$M$45,MATCH('Phase 1 Pro Forma'!R$7,'Taxes and TIF'!$B$11:$B$45,0)),0)*'Loan Sizing'!$I$66*'Phase 1 Pro Forma'!BC146</f>
        <v>0</v>
      </c>
      <c r="BD157" s="253">
        <f ca="1">+IFERROR(INDEX('Taxes and TIF'!$M$11:$M$45,MATCH('Phase 1 Pro Forma'!S$7,'Taxes and TIF'!$B$11:$B$45,0)),0)*'Loan Sizing'!$I$66*'Phase 1 Pro Forma'!BD146</f>
        <v>0</v>
      </c>
      <c r="BE157" s="253">
        <f ca="1">+IFERROR(INDEX('Taxes and TIF'!$M$11:$M$45,MATCH('Phase 1 Pro Forma'!T$7,'Taxes and TIF'!$B$11:$B$45,0)),0)*'Loan Sizing'!$I$66*'Phase 1 Pro Forma'!BE146</f>
        <v>0</v>
      </c>
      <c r="BF157" s="253">
        <f ca="1">+IFERROR(INDEX('Taxes and TIF'!$M$11:$M$45,MATCH('Phase 1 Pro Forma'!U$7,'Taxes and TIF'!$B$11:$B$45,0)),0)*'Loan Sizing'!$I$66*'Phase 1 Pro Forma'!BF146</f>
        <v>0</v>
      </c>
      <c r="BG157" s="253">
        <f ca="1">+IFERROR(INDEX('Taxes and TIF'!$M$11:$M$45,MATCH('Phase 1 Pro Forma'!V$7,'Taxes and TIF'!$B$11:$B$45,0)),0)*'Loan Sizing'!$I$66*'Phase 1 Pro Forma'!BG146</f>
        <v>0</v>
      </c>
      <c r="BH157" s="253">
        <f ca="1">+IFERROR(INDEX('Taxes and TIF'!$M$11:$M$45,MATCH('Phase 1 Pro Forma'!W$7,'Taxes and TIF'!$B$11:$B$45,0)),0)*'Loan Sizing'!$I$66*'Phase 1 Pro Forma'!BH146</f>
        <v>0</v>
      </c>
      <c r="BI157" s="253">
        <f ca="1">+IFERROR(INDEX('Taxes and TIF'!$M$11:$M$45,MATCH('Phase 1 Pro Forma'!X$7,'Taxes and TIF'!$B$11:$B$45,0)),0)*'Loan Sizing'!$I$66*'Phase 1 Pro Forma'!BI146</f>
        <v>0</v>
      </c>
      <c r="BJ157" s="253">
        <f ca="1">+IFERROR(INDEX('Taxes and TIF'!$M$11:$M$45,MATCH('Phase 1 Pro Forma'!Y$7,'Taxes and TIF'!$B$11:$B$45,0)),0)*'Loan Sizing'!$I$66*'Phase 1 Pro Forma'!BJ146</f>
        <v>0</v>
      </c>
      <c r="BK157" s="253">
        <f ca="1">+IFERROR(INDEX('Taxes and TIF'!$M$11:$M$45,MATCH('Phase 1 Pro Forma'!Z$7,'Taxes and TIF'!$B$11:$B$45,0)),0)*'Loan Sizing'!$I$66*'Phase 1 Pro Forma'!BK146</f>
        <v>0</v>
      </c>
      <c r="BL157" s="49"/>
      <c r="BM157" s="49"/>
      <c r="BN157" s="49"/>
    </row>
    <row r="158" spans="2:66">
      <c r="B158" s="699"/>
      <c r="C158" s="699"/>
      <c r="D158" s="90"/>
      <c r="E158" s="90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699"/>
      <c r="AB158" s="699"/>
      <c r="AC158" s="699"/>
      <c r="AD158" s="699"/>
      <c r="AE158" s="49"/>
      <c r="AF158" s="49"/>
      <c r="AG158" s="49"/>
      <c r="AH158" s="49"/>
      <c r="AI158" s="49"/>
      <c r="AJ158" s="49"/>
      <c r="AK158" s="49"/>
      <c r="AL158" s="49"/>
      <c r="AM158" s="49" t="s">
        <v>1134</v>
      </c>
      <c r="AN158" s="49"/>
      <c r="AO158" s="49"/>
      <c r="AP158" s="49"/>
      <c r="AQ158" s="83">
        <f ca="1">+SUM(AQ156:AQ157)</f>
        <v>0</v>
      </c>
      <c r="AR158" s="83">
        <f t="shared" ref="AR158:BK158" ca="1" si="415">+SUM(AR156:AR157)</f>
        <v>0</v>
      </c>
      <c r="AS158" s="83">
        <f t="shared" ca="1" si="415"/>
        <v>0</v>
      </c>
      <c r="AT158" s="83">
        <f t="shared" ca="1" si="415"/>
        <v>0</v>
      </c>
      <c r="AU158" s="83">
        <f t="shared" ca="1" si="415"/>
        <v>0</v>
      </c>
      <c r="AV158" s="83">
        <f t="shared" ca="1" si="415"/>
        <v>0</v>
      </c>
      <c r="AW158" s="83">
        <f t="shared" ca="1" si="415"/>
        <v>0</v>
      </c>
      <c r="AX158" s="83">
        <f t="shared" ca="1" si="415"/>
        <v>0</v>
      </c>
      <c r="AY158" s="83">
        <f t="shared" ca="1" si="415"/>
        <v>0</v>
      </c>
      <c r="AZ158" s="83">
        <f t="shared" ca="1" si="415"/>
        <v>0</v>
      </c>
      <c r="BA158" s="83">
        <f t="shared" ca="1" si="415"/>
        <v>0</v>
      </c>
      <c r="BB158" s="83">
        <f t="shared" ca="1" si="415"/>
        <v>0</v>
      </c>
      <c r="BC158" s="83">
        <f t="shared" ca="1" si="415"/>
        <v>0</v>
      </c>
      <c r="BD158" s="83">
        <f t="shared" ca="1" si="415"/>
        <v>0</v>
      </c>
      <c r="BE158" s="83">
        <f t="shared" ca="1" si="415"/>
        <v>0</v>
      </c>
      <c r="BF158" s="83">
        <f t="shared" ca="1" si="415"/>
        <v>0</v>
      </c>
      <c r="BG158" s="83">
        <f t="shared" ca="1" si="415"/>
        <v>0</v>
      </c>
      <c r="BH158" s="83">
        <f t="shared" ca="1" si="415"/>
        <v>0</v>
      </c>
      <c r="BI158" s="83">
        <f t="shared" ca="1" si="415"/>
        <v>0</v>
      </c>
      <c r="BJ158" s="83">
        <f t="shared" ca="1" si="415"/>
        <v>0</v>
      </c>
      <c r="BK158" s="83">
        <f t="shared" ca="1" si="415"/>
        <v>0</v>
      </c>
      <c r="BL158" s="49"/>
      <c r="BM158" s="49"/>
      <c r="BN158" s="49"/>
    </row>
    <row r="159" spans="2:66">
      <c r="B159" s="699" t="s">
        <v>1167</v>
      </c>
      <c r="C159" s="49"/>
      <c r="D159" s="49"/>
      <c r="E159" s="49"/>
      <c r="F159" s="83">
        <f>+IF(F2=1,Assumptions!$F$187,IF(F2=2,Assumptions!$F$189,IF(F2&gt;2,Assumptions!$F$166,0)))</f>
        <v>0</v>
      </c>
      <c r="G159" s="83">
        <f>+IF(G2=1,Assumptions!$F$187,IF(G2=2,Assumptions!$F$189,IF(G2&gt;2,Assumptions!$F$166,0)))</f>
        <v>0</v>
      </c>
      <c r="H159" s="83">
        <f>+IF(H2=1,Assumptions!$F$187,IF(H2=2,Assumptions!$F$189,IF(H2&gt;2,Assumptions!$F$166,0)))</f>
        <v>0</v>
      </c>
      <c r="I159" s="83">
        <f>+IF(I2=1,Assumptions!$F$187,IF(I2=2,Assumptions!$F$189,IF(I2&gt;2,Assumptions!$F$166,0)))</f>
        <v>0</v>
      </c>
      <c r="J159" s="83">
        <f>+IF(J2=1,Assumptions!$F$187,IF(J2=2,Assumptions!$F$189,IF(J2&gt;2,Assumptions!$F$166,0)))</f>
        <v>0</v>
      </c>
      <c r="K159" s="83">
        <f>+IF(K2=1,Assumptions!$F$187,IF(K2=2,Assumptions!$F$189,IF(K2&gt;2,Assumptions!$F$166,0)))</f>
        <v>0</v>
      </c>
      <c r="L159" s="83">
        <f>+IF(L2=1,Assumptions!$F$187,IF(L2=2,Assumptions!$F$189,IF(L2&gt;2,Assumptions!$F$166,0)))</f>
        <v>208.95915189257499</v>
      </c>
      <c r="M159" s="83">
        <f>+IF(M2=1,Assumptions!$F$187,IF(M2=2,Assumptions!$F$189,IF(M2&gt;2,Assumptions!$F$166,0)))</f>
        <v>208.95915189257499</v>
      </c>
      <c r="N159" s="83">
        <f>+IF(N2=1,Assumptions!$F$187,IF(N2=2,Assumptions!$F$189,IF(N2&gt;2,Assumptions!$F$166,0)))</f>
        <v>208.95915189257499</v>
      </c>
      <c r="O159" s="83">
        <f>+IF(O2=1,Assumptions!$F$187,IF(O2=2,Assumptions!$F$189,IF(O2&gt;2,Assumptions!$F$166,0)))</f>
        <v>208.95915189257499</v>
      </c>
      <c r="P159" s="83">
        <f>+IF(P2=1,Assumptions!$F$187,IF(P2=2,Assumptions!$F$189,IF(P2&gt;2,Assumptions!$F$166,0)))</f>
        <v>208.95915189257499</v>
      </c>
      <c r="Q159" s="83">
        <f>+IF(Q2=1,Assumptions!$F$187,IF(Q2=2,Assumptions!$F$189,IF(Q2&gt;2,Assumptions!$F$166,0)))</f>
        <v>208.95915189257499</v>
      </c>
      <c r="R159" s="83">
        <f>+IF(R2=1,Assumptions!$F$187,IF(R2=2,Assumptions!$F$189,IF(R2&gt;2,Assumptions!$F$166,0)))</f>
        <v>208.95915189257499</v>
      </c>
      <c r="S159" s="83">
        <f>+IF(S2=1,Assumptions!$F$187,IF(S2=2,Assumptions!$F$189,IF(S2&gt;2,Assumptions!$F$166,0)))</f>
        <v>208.95915189257499</v>
      </c>
      <c r="T159" s="83">
        <f>+IF(T2=1,Assumptions!$F$187,IF(T2=2,Assumptions!$F$189,IF(T2&gt;2,Assumptions!$F$166,0)))</f>
        <v>208.95915189257499</v>
      </c>
      <c r="U159" s="83">
        <f>+IF(U2=1,Assumptions!$F$187,IF(U2=2,Assumptions!$F$189,IF(U2&gt;2,Assumptions!$F$166,0)))</f>
        <v>208.95915189257499</v>
      </c>
      <c r="V159" s="83">
        <f>+IF(V2=1,Assumptions!$F$187,IF(V2=2,Assumptions!$F$189,IF(V2&gt;2,Assumptions!$F$166,0)))</f>
        <v>208.95915189257499</v>
      </c>
      <c r="W159" s="83">
        <f>+IF(W2=1,Assumptions!$F$187,IF(W2=2,Assumptions!$F$189,IF(W2&gt;2,Assumptions!$F$166,0)))</f>
        <v>208.95915189257499</v>
      </c>
      <c r="X159" s="83">
        <f>+IF(X2=1,Assumptions!$F$187,IF(X2=2,Assumptions!$F$189,IF(X2&gt;2,Assumptions!$F$166,0)))</f>
        <v>208.95915189257499</v>
      </c>
      <c r="Y159" s="83">
        <f>+IF(Y2=1,Assumptions!$F$187,IF(Y2=2,Assumptions!$F$189,IF(Y2&gt;2,Assumptions!$F$166,0)))</f>
        <v>208.95915189257499</v>
      </c>
      <c r="Z159" s="83">
        <f>+IF(Z2=1,Assumptions!$F$187,IF(Z2=2,Assumptions!$F$189,IF(Z2&gt;2,Assumptions!$F$166,0)))</f>
        <v>208.95915189257499</v>
      </c>
      <c r="AA159" s="699"/>
      <c r="AB159" s="699"/>
      <c r="AC159" s="699"/>
      <c r="AD159" s="69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49"/>
      <c r="AY159" s="49"/>
      <c r="AZ159" s="49"/>
      <c r="BA159" s="49"/>
      <c r="BB159" s="49"/>
      <c r="BC159" s="49"/>
      <c r="BD159" s="49"/>
      <c r="BE159" s="49"/>
      <c r="BF159" s="49"/>
      <c r="BG159" s="49"/>
      <c r="BH159" s="49"/>
      <c r="BI159" s="49"/>
      <c r="BJ159" s="49"/>
      <c r="BK159" s="49"/>
      <c r="BL159" s="49"/>
      <c r="BM159" s="49"/>
      <c r="BN159" s="49"/>
    </row>
    <row r="160" spans="2:66" ht="15.75">
      <c r="B160" s="699" t="s">
        <v>1168</v>
      </c>
      <c r="C160" s="699"/>
      <c r="D160" s="90"/>
      <c r="E160" s="90"/>
      <c r="F160" s="87">
        <v>1</v>
      </c>
      <c r="G160" s="87">
        <f>F160*(1+Assumptions!$N$74)</f>
        <v>1.03</v>
      </c>
      <c r="H160" s="87">
        <f>G160*(1+Assumptions!$N$74)</f>
        <v>1.0609</v>
      </c>
      <c r="I160" s="87">
        <f>H160*(1+Assumptions!$N$74)</f>
        <v>1.092727</v>
      </c>
      <c r="J160" s="87">
        <f>I160*(1+Assumptions!$N$74)</f>
        <v>1.1255088100000001</v>
      </c>
      <c r="K160" s="87">
        <f>J160*(1+Assumptions!$N$74)</f>
        <v>1.1592740743000001</v>
      </c>
      <c r="L160" s="87">
        <f>K160*(1+Assumptions!$N$74)</f>
        <v>1.1940522965290001</v>
      </c>
      <c r="M160" s="87">
        <f>L160*(1+Assumptions!$N$74)</f>
        <v>1.2298738654248702</v>
      </c>
      <c r="N160" s="87">
        <f>M160*(1+Assumptions!$N$74)</f>
        <v>1.2667700813876164</v>
      </c>
      <c r="O160" s="87">
        <f>N160*(1+Assumptions!$N$74)</f>
        <v>1.3047731838292449</v>
      </c>
      <c r="P160" s="87">
        <f>O160*(1+Assumptions!$N$74)</f>
        <v>1.3439163793441222</v>
      </c>
      <c r="Q160" s="87">
        <f>P160*(1+Assumptions!$N$74)</f>
        <v>1.3842338707244459</v>
      </c>
      <c r="R160" s="87">
        <f>Q160*(1+Assumptions!$N$74)</f>
        <v>1.4257608868461793</v>
      </c>
      <c r="S160" s="87">
        <f>R160*(1+Assumptions!$N$74)</f>
        <v>1.4685337134515648</v>
      </c>
      <c r="T160" s="87">
        <f>S160*(1+Assumptions!$N$74)</f>
        <v>1.5125897248551119</v>
      </c>
      <c r="U160" s="87">
        <f>T160*(1+Assumptions!$N$74)</f>
        <v>1.5579674166007653</v>
      </c>
      <c r="V160" s="87">
        <f>U160*(1+Assumptions!$N$74)</f>
        <v>1.6047064390987884</v>
      </c>
      <c r="W160" s="87">
        <f>V160*(1+Assumptions!$N$74)</f>
        <v>1.652847632271752</v>
      </c>
      <c r="X160" s="87">
        <f>W160*(1+Assumptions!$N$74)</f>
        <v>1.7024330612399046</v>
      </c>
      <c r="Y160" s="87">
        <f>X160*(1+Assumptions!$N$74)</f>
        <v>1.7535060530771018</v>
      </c>
      <c r="Z160" s="87">
        <f>Y160*(1+Assumptions!$N$74)</f>
        <v>1.806111234669415</v>
      </c>
      <c r="AA160" s="699"/>
      <c r="AB160" s="699"/>
      <c r="AC160" s="699"/>
      <c r="AD160" s="699"/>
      <c r="AE160" s="49"/>
      <c r="AF160" s="49"/>
      <c r="AG160" s="49"/>
      <c r="AH160" s="49"/>
      <c r="AI160" s="49"/>
      <c r="AJ160" s="49"/>
      <c r="AK160" s="49"/>
      <c r="AL160" s="49"/>
      <c r="AM160" s="81" t="s">
        <v>1135</v>
      </c>
      <c r="AN160" s="81"/>
      <c r="AO160" s="81"/>
      <c r="AP160" s="81"/>
      <c r="AQ160" s="94">
        <v>0</v>
      </c>
      <c r="AR160" s="94">
        <v>0</v>
      </c>
      <c r="AS160" s="94">
        <v>0</v>
      </c>
      <c r="AT160" s="94">
        <v>0</v>
      </c>
      <c r="AU160" s="94">
        <v>0</v>
      </c>
      <c r="AV160" s="94">
        <v>0</v>
      </c>
      <c r="AW160" s="94">
        <v>0</v>
      </c>
      <c r="AX160" s="94">
        <v>0</v>
      </c>
      <c r="AY160" s="94">
        <v>0</v>
      </c>
      <c r="AZ160" s="94">
        <v>0</v>
      </c>
      <c r="BA160" s="94">
        <v>0</v>
      </c>
      <c r="BB160" s="94">
        <v>0</v>
      </c>
      <c r="BC160" s="94">
        <v>0</v>
      </c>
      <c r="BD160" s="94">
        <v>0</v>
      </c>
      <c r="BE160" s="94">
        <v>0</v>
      </c>
      <c r="BF160" s="94">
        <v>0</v>
      </c>
      <c r="BG160" s="94">
        <v>0</v>
      </c>
      <c r="BH160" s="94">
        <v>0</v>
      </c>
      <c r="BI160" s="94">
        <v>0</v>
      </c>
      <c r="BJ160" s="94">
        <v>0</v>
      </c>
      <c r="BK160" s="94">
        <v>0</v>
      </c>
      <c r="BL160" s="49"/>
      <c r="BM160" s="49"/>
      <c r="BN160" s="49"/>
    </row>
    <row r="161" spans="1:66" ht="15.75">
      <c r="A161" s="699"/>
      <c r="B161" s="699" t="s">
        <v>1169</v>
      </c>
      <c r="C161" s="699"/>
      <c r="D161" s="90"/>
      <c r="E161" s="90"/>
      <c r="F161" s="83">
        <f>+F159*F160</f>
        <v>0</v>
      </c>
      <c r="G161" s="83">
        <f t="shared" ref="G161:Z161" si="416">+G159*G160</f>
        <v>0</v>
      </c>
      <c r="H161" s="83">
        <f t="shared" si="416"/>
        <v>0</v>
      </c>
      <c r="I161" s="83">
        <f t="shared" si="416"/>
        <v>0</v>
      </c>
      <c r="J161" s="83">
        <f t="shared" si="416"/>
        <v>0</v>
      </c>
      <c r="K161" s="83">
        <f t="shared" si="416"/>
        <v>0</v>
      </c>
      <c r="L161" s="83">
        <f t="shared" si="416"/>
        <v>249.50815519808134</v>
      </c>
      <c r="M161" s="83">
        <f t="shared" si="416"/>
        <v>256.99339985402378</v>
      </c>
      <c r="N161" s="83">
        <f t="shared" si="416"/>
        <v>264.70320184964453</v>
      </c>
      <c r="O161" s="83">
        <f t="shared" si="416"/>
        <v>272.64429790513384</v>
      </c>
      <c r="P161" s="83">
        <f t="shared" si="416"/>
        <v>280.82362684228787</v>
      </c>
      <c r="Q161" s="83">
        <f t="shared" si="416"/>
        <v>289.24833564755653</v>
      </c>
      <c r="R161" s="83">
        <f t="shared" si="416"/>
        <v>297.92578571698323</v>
      </c>
      <c r="S161" s="83">
        <f t="shared" si="416"/>
        <v>306.86355928849275</v>
      </c>
      <c r="T161" s="83">
        <f t="shared" si="416"/>
        <v>316.06946606714752</v>
      </c>
      <c r="U161" s="83">
        <f t="shared" si="416"/>
        <v>325.55155004916196</v>
      </c>
      <c r="V161" s="83">
        <f t="shared" si="416"/>
        <v>335.31809655063688</v>
      </c>
      <c r="W161" s="83">
        <f t="shared" si="416"/>
        <v>345.37763944715596</v>
      </c>
      <c r="X161" s="83">
        <f t="shared" si="416"/>
        <v>355.73896863057064</v>
      </c>
      <c r="Y161" s="83">
        <f t="shared" si="416"/>
        <v>366.41113768948782</v>
      </c>
      <c r="Z161" s="83">
        <f t="shared" si="416"/>
        <v>377.40347182017246</v>
      </c>
      <c r="AA161" s="699"/>
      <c r="AB161" s="699"/>
      <c r="AC161" s="699"/>
      <c r="AD161" s="699"/>
      <c r="AE161" s="49"/>
      <c r="AF161" s="49"/>
      <c r="AG161" s="49"/>
      <c r="AH161" s="49"/>
      <c r="AI161" s="49"/>
      <c r="AJ161" s="49"/>
      <c r="AK161" s="49"/>
      <c r="AL161" s="49"/>
      <c r="AM161" s="223" t="s">
        <v>1136</v>
      </c>
      <c r="AN161" s="81"/>
      <c r="AO161" s="81"/>
      <c r="AP161" s="81"/>
      <c r="AQ161" s="104" t="str">
        <f>+IFERROR(AQ160/AQ154,"")</f>
        <v/>
      </c>
      <c r="AR161" s="104" t="str">
        <f t="shared" ref="AR161:BK161" si="417">+IFERROR(AR160/AR154,"")</f>
        <v/>
      </c>
      <c r="AS161" s="104" t="str">
        <f t="shared" si="417"/>
        <v/>
      </c>
      <c r="AT161" s="104" t="str">
        <f t="shared" si="417"/>
        <v/>
      </c>
      <c r="AU161" s="104" t="str">
        <f t="shared" si="417"/>
        <v/>
      </c>
      <c r="AV161" s="104" t="str">
        <f t="shared" si="417"/>
        <v/>
      </c>
      <c r="AW161" s="104" t="str">
        <f t="shared" si="417"/>
        <v/>
      </c>
      <c r="AX161" s="104" t="str">
        <f t="shared" si="417"/>
        <v/>
      </c>
      <c r="AY161" s="104" t="str">
        <f t="shared" si="417"/>
        <v/>
      </c>
      <c r="AZ161" s="104" t="str">
        <f t="shared" si="417"/>
        <v/>
      </c>
      <c r="BA161" s="104" t="str">
        <f t="shared" si="417"/>
        <v/>
      </c>
      <c r="BB161" s="104" t="str">
        <f t="shared" si="417"/>
        <v/>
      </c>
      <c r="BC161" s="104" t="str">
        <f t="shared" si="417"/>
        <v/>
      </c>
      <c r="BD161" s="104" t="str">
        <f t="shared" si="417"/>
        <v/>
      </c>
      <c r="BE161" s="104" t="str">
        <f t="shared" si="417"/>
        <v/>
      </c>
      <c r="BF161" s="104" t="str">
        <f t="shared" si="417"/>
        <v/>
      </c>
      <c r="BG161" s="104" t="str">
        <f t="shared" si="417"/>
        <v/>
      </c>
      <c r="BH161" s="104" t="str">
        <f t="shared" si="417"/>
        <v/>
      </c>
      <c r="BI161" s="104" t="str">
        <f t="shared" si="417"/>
        <v/>
      </c>
      <c r="BJ161" s="104" t="str">
        <f t="shared" si="417"/>
        <v/>
      </c>
      <c r="BK161" s="104" t="str">
        <f t="shared" si="417"/>
        <v/>
      </c>
      <c r="BL161" s="49"/>
      <c r="BM161" s="49"/>
      <c r="BN161" s="49"/>
    </row>
    <row r="162" spans="1:66" ht="15.75">
      <c r="A162" s="699"/>
      <c r="B162" s="69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699"/>
      <c r="AB162" s="699"/>
      <c r="AC162" s="699"/>
      <c r="AD162" s="699"/>
      <c r="AE162" s="49"/>
      <c r="AF162" s="49"/>
      <c r="AG162" s="49"/>
      <c r="AH162" s="49"/>
      <c r="AI162" s="49"/>
      <c r="AJ162" s="49"/>
      <c r="AK162" s="49"/>
      <c r="AL162" s="49"/>
      <c r="AM162" s="223" t="s">
        <v>1064</v>
      </c>
      <c r="AN162" s="81"/>
      <c r="AO162" s="81"/>
      <c r="AP162" s="81"/>
      <c r="AQ162" s="94">
        <v>0</v>
      </c>
      <c r="AR162" s="94">
        <v>0</v>
      </c>
      <c r="AS162" s="94">
        <v>0</v>
      </c>
      <c r="AT162" s="94">
        <v>0</v>
      </c>
      <c r="AU162" s="94">
        <v>0</v>
      </c>
      <c r="AV162" s="94">
        <v>0</v>
      </c>
      <c r="AW162" s="94">
        <v>0</v>
      </c>
      <c r="AX162" s="94">
        <v>0</v>
      </c>
      <c r="AY162" s="94">
        <v>0</v>
      </c>
      <c r="AZ162" s="94">
        <v>0</v>
      </c>
      <c r="BA162" s="94">
        <v>0</v>
      </c>
      <c r="BB162" s="94">
        <v>0</v>
      </c>
      <c r="BC162" s="94">
        <v>0</v>
      </c>
      <c r="BD162" s="94">
        <v>0</v>
      </c>
      <c r="BE162" s="94">
        <v>0</v>
      </c>
      <c r="BF162" s="94">
        <v>0</v>
      </c>
      <c r="BG162" s="94">
        <v>0</v>
      </c>
      <c r="BH162" s="94">
        <v>0</v>
      </c>
      <c r="BI162" s="94">
        <v>0</v>
      </c>
      <c r="BJ162" s="94">
        <v>0</v>
      </c>
      <c r="BK162" s="94">
        <v>0</v>
      </c>
      <c r="BL162" s="49"/>
      <c r="BM162" s="49"/>
      <c r="BN162" s="49"/>
    </row>
    <row r="163" spans="1:66">
      <c r="A163" s="699"/>
      <c r="B163" s="699" t="s">
        <v>683</v>
      </c>
      <c r="C163" s="49"/>
      <c r="D163" s="49"/>
      <c r="E163" s="49"/>
      <c r="F163" s="87">
        <f>+IF(F2=1,Assumptions!$F$186,IF(F2=2,Assumptions!$F$188,IF(F2&gt;2,Assumptions!$F$165,0)))</f>
        <v>0</v>
      </c>
      <c r="G163" s="87">
        <f>+IF(G2=1,Assumptions!$F$186,IF(G2=2,Assumptions!$F$188,IF(G2&gt;2,Assumptions!$F$165,0)))</f>
        <v>0</v>
      </c>
      <c r="H163" s="87">
        <f>+IF(H2=1,Assumptions!$F$186,IF(H2=2,Assumptions!$F$188,IF(H2&gt;2,Assumptions!$F$165,0)))</f>
        <v>0</v>
      </c>
      <c r="I163" s="87">
        <f>+IF(I2=1,Assumptions!$F$186,IF(I2=2,Assumptions!$F$188,IF(I2&gt;2,Assumptions!$F$165,0)))</f>
        <v>0</v>
      </c>
      <c r="J163" s="87">
        <f>+IF(J2=1,Assumptions!$F$186,IF(J2=2,Assumptions!$F$188,IF(J2&gt;2,Assumptions!$F$165,0)))</f>
        <v>0</v>
      </c>
      <c r="K163" s="87">
        <f>+IF(K2=1,Assumptions!$F$186,IF(K2=2,Assumptions!$F$188,IF(K2&gt;2,Assumptions!$F$165,0)))</f>
        <v>0</v>
      </c>
      <c r="L163" s="87">
        <f>+IF(L2=1,Assumptions!$F$186,IF(L2=2,Assumptions!$F$188,IF(L2&gt;2,Assumptions!$F$165,0)))</f>
        <v>0.7</v>
      </c>
      <c r="M163" s="87">
        <f>+IF(M2=1,Assumptions!$F$186,IF(M2=2,Assumptions!$F$188,IF(M2&gt;2,Assumptions!$F$165,0)))</f>
        <v>0.7</v>
      </c>
      <c r="N163" s="87">
        <f>+IF(N2=1,Assumptions!$F$186,IF(N2=2,Assumptions!$F$188,IF(N2&gt;2,Assumptions!$F$165,0)))</f>
        <v>0.7</v>
      </c>
      <c r="O163" s="87">
        <f>+IF(O2=1,Assumptions!$F$186,IF(O2=2,Assumptions!$F$188,IF(O2&gt;2,Assumptions!$F$165,0)))</f>
        <v>0.7</v>
      </c>
      <c r="P163" s="87">
        <f>+IF(P2=1,Assumptions!$F$186,IF(P2=2,Assumptions!$F$188,IF(P2&gt;2,Assumptions!$F$165,0)))</f>
        <v>0.7</v>
      </c>
      <c r="Q163" s="87">
        <f>+IF(Q2=1,Assumptions!$F$186,IF(Q2=2,Assumptions!$F$188,IF(Q2&gt;2,Assumptions!$F$165,0)))</f>
        <v>0.7</v>
      </c>
      <c r="R163" s="87">
        <f>+IF(R2=1,Assumptions!$F$186,IF(R2=2,Assumptions!$F$188,IF(R2&gt;2,Assumptions!$F$165,0)))</f>
        <v>0.7</v>
      </c>
      <c r="S163" s="87">
        <f>+IF(S2=1,Assumptions!$F$186,IF(S2=2,Assumptions!$F$188,IF(S2&gt;2,Assumptions!$F$165,0)))</f>
        <v>0.7</v>
      </c>
      <c r="T163" s="87">
        <f>+IF(T2=1,Assumptions!$F$186,IF(T2=2,Assumptions!$F$188,IF(T2&gt;2,Assumptions!$F$165,0)))</f>
        <v>0.7</v>
      </c>
      <c r="U163" s="87">
        <f>+IF(U2=1,Assumptions!$F$186,IF(U2=2,Assumptions!$F$188,IF(U2&gt;2,Assumptions!$F$165,0)))</f>
        <v>0.7</v>
      </c>
      <c r="V163" s="87">
        <f>+IF(V2=1,Assumptions!$F$186,IF(V2=2,Assumptions!$F$188,IF(V2&gt;2,Assumptions!$F$165,0)))</f>
        <v>0.7</v>
      </c>
      <c r="W163" s="87">
        <f>+IF(W2=1,Assumptions!$F$186,IF(W2=2,Assumptions!$F$188,IF(W2&gt;2,Assumptions!$F$165,0)))</f>
        <v>0.7</v>
      </c>
      <c r="X163" s="87">
        <f>+IF(X2=1,Assumptions!$F$186,IF(X2=2,Assumptions!$F$188,IF(X2&gt;2,Assumptions!$F$165,0)))</f>
        <v>0.7</v>
      </c>
      <c r="Y163" s="87">
        <f>+IF(Y2=1,Assumptions!$F$186,IF(Y2=2,Assumptions!$F$188,IF(Y2&gt;2,Assumptions!$F$165,0)))</f>
        <v>0.7</v>
      </c>
      <c r="Z163" s="87">
        <f>+IF(Z2=1,Assumptions!$F$186,IF(Z2=2,Assumptions!$F$188,IF(Z2&gt;2,Assumptions!$F$165,0)))</f>
        <v>0.7</v>
      </c>
      <c r="AA163" s="699"/>
      <c r="AB163" s="699"/>
      <c r="AC163" s="699"/>
      <c r="AD163" s="699"/>
      <c r="AE163" s="49"/>
      <c r="AF163" s="49"/>
      <c r="AG163" s="49"/>
      <c r="AH163" s="49"/>
      <c r="AI163" s="49"/>
      <c r="AJ163" s="49"/>
      <c r="AK163" s="49"/>
      <c r="AL163" s="49"/>
      <c r="AM163" s="49"/>
      <c r="AN163" s="49"/>
      <c r="AO163" s="49"/>
      <c r="AP163" s="49"/>
      <c r="AQ163" s="49"/>
      <c r="AR163" s="49"/>
      <c r="AS163" s="49"/>
      <c r="AT163" s="49"/>
      <c r="AU163" s="49"/>
      <c r="AV163" s="49"/>
      <c r="AW163" s="49"/>
      <c r="AX163" s="49"/>
      <c r="AY163" s="49"/>
      <c r="AZ163" s="49"/>
      <c r="BA163" s="49"/>
      <c r="BB163" s="49"/>
      <c r="BC163" s="49"/>
      <c r="BD163" s="49"/>
      <c r="BE163" s="49"/>
      <c r="BF163" s="49"/>
      <c r="BG163" s="49"/>
      <c r="BH163" s="49"/>
      <c r="BI163" s="49"/>
      <c r="BJ163" s="49"/>
      <c r="BK163" s="49"/>
      <c r="BL163" s="49"/>
      <c r="BM163" s="49"/>
      <c r="BN163" s="49"/>
    </row>
    <row r="164" spans="1:66" ht="15.75">
      <c r="A164" s="699"/>
      <c r="B164" s="699" t="s">
        <v>310</v>
      </c>
      <c r="C164" s="49"/>
      <c r="D164" s="49"/>
      <c r="E164" s="49"/>
      <c r="F164" s="83">
        <f>+F161*F163</f>
        <v>0</v>
      </c>
      <c r="G164" s="83">
        <f t="shared" ref="G164:Z164" si="418">+G161*G163</f>
        <v>0</v>
      </c>
      <c r="H164" s="83">
        <f t="shared" si="418"/>
        <v>0</v>
      </c>
      <c r="I164" s="83">
        <f t="shared" si="418"/>
        <v>0</v>
      </c>
      <c r="J164" s="83">
        <f t="shared" si="418"/>
        <v>0</v>
      </c>
      <c r="K164" s="83">
        <f t="shared" si="418"/>
        <v>0</v>
      </c>
      <c r="L164" s="83">
        <f t="shared" si="418"/>
        <v>174.65570863865693</v>
      </c>
      <c r="M164" s="83">
        <f t="shared" si="418"/>
        <v>179.89537989781664</v>
      </c>
      <c r="N164" s="83">
        <f t="shared" si="418"/>
        <v>185.29224129475116</v>
      </c>
      <c r="O164" s="83">
        <f t="shared" si="418"/>
        <v>190.85100853359367</v>
      </c>
      <c r="P164" s="83">
        <f t="shared" si="418"/>
        <v>196.5765387896015</v>
      </c>
      <c r="Q164" s="83">
        <f t="shared" si="418"/>
        <v>202.47383495328955</v>
      </c>
      <c r="R164" s="83">
        <f t="shared" si="418"/>
        <v>208.54805000188824</v>
      </c>
      <c r="S164" s="83">
        <f t="shared" si="418"/>
        <v>214.80449150194491</v>
      </c>
      <c r="T164" s="83">
        <f t="shared" si="418"/>
        <v>221.24862624700324</v>
      </c>
      <c r="U164" s="83">
        <f t="shared" si="418"/>
        <v>227.88608503441336</v>
      </c>
      <c r="V164" s="83">
        <f t="shared" si="418"/>
        <v>234.72266758544581</v>
      </c>
      <c r="W164" s="83">
        <f t="shared" si="418"/>
        <v>241.76434761300916</v>
      </c>
      <c r="X164" s="83">
        <f t="shared" si="418"/>
        <v>249.01727804139944</v>
      </c>
      <c r="Y164" s="83">
        <f t="shared" si="418"/>
        <v>256.48779638264148</v>
      </c>
      <c r="Z164" s="83">
        <f t="shared" si="418"/>
        <v>264.18243027412069</v>
      </c>
      <c r="AA164" s="699"/>
      <c r="AB164" s="699"/>
      <c r="AC164" s="699"/>
      <c r="AD164" s="699"/>
      <c r="AE164" s="49"/>
      <c r="AF164" s="49"/>
      <c r="AG164" s="49"/>
      <c r="AH164" s="49"/>
      <c r="AI164" s="49"/>
      <c r="AJ164" s="49"/>
      <c r="AK164" s="49"/>
      <c r="AL164" s="49"/>
      <c r="AM164" s="81" t="s">
        <v>1170</v>
      </c>
      <c r="AN164" s="49"/>
      <c r="AO164" s="49"/>
      <c r="AP164" s="49"/>
      <c r="AQ164" s="768">
        <f>+Assumptions!$F$27</f>
        <v>45291</v>
      </c>
      <c r="AR164" s="768">
        <f>+EOMONTH(AQ164,12)</f>
        <v>45657</v>
      </c>
      <c r="AS164" s="768">
        <f t="shared" ref="AS164" si="419">+EOMONTH(AR164,12)</f>
        <v>46022</v>
      </c>
      <c r="AT164" s="768">
        <f t="shared" ref="AT164" si="420">+EOMONTH(AS164,12)</f>
        <v>46387</v>
      </c>
      <c r="AU164" s="768">
        <f t="shared" ref="AU164" si="421">+EOMONTH(AT164,12)</f>
        <v>46752</v>
      </c>
      <c r="AV164" s="768">
        <f t="shared" ref="AV164" si="422">+EOMONTH(AU164,12)</f>
        <v>47118</v>
      </c>
      <c r="AW164" s="768">
        <f t="shared" ref="AW164" si="423">+EOMONTH(AV164,12)</f>
        <v>47483</v>
      </c>
      <c r="AX164" s="768">
        <f t="shared" ref="AX164" si="424">+EOMONTH(AW164,12)</f>
        <v>47848</v>
      </c>
      <c r="AY164" s="768">
        <f t="shared" ref="AY164" si="425">+EOMONTH(AX164,12)</f>
        <v>48213</v>
      </c>
      <c r="AZ164" s="768">
        <f t="shared" ref="AZ164" si="426">+EOMONTH(AY164,12)</f>
        <v>48579</v>
      </c>
      <c r="BA164" s="768">
        <f t="shared" ref="BA164" si="427">+EOMONTH(AZ164,12)</f>
        <v>48944</v>
      </c>
      <c r="BB164" s="768">
        <f t="shared" ref="BB164" si="428">+EOMONTH(BA164,12)</f>
        <v>49309</v>
      </c>
      <c r="BC164" s="768">
        <f t="shared" ref="BC164" si="429">+EOMONTH(BB164,12)</f>
        <v>49674</v>
      </c>
      <c r="BD164" s="768">
        <f t="shared" ref="BD164" si="430">+EOMONTH(BC164,12)</f>
        <v>50040</v>
      </c>
      <c r="BE164" s="768">
        <f t="shared" ref="BE164" si="431">+EOMONTH(BD164,12)</f>
        <v>50405</v>
      </c>
      <c r="BF164" s="768">
        <f t="shared" ref="BF164" si="432">+EOMONTH(BE164,12)</f>
        <v>50770</v>
      </c>
      <c r="BG164" s="768">
        <f t="shared" ref="BG164" si="433">+EOMONTH(BF164,12)</f>
        <v>51135</v>
      </c>
      <c r="BH164" s="768">
        <f t="shared" ref="BH164" si="434">+EOMONTH(BG164,12)</f>
        <v>51501</v>
      </c>
      <c r="BI164" s="768">
        <f t="shared" ref="BI164" si="435">+EOMONTH(BH164,12)</f>
        <v>51866</v>
      </c>
      <c r="BJ164" s="768">
        <f t="shared" ref="BJ164" si="436">+EOMONTH(BI164,12)</f>
        <v>52231</v>
      </c>
      <c r="BK164" s="768">
        <f t="shared" ref="BK164" si="437">+EOMONTH(BJ164,12)</f>
        <v>52596</v>
      </c>
      <c r="BL164" s="49"/>
      <c r="BM164" s="49"/>
      <c r="BN164" s="49"/>
    </row>
    <row r="165" spans="1:66">
      <c r="A165" s="699"/>
      <c r="B165" s="61" t="s">
        <v>1171</v>
      </c>
      <c r="C165" s="61"/>
      <c r="D165" s="61"/>
      <c r="E165" s="61"/>
      <c r="F165" s="64">
        <f>+F164*365.25*F156</f>
        <v>0</v>
      </c>
      <c r="G165" s="64">
        <f t="shared" ref="G165:Z165" si="438">+G164*365.25*G156</f>
        <v>0</v>
      </c>
      <c r="H165" s="64">
        <f t="shared" si="438"/>
        <v>0</v>
      </c>
      <c r="I165" s="64">
        <f t="shared" si="438"/>
        <v>0</v>
      </c>
      <c r="J165" s="64">
        <f t="shared" si="438"/>
        <v>0</v>
      </c>
      <c r="K165" s="64">
        <f t="shared" si="438"/>
        <v>0</v>
      </c>
      <c r="L165" s="64">
        <f t="shared" si="438"/>
        <v>0</v>
      </c>
      <c r="M165" s="64">
        <f t="shared" si="438"/>
        <v>0</v>
      </c>
      <c r="N165" s="64">
        <f t="shared" si="438"/>
        <v>0</v>
      </c>
      <c r="O165" s="64">
        <f t="shared" si="438"/>
        <v>0</v>
      </c>
      <c r="P165" s="64">
        <f t="shared" si="438"/>
        <v>0</v>
      </c>
      <c r="Q165" s="64">
        <f t="shared" si="438"/>
        <v>0</v>
      </c>
      <c r="R165" s="64">
        <f t="shared" si="438"/>
        <v>0</v>
      </c>
      <c r="S165" s="64">
        <f t="shared" si="438"/>
        <v>0</v>
      </c>
      <c r="T165" s="64">
        <f t="shared" si="438"/>
        <v>0</v>
      </c>
      <c r="U165" s="64">
        <f t="shared" si="438"/>
        <v>0</v>
      </c>
      <c r="V165" s="64">
        <f t="shared" si="438"/>
        <v>0</v>
      </c>
      <c r="W165" s="64">
        <f t="shared" si="438"/>
        <v>0</v>
      </c>
      <c r="X165" s="64">
        <f t="shared" si="438"/>
        <v>0</v>
      </c>
      <c r="Y165" s="64">
        <f t="shared" si="438"/>
        <v>0</v>
      </c>
      <c r="Z165" s="64">
        <f t="shared" si="438"/>
        <v>0</v>
      </c>
      <c r="AA165" s="699"/>
      <c r="AB165" s="699"/>
      <c r="AC165" s="699"/>
      <c r="AD165" s="699"/>
      <c r="AE165" s="49"/>
      <c r="AF165" s="49"/>
      <c r="AG165" s="49"/>
      <c r="AH165" s="49"/>
      <c r="AI165" s="49"/>
      <c r="AJ165" s="49"/>
      <c r="AK165" s="49"/>
      <c r="AL165" s="49"/>
      <c r="AM165" s="49" t="s">
        <v>1147</v>
      </c>
      <c r="AN165" s="49"/>
      <c r="AO165" s="49"/>
      <c r="AP165" s="49"/>
      <c r="AQ165" s="771">
        <v>0</v>
      </c>
      <c r="AR165" s="83">
        <f>+AQ168</f>
        <v>0</v>
      </c>
      <c r="AS165" s="83">
        <f t="shared" ref="AS165:BK165" si="439">+AR168</f>
        <v>0</v>
      </c>
      <c r="AT165" s="83">
        <f t="shared" si="439"/>
        <v>0</v>
      </c>
      <c r="AU165" s="83">
        <f t="shared" si="439"/>
        <v>0</v>
      </c>
      <c r="AV165" s="83">
        <f t="shared" si="439"/>
        <v>0</v>
      </c>
      <c r="AW165" s="83">
        <f t="shared" si="439"/>
        <v>0</v>
      </c>
      <c r="AX165" s="83">
        <f t="shared" si="439"/>
        <v>0</v>
      </c>
      <c r="AY165" s="83">
        <f t="shared" si="439"/>
        <v>0</v>
      </c>
      <c r="AZ165" s="83">
        <f t="shared" si="439"/>
        <v>0</v>
      </c>
      <c r="BA165" s="83">
        <f t="shared" si="439"/>
        <v>0</v>
      </c>
      <c r="BB165" s="83">
        <f t="shared" si="439"/>
        <v>0</v>
      </c>
      <c r="BC165" s="83">
        <f t="shared" si="439"/>
        <v>0</v>
      </c>
      <c r="BD165" s="83">
        <f t="shared" si="439"/>
        <v>0</v>
      </c>
      <c r="BE165" s="83">
        <f t="shared" si="439"/>
        <v>0</v>
      </c>
      <c r="BF165" s="83">
        <f t="shared" si="439"/>
        <v>0</v>
      </c>
      <c r="BG165" s="83">
        <f t="shared" si="439"/>
        <v>0</v>
      </c>
      <c r="BH165" s="83">
        <f t="shared" si="439"/>
        <v>0</v>
      </c>
      <c r="BI165" s="83">
        <f t="shared" si="439"/>
        <v>0</v>
      </c>
      <c r="BJ165" s="83">
        <f t="shared" si="439"/>
        <v>0</v>
      </c>
      <c r="BK165" s="83">
        <f t="shared" si="439"/>
        <v>0</v>
      </c>
      <c r="BL165" s="49"/>
      <c r="BM165" s="49"/>
      <c r="BN165" s="49"/>
    </row>
    <row r="166" spans="1:66">
      <c r="A166" s="699"/>
      <c r="B166" s="49"/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699"/>
      <c r="AB166" s="699"/>
      <c r="AC166" s="699"/>
      <c r="AD166" s="699"/>
      <c r="AE166" s="49"/>
      <c r="AF166" s="49"/>
      <c r="AG166" s="49"/>
      <c r="AH166" s="49"/>
      <c r="AI166" s="49"/>
      <c r="AJ166" s="49"/>
      <c r="AK166" s="49"/>
      <c r="AL166" s="49"/>
      <c r="AM166" s="49" t="s">
        <v>1148</v>
      </c>
      <c r="AN166" s="49"/>
      <c r="AO166" s="49"/>
      <c r="AP166" s="49"/>
      <c r="AQ166" s="90">
        <f>+IF(YEAR(F$129)=YEAR(Assumptions!$F$31),'S&amp;U'!$R$19,0)</f>
        <v>0</v>
      </c>
      <c r="AR166" s="90">
        <f>+IF(YEAR(G$129)=YEAR(Assumptions!$F$31),'S&amp;U'!$R$19,0)</f>
        <v>0</v>
      </c>
      <c r="AS166" s="90">
        <f>+IF(YEAR(H$129)=YEAR(Assumptions!$F$31),'S&amp;U'!$R$19,0)</f>
        <v>0</v>
      </c>
      <c r="AT166" s="90">
        <f>+IF(YEAR(I$129)=YEAR(Assumptions!$F$31),'S&amp;U'!$R$19,0)</f>
        <v>0</v>
      </c>
      <c r="AU166" s="90">
        <f>+IF(YEAR(J$129)=YEAR(Assumptions!$F$31),'S&amp;U'!$R$19,0)</f>
        <v>0</v>
      </c>
      <c r="AV166" s="90">
        <f>+IF(YEAR(K$129)=YEAR(Assumptions!$F$31),'S&amp;U'!$R$19,0)</f>
        <v>0</v>
      </c>
      <c r="AW166" s="90">
        <f>+IF(YEAR(L$129)=YEAR(Assumptions!$F$31),'S&amp;U'!$R$19,0)</f>
        <v>0</v>
      </c>
      <c r="AX166" s="90">
        <f>+IF(YEAR(M$129)=YEAR(Assumptions!$F$31),'S&amp;U'!$R$19,0)</f>
        <v>0</v>
      </c>
      <c r="AY166" s="90">
        <f>+IF(YEAR(N$129)=YEAR(Assumptions!$F$31),'S&amp;U'!$R$19,0)</f>
        <v>0</v>
      </c>
      <c r="AZ166" s="90">
        <f>+IF(YEAR(O$129)=YEAR(Assumptions!$F$31),'S&amp;U'!$R$19,0)</f>
        <v>0</v>
      </c>
      <c r="BA166" s="90">
        <f>+IF(YEAR(P$129)=YEAR(Assumptions!$F$31),'S&amp;U'!$R$19,0)</f>
        <v>0</v>
      </c>
      <c r="BB166" s="90">
        <f>+IF(YEAR(Q$129)=YEAR(Assumptions!$F$31),'S&amp;U'!$R$19,0)</f>
        <v>0</v>
      </c>
      <c r="BC166" s="90">
        <f>+IF(YEAR(R$129)=YEAR(Assumptions!$F$31),'S&amp;U'!$R$19,0)</f>
        <v>0</v>
      </c>
      <c r="BD166" s="90">
        <f>+IF(YEAR(S$129)=YEAR(Assumptions!$F$31),'S&amp;U'!$R$19,0)</f>
        <v>0</v>
      </c>
      <c r="BE166" s="90">
        <f>+IF(YEAR(T$129)=YEAR(Assumptions!$F$31),'S&amp;U'!$R$19,0)</f>
        <v>0</v>
      </c>
      <c r="BF166" s="90">
        <f>+IF(YEAR(U$129)=YEAR(Assumptions!$F$31),'S&amp;U'!$R$19,0)</f>
        <v>0</v>
      </c>
      <c r="BG166" s="90">
        <f>+IF(YEAR(V$129)=YEAR(Assumptions!$F$31),'S&amp;U'!$R$19,0)</f>
        <v>0</v>
      </c>
      <c r="BH166" s="90">
        <f>+IF(YEAR(W$129)=YEAR(Assumptions!$F$31),'S&amp;U'!$R$19,0)</f>
        <v>0</v>
      </c>
      <c r="BI166" s="90">
        <f>+IF(YEAR(X$129)=YEAR(Assumptions!$F$31),'S&amp;U'!$R$19,0)</f>
        <v>0</v>
      </c>
      <c r="BJ166" s="90">
        <f>+IF(YEAR(Y$129)=YEAR(Assumptions!$F$31),'S&amp;U'!$R$19,0)</f>
        <v>0</v>
      </c>
      <c r="BK166" s="90">
        <f>+IF(YEAR(Z$129)=YEAR(Assumptions!$F$31),'S&amp;U'!$R$19,0)</f>
        <v>0</v>
      </c>
      <c r="BL166" s="49"/>
      <c r="BM166" s="49"/>
      <c r="BN166" s="49"/>
    </row>
    <row r="167" spans="1:66">
      <c r="A167" s="699"/>
      <c r="B167" s="699" t="s">
        <v>1172</v>
      </c>
      <c r="C167" s="49"/>
      <c r="D167" s="49"/>
      <c r="E167" s="49"/>
      <c r="F167" s="83">
        <f>+Assumptions!$F$177*'Phase 1 Pro Forma'!F160*'Phase 1 Pro Forma'!F157</f>
        <v>0</v>
      </c>
      <c r="G167" s="83">
        <f>+Assumptions!$F$177*'Phase 1 Pro Forma'!G160*'Phase 1 Pro Forma'!G157</f>
        <v>0</v>
      </c>
      <c r="H167" s="83">
        <f>+Assumptions!$F$177*'Phase 1 Pro Forma'!H160*'Phase 1 Pro Forma'!H157</f>
        <v>0</v>
      </c>
      <c r="I167" s="83">
        <f>+Assumptions!$F$177*'Phase 1 Pro Forma'!I160*'Phase 1 Pro Forma'!I157</f>
        <v>0</v>
      </c>
      <c r="J167" s="83">
        <f>+Assumptions!$F$177*'Phase 1 Pro Forma'!J160*'Phase 1 Pro Forma'!J157</f>
        <v>0</v>
      </c>
      <c r="K167" s="83">
        <f>+Assumptions!$F$177*'Phase 1 Pro Forma'!K160*'Phase 1 Pro Forma'!K157</f>
        <v>0</v>
      </c>
      <c r="L167" s="83">
        <f>+Assumptions!$F$177*'Phase 1 Pro Forma'!L160*'Phase 1 Pro Forma'!L157</f>
        <v>0</v>
      </c>
      <c r="M167" s="83">
        <f>+Assumptions!$F$177*'Phase 1 Pro Forma'!M160*'Phase 1 Pro Forma'!M157</f>
        <v>0</v>
      </c>
      <c r="N167" s="83">
        <f>+Assumptions!$F$177*'Phase 1 Pro Forma'!N160*'Phase 1 Pro Forma'!N157</f>
        <v>0</v>
      </c>
      <c r="O167" s="83">
        <f>+Assumptions!$F$177*'Phase 1 Pro Forma'!O160*'Phase 1 Pro Forma'!O157</f>
        <v>0</v>
      </c>
      <c r="P167" s="83">
        <f>+Assumptions!$F$177*'Phase 1 Pro Forma'!P160*'Phase 1 Pro Forma'!P157</f>
        <v>0</v>
      </c>
      <c r="Q167" s="83">
        <f>+Assumptions!$F$177*'Phase 1 Pro Forma'!Q160*'Phase 1 Pro Forma'!Q157</f>
        <v>0</v>
      </c>
      <c r="R167" s="83">
        <f>+Assumptions!$F$177*'Phase 1 Pro Forma'!R160*'Phase 1 Pro Forma'!R157</f>
        <v>0</v>
      </c>
      <c r="S167" s="83">
        <f>+Assumptions!$F$177*'Phase 1 Pro Forma'!S160*'Phase 1 Pro Forma'!S157</f>
        <v>0</v>
      </c>
      <c r="T167" s="83">
        <f>+Assumptions!$F$177*'Phase 1 Pro Forma'!T160*'Phase 1 Pro Forma'!T157</f>
        <v>0</v>
      </c>
      <c r="U167" s="83">
        <f>+Assumptions!$F$177*'Phase 1 Pro Forma'!U160*'Phase 1 Pro Forma'!U157</f>
        <v>0</v>
      </c>
      <c r="V167" s="83">
        <f>+Assumptions!$F$177*'Phase 1 Pro Forma'!V160*'Phase 1 Pro Forma'!V157</f>
        <v>0</v>
      </c>
      <c r="W167" s="83">
        <f>+Assumptions!$F$177*'Phase 1 Pro Forma'!W160*'Phase 1 Pro Forma'!W157</f>
        <v>0</v>
      </c>
      <c r="X167" s="83">
        <f>+Assumptions!$F$177*'Phase 1 Pro Forma'!X160*'Phase 1 Pro Forma'!X157</f>
        <v>0</v>
      </c>
      <c r="Y167" s="83">
        <f>+Assumptions!$F$177*'Phase 1 Pro Forma'!Y160*'Phase 1 Pro Forma'!Y157</f>
        <v>0</v>
      </c>
      <c r="Z167" s="83">
        <f>+Assumptions!$F$177*'Phase 1 Pro Forma'!Z160*'Phase 1 Pro Forma'!Z157</f>
        <v>0</v>
      </c>
      <c r="AA167" s="699"/>
      <c r="AB167" s="699"/>
      <c r="AC167" s="699"/>
      <c r="AD167" s="699"/>
      <c r="AE167" s="49"/>
      <c r="AF167" s="49"/>
      <c r="AG167" s="49"/>
      <c r="AH167" s="49"/>
      <c r="AI167" s="49"/>
      <c r="AJ167" s="49"/>
      <c r="AK167" s="49"/>
      <c r="AL167" s="49"/>
      <c r="AM167" s="49" t="s">
        <v>682</v>
      </c>
      <c r="AN167" s="49"/>
      <c r="AO167" s="49"/>
      <c r="AP167" s="49"/>
      <c r="AQ167" s="90">
        <v>0</v>
      </c>
      <c r="AR167" s="90">
        <v>0</v>
      </c>
      <c r="AS167" s="90">
        <v>0</v>
      </c>
      <c r="AT167" s="90">
        <v>0</v>
      </c>
      <c r="AU167" s="90">
        <v>0</v>
      </c>
      <c r="AV167" s="90">
        <v>0</v>
      </c>
      <c r="AW167" s="90">
        <v>0</v>
      </c>
      <c r="AX167" s="90">
        <v>0</v>
      </c>
      <c r="AY167" s="90">
        <v>0</v>
      </c>
      <c r="AZ167" s="90">
        <v>0</v>
      </c>
      <c r="BA167" s="90">
        <v>0</v>
      </c>
      <c r="BB167" s="90">
        <v>0</v>
      </c>
      <c r="BC167" s="90">
        <v>0</v>
      </c>
      <c r="BD167" s="90">
        <v>0</v>
      </c>
      <c r="BE167" s="90">
        <v>0</v>
      </c>
      <c r="BF167" s="90">
        <v>0</v>
      </c>
      <c r="BG167" s="90">
        <v>0</v>
      </c>
      <c r="BH167" s="90">
        <v>0</v>
      </c>
      <c r="BI167" s="90">
        <v>0</v>
      </c>
      <c r="BJ167" s="90">
        <v>0</v>
      </c>
      <c r="BK167" s="90">
        <v>0</v>
      </c>
      <c r="BL167" s="49"/>
      <c r="BM167" s="49"/>
      <c r="BN167" s="49"/>
    </row>
    <row r="168" spans="1:66">
      <c r="A168" s="699"/>
      <c r="B168" s="61" t="s">
        <v>1173</v>
      </c>
      <c r="C168" s="61"/>
      <c r="D168" s="61"/>
      <c r="E168" s="61"/>
      <c r="F168" s="64">
        <f>+F165+F167</f>
        <v>0</v>
      </c>
      <c r="G168" s="64">
        <f t="shared" ref="G168:Z168" si="440">+G165+G167</f>
        <v>0</v>
      </c>
      <c r="H168" s="64">
        <f t="shared" si="440"/>
        <v>0</v>
      </c>
      <c r="I168" s="64">
        <f t="shared" si="440"/>
        <v>0</v>
      </c>
      <c r="J168" s="64">
        <f t="shared" si="440"/>
        <v>0</v>
      </c>
      <c r="K168" s="64">
        <f t="shared" si="440"/>
        <v>0</v>
      </c>
      <c r="L168" s="64">
        <f t="shared" si="440"/>
        <v>0</v>
      </c>
      <c r="M168" s="64">
        <f t="shared" si="440"/>
        <v>0</v>
      </c>
      <c r="N168" s="64">
        <f t="shared" si="440"/>
        <v>0</v>
      </c>
      <c r="O168" s="64">
        <f t="shared" si="440"/>
        <v>0</v>
      </c>
      <c r="P168" s="64">
        <f t="shared" si="440"/>
        <v>0</v>
      </c>
      <c r="Q168" s="64">
        <f t="shared" si="440"/>
        <v>0</v>
      </c>
      <c r="R168" s="64">
        <f t="shared" si="440"/>
        <v>0</v>
      </c>
      <c r="S168" s="64">
        <f t="shared" si="440"/>
        <v>0</v>
      </c>
      <c r="T168" s="64">
        <f t="shared" si="440"/>
        <v>0</v>
      </c>
      <c r="U168" s="64">
        <f t="shared" si="440"/>
        <v>0</v>
      </c>
      <c r="V168" s="64">
        <f t="shared" si="440"/>
        <v>0</v>
      </c>
      <c r="W168" s="64">
        <f t="shared" si="440"/>
        <v>0</v>
      </c>
      <c r="X168" s="64">
        <f t="shared" si="440"/>
        <v>0</v>
      </c>
      <c r="Y168" s="64">
        <f t="shared" si="440"/>
        <v>0</v>
      </c>
      <c r="Z168" s="64">
        <f t="shared" si="440"/>
        <v>0</v>
      </c>
      <c r="AA168" s="699"/>
      <c r="AB168" s="699"/>
      <c r="AC168" s="699"/>
      <c r="AD168" s="699"/>
      <c r="AE168" s="49"/>
      <c r="AF168" s="49"/>
      <c r="AG168" s="49"/>
      <c r="AH168" s="49"/>
      <c r="AI168" s="49"/>
      <c r="AJ168" s="49"/>
      <c r="AK168" s="49"/>
      <c r="AL168" s="49"/>
      <c r="AM168" s="49" t="s">
        <v>1149</v>
      </c>
      <c r="AN168" s="49"/>
      <c r="AO168" s="49"/>
      <c r="AP168" s="49"/>
      <c r="AQ168" s="90">
        <f>+SUM(AQ165:AQ167)</f>
        <v>0</v>
      </c>
      <c r="AR168" s="90">
        <f t="shared" ref="AR168:BK168" si="441">+SUM(AR165:AR167)</f>
        <v>0</v>
      </c>
      <c r="AS168" s="90">
        <f t="shared" si="441"/>
        <v>0</v>
      </c>
      <c r="AT168" s="90">
        <f t="shared" si="441"/>
        <v>0</v>
      </c>
      <c r="AU168" s="90">
        <f t="shared" si="441"/>
        <v>0</v>
      </c>
      <c r="AV168" s="90">
        <f t="shared" si="441"/>
        <v>0</v>
      </c>
      <c r="AW168" s="90">
        <f t="shared" si="441"/>
        <v>0</v>
      </c>
      <c r="AX168" s="90">
        <f t="shared" si="441"/>
        <v>0</v>
      </c>
      <c r="AY168" s="90">
        <f t="shared" si="441"/>
        <v>0</v>
      </c>
      <c r="AZ168" s="90">
        <f t="shared" si="441"/>
        <v>0</v>
      </c>
      <c r="BA168" s="90">
        <f t="shared" si="441"/>
        <v>0</v>
      </c>
      <c r="BB168" s="90">
        <f t="shared" si="441"/>
        <v>0</v>
      </c>
      <c r="BC168" s="90">
        <f t="shared" si="441"/>
        <v>0</v>
      </c>
      <c r="BD168" s="90">
        <f t="shared" si="441"/>
        <v>0</v>
      </c>
      <c r="BE168" s="90">
        <f t="shared" si="441"/>
        <v>0</v>
      </c>
      <c r="BF168" s="90">
        <f t="shared" si="441"/>
        <v>0</v>
      </c>
      <c r="BG168" s="90">
        <f t="shared" si="441"/>
        <v>0</v>
      </c>
      <c r="BH168" s="90">
        <f t="shared" si="441"/>
        <v>0</v>
      </c>
      <c r="BI168" s="90">
        <f t="shared" si="441"/>
        <v>0</v>
      </c>
      <c r="BJ168" s="90">
        <f t="shared" si="441"/>
        <v>0</v>
      </c>
      <c r="BK168" s="90">
        <f t="shared" si="441"/>
        <v>0</v>
      </c>
      <c r="BL168" s="49"/>
      <c r="BM168" s="49"/>
      <c r="BN168" s="49"/>
    </row>
    <row r="169" spans="1:66">
      <c r="A169" s="699" t="s">
        <v>511</v>
      </c>
      <c r="B169" s="699"/>
      <c r="C169" s="49"/>
      <c r="D169" s="49"/>
      <c r="E169" s="49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699"/>
      <c r="AB169" s="699"/>
      <c r="AC169" s="699"/>
      <c r="AD169" s="699"/>
      <c r="AE169" s="49"/>
      <c r="AF169" s="49"/>
      <c r="AG169" s="49"/>
      <c r="AH169" s="49"/>
      <c r="AI169" s="49"/>
      <c r="AJ169" s="49"/>
      <c r="AK169" s="49"/>
      <c r="AL169" s="49"/>
      <c r="AM169" s="49"/>
      <c r="AN169" s="49"/>
      <c r="AO169" s="49"/>
      <c r="AP169" s="49"/>
      <c r="AQ169" s="49"/>
      <c r="AR169" s="49"/>
      <c r="AS169" s="49"/>
      <c r="AT169" s="49"/>
      <c r="AU169" s="49"/>
      <c r="AV169" s="49"/>
      <c r="AW169" s="49"/>
      <c r="AX169" s="49"/>
      <c r="AY169" s="49"/>
      <c r="AZ169" s="49"/>
      <c r="BA169" s="49"/>
      <c r="BB169" s="49"/>
      <c r="BC169" s="49"/>
      <c r="BD169" s="49"/>
      <c r="BE169" s="49"/>
      <c r="BF169" s="49"/>
      <c r="BG169" s="49"/>
      <c r="BH169" s="49"/>
      <c r="BI169" s="49"/>
      <c r="BJ169" s="49"/>
      <c r="BK169" s="49"/>
      <c r="BL169" s="49"/>
      <c r="BM169" s="49"/>
      <c r="BN169" s="49"/>
    </row>
    <row r="170" spans="1:66">
      <c r="A170" s="699"/>
      <c r="B170" s="699" t="s">
        <v>1174</v>
      </c>
      <c r="C170" s="49"/>
      <c r="D170" s="49"/>
      <c r="E170" s="49"/>
      <c r="F170" s="83">
        <f>+Assumptions!$F$184*'Phase 1 Pro Forma'!F160*'Phase 1 Pro Forma'!F157</f>
        <v>0</v>
      </c>
      <c r="G170" s="83">
        <f>+Assumptions!$F$184*'Phase 1 Pro Forma'!G160*'Phase 1 Pro Forma'!G157</f>
        <v>0</v>
      </c>
      <c r="H170" s="83">
        <f>+Assumptions!$F$184*'Phase 1 Pro Forma'!H160*'Phase 1 Pro Forma'!H157</f>
        <v>0</v>
      </c>
      <c r="I170" s="83">
        <f>+Assumptions!$F$184*'Phase 1 Pro Forma'!I160*'Phase 1 Pro Forma'!I157</f>
        <v>0</v>
      </c>
      <c r="J170" s="83">
        <f>+Assumptions!$F$184*'Phase 1 Pro Forma'!J160*'Phase 1 Pro Forma'!J157</f>
        <v>0</v>
      </c>
      <c r="K170" s="83">
        <f>+Assumptions!$F$184*'Phase 1 Pro Forma'!K160*'Phase 1 Pro Forma'!K157</f>
        <v>0</v>
      </c>
      <c r="L170" s="83">
        <f>+Assumptions!$F$184*'Phase 1 Pro Forma'!L160*'Phase 1 Pro Forma'!L157</f>
        <v>0</v>
      </c>
      <c r="M170" s="83">
        <f>+Assumptions!$F$184*'Phase 1 Pro Forma'!M160*'Phase 1 Pro Forma'!M157</f>
        <v>0</v>
      </c>
      <c r="N170" s="83">
        <f>+Assumptions!$F$184*'Phase 1 Pro Forma'!N160*'Phase 1 Pro Forma'!N157</f>
        <v>0</v>
      </c>
      <c r="O170" s="83">
        <f>+Assumptions!$F$184*'Phase 1 Pro Forma'!O160*'Phase 1 Pro Forma'!O157</f>
        <v>0</v>
      </c>
      <c r="P170" s="83">
        <f>+Assumptions!$F$184*'Phase 1 Pro Forma'!P160*'Phase 1 Pro Forma'!P157</f>
        <v>0</v>
      </c>
      <c r="Q170" s="83">
        <f>+Assumptions!$F$184*'Phase 1 Pro Forma'!Q160*'Phase 1 Pro Forma'!Q157</f>
        <v>0</v>
      </c>
      <c r="R170" s="83">
        <f>+Assumptions!$F$184*'Phase 1 Pro Forma'!R160*'Phase 1 Pro Forma'!R157</f>
        <v>0</v>
      </c>
      <c r="S170" s="83">
        <f>+Assumptions!$F$184*'Phase 1 Pro Forma'!S160*'Phase 1 Pro Forma'!S157</f>
        <v>0</v>
      </c>
      <c r="T170" s="83">
        <f>+Assumptions!$F$184*'Phase 1 Pro Forma'!T160*'Phase 1 Pro Forma'!T157</f>
        <v>0</v>
      </c>
      <c r="U170" s="83">
        <f>+Assumptions!$F$184*'Phase 1 Pro Forma'!U160*'Phase 1 Pro Forma'!U157</f>
        <v>0</v>
      </c>
      <c r="V170" s="83">
        <f>+Assumptions!$F$184*'Phase 1 Pro Forma'!V160*'Phase 1 Pro Forma'!V157</f>
        <v>0</v>
      </c>
      <c r="W170" s="83">
        <f>+Assumptions!$F$184*'Phase 1 Pro Forma'!W160*'Phase 1 Pro Forma'!W157</f>
        <v>0</v>
      </c>
      <c r="X170" s="83">
        <f>+Assumptions!$F$184*'Phase 1 Pro Forma'!X160*'Phase 1 Pro Forma'!X157</f>
        <v>0</v>
      </c>
      <c r="Y170" s="83">
        <f>+Assumptions!$F$184*'Phase 1 Pro Forma'!Y160*'Phase 1 Pro Forma'!Y157</f>
        <v>0</v>
      </c>
      <c r="Z170" s="83">
        <f>+Assumptions!$F$184*'Phase 1 Pro Forma'!Z160*'Phase 1 Pro Forma'!Z157</f>
        <v>0</v>
      </c>
      <c r="AA170" s="699"/>
      <c r="AB170" s="699"/>
      <c r="AC170" s="699"/>
      <c r="AD170" s="699"/>
      <c r="AE170" s="49"/>
      <c r="AF170" s="49"/>
      <c r="AG170" s="49"/>
      <c r="AH170" s="49"/>
      <c r="AI170" s="49"/>
      <c r="AJ170" s="49"/>
      <c r="AK170" s="49"/>
      <c r="AL170" s="49"/>
      <c r="AM170" s="49" t="s">
        <v>1150</v>
      </c>
      <c r="AN170" s="49"/>
      <c r="AO170" s="49"/>
      <c r="AP170" s="49"/>
      <c r="AQ170" s="771">
        <f>+AQ168*Assumptions!$N$157</f>
        <v>0</v>
      </c>
      <c r="AR170" s="771">
        <f>+AR168*Assumptions!$N$157</f>
        <v>0</v>
      </c>
      <c r="AS170" s="771">
        <f>+AS168*Assumptions!$N$157</f>
        <v>0</v>
      </c>
      <c r="AT170" s="771">
        <f>+AT168*Assumptions!$N$157</f>
        <v>0</v>
      </c>
      <c r="AU170" s="771">
        <f>+AU168*Assumptions!$N$157</f>
        <v>0</v>
      </c>
      <c r="AV170" s="771">
        <f>+AV168*Assumptions!$N$157</f>
        <v>0</v>
      </c>
      <c r="AW170" s="771">
        <f>+AW168*Assumptions!$N$157</f>
        <v>0</v>
      </c>
      <c r="AX170" s="771">
        <f>+AX168*Assumptions!$N$157</f>
        <v>0</v>
      </c>
      <c r="AY170" s="771">
        <f>+AY168*Assumptions!$N$157</f>
        <v>0</v>
      </c>
      <c r="AZ170" s="771">
        <f>+AZ168*Assumptions!$N$157</f>
        <v>0</v>
      </c>
      <c r="BA170" s="771">
        <f>+BA168*Assumptions!$N$157</f>
        <v>0</v>
      </c>
      <c r="BB170" s="771">
        <f>+BB168*Assumptions!$N$157</f>
        <v>0</v>
      </c>
      <c r="BC170" s="771">
        <f>+BC168*Assumptions!$N$157</f>
        <v>0</v>
      </c>
      <c r="BD170" s="771">
        <f>+BD168*Assumptions!$N$157</f>
        <v>0</v>
      </c>
      <c r="BE170" s="771">
        <f>+BE168*Assumptions!$N$157</f>
        <v>0</v>
      </c>
      <c r="BF170" s="771">
        <f>+BF168*Assumptions!$N$157</f>
        <v>0</v>
      </c>
      <c r="BG170" s="771">
        <f>+BG168*Assumptions!$N$157</f>
        <v>0</v>
      </c>
      <c r="BH170" s="771">
        <f>+BH168*Assumptions!$N$157</f>
        <v>0</v>
      </c>
      <c r="BI170" s="771">
        <f>+BI168*Assumptions!$N$157</f>
        <v>0</v>
      </c>
      <c r="BJ170" s="771">
        <f>+BJ168*Assumptions!$N$157</f>
        <v>0</v>
      </c>
      <c r="BK170" s="771">
        <f>+BK168*Assumptions!$N$157</f>
        <v>0</v>
      </c>
      <c r="BL170" s="49"/>
      <c r="BM170" s="49"/>
      <c r="BN170" s="49"/>
    </row>
    <row r="171" spans="1:66" ht="16.5">
      <c r="A171" s="699"/>
      <c r="B171" s="61" t="s">
        <v>1175</v>
      </c>
      <c r="C171" s="61"/>
      <c r="D171" s="61"/>
      <c r="E171" s="61"/>
      <c r="F171" s="64">
        <f>+F168+F170</f>
        <v>0</v>
      </c>
      <c r="G171" s="64">
        <f t="shared" ref="G171:Z171" si="442">+G168+G170</f>
        <v>0</v>
      </c>
      <c r="H171" s="64">
        <f t="shared" si="442"/>
        <v>0</v>
      </c>
      <c r="I171" s="64">
        <f t="shared" si="442"/>
        <v>0</v>
      </c>
      <c r="J171" s="64">
        <f t="shared" si="442"/>
        <v>0</v>
      </c>
      <c r="K171" s="64">
        <f t="shared" si="442"/>
        <v>0</v>
      </c>
      <c r="L171" s="64">
        <f t="shared" si="442"/>
        <v>0</v>
      </c>
      <c r="M171" s="64">
        <f t="shared" si="442"/>
        <v>0</v>
      </c>
      <c r="N171" s="64">
        <f t="shared" si="442"/>
        <v>0</v>
      </c>
      <c r="O171" s="64">
        <f t="shared" si="442"/>
        <v>0</v>
      </c>
      <c r="P171" s="64">
        <f t="shared" si="442"/>
        <v>0</v>
      </c>
      <c r="Q171" s="64">
        <f t="shared" si="442"/>
        <v>0</v>
      </c>
      <c r="R171" s="64">
        <f t="shared" si="442"/>
        <v>0</v>
      </c>
      <c r="S171" s="64">
        <f t="shared" si="442"/>
        <v>0</v>
      </c>
      <c r="T171" s="64">
        <f t="shared" si="442"/>
        <v>0</v>
      </c>
      <c r="U171" s="64">
        <f t="shared" si="442"/>
        <v>0</v>
      </c>
      <c r="V171" s="64">
        <f t="shared" si="442"/>
        <v>0</v>
      </c>
      <c r="W171" s="64">
        <f t="shared" si="442"/>
        <v>0</v>
      </c>
      <c r="X171" s="64">
        <f t="shared" si="442"/>
        <v>0</v>
      </c>
      <c r="Y171" s="64">
        <f t="shared" si="442"/>
        <v>0</v>
      </c>
      <c r="Z171" s="64">
        <f t="shared" si="442"/>
        <v>0</v>
      </c>
      <c r="AA171" s="699"/>
      <c r="AB171" s="699"/>
      <c r="AC171" s="699"/>
      <c r="AD171" s="699"/>
      <c r="AE171" s="49"/>
      <c r="AF171" s="49"/>
      <c r="AG171" s="49"/>
      <c r="AH171" s="49"/>
      <c r="AI171" s="49"/>
      <c r="AJ171" s="49"/>
      <c r="AK171" s="49"/>
      <c r="AL171" s="49"/>
      <c r="AM171" s="49" t="s">
        <v>1151</v>
      </c>
      <c r="AN171" s="49"/>
      <c r="AO171" s="49"/>
      <c r="AP171" s="49"/>
      <c r="AQ171" s="773">
        <f>+AQ170-AQ167</f>
        <v>0</v>
      </c>
      <c r="AR171" s="773">
        <f t="shared" ref="AR171:BK171" si="443">+AR170-AR167</f>
        <v>0</v>
      </c>
      <c r="AS171" s="773">
        <f t="shared" si="443"/>
        <v>0</v>
      </c>
      <c r="AT171" s="773">
        <f t="shared" si="443"/>
        <v>0</v>
      </c>
      <c r="AU171" s="773">
        <f t="shared" si="443"/>
        <v>0</v>
      </c>
      <c r="AV171" s="773">
        <f t="shared" si="443"/>
        <v>0</v>
      </c>
      <c r="AW171" s="773">
        <f t="shared" si="443"/>
        <v>0</v>
      </c>
      <c r="AX171" s="773">
        <f t="shared" si="443"/>
        <v>0</v>
      </c>
      <c r="AY171" s="773">
        <f t="shared" si="443"/>
        <v>0</v>
      </c>
      <c r="AZ171" s="773">
        <f t="shared" si="443"/>
        <v>0</v>
      </c>
      <c r="BA171" s="773">
        <f t="shared" si="443"/>
        <v>0</v>
      </c>
      <c r="BB171" s="773">
        <f t="shared" si="443"/>
        <v>0</v>
      </c>
      <c r="BC171" s="773">
        <f t="shared" si="443"/>
        <v>0</v>
      </c>
      <c r="BD171" s="773">
        <f t="shared" si="443"/>
        <v>0</v>
      </c>
      <c r="BE171" s="773">
        <f t="shared" si="443"/>
        <v>0</v>
      </c>
      <c r="BF171" s="773">
        <f t="shared" si="443"/>
        <v>0</v>
      </c>
      <c r="BG171" s="773">
        <f t="shared" si="443"/>
        <v>0</v>
      </c>
      <c r="BH171" s="773">
        <f t="shared" si="443"/>
        <v>0</v>
      </c>
      <c r="BI171" s="773">
        <f t="shared" si="443"/>
        <v>0</v>
      </c>
      <c r="BJ171" s="773">
        <f t="shared" si="443"/>
        <v>0</v>
      </c>
      <c r="BK171" s="773">
        <f t="shared" si="443"/>
        <v>0</v>
      </c>
      <c r="BL171" s="49"/>
      <c r="BM171" s="49"/>
      <c r="BN171" s="49"/>
    </row>
    <row r="172" spans="1:66">
      <c r="A172" s="699"/>
      <c r="B172" s="49"/>
      <c r="C172" s="49"/>
      <c r="D172" s="49"/>
      <c r="E172" s="49"/>
      <c r="F172" s="49"/>
      <c r="G172" s="49"/>
      <c r="H172" s="49"/>
      <c r="I172" s="49"/>
      <c r="J172" s="49"/>
      <c r="K172" s="49"/>
      <c r="L172" s="49"/>
      <c r="M172" s="49"/>
      <c r="N172" s="49"/>
      <c r="O172" s="49"/>
      <c r="P172" s="49"/>
      <c r="Q172" s="49"/>
      <c r="R172" s="49"/>
      <c r="S172" s="49"/>
      <c r="T172" s="49"/>
      <c r="U172" s="49"/>
      <c r="V172" s="49"/>
      <c r="W172" s="49"/>
      <c r="X172" s="49"/>
      <c r="Y172" s="49"/>
      <c r="Z172" s="49"/>
      <c r="AA172" s="699"/>
      <c r="AB172" s="699"/>
      <c r="AC172" s="699"/>
      <c r="AD172" s="699"/>
      <c r="AE172" s="49"/>
      <c r="AF172" s="49"/>
      <c r="AG172" s="49"/>
      <c r="AH172" s="49"/>
      <c r="AI172" s="49"/>
      <c r="AJ172" s="49"/>
      <c r="AK172" s="49"/>
      <c r="AL172" s="49"/>
      <c r="AM172" s="117" t="s">
        <v>670</v>
      </c>
      <c r="AN172" s="49"/>
      <c r="AO172" s="49"/>
      <c r="AP172" s="49"/>
      <c r="AQ172" s="146" t="str">
        <f>+IFERROR(AQ160/AQ171,"")</f>
        <v/>
      </c>
      <c r="AR172" s="146" t="str">
        <f t="shared" ref="AR172:BK172" si="444">+IFERROR(AR160/AR171,"")</f>
        <v/>
      </c>
      <c r="AS172" s="146" t="str">
        <f t="shared" si="444"/>
        <v/>
      </c>
      <c r="AT172" s="146" t="str">
        <f t="shared" si="444"/>
        <v/>
      </c>
      <c r="AU172" s="146" t="str">
        <f t="shared" si="444"/>
        <v/>
      </c>
      <c r="AV172" s="146" t="str">
        <f t="shared" si="444"/>
        <v/>
      </c>
      <c r="AW172" s="146" t="str">
        <f t="shared" si="444"/>
        <v/>
      </c>
      <c r="AX172" s="146" t="str">
        <f t="shared" si="444"/>
        <v/>
      </c>
      <c r="AY172" s="146" t="str">
        <f t="shared" si="444"/>
        <v/>
      </c>
      <c r="AZ172" s="146" t="str">
        <f t="shared" si="444"/>
        <v/>
      </c>
      <c r="BA172" s="146" t="str">
        <f t="shared" si="444"/>
        <v/>
      </c>
      <c r="BB172" s="146" t="str">
        <f t="shared" si="444"/>
        <v/>
      </c>
      <c r="BC172" s="146" t="str">
        <f t="shared" si="444"/>
        <v/>
      </c>
      <c r="BD172" s="146" t="str">
        <f t="shared" si="444"/>
        <v/>
      </c>
      <c r="BE172" s="146" t="str">
        <f t="shared" si="444"/>
        <v/>
      </c>
      <c r="BF172" s="146" t="str">
        <f t="shared" si="444"/>
        <v/>
      </c>
      <c r="BG172" s="146" t="str">
        <f t="shared" si="444"/>
        <v/>
      </c>
      <c r="BH172" s="146" t="str">
        <f t="shared" si="444"/>
        <v/>
      </c>
      <c r="BI172" s="146" t="str">
        <f t="shared" si="444"/>
        <v/>
      </c>
      <c r="BJ172" s="146" t="str">
        <f t="shared" si="444"/>
        <v/>
      </c>
      <c r="BK172" s="146" t="str">
        <f t="shared" si="444"/>
        <v/>
      </c>
      <c r="BL172" s="49"/>
      <c r="BM172" s="49"/>
      <c r="BN172" s="49"/>
    </row>
    <row r="173" spans="1:66">
      <c r="A173" s="699"/>
      <c r="B173" s="114" t="s">
        <v>1176</v>
      </c>
      <c r="C173" s="49"/>
      <c r="D173" s="49"/>
      <c r="E173" s="49"/>
      <c r="F173" s="49"/>
      <c r="G173" s="49"/>
      <c r="H173" s="49"/>
      <c r="I173" s="49"/>
      <c r="J173" s="49"/>
      <c r="K173" s="49"/>
      <c r="L173" s="49"/>
      <c r="M173" s="49"/>
      <c r="N173" s="49"/>
      <c r="O173" s="49"/>
      <c r="P173" s="49"/>
      <c r="Q173" s="49"/>
      <c r="R173" s="49"/>
      <c r="S173" s="49"/>
      <c r="T173" s="49"/>
      <c r="U173" s="49"/>
      <c r="V173" s="49"/>
      <c r="W173" s="49"/>
      <c r="X173" s="49"/>
      <c r="Y173" s="49"/>
      <c r="Z173" s="49"/>
      <c r="AA173" s="699"/>
      <c r="AB173" s="699"/>
      <c r="AC173" s="699"/>
      <c r="AD173" s="699"/>
      <c r="AE173" s="49"/>
      <c r="AF173" s="49"/>
      <c r="AG173" s="49"/>
      <c r="AH173" s="49"/>
      <c r="AI173" s="49"/>
      <c r="AJ173" s="49"/>
      <c r="AK173" s="49"/>
      <c r="AL173" s="49"/>
      <c r="AM173" s="49"/>
      <c r="AN173" s="49"/>
      <c r="AO173" s="49"/>
      <c r="AP173" s="49"/>
      <c r="AQ173" s="49"/>
      <c r="AR173" s="49"/>
      <c r="AS173" s="49"/>
      <c r="AT173" s="49"/>
      <c r="AU173" s="49"/>
      <c r="AV173" s="49"/>
      <c r="AW173" s="49"/>
      <c r="AX173" s="49"/>
      <c r="AY173" s="49"/>
      <c r="AZ173" s="49"/>
      <c r="BA173" s="49"/>
      <c r="BB173" s="49"/>
      <c r="BC173" s="49"/>
      <c r="BD173" s="49"/>
      <c r="BE173" s="49"/>
      <c r="BF173" s="49"/>
      <c r="BG173" s="49"/>
      <c r="BH173" s="49"/>
      <c r="BI173" s="49"/>
      <c r="BJ173" s="49"/>
      <c r="BK173" s="49"/>
      <c r="BL173" s="49"/>
      <c r="BM173" s="49"/>
      <c r="BN173" s="49"/>
    </row>
    <row r="174" spans="1:66">
      <c r="A174" s="699"/>
      <c r="B174" s="115" t="s">
        <v>641</v>
      </c>
      <c r="C174" s="49"/>
      <c r="D174" s="79">
        <f>+Assumptions!M116</f>
        <v>0.223</v>
      </c>
      <c r="E174" s="79"/>
      <c r="F174" s="83">
        <f t="shared" ref="F174:Z174" si="445">+$D174*F$165</f>
        <v>0</v>
      </c>
      <c r="G174" s="83">
        <f t="shared" si="445"/>
        <v>0</v>
      </c>
      <c r="H174" s="83">
        <f t="shared" si="445"/>
        <v>0</v>
      </c>
      <c r="I174" s="83">
        <f t="shared" si="445"/>
        <v>0</v>
      </c>
      <c r="J174" s="83">
        <f t="shared" si="445"/>
        <v>0</v>
      </c>
      <c r="K174" s="83">
        <f t="shared" si="445"/>
        <v>0</v>
      </c>
      <c r="L174" s="83">
        <f t="shared" si="445"/>
        <v>0</v>
      </c>
      <c r="M174" s="83">
        <f t="shared" si="445"/>
        <v>0</v>
      </c>
      <c r="N174" s="83">
        <f t="shared" si="445"/>
        <v>0</v>
      </c>
      <c r="O174" s="83">
        <f t="shared" si="445"/>
        <v>0</v>
      </c>
      <c r="P174" s="83">
        <f t="shared" si="445"/>
        <v>0</v>
      </c>
      <c r="Q174" s="83">
        <f t="shared" si="445"/>
        <v>0</v>
      </c>
      <c r="R174" s="83">
        <f t="shared" si="445"/>
        <v>0</v>
      </c>
      <c r="S174" s="83">
        <f t="shared" si="445"/>
        <v>0</v>
      </c>
      <c r="T174" s="83">
        <f t="shared" si="445"/>
        <v>0</v>
      </c>
      <c r="U174" s="83">
        <f t="shared" si="445"/>
        <v>0</v>
      </c>
      <c r="V174" s="83">
        <f t="shared" si="445"/>
        <v>0</v>
      </c>
      <c r="W174" s="83">
        <f t="shared" si="445"/>
        <v>0</v>
      </c>
      <c r="X174" s="83">
        <f t="shared" si="445"/>
        <v>0</v>
      </c>
      <c r="Y174" s="83">
        <f t="shared" si="445"/>
        <v>0</v>
      </c>
      <c r="Z174" s="83">
        <f t="shared" si="445"/>
        <v>0</v>
      </c>
      <c r="AA174" s="699"/>
      <c r="AB174" s="699"/>
      <c r="AC174" s="699"/>
      <c r="AD174" s="699"/>
      <c r="AE174" s="49"/>
      <c r="AF174" s="49"/>
      <c r="AG174" s="49"/>
      <c r="AH174" s="49"/>
      <c r="AI174" s="49"/>
      <c r="AJ174" s="49"/>
      <c r="AK174" s="49"/>
      <c r="AL174" s="49"/>
      <c r="AM174" s="49" t="s">
        <v>1152</v>
      </c>
      <c r="AN174" s="49"/>
      <c r="AO174" s="49"/>
      <c r="AP174" s="49"/>
      <c r="AQ174" s="83">
        <f>+AQ166*Assumptions!$N$158</f>
        <v>0</v>
      </c>
      <c r="AR174" s="83">
        <f>+AR166*Assumptions!$N$158</f>
        <v>0</v>
      </c>
      <c r="AS174" s="83">
        <f>+AS166*Assumptions!$N$158</f>
        <v>0</v>
      </c>
      <c r="AT174" s="83">
        <f>+AT166*Assumptions!$N$158</f>
        <v>0</v>
      </c>
      <c r="AU174" s="83">
        <f>+AU166*Assumptions!$N$158</f>
        <v>0</v>
      </c>
      <c r="AV174" s="83">
        <f>+AV166*Assumptions!$N$158</f>
        <v>0</v>
      </c>
      <c r="AW174" s="83">
        <f>+AW166*Assumptions!$N$158</f>
        <v>0</v>
      </c>
      <c r="AX174" s="83">
        <f>+AX166*Assumptions!$N$158</f>
        <v>0</v>
      </c>
      <c r="AY174" s="83">
        <f>+AY166*Assumptions!$N$158</f>
        <v>0</v>
      </c>
      <c r="AZ174" s="83">
        <f>+AZ166*Assumptions!$N$158</f>
        <v>0</v>
      </c>
      <c r="BA174" s="83">
        <f>+BA166*Assumptions!$N$158</f>
        <v>0</v>
      </c>
      <c r="BB174" s="83">
        <f>+BB166*Assumptions!$N$158</f>
        <v>0</v>
      </c>
      <c r="BC174" s="83">
        <f>+BC166*Assumptions!$N$158</f>
        <v>0</v>
      </c>
      <c r="BD174" s="83">
        <f>+BD166*Assumptions!$N$158</f>
        <v>0</v>
      </c>
      <c r="BE174" s="83">
        <f>+BE166*Assumptions!$N$158</f>
        <v>0</v>
      </c>
      <c r="BF174" s="83">
        <f>+BF166*Assumptions!$N$158</f>
        <v>0</v>
      </c>
      <c r="BG174" s="83">
        <f>+BG166*Assumptions!$N$158</f>
        <v>0</v>
      </c>
      <c r="BH174" s="83">
        <f>+BH166*Assumptions!$N$158</f>
        <v>0</v>
      </c>
      <c r="BI174" s="83">
        <f>+BI166*Assumptions!$N$158</f>
        <v>0</v>
      </c>
      <c r="BJ174" s="83">
        <f>+BJ166*Assumptions!$N$158</f>
        <v>0</v>
      </c>
      <c r="BK174" s="83">
        <f>+BK166*Assumptions!$N$158</f>
        <v>0</v>
      </c>
      <c r="BL174" s="49"/>
      <c r="BM174" s="49"/>
      <c r="BN174" s="49"/>
    </row>
    <row r="175" spans="1:66">
      <c r="A175" s="699"/>
      <c r="B175" s="115" t="s">
        <v>642</v>
      </c>
      <c r="C175" s="49"/>
      <c r="D175" s="79">
        <f>+Assumptions!M117</f>
        <v>0.90200000000000002</v>
      </c>
      <c r="E175" s="79"/>
      <c r="F175" s="90">
        <f t="shared" ref="F175:Z175" si="446">+$D175*F$167</f>
        <v>0</v>
      </c>
      <c r="G175" s="90">
        <f t="shared" si="446"/>
        <v>0</v>
      </c>
      <c r="H175" s="90">
        <f t="shared" si="446"/>
        <v>0</v>
      </c>
      <c r="I175" s="90">
        <f t="shared" si="446"/>
        <v>0</v>
      </c>
      <c r="J175" s="90">
        <f t="shared" si="446"/>
        <v>0</v>
      </c>
      <c r="K175" s="90">
        <f t="shared" si="446"/>
        <v>0</v>
      </c>
      <c r="L175" s="90">
        <f t="shared" si="446"/>
        <v>0</v>
      </c>
      <c r="M175" s="90">
        <f t="shared" si="446"/>
        <v>0</v>
      </c>
      <c r="N175" s="90">
        <f t="shared" si="446"/>
        <v>0</v>
      </c>
      <c r="O175" s="90">
        <f t="shared" si="446"/>
        <v>0</v>
      </c>
      <c r="P175" s="90">
        <f t="shared" si="446"/>
        <v>0</v>
      </c>
      <c r="Q175" s="90">
        <f t="shared" si="446"/>
        <v>0</v>
      </c>
      <c r="R175" s="90">
        <f t="shared" si="446"/>
        <v>0</v>
      </c>
      <c r="S175" s="90">
        <f t="shared" si="446"/>
        <v>0</v>
      </c>
      <c r="T175" s="90">
        <f t="shared" si="446"/>
        <v>0</v>
      </c>
      <c r="U175" s="90">
        <f t="shared" si="446"/>
        <v>0</v>
      </c>
      <c r="V175" s="90">
        <f t="shared" si="446"/>
        <v>0</v>
      </c>
      <c r="W175" s="90">
        <f t="shared" si="446"/>
        <v>0</v>
      </c>
      <c r="X175" s="90">
        <f t="shared" si="446"/>
        <v>0</v>
      </c>
      <c r="Y175" s="90">
        <f t="shared" si="446"/>
        <v>0</v>
      </c>
      <c r="Z175" s="90">
        <f t="shared" si="446"/>
        <v>0</v>
      </c>
      <c r="AA175" s="699"/>
      <c r="AB175" s="699"/>
      <c r="AC175" s="699"/>
      <c r="AD175" s="699"/>
      <c r="AE175" s="49"/>
      <c r="AF175" s="49"/>
      <c r="AG175" s="49"/>
      <c r="AH175" s="49"/>
      <c r="AI175" s="49"/>
      <c r="AJ175" s="49"/>
      <c r="AK175" s="49"/>
      <c r="AL175" s="49"/>
      <c r="AM175" s="49"/>
      <c r="AN175" s="49"/>
      <c r="AO175" s="49"/>
      <c r="AP175" s="49"/>
      <c r="AQ175" s="49"/>
      <c r="AR175" s="49"/>
      <c r="AS175" s="49"/>
      <c r="AT175" s="49"/>
      <c r="AU175" s="49"/>
      <c r="AV175" s="49"/>
      <c r="AW175" s="49"/>
      <c r="AX175" s="49"/>
      <c r="AY175" s="49"/>
      <c r="AZ175" s="49"/>
      <c r="BA175" s="49"/>
      <c r="BB175" s="49"/>
      <c r="BC175" s="49"/>
      <c r="BD175" s="49"/>
      <c r="BE175" s="49"/>
      <c r="BF175" s="49"/>
      <c r="BG175" s="49"/>
      <c r="BH175" s="49"/>
      <c r="BI175" s="49"/>
      <c r="BJ175" s="49"/>
      <c r="BK175" s="49"/>
      <c r="BL175" s="49"/>
      <c r="BM175" s="49"/>
      <c r="BN175" s="49"/>
    </row>
    <row r="176" spans="1:66" ht="16.5">
      <c r="A176" s="699"/>
      <c r="B176" s="114" t="s">
        <v>1177</v>
      </c>
      <c r="C176" s="49"/>
      <c r="D176" s="49"/>
      <c r="E176" s="49"/>
      <c r="F176" s="49"/>
      <c r="G176" s="49"/>
      <c r="H176" s="49"/>
      <c r="I176" s="49"/>
      <c r="J176" s="49"/>
      <c r="K176" s="49"/>
      <c r="L176" s="49"/>
      <c r="M176" s="49"/>
      <c r="N176" s="49"/>
      <c r="O176" s="49"/>
      <c r="P176" s="49"/>
      <c r="Q176" s="49"/>
      <c r="R176" s="49"/>
      <c r="S176" s="49"/>
      <c r="T176" s="49"/>
      <c r="U176" s="49"/>
      <c r="V176" s="49"/>
      <c r="W176" s="49"/>
      <c r="X176" s="49"/>
      <c r="Y176" s="49"/>
      <c r="Z176" s="49"/>
      <c r="AA176" s="699"/>
      <c r="AB176" s="699"/>
      <c r="AC176" s="699"/>
      <c r="AD176" s="699"/>
      <c r="AE176" s="49"/>
      <c r="AF176" s="49"/>
      <c r="AG176" s="49"/>
      <c r="AH176" s="49"/>
      <c r="AI176" s="49"/>
      <c r="AJ176" s="49"/>
      <c r="AK176" s="49"/>
      <c r="AL176" s="49"/>
      <c r="AM176" s="49" t="s">
        <v>1153</v>
      </c>
      <c r="AN176" s="49"/>
      <c r="AO176" s="49"/>
      <c r="AP176" s="49"/>
      <c r="AQ176" s="774">
        <v>0</v>
      </c>
      <c r="AR176" s="774">
        <v>0</v>
      </c>
      <c r="AS176" s="774">
        <v>0</v>
      </c>
      <c r="AT176" s="774">
        <v>0</v>
      </c>
      <c r="AU176" s="774">
        <v>0</v>
      </c>
      <c r="AV176" s="774">
        <v>0</v>
      </c>
      <c r="AW176" s="774">
        <v>0</v>
      </c>
      <c r="AX176" s="774">
        <v>0</v>
      </c>
      <c r="AY176" s="774">
        <v>0</v>
      </c>
      <c r="AZ176" s="774">
        <v>0</v>
      </c>
      <c r="BA176" s="774">
        <v>0</v>
      </c>
      <c r="BB176" s="774">
        <v>0</v>
      </c>
      <c r="BC176" s="774">
        <v>0</v>
      </c>
      <c r="BD176" s="774">
        <v>0</v>
      </c>
      <c r="BE176" s="774">
        <v>0</v>
      </c>
      <c r="BF176" s="774">
        <v>0</v>
      </c>
      <c r="BG176" s="774">
        <v>0</v>
      </c>
      <c r="BH176" s="774">
        <v>0</v>
      </c>
      <c r="BI176" s="774">
        <v>0</v>
      </c>
      <c r="BJ176" s="774">
        <v>0</v>
      </c>
      <c r="BK176" s="774">
        <v>0</v>
      </c>
      <c r="BL176" s="49"/>
      <c r="BM176" s="49"/>
      <c r="BN176" s="49"/>
    </row>
    <row r="177" spans="2:66">
      <c r="B177" s="115" t="s">
        <v>644</v>
      </c>
      <c r="C177" s="49"/>
      <c r="D177" s="79">
        <f>+Assumptions!M119</f>
        <v>8.7999999999999995E-2</v>
      </c>
      <c r="E177" s="79"/>
      <c r="F177" s="90">
        <f t="shared" ref="F177:O183" si="447">+$D177*F$168</f>
        <v>0</v>
      </c>
      <c r="G177" s="90">
        <f t="shared" si="447"/>
        <v>0</v>
      </c>
      <c r="H177" s="90">
        <f t="shared" si="447"/>
        <v>0</v>
      </c>
      <c r="I177" s="90">
        <f t="shared" si="447"/>
        <v>0</v>
      </c>
      <c r="J177" s="90">
        <f t="shared" si="447"/>
        <v>0</v>
      </c>
      <c r="K177" s="90">
        <f t="shared" si="447"/>
        <v>0</v>
      </c>
      <c r="L177" s="90">
        <f t="shared" si="447"/>
        <v>0</v>
      </c>
      <c r="M177" s="90">
        <f t="shared" si="447"/>
        <v>0</v>
      </c>
      <c r="N177" s="90">
        <f t="shared" si="447"/>
        <v>0</v>
      </c>
      <c r="O177" s="90">
        <f t="shared" si="447"/>
        <v>0</v>
      </c>
      <c r="P177" s="90">
        <f t="shared" ref="P177:Z183" si="448">+$D177*P$168</f>
        <v>0</v>
      </c>
      <c r="Q177" s="90">
        <f t="shared" si="448"/>
        <v>0</v>
      </c>
      <c r="R177" s="90">
        <f t="shared" si="448"/>
        <v>0</v>
      </c>
      <c r="S177" s="90">
        <f t="shared" si="448"/>
        <v>0</v>
      </c>
      <c r="T177" s="90">
        <f t="shared" si="448"/>
        <v>0</v>
      </c>
      <c r="U177" s="90">
        <f t="shared" si="448"/>
        <v>0</v>
      </c>
      <c r="V177" s="90">
        <f t="shared" si="448"/>
        <v>0</v>
      </c>
      <c r="W177" s="90">
        <f t="shared" si="448"/>
        <v>0</v>
      </c>
      <c r="X177" s="90">
        <f t="shared" si="448"/>
        <v>0</v>
      </c>
      <c r="Y177" s="90">
        <f t="shared" si="448"/>
        <v>0</v>
      </c>
      <c r="Z177" s="90">
        <f t="shared" si="448"/>
        <v>0</v>
      </c>
      <c r="AA177" s="699"/>
      <c r="AB177" s="699"/>
      <c r="AC177" s="699"/>
      <c r="AD177" s="69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49"/>
      <c r="AY177" s="49"/>
      <c r="AZ177" s="49"/>
      <c r="BA177" s="49"/>
      <c r="BB177" s="49"/>
      <c r="BC177" s="49"/>
      <c r="BD177" s="49"/>
      <c r="BE177" s="49"/>
      <c r="BF177" s="49"/>
      <c r="BG177" s="49"/>
      <c r="BH177" s="49"/>
      <c r="BI177" s="49"/>
      <c r="BJ177" s="49"/>
      <c r="BK177" s="49"/>
      <c r="BL177" s="49"/>
      <c r="BM177" s="49"/>
      <c r="BN177" s="49"/>
    </row>
    <row r="178" spans="2:66" ht="15.75">
      <c r="B178" s="115" t="s">
        <v>645</v>
      </c>
      <c r="C178" s="49"/>
      <c r="D178" s="79">
        <f>+Assumptions!M120</f>
        <v>1.4999999999999999E-2</v>
      </c>
      <c r="E178" s="79"/>
      <c r="F178" s="90">
        <f t="shared" si="447"/>
        <v>0</v>
      </c>
      <c r="G178" s="90">
        <f t="shared" si="447"/>
        <v>0</v>
      </c>
      <c r="H178" s="90">
        <f t="shared" si="447"/>
        <v>0</v>
      </c>
      <c r="I178" s="90">
        <f t="shared" si="447"/>
        <v>0</v>
      </c>
      <c r="J178" s="90">
        <f t="shared" si="447"/>
        <v>0</v>
      </c>
      <c r="K178" s="90">
        <f t="shared" si="447"/>
        <v>0</v>
      </c>
      <c r="L178" s="90">
        <f t="shared" si="447"/>
        <v>0</v>
      </c>
      <c r="M178" s="90">
        <f t="shared" si="447"/>
        <v>0</v>
      </c>
      <c r="N178" s="90">
        <f t="shared" si="447"/>
        <v>0</v>
      </c>
      <c r="O178" s="90">
        <f t="shared" si="447"/>
        <v>0</v>
      </c>
      <c r="P178" s="90">
        <f t="shared" si="448"/>
        <v>0</v>
      </c>
      <c r="Q178" s="90">
        <f t="shared" si="448"/>
        <v>0</v>
      </c>
      <c r="R178" s="90">
        <f t="shared" si="448"/>
        <v>0</v>
      </c>
      <c r="S178" s="90">
        <f t="shared" si="448"/>
        <v>0</v>
      </c>
      <c r="T178" s="90">
        <f t="shared" si="448"/>
        <v>0</v>
      </c>
      <c r="U178" s="90">
        <f t="shared" si="448"/>
        <v>0</v>
      </c>
      <c r="V178" s="90">
        <f t="shared" si="448"/>
        <v>0</v>
      </c>
      <c r="W178" s="90">
        <f t="shared" si="448"/>
        <v>0</v>
      </c>
      <c r="X178" s="90">
        <f t="shared" si="448"/>
        <v>0</v>
      </c>
      <c r="Y178" s="90">
        <f t="shared" si="448"/>
        <v>0</v>
      </c>
      <c r="Z178" s="90">
        <f t="shared" si="448"/>
        <v>0</v>
      </c>
      <c r="AA178" s="699"/>
      <c r="AB178" s="699"/>
      <c r="AC178" s="699"/>
      <c r="AD178" s="699"/>
      <c r="AE178" s="49"/>
      <c r="AF178" s="49"/>
      <c r="AG178" s="49"/>
      <c r="AH178" s="49"/>
      <c r="AI178" s="49"/>
      <c r="AJ178" s="49"/>
      <c r="AK178" s="49"/>
      <c r="AL178" s="49"/>
      <c r="AM178" s="81" t="s">
        <v>1178</v>
      </c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49"/>
      <c r="AY178" s="49"/>
      <c r="AZ178" s="49"/>
      <c r="BA178" s="49"/>
      <c r="BB178" s="49"/>
      <c r="BC178" s="49"/>
      <c r="BD178" s="49"/>
      <c r="BE178" s="49"/>
      <c r="BF178" s="49"/>
      <c r="BG178" s="49"/>
      <c r="BH178" s="49"/>
      <c r="BI178" s="49"/>
      <c r="BJ178" s="49"/>
      <c r="BK178" s="49"/>
      <c r="BL178" s="49"/>
      <c r="BM178" s="49"/>
      <c r="BN178" s="49"/>
    </row>
    <row r="179" spans="2:66">
      <c r="B179" s="115" t="s">
        <v>646</v>
      </c>
      <c r="C179" s="49"/>
      <c r="D179" s="79">
        <f>+Assumptions!M121</f>
        <v>5.2999999999999999E-2</v>
      </c>
      <c r="E179" s="79"/>
      <c r="F179" s="90">
        <f t="shared" si="447"/>
        <v>0</v>
      </c>
      <c r="G179" s="90">
        <f t="shared" si="447"/>
        <v>0</v>
      </c>
      <c r="H179" s="90">
        <f t="shared" si="447"/>
        <v>0</v>
      </c>
      <c r="I179" s="90">
        <f t="shared" si="447"/>
        <v>0</v>
      </c>
      <c r="J179" s="90">
        <f t="shared" si="447"/>
        <v>0</v>
      </c>
      <c r="K179" s="90">
        <f t="shared" si="447"/>
        <v>0</v>
      </c>
      <c r="L179" s="90">
        <f t="shared" si="447"/>
        <v>0</v>
      </c>
      <c r="M179" s="90">
        <f t="shared" si="447"/>
        <v>0</v>
      </c>
      <c r="N179" s="90">
        <f t="shared" si="447"/>
        <v>0</v>
      </c>
      <c r="O179" s="90">
        <f t="shared" si="447"/>
        <v>0</v>
      </c>
      <c r="P179" s="90">
        <f t="shared" si="448"/>
        <v>0</v>
      </c>
      <c r="Q179" s="90">
        <f t="shared" si="448"/>
        <v>0</v>
      </c>
      <c r="R179" s="90">
        <f t="shared" si="448"/>
        <v>0</v>
      </c>
      <c r="S179" s="90">
        <f t="shared" si="448"/>
        <v>0</v>
      </c>
      <c r="T179" s="90">
        <f t="shared" si="448"/>
        <v>0</v>
      </c>
      <c r="U179" s="90">
        <f t="shared" si="448"/>
        <v>0</v>
      </c>
      <c r="V179" s="90">
        <f t="shared" si="448"/>
        <v>0</v>
      </c>
      <c r="W179" s="90">
        <f t="shared" si="448"/>
        <v>0</v>
      </c>
      <c r="X179" s="90">
        <f t="shared" si="448"/>
        <v>0</v>
      </c>
      <c r="Y179" s="90">
        <f t="shared" si="448"/>
        <v>0</v>
      </c>
      <c r="Z179" s="90">
        <f t="shared" si="448"/>
        <v>0</v>
      </c>
      <c r="AA179" s="699"/>
      <c r="AB179" s="699"/>
      <c r="AC179" s="699"/>
      <c r="AD179" s="699"/>
      <c r="AE179" s="49"/>
      <c r="AF179" s="49"/>
      <c r="AG179" s="49"/>
      <c r="AH179" s="49"/>
      <c r="AI179" s="49"/>
      <c r="AJ179" s="49"/>
      <c r="AK179" s="49"/>
      <c r="AL179" s="49"/>
      <c r="AM179" s="49" t="s">
        <v>1156</v>
      </c>
      <c r="AN179" s="49"/>
      <c r="AO179" s="49"/>
      <c r="AP179" s="49"/>
      <c r="AQ179" s="83">
        <v>0</v>
      </c>
      <c r="AR179" s="83">
        <v>0</v>
      </c>
      <c r="AS179" s="83">
        <v>0</v>
      </c>
      <c r="AT179" s="83">
        <v>0</v>
      </c>
      <c r="AU179" s="83">
        <v>0</v>
      </c>
      <c r="AV179" s="83">
        <v>0</v>
      </c>
      <c r="AW179" s="83">
        <v>0</v>
      </c>
      <c r="AX179" s="83">
        <v>0</v>
      </c>
      <c r="AY179" s="83">
        <v>0</v>
      </c>
      <c r="AZ179" s="83">
        <v>0</v>
      </c>
      <c r="BA179" s="83">
        <v>0</v>
      </c>
      <c r="BB179" s="83">
        <v>0</v>
      </c>
      <c r="BC179" s="83">
        <v>0</v>
      </c>
      <c r="BD179" s="83">
        <v>0</v>
      </c>
      <c r="BE179" s="83">
        <v>0</v>
      </c>
      <c r="BF179" s="83">
        <v>0</v>
      </c>
      <c r="BG179" s="83">
        <v>0</v>
      </c>
      <c r="BH179" s="83">
        <v>0</v>
      </c>
      <c r="BI179" s="83">
        <v>0</v>
      </c>
      <c r="BJ179" s="83">
        <v>0</v>
      </c>
      <c r="BK179" s="83">
        <v>0</v>
      </c>
      <c r="BL179" s="49"/>
      <c r="BM179" s="49"/>
      <c r="BN179" s="49"/>
    </row>
    <row r="180" spans="2:66">
      <c r="B180" s="115" t="s">
        <v>648</v>
      </c>
      <c r="C180" s="49"/>
      <c r="D180" s="79">
        <f>+Assumptions!M122</f>
        <v>4.8000000000000001E-2</v>
      </c>
      <c r="E180" s="79"/>
      <c r="F180" s="90">
        <f t="shared" si="447"/>
        <v>0</v>
      </c>
      <c r="G180" s="90">
        <f t="shared" si="447"/>
        <v>0</v>
      </c>
      <c r="H180" s="90">
        <f t="shared" si="447"/>
        <v>0</v>
      </c>
      <c r="I180" s="90">
        <f t="shared" si="447"/>
        <v>0</v>
      </c>
      <c r="J180" s="90">
        <f t="shared" si="447"/>
        <v>0</v>
      </c>
      <c r="K180" s="90">
        <f t="shared" si="447"/>
        <v>0</v>
      </c>
      <c r="L180" s="90">
        <f t="shared" si="447"/>
        <v>0</v>
      </c>
      <c r="M180" s="90">
        <f t="shared" si="447"/>
        <v>0</v>
      </c>
      <c r="N180" s="90">
        <f t="shared" si="447"/>
        <v>0</v>
      </c>
      <c r="O180" s="90">
        <f t="shared" si="447"/>
        <v>0</v>
      </c>
      <c r="P180" s="90">
        <f t="shared" si="448"/>
        <v>0</v>
      </c>
      <c r="Q180" s="90">
        <f t="shared" si="448"/>
        <v>0</v>
      </c>
      <c r="R180" s="90">
        <f t="shared" si="448"/>
        <v>0</v>
      </c>
      <c r="S180" s="90">
        <f t="shared" si="448"/>
        <v>0</v>
      </c>
      <c r="T180" s="90">
        <f t="shared" si="448"/>
        <v>0</v>
      </c>
      <c r="U180" s="90">
        <f t="shared" si="448"/>
        <v>0</v>
      </c>
      <c r="V180" s="90">
        <f t="shared" si="448"/>
        <v>0</v>
      </c>
      <c r="W180" s="90">
        <f t="shared" si="448"/>
        <v>0</v>
      </c>
      <c r="X180" s="90">
        <f t="shared" si="448"/>
        <v>0</v>
      </c>
      <c r="Y180" s="90">
        <f t="shared" si="448"/>
        <v>0</v>
      </c>
      <c r="Z180" s="90">
        <f t="shared" si="448"/>
        <v>0</v>
      </c>
      <c r="AA180" s="699"/>
      <c r="AB180" s="699"/>
      <c r="AC180" s="699"/>
      <c r="AD180" s="699"/>
      <c r="AE180" s="49"/>
      <c r="AF180" s="49"/>
      <c r="AG180" s="49"/>
      <c r="AH180" s="49"/>
      <c r="AI180" s="49"/>
      <c r="AJ180" s="49"/>
      <c r="AK180" s="49"/>
      <c r="AL180" s="49"/>
      <c r="AM180" s="49" t="s">
        <v>1158</v>
      </c>
      <c r="AN180" s="49"/>
      <c r="AO180" s="49"/>
      <c r="AP180" s="49"/>
      <c r="AQ180" s="90">
        <v>0</v>
      </c>
      <c r="AR180" s="90">
        <v>0</v>
      </c>
      <c r="AS180" s="90">
        <v>0</v>
      </c>
      <c r="AT180" s="90">
        <v>0</v>
      </c>
      <c r="AU180" s="90">
        <v>0</v>
      </c>
      <c r="AV180" s="90">
        <v>0</v>
      </c>
      <c r="AW180" s="90">
        <v>0</v>
      </c>
      <c r="AX180" s="90">
        <v>0</v>
      </c>
      <c r="AY180" s="90">
        <v>0</v>
      </c>
      <c r="AZ180" s="90">
        <v>0</v>
      </c>
      <c r="BA180" s="90">
        <v>0</v>
      </c>
      <c r="BB180" s="90">
        <v>0</v>
      </c>
      <c r="BC180" s="90">
        <v>0</v>
      </c>
      <c r="BD180" s="90">
        <v>0</v>
      </c>
      <c r="BE180" s="90">
        <v>0</v>
      </c>
      <c r="BF180" s="90">
        <v>0</v>
      </c>
      <c r="BG180" s="90">
        <v>0</v>
      </c>
      <c r="BH180" s="90">
        <v>0</v>
      </c>
      <c r="BI180" s="90">
        <v>0</v>
      </c>
      <c r="BJ180" s="90">
        <v>0</v>
      </c>
      <c r="BK180" s="90">
        <v>0</v>
      </c>
      <c r="BL180" s="49"/>
      <c r="BM180" s="49"/>
      <c r="BN180" s="49"/>
    </row>
    <row r="181" spans="2:66" hidden="1">
      <c r="B181" s="115" t="s">
        <v>650</v>
      </c>
      <c r="C181" s="49"/>
      <c r="D181" s="79">
        <f>+Assumptions!M123</f>
        <v>2.5999999999999999E-2</v>
      </c>
      <c r="E181" s="79"/>
      <c r="F181" s="90">
        <f t="shared" si="447"/>
        <v>0</v>
      </c>
      <c r="G181" s="90">
        <f t="shared" si="447"/>
        <v>0</v>
      </c>
      <c r="H181" s="90">
        <f t="shared" si="447"/>
        <v>0</v>
      </c>
      <c r="I181" s="90">
        <f t="shared" si="447"/>
        <v>0</v>
      </c>
      <c r="J181" s="90">
        <f t="shared" si="447"/>
        <v>0</v>
      </c>
      <c r="K181" s="90">
        <f t="shared" si="447"/>
        <v>0</v>
      </c>
      <c r="L181" s="90">
        <f t="shared" si="447"/>
        <v>0</v>
      </c>
      <c r="M181" s="90">
        <f t="shared" si="447"/>
        <v>0</v>
      </c>
      <c r="N181" s="90">
        <f t="shared" si="447"/>
        <v>0</v>
      </c>
      <c r="O181" s="90">
        <f t="shared" si="447"/>
        <v>0</v>
      </c>
      <c r="P181" s="90">
        <f t="shared" si="448"/>
        <v>0</v>
      </c>
      <c r="Q181" s="90">
        <f t="shared" si="448"/>
        <v>0</v>
      </c>
      <c r="R181" s="90">
        <f t="shared" si="448"/>
        <v>0</v>
      </c>
      <c r="S181" s="90">
        <f t="shared" si="448"/>
        <v>0</v>
      </c>
      <c r="T181" s="90">
        <f t="shared" si="448"/>
        <v>0</v>
      </c>
      <c r="U181" s="90">
        <f t="shared" si="448"/>
        <v>0</v>
      </c>
      <c r="V181" s="90">
        <f t="shared" si="448"/>
        <v>0</v>
      </c>
      <c r="W181" s="90">
        <f t="shared" si="448"/>
        <v>0</v>
      </c>
      <c r="X181" s="90">
        <f t="shared" si="448"/>
        <v>0</v>
      </c>
      <c r="Y181" s="90">
        <f t="shared" si="448"/>
        <v>0</v>
      </c>
      <c r="Z181" s="90">
        <f t="shared" si="448"/>
        <v>0</v>
      </c>
      <c r="AA181" s="699"/>
      <c r="AB181" s="699"/>
      <c r="AC181" s="699"/>
      <c r="AD181" s="699"/>
      <c r="AE181" s="49"/>
      <c r="AF181" s="49"/>
      <c r="AG181" s="49"/>
      <c r="AH181" s="49"/>
      <c r="AI181" s="49"/>
      <c r="AJ181" s="49"/>
      <c r="AK181" s="49"/>
      <c r="AL181" s="49"/>
      <c r="AM181" s="49" t="s">
        <v>1159</v>
      </c>
      <c r="AN181" s="49"/>
      <c r="AO181" s="49"/>
      <c r="AP181" s="49"/>
      <c r="AQ181" s="90">
        <v>0</v>
      </c>
      <c r="AR181" s="90">
        <v>0</v>
      </c>
      <c r="AS181" s="90">
        <v>0</v>
      </c>
      <c r="AT181" s="90">
        <v>0</v>
      </c>
      <c r="AU181" s="90">
        <v>0</v>
      </c>
      <c r="AV181" s="90">
        <v>0</v>
      </c>
      <c r="AW181" s="90">
        <v>0</v>
      </c>
      <c r="AX181" s="90">
        <v>0</v>
      </c>
      <c r="AY181" s="90">
        <v>0</v>
      </c>
      <c r="AZ181" s="90">
        <v>0</v>
      </c>
      <c r="BA181" s="90">
        <v>0</v>
      </c>
      <c r="BB181" s="90">
        <v>0</v>
      </c>
      <c r="BC181" s="90">
        <v>0</v>
      </c>
      <c r="BD181" s="90">
        <v>0</v>
      </c>
      <c r="BE181" s="90">
        <v>0</v>
      </c>
      <c r="BF181" s="90">
        <v>0</v>
      </c>
      <c r="BG181" s="90">
        <v>0</v>
      </c>
      <c r="BH181" s="90">
        <v>0</v>
      </c>
      <c r="BI181" s="90">
        <v>0</v>
      </c>
      <c r="BJ181" s="90">
        <v>0</v>
      </c>
      <c r="BK181" s="90">
        <v>0</v>
      </c>
      <c r="BL181" s="49"/>
      <c r="BM181" s="49"/>
      <c r="BN181" s="49"/>
    </row>
    <row r="182" spans="2:66" hidden="1">
      <c r="B182" s="115" t="s">
        <v>651</v>
      </c>
      <c r="C182" s="49"/>
      <c r="D182" s="79">
        <f>+Assumptions!M124</f>
        <v>2.4E-2</v>
      </c>
      <c r="E182" s="79"/>
      <c r="F182" s="90">
        <f t="shared" si="447"/>
        <v>0</v>
      </c>
      <c r="G182" s="90">
        <f t="shared" si="447"/>
        <v>0</v>
      </c>
      <c r="H182" s="90">
        <f t="shared" si="447"/>
        <v>0</v>
      </c>
      <c r="I182" s="90">
        <f t="shared" si="447"/>
        <v>0</v>
      </c>
      <c r="J182" s="90">
        <f t="shared" si="447"/>
        <v>0</v>
      </c>
      <c r="K182" s="90">
        <f t="shared" si="447"/>
        <v>0</v>
      </c>
      <c r="L182" s="90">
        <f t="shared" si="447"/>
        <v>0</v>
      </c>
      <c r="M182" s="90">
        <f t="shared" si="447"/>
        <v>0</v>
      </c>
      <c r="N182" s="90">
        <f t="shared" si="447"/>
        <v>0</v>
      </c>
      <c r="O182" s="90">
        <f t="shared" si="447"/>
        <v>0</v>
      </c>
      <c r="P182" s="90">
        <f t="shared" si="448"/>
        <v>0</v>
      </c>
      <c r="Q182" s="90">
        <f t="shared" si="448"/>
        <v>0</v>
      </c>
      <c r="R182" s="90">
        <f t="shared" si="448"/>
        <v>0</v>
      </c>
      <c r="S182" s="90">
        <f t="shared" si="448"/>
        <v>0</v>
      </c>
      <c r="T182" s="90">
        <f t="shared" si="448"/>
        <v>0</v>
      </c>
      <c r="U182" s="90">
        <f t="shared" si="448"/>
        <v>0</v>
      </c>
      <c r="V182" s="90">
        <f t="shared" si="448"/>
        <v>0</v>
      </c>
      <c r="W182" s="90">
        <f t="shared" si="448"/>
        <v>0</v>
      </c>
      <c r="X182" s="90">
        <f t="shared" si="448"/>
        <v>0</v>
      </c>
      <c r="Y182" s="90">
        <f t="shared" si="448"/>
        <v>0</v>
      </c>
      <c r="Z182" s="90">
        <f t="shared" si="448"/>
        <v>0</v>
      </c>
      <c r="AA182" s="699"/>
      <c r="AB182" s="699"/>
      <c r="AC182" s="699"/>
      <c r="AD182" s="699"/>
      <c r="AE182" s="49"/>
      <c r="AF182" s="49"/>
      <c r="AG182" s="49"/>
      <c r="AH182" s="49"/>
      <c r="AI182" s="49"/>
      <c r="AJ182" s="49"/>
      <c r="AK182" s="49"/>
      <c r="AL182" s="49"/>
      <c r="AM182" s="49" t="s">
        <v>1160</v>
      </c>
      <c r="AN182" s="49"/>
      <c r="AO182" s="49"/>
      <c r="AP182" s="49"/>
      <c r="AQ182" s="83">
        <v>0</v>
      </c>
      <c r="AR182" s="83">
        <v>0</v>
      </c>
      <c r="AS182" s="83">
        <v>0</v>
      </c>
      <c r="AT182" s="83">
        <v>0</v>
      </c>
      <c r="AU182" s="83">
        <v>0</v>
      </c>
      <c r="AV182" s="83">
        <v>0</v>
      </c>
      <c r="AW182" s="83">
        <v>0</v>
      </c>
      <c r="AX182" s="83">
        <v>0</v>
      </c>
      <c r="AY182" s="83">
        <v>0</v>
      </c>
      <c r="AZ182" s="83">
        <v>0</v>
      </c>
      <c r="BA182" s="83">
        <v>0</v>
      </c>
      <c r="BB182" s="83">
        <v>0</v>
      </c>
      <c r="BC182" s="83">
        <v>0</v>
      </c>
      <c r="BD182" s="83">
        <v>0</v>
      </c>
      <c r="BE182" s="83">
        <v>0</v>
      </c>
      <c r="BF182" s="83">
        <v>0</v>
      </c>
      <c r="BG182" s="83">
        <v>0</v>
      </c>
      <c r="BH182" s="83">
        <v>0</v>
      </c>
      <c r="BI182" s="83">
        <v>0</v>
      </c>
      <c r="BJ182" s="83">
        <v>0</v>
      </c>
      <c r="BK182" s="83">
        <v>0</v>
      </c>
      <c r="BL182" s="49"/>
      <c r="BM182" s="49"/>
      <c r="BN182" s="49"/>
    </row>
    <row r="183" spans="2:66">
      <c r="B183" s="115" t="s">
        <v>652</v>
      </c>
      <c r="C183" s="49"/>
      <c r="D183" s="79">
        <f>+Assumptions!M125</f>
        <v>5.0000000000000001E-3</v>
      </c>
      <c r="E183" s="79"/>
      <c r="F183" s="90">
        <f t="shared" si="447"/>
        <v>0</v>
      </c>
      <c r="G183" s="90">
        <f t="shared" si="447"/>
        <v>0</v>
      </c>
      <c r="H183" s="90">
        <f t="shared" si="447"/>
        <v>0</v>
      </c>
      <c r="I183" s="90">
        <f t="shared" si="447"/>
        <v>0</v>
      </c>
      <c r="J183" s="90">
        <f t="shared" si="447"/>
        <v>0</v>
      </c>
      <c r="K183" s="90">
        <f t="shared" si="447"/>
        <v>0</v>
      </c>
      <c r="L183" s="90">
        <f t="shared" si="447"/>
        <v>0</v>
      </c>
      <c r="M183" s="90">
        <f t="shared" si="447"/>
        <v>0</v>
      </c>
      <c r="N183" s="90">
        <f t="shared" si="447"/>
        <v>0</v>
      </c>
      <c r="O183" s="90">
        <f t="shared" si="447"/>
        <v>0</v>
      </c>
      <c r="P183" s="90">
        <f t="shared" si="448"/>
        <v>0</v>
      </c>
      <c r="Q183" s="90">
        <f t="shared" si="448"/>
        <v>0</v>
      </c>
      <c r="R183" s="90">
        <f t="shared" si="448"/>
        <v>0</v>
      </c>
      <c r="S183" s="90">
        <f t="shared" si="448"/>
        <v>0</v>
      </c>
      <c r="T183" s="90">
        <f t="shared" si="448"/>
        <v>0</v>
      </c>
      <c r="U183" s="90">
        <f t="shared" si="448"/>
        <v>0</v>
      </c>
      <c r="V183" s="90">
        <f t="shared" si="448"/>
        <v>0</v>
      </c>
      <c r="W183" s="90">
        <f t="shared" si="448"/>
        <v>0</v>
      </c>
      <c r="X183" s="90">
        <f t="shared" si="448"/>
        <v>0</v>
      </c>
      <c r="Y183" s="90">
        <f t="shared" si="448"/>
        <v>0</v>
      </c>
      <c r="Z183" s="90">
        <f t="shared" si="448"/>
        <v>0</v>
      </c>
      <c r="AA183" s="699"/>
      <c r="AB183" s="699"/>
      <c r="AC183" s="699"/>
      <c r="AD183" s="699"/>
      <c r="AE183" s="49"/>
      <c r="AF183" s="49"/>
      <c r="AG183" s="49"/>
      <c r="AH183" s="49"/>
      <c r="AI183" s="49"/>
      <c r="AJ183" s="49"/>
      <c r="AK183" s="49"/>
      <c r="AL183" s="49"/>
      <c r="AM183" s="49"/>
      <c r="AN183" s="49"/>
      <c r="AO183" s="49"/>
      <c r="AP183" s="49"/>
      <c r="AQ183" s="49"/>
      <c r="AR183" s="49"/>
      <c r="AS183" s="49"/>
      <c r="AT183" s="49"/>
      <c r="AU183" s="49"/>
      <c r="AV183" s="49"/>
      <c r="AW183" s="49"/>
      <c r="AX183" s="49"/>
      <c r="AY183" s="49"/>
      <c r="AZ183" s="49"/>
      <c r="BA183" s="49"/>
      <c r="BB183" s="49"/>
      <c r="BC183" s="49"/>
      <c r="BD183" s="49"/>
      <c r="BE183" s="49"/>
      <c r="BF183" s="49"/>
      <c r="BG183" s="49"/>
      <c r="BH183" s="49"/>
      <c r="BI183" s="49"/>
      <c r="BJ183" s="49"/>
      <c r="BK183" s="49"/>
      <c r="BL183" s="49"/>
      <c r="BM183" s="49"/>
      <c r="BN183" s="49"/>
    </row>
    <row r="184" spans="2:66" ht="15.75">
      <c r="B184" s="758" t="s">
        <v>1133</v>
      </c>
      <c r="C184" s="49"/>
      <c r="D184" s="153" t="str">
        <f ca="1">+IFERROR(SUM(F184:Z184)/SUM(F168:Z168),"")</f>
        <v/>
      </c>
      <c r="E184" s="91"/>
      <c r="F184" s="1050">
        <f ca="1">+IFERROR(INDEX('Taxes and TIF'!$M$11:$M$45,MATCH('Phase 1 Pro Forma'!F$7,'Taxes and TIF'!$B$11:$B$45,0)),0)*'Loan Sizing'!$I$50*'Phase 1 Pro Forma'!F157</f>
        <v>0</v>
      </c>
      <c r="G184" s="1050">
        <f ca="1">+IFERROR(INDEX('Taxes and TIF'!$M$11:$M$45,MATCH('Phase 1 Pro Forma'!G$7,'Taxes and TIF'!$B$11:$B$45,0)),0)*'Loan Sizing'!$I$50*'Phase 1 Pro Forma'!G157</f>
        <v>0</v>
      </c>
      <c r="H184" s="1050">
        <f ca="1">+IFERROR(INDEX('Taxes and TIF'!$M$11:$M$45,MATCH('Phase 1 Pro Forma'!H$7,'Taxes and TIF'!$B$11:$B$45,0)),0)*'Loan Sizing'!$I$50*'Phase 1 Pro Forma'!H157</f>
        <v>0</v>
      </c>
      <c r="I184" s="1050">
        <f ca="1">+IFERROR(INDEX('Taxes and TIF'!$M$11:$M$45,MATCH('Phase 1 Pro Forma'!I$7,'Taxes and TIF'!$B$11:$B$45,0)),0)*'Loan Sizing'!$I$50*'Phase 1 Pro Forma'!I157</f>
        <v>0</v>
      </c>
      <c r="J184" s="1050">
        <f ca="1">+IFERROR(INDEX('Taxes and TIF'!$M$11:$M$45,MATCH('Phase 1 Pro Forma'!J$7,'Taxes and TIF'!$B$11:$B$45,0)),0)*'Loan Sizing'!$I$50*'Phase 1 Pro Forma'!J157</f>
        <v>0</v>
      </c>
      <c r="K184" s="1050">
        <f ca="1">+IFERROR(INDEX('Taxes and TIF'!$M$11:$M$45,MATCH('Phase 1 Pro Forma'!K$7,'Taxes and TIF'!$B$11:$B$45,0)),0)*'Loan Sizing'!$I$50*'Phase 1 Pro Forma'!K157</f>
        <v>0</v>
      </c>
      <c r="L184" s="1050">
        <f ca="1">+IFERROR(INDEX('Taxes and TIF'!$M$11:$M$45,MATCH('Phase 1 Pro Forma'!L$7,'Taxes and TIF'!$B$11:$B$45,0)),0)*'Loan Sizing'!$I$50*'Phase 1 Pro Forma'!L157</f>
        <v>0</v>
      </c>
      <c r="M184" s="1050">
        <f ca="1">+IFERROR(INDEX('Taxes and TIF'!$M$11:$M$45,MATCH('Phase 1 Pro Forma'!M$7,'Taxes and TIF'!$B$11:$B$45,0)),0)*'Loan Sizing'!$I$50*'Phase 1 Pro Forma'!M157</f>
        <v>0</v>
      </c>
      <c r="N184" s="1050">
        <f ca="1">+IFERROR(INDEX('Taxes and TIF'!$M$11:$M$45,MATCH('Phase 1 Pro Forma'!N$7,'Taxes and TIF'!$B$11:$B$45,0)),0)*'Loan Sizing'!$I$50*'Phase 1 Pro Forma'!N157</f>
        <v>0</v>
      </c>
      <c r="O184" s="1050">
        <f ca="1">+IFERROR(INDEX('Taxes and TIF'!$M$11:$M$45,MATCH('Phase 1 Pro Forma'!O$7,'Taxes and TIF'!$B$11:$B$45,0)),0)*'Loan Sizing'!$I$50*'Phase 1 Pro Forma'!O157</f>
        <v>0</v>
      </c>
      <c r="P184" s="1050">
        <f ca="1">+IFERROR(INDEX('Taxes and TIF'!$M$11:$M$45,MATCH('Phase 1 Pro Forma'!P$7,'Taxes and TIF'!$B$11:$B$45,0)),0)*'Loan Sizing'!$I$50*'Phase 1 Pro Forma'!P157</f>
        <v>0</v>
      </c>
      <c r="Q184" s="1050">
        <f ca="1">+IFERROR(INDEX('Taxes and TIF'!$M$11:$M$45,MATCH('Phase 1 Pro Forma'!Q$7,'Taxes and TIF'!$B$11:$B$45,0)),0)*'Loan Sizing'!$I$50*'Phase 1 Pro Forma'!Q157</f>
        <v>0</v>
      </c>
      <c r="R184" s="1050">
        <f ca="1">+IFERROR(INDEX('Taxes and TIF'!$M$11:$M$45,MATCH('Phase 1 Pro Forma'!R$7,'Taxes and TIF'!$B$11:$B$45,0)),0)*'Loan Sizing'!$I$50*'Phase 1 Pro Forma'!R157</f>
        <v>0</v>
      </c>
      <c r="S184" s="1050">
        <f ca="1">+IFERROR(INDEX('Taxes and TIF'!$M$11:$M$45,MATCH('Phase 1 Pro Forma'!S$7,'Taxes and TIF'!$B$11:$B$45,0)),0)*'Loan Sizing'!$I$50*'Phase 1 Pro Forma'!S157</f>
        <v>0</v>
      </c>
      <c r="T184" s="1050">
        <f ca="1">+IFERROR(INDEX('Taxes and TIF'!$M$11:$M$45,MATCH('Phase 1 Pro Forma'!T$7,'Taxes and TIF'!$B$11:$B$45,0)),0)*'Loan Sizing'!$I$50*'Phase 1 Pro Forma'!T157</f>
        <v>0</v>
      </c>
      <c r="U184" s="1050">
        <f ca="1">+IFERROR(INDEX('Taxes and TIF'!$M$11:$M$45,MATCH('Phase 1 Pro Forma'!U$7,'Taxes and TIF'!$B$11:$B$45,0)),0)*'Loan Sizing'!$I$50*'Phase 1 Pro Forma'!U157</f>
        <v>0</v>
      </c>
      <c r="V184" s="1050">
        <f ca="1">+IFERROR(INDEX('Taxes and TIF'!$M$11:$M$45,MATCH('Phase 1 Pro Forma'!V$7,'Taxes and TIF'!$B$11:$B$45,0)),0)*'Loan Sizing'!$I$50*'Phase 1 Pro Forma'!V157</f>
        <v>0</v>
      </c>
      <c r="W184" s="1050">
        <f ca="1">+IFERROR(INDEX('Taxes and TIF'!$M$11:$M$45,MATCH('Phase 1 Pro Forma'!W$7,'Taxes and TIF'!$B$11:$B$45,0)),0)*'Loan Sizing'!$I$50*'Phase 1 Pro Forma'!W157</f>
        <v>0</v>
      </c>
      <c r="X184" s="1050">
        <f ca="1">+IFERROR(INDEX('Taxes and TIF'!$M$11:$M$45,MATCH('Phase 1 Pro Forma'!X$7,'Taxes and TIF'!$B$11:$B$45,0)),0)*'Loan Sizing'!$I$50*'Phase 1 Pro Forma'!X157</f>
        <v>0</v>
      </c>
      <c r="Y184" s="1050">
        <f ca="1">+IFERROR(INDEX('Taxes and TIF'!$M$11:$M$45,MATCH('Phase 1 Pro Forma'!Y$7,'Taxes and TIF'!$B$11:$B$45,0)),0)*'Loan Sizing'!$I$50*'Phase 1 Pro Forma'!Y157</f>
        <v>0</v>
      </c>
      <c r="Z184" s="1050">
        <f ca="1">+IFERROR(INDEX('Taxes and TIF'!$M$11:$M$45,MATCH('Phase 1 Pro Forma'!Z$7,'Taxes and TIF'!$B$11:$B$45,0)),0)*'Loan Sizing'!$I$50*'Phase 1 Pro Forma'!Z157</f>
        <v>0</v>
      </c>
      <c r="AA184" s="699"/>
      <c r="AB184" s="699"/>
      <c r="AC184" s="699"/>
      <c r="AD184" s="699"/>
      <c r="AE184" s="49"/>
      <c r="AF184" s="49"/>
      <c r="AG184" s="49"/>
      <c r="AH184" s="49"/>
      <c r="AI184" s="49"/>
      <c r="AJ184" s="49"/>
      <c r="AK184" s="49"/>
      <c r="AL184" s="49"/>
      <c r="AM184" s="81" t="s">
        <v>1179</v>
      </c>
      <c r="AN184" s="81"/>
      <c r="AO184" s="81"/>
      <c r="AP184" s="81"/>
      <c r="AQ184" s="94">
        <f>+IF(YEAR(F$129)&lt;=YEAR(Assumptions!$F$35),'Phase 1 Pro Forma'!AQ182+'Phase 1 Pro Forma'!AQ176,0)</f>
        <v>0</v>
      </c>
      <c r="AR184" s="94">
        <f>+IF(YEAR(G$129)&lt;=YEAR(Assumptions!$F$35),'Phase 1 Pro Forma'!AR182+'Phase 1 Pro Forma'!AR176,0)</f>
        <v>0</v>
      </c>
      <c r="AS184" s="94">
        <f>+IF(YEAR(H$129)&lt;=YEAR(Assumptions!$F$35),'Phase 1 Pro Forma'!AS182+'Phase 1 Pro Forma'!AS176,0)</f>
        <v>0</v>
      </c>
      <c r="AT184" s="94">
        <f>+IF(YEAR(I$129)&lt;=YEAR(Assumptions!$F$35),'Phase 1 Pro Forma'!AT182+'Phase 1 Pro Forma'!AT176,0)</f>
        <v>0</v>
      </c>
      <c r="AU184" s="94">
        <f>+IF(YEAR(J$129)&lt;=YEAR(Assumptions!$F$35),'Phase 1 Pro Forma'!AU182+'Phase 1 Pro Forma'!AU176,0)</f>
        <v>0</v>
      </c>
      <c r="AV184" s="94">
        <f>+IF(YEAR(K$129)&lt;=YEAR(Assumptions!$F$35),'Phase 1 Pro Forma'!AV182+'Phase 1 Pro Forma'!AV176,0)</f>
        <v>0</v>
      </c>
      <c r="AW184" s="94">
        <f>+IF(YEAR(L$129)&lt;=YEAR(Assumptions!$F$35),'Phase 1 Pro Forma'!AW182+'Phase 1 Pro Forma'!AW176,0)</f>
        <v>0</v>
      </c>
      <c r="AX184" s="94">
        <f>+IF(YEAR(M$129)&lt;=YEAR(Assumptions!$F$35),'Phase 1 Pro Forma'!AX182+'Phase 1 Pro Forma'!AX176,0)</f>
        <v>0</v>
      </c>
      <c r="AY184" s="94">
        <f>+IF(YEAR(N$129)&lt;=YEAR(Assumptions!$F$35),'Phase 1 Pro Forma'!AY182+'Phase 1 Pro Forma'!AY176,0)</f>
        <v>0</v>
      </c>
      <c r="AZ184" s="94">
        <f>+IF(YEAR(O$129)&lt;=YEAR(Assumptions!$F$35),'Phase 1 Pro Forma'!AZ182+'Phase 1 Pro Forma'!AZ176,0)</f>
        <v>0</v>
      </c>
      <c r="BA184" s="94">
        <f>+IF(YEAR(P$129)&lt;=YEAR(Assumptions!$F$35),'Phase 1 Pro Forma'!BA182+'Phase 1 Pro Forma'!BA176,0)</f>
        <v>0</v>
      </c>
      <c r="BB184" s="94">
        <f>+IF(YEAR(Q$129)&lt;=YEAR(Assumptions!$F$35),'Phase 1 Pro Forma'!BB182+'Phase 1 Pro Forma'!BB176,0)</f>
        <v>0</v>
      </c>
      <c r="BC184" s="94">
        <f>+IF(YEAR(R$129)&lt;=YEAR(Assumptions!$F$35),'Phase 1 Pro Forma'!BC182+'Phase 1 Pro Forma'!BC176,0)</f>
        <v>0</v>
      </c>
      <c r="BD184" s="94">
        <f>+IF(YEAR(S$129)&lt;=YEAR(Assumptions!$F$35),'Phase 1 Pro Forma'!BD182+'Phase 1 Pro Forma'!BD176,0)</f>
        <v>0</v>
      </c>
      <c r="BE184" s="94">
        <f>+IF(YEAR(T$129)&lt;=YEAR(Assumptions!$F$35),'Phase 1 Pro Forma'!BE182+'Phase 1 Pro Forma'!BE176,0)</f>
        <v>0</v>
      </c>
      <c r="BF184" s="94">
        <f>+IF(YEAR(U$129)&lt;=YEAR(Assumptions!$F$35),'Phase 1 Pro Forma'!BF182+'Phase 1 Pro Forma'!BF176,0)</f>
        <v>0</v>
      </c>
      <c r="BG184" s="94">
        <f>+IF(YEAR(V$129)&lt;=YEAR(Assumptions!$F$35),'Phase 1 Pro Forma'!BG182+'Phase 1 Pro Forma'!BG176,0)</f>
        <v>0</v>
      </c>
      <c r="BH184" s="94">
        <f>+IF(YEAR(W$129)&lt;=YEAR(Assumptions!$F$35),'Phase 1 Pro Forma'!BH182+'Phase 1 Pro Forma'!BH176,0)</f>
        <v>0</v>
      </c>
      <c r="BI184" s="94">
        <f>+IF(YEAR(X$129)&lt;=YEAR(Assumptions!$F$35),'Phase 1 Pro Forma'!BI182+'Phase 1 Pro Forma'!BI176,0)</f>
        <v>0</v>
      </c>
      <c r="BJ184" s="94">
        <f>+IF(YEAR(Y$129)&lt;=YEAR(Assumptions!$F$35),'Phase 1 Pro Forma'!BJ182+'Phase 1 Pro Forma'!BJ176,0)</f>
        <v>0</v>
      </c>
      <c r="BK184" s="94">
        <f>+IF(YEAR(Z$129)&lt;=YEAR(Assumptions!$F$35),'Phase 1 Pro Forma'!BK182+'Phase 1 Pro Forma'!BK176,0)</f>
        <v>0</v>
      </c>
      <c r="BL184" s="49"/>
      <c r="BM184" s="49"/>
      <c r="BN184" s="49"/>
    </row>
    <row r="185" spans="2:66">
      <c r="B185" s="115" t="s">
        <v>653</v>
      </c>
      <c r="C185" s="49"/>
      <c r="D185" s="79">
        <f>+Assumptions!M126</f>
        <v>0.03</v>
      </c>
      <c r="E185" s="79"/>
      <c r="F185" s="90">
        <f t="shared" ref="F185:Z185" si="449">+$D185*F$168</f>
        <v>0</v>
      </c>
      <c r="G185" s="90">
        <f t="shared" si="449"/>
        <v>0</v>
      </c>
      <c r="H185" s="90">
        <f t="shared" si="449"/>
        <v>0</v>
      </c>
      <c r="I185" s="90">
        <f t="shared" si="449"/>
        <v>0</v>
      </c>
      <c r="J185" s="90">
        <f t="shared" si="449"/>
        <v>0</v>
      </c>
      <c r="K185" s="90">
        <f t="shared" si="449"/>
        <v>0</v>
      </c>
      <c r="L185" s="90">
        <f t="shared" si="449"/>
        <v>0</v>
      </c>
      <c r="M185" s="90">
        <f t="shared" si="449"/>
        <v>0</v>
      </c>
      <c r="N185" s="90">
        <f t="shared" si="449"/>
        <v>0</v>
      </c>
      <c r="O185" s="90">
        <f t="shared" si="449"/>
        <v>0</v>
      </c>
      <c r="P185" s="90">
        <f t="shared" si="449"/>
        <v>0</v>
      </c>
      <c r="Q185" s="90">
        <f t="shared" si="449"/>
        <v>0</v>
      </c>
      <c r="R185" s="90">
        <f t="shared" si="449"/>
        <v>0</v>
      </c>
      <c r="S185" s="90">
        <f t="shared" si="449"/>
        <v>0</v>
      </c>
      <c r="T185" s="90">
        <f t="shared" si="449"/>
        <v>0</v>
      </c>
      <c r="U185" s="90">
        <f t="shared" si="449"/>
        <v>0</v>
      </c>
      <c r="V185" s="90">
        <f t="shared" si="449"/>
        <v>0</v>
      </c>
      <c r="W185" s="90">
        <f t="shared" si="449"/>
        <v>0</v>
      </c>
      <c r="X185" s="90">
        <f t="shared" si="449"/>
        <v>0</v>
      </c>
      <c r="Y185" s="90">
        <f t="shared" si="449"/>
        <v>0</v>
      </c>
      <c r="Z185" s="90">
        <f t="shared" si="449"/>
        <v>0</v>
      </c>
      <c r="AA185" s="699"/>
      <c r="AB185" s="699"/>
      <c r="AC185" s="699"/>
      <c r="AD185" s="69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49"/>
      <c r="AY185" s="49"/>
      <c r="AZ185" s="49"/>
      <c r="BA185" s="49"/>
      <c r="BB185" s="49"/>
      <c r="BC185" s="49"/>
      <c r="BD185" s="49"/>
      <c r="BE185" s="49"/>
      <c r="BF185" s="49"/>
      <c r="BG185" s="49"/>
      <c r="BH185" s="49"/>
      <c r="BI185" s="49"/>
      <c r="BJ185" s="49"/>
      <c r="BK185" s="49"/>
      <c r="BL185" s="49"/>
      <c r="BM185" s="49"/>
      <c r="BN185" s="49"/>
    </row>
    <row r="186" spans="2:66">
      <c r="B186" s="116" t="s">
        <v>709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699"/>
      <c r="AB186" s="699"/>
      <c r="AC186" s="699"/>
      <c r="AD186" s="69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49"/>
      <c r="AY186" s="49"/>
      <c r="AZ186" s="49"/>
      <c r="BA186" s="49"/>
      <c r="BB186" s="49"/>
      <c r="BC186" s="49"/>
      <c r="BD186" s="49"/>
      <c r="BE186" s="49"/>
      <c r="BF186" s="49"/>
      <c r="BG186" s="49"/>
      <c r="BH186" s="49"/>
      <c r="BI186" s="49"/>
      <c r="BJ186" s="49"/>
      <c r="BK186" s="49"/>
      <c r="BL186" s="49"/>
      <c r="BM186" s="49"/>
      <c r="BN186" s="49"/>
    </row>
    <row r="187" spans="2:66">
      <c r="B187" s="115" t="s">
        <v>657</v>
      </c>
      <c r="C187" s="49"/>
      <c r="D187" s="79">
        <f>+Assumptions!M130</f>
        <v>0.35</v>
      </c>
      <c r="E187" s="79"/>
      <c r="F187" s="90">
        <f t="shared" ref="F187:Z187" si="450">+$D187*F$170</f>
        <v>0</v>
      </c>
      <c r="G187" s="90">
        <f t="shared" si="450"/>
        <v>0</v>
      </c>
      <c r="H187" s="90">
        <f t="shared" si="450"/>
        <v>0</v>
      </c>
      <c r="I187" s="90">
        <f t="shared" si="450"/>
        <v>0</v>
      </c>
      <c r="J187" s="90">
        <f t="shared" si="450"/>
        <v>0</v>
      </c>
      <c r="K187" s="90">
        <f t="shared" si="450"/>
        <v>0</v>
      </c>
      <c r="L187" s="90">
        <f t="shared" si="450"/>
        <v>0</v>
      </c>
      <c r="M187" s="90">
        <f t="shared" si="450"/>
        <v>0</v>
      </c>
      <c r="N187" s="90">
        <f t="shared" si="450"/>
        <v>0</v>
      </c>
      <c r="O187" s="90">
        <f t="shared" si="450"/>
        <v>0</v>
      </c>
      <c r="P187" s="90">
        <f t="shared" si="450"/>
        <v>0</v>
      </c>
      <c r="Q187" s="90">
        <f t="shared" si="450"/>
        <v>0</v>
      </c>
      <c r="R187" s="90">
        <f t="shared" si="450"/>
        <v>0</v>
      </c>
      <c r="S187" s="90">
        <f t="shared" si="450"/>
        <v>0</v>
      </c>
      <c r="T187" s="90">
        <f t="shared" si="450"/>
        <v>0</v>
      </c>
      <c r="U187" s="90">
        <f t="shared" si="450"/>
        <v>0</v>
      </c>
      <c r="V187" s="90">
        <f t="shared" si="450"/>
        <v>0</v>
      </c>
      <c r="W187" s="90">
        <f t="shared" si="450"/>
        <v>0</v>
      </c>
      <c r="X187" s="90">
        <f t="shared" si="450"/>
        <v>0</v>
      </c>
      <c r="Y187" s="90">
        <f t="shared" si="450"/>
        <v>0</v>
      </c>
      <c r="Z187" s="90">
        <f t="shared" si="450"/>
        <v>0</v>
      </c>
      <c r="AA187" s="699"/>
      <c r="AB187" s="699"/>
      <c r="AC187" s="699"/>
      <c r="AD187" s="699"/>
      <c r="AE187" s="49"/>
      <c r="AF187" s="49"/>
      <c r="AG187" s="49"/>
      <c r="AH187" s="49"/>
      <c r="AI187" s="49"/>
      <c r="AJ187" s="49"/>
      <c r="AK187" s="49"/>
      <c r="AL187" s="49"/>
      <c r="AM187" s="49"/>
      <c r="AN187" s="49"/>
      <c r="AO187" s="49"/>
      <c r="AP187" s="49"/>
      <c r="AQ187" s="49"/>
      <c r="AR187" s="49"/>
      <c r="AS187" s="49"/>
      <c r="AT187" s="49"/>
      <c r="AU187" s="49"/>
      <c r="AV187" s="49"/>
      <c r="AW187" s="49"/>
      <c r="AX187" s="49"/>
      <c r="AY187" s="49"/>
      <c r="AZ187" s="49"/>
      <c r="BA187" s="49"/>
      <c r="BB187" s="49"/>
      <c r="BC187" s="49"/>
      <c r="BD187" s="49"/>
      <c r="BE187" s="49"/>
      <c r="BF187" s="49"/>
      <c r="BG187" s="49"/>
      <c r="BH187" s="49"/>
      <c r="BI187" s="49"/>
      <c r="BJ187" s="49"/>
      <c r="BK187" s="49"/>
      <c r="BL187" s="49"/>
      <c r="BM187" s="49"/>
      <c r="BN187" s="49"/>
    </row>
    <row r="188" spans="2:66">
      <c r="B188" s="61" t="s">
        <v>1180</v>
      </c>
      <c r="C188" s="61"/>
      <c r="D188" s="61"/>
      <c r="E188" s="61"/>
      <c r="F188" s="64">
        <f ca="1">+SUM(F174:F187)</f>
        <v>0</v>
      </c>
      <c r="G188" s="64">
        <f t="shared" ref="G188:Z188" ca="1" si="451">+SUM(G174:G187)</f>
        <v>0</v>
      </c>
      <c r="H188" s="64">
        <f t="shared" ca="1" si="451"/>
        <v>0</v>
      </c>
      <c r="I188" s="64">
        <f t="shared" ca="1" si="451"/>
        <v>0</v>
      </c>
      <c r="J188" s="64">
        <f t="shared" ca="1" si="451"/>
        <v>0</v>
      </c>
      <c r="K188" s="64">
        <f t="shared" ca="1" si="451"/>
        <v>0</v>
      </c>
      <c r="L188" s="64">
        <f t="shared" ca="1" si="451"/>
        <v>0</v>
      </c>
      <c r="M188" s="64">
        <f t="shared" ca="1" si="451"/>
        <v>0</v>
      </c>
      <c r="N188" s="64">
        <f t="shared" ca="1" si="451"/>
        <v>0</v>
      </c>
      <c r="O188" s="64">
        <f t="shared" ca="1" si="451"/>
        <v>0</v>
      </c>
      <c r="P188" s="64">
        <f t="shared" ca="1" si="451"/>
        <v>0</v>
      </c>
      <c r="Q188" s="64">
        <f t="shared" ca="1" si="451"/>
        <v>0</v>
      </c>
      <c r="R188" s="64">
        <f t="shared" ca="1" si="451"/>
        <v>0</v>
      </c>
      <c r="S188" s="64">
        <f t="shared" ca="1" si="451"/>
        <v>0</v>
      </c>
      <c r="T188" s="64">
        <f t="shared" ca="1" si="451"/>
        <v>0</v>
      </c>
      <c r="U188" s="64">
        <f t="shared" ca="1" si="451"/>
        <v>0</v>
      </c>
      <c r="V188" s="64">
        <f t="shared" ca="1" si="451"/>
        <v>0</v>
      </c>
      <c r="W188" s="64">
        <f t="shared" ca="1" si="451"/>
        <v>0</v>
      </c>
      <c r="X188" s="64">
        <f t="shared" ca="1" si="451"/>
        <v>0</v>
      </c>
      <c r="Y188" s="64">
        <f t="shared" ca="1" si="451"/>
        <v>0</v>
      </c>
      <c r="Z188" s="64">
        <f t="shared" ca="1" si="451"/>
        <v>0</v>
      </c>
      <c r="AA188" s="699"/>
      <c r="AB188" s="699"/>
      <c r="AC188" s="699"/>
      <c r="AD188" s="699"/>
      <c r="AE188" s="49"/>
      <c r="AF188" s="49"/>
      <c r="AG188" s="49"/>
      <c r="AH188" s="49"/>
      <c r="AI188" s="49"/>
      <c r="AJ188" s="49"/>
      <c r="AK188" s="49"/>
      <c r="AL188" s="49"/>
      <c r="AM188" s="49"/>
      <c r="AN188" s="49"/>
      <c r="AO188" s="49"/>
      <c r="AP188" s="49"/>
      <c r="AQ188" s="49"/>
      <c r="AR188" s="49"/>
      <c r="AS188" s="49"/>
      <c r="AT188" s="49"/>
      <c r="AU188" s="49"/>
      <c r="AV188" s="49"/>
      <c r="AW188" s="49"/>
      <c r="AX188" s="49"/>
      <c r="AY188" s="49"/>
      <c r="AZ188" s="49"/>
      <c r="BA188" s="49"/>
      <c r="BB188" s="49"/>
      <c r="BC188" s="49"/>
      <c r="BD188" s="49"/>
      <c r="BE188" s="49"/>
      <c r="BF188" s="49"/>
      <c r="BG188" s="49"/>
      <c r="BH188" s="49"/>
      <c r="BI188" s="49"/>
      <c r="BJ188" s="49"/>
      <c r="BK188" s="49"/>
      <c r="BL188" s="49"/>
      <c r="BM188" s="49"/>
      <c r="BN188" s="49"/>
    </row>
    <row r="189" spans="2:66">
      <c r="B189" s="49"/>
      <c r="C189" s="49"/>
      <c r="D189" s="49"/>
      <c r="E189" s="49"/>
      <c r="F189" s="49"/>
      <c r="G189" s="49"/>
      <c r="H189" s="49"/>
      <c r="I189" s="49"/>
      <c r="J189" s="49"/>
      <c r="K189" s="49"/>
      <c r="L189" s="49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9"/>
      <c r="Z189" s="49"/>
      <c r="AA189" s="699"/>
      <c r="AB189" s="699"/>
      <c r="AC189" s="699"/>
      <c r="AD189" s="699"/>
      <c r="AE189" s="49"/>
      <c r="AF189" s="49"/>
      <c r="AG189" s="49"/>
      <c r="AH189" s="49"/>
      <c r="AI189" s="49"/>
      <c r="AJ189" s="49"/>
      <c r="AK189" s="49"/>
      <c r="AL189" s="49"/>
      <c r="AM189" s="49"/>
      <c r="AN189" s="49"/>
      <c r="AO189" s="49"/>
      <c r="AP189" s="49"/>
      <c r="AQ189" s="49"/>
      <c r="AR189" s="49"/>
      <c r="AS189" s="49"/>
      <c r="AT189" s="49"/>
      <c r="AU189" s="49"/>
      <c r="AV189" s="49"/>
      <c r="AW189" s="49"/>
      <c r="AX189" s="49"/>
      <c r="AY189" s="49"/>
      <c r="AZ189" s="49"/>
      <c r="BA189" s="49"/>
      <c r="BB189" s="49"/>
      <c r="BC189" s="49"/>
      <c r="BD189" s="49"/>
      <c r="BE189" s="49"/>
      <c r="BF189" s="49"/>
      <c r="BG189" s="49"/>
      <c r="BH189" s="49"/>
      <c r="BI189" s="49"/>
      <c r="BJ189" s="49"/>
      <c r="BK189" s="49"/>
      <c r="BL189" s="49"/>
      <c r="BM189" s="49"/>
      <c r="BN189" s="49"/>
    </row>
    <row r="190" spans="2:66">
      <c r="B190" s="61" t="s">
        <v>1181</v>
      </c>
      <c r="C190" s="61"/>
      <c r="D190" s="61"/>
      <c r="E190" s="61"/>
      <c r="F190" s="64">
        <f ca="1">+F171-F188</f>
        <v>0</v>
      </c>
      <c r="G190" s="64">
        <f t="shared" ref="G190:Z190" ca="1" si="452">+G171-G188</f>
        <v>0</v>
      </c>
      <c r="H190" s="64">
        <f t="shared" ca="1" si="452"/>
        <v>0</v>
      </c>
      <c r="I190" s="64">
        <f t="shared" ca="1" si="452"/>
        <v>0</v>
      </c>
      <c r="J190" s="64">
        <f t="shared" ca="1" si="452"/>
        <v>0</v>
      </c>
      <c r="K190" s="64">
        <f t="shared" ca="1" si="452"/>
        <v>0</v>
      </c>
      <c r="L190" s="64">
        <f t="shared" ca="1" si="452"/>
        <v>0</v>
      </c>
      <c r="M190" s="64">
        <f t="shared" ca="1" si="452"/>
        <v>0</v>
      </c>
      <c r="N190" s="64">
        <f t="shared" ca="1" si="452"/>
        <v>0</v>
      </c>
      <c r="O190" s="64">
        <f t="shared" ca="1" si="452"/>
        <v>0</v>
      </c>
      <c r="P190" s="64">
        <f t="shared" ca="1" si="452"/>
        <v>0</v>
      </c>
      <c r="Q190" s="64">
        <f t="shared" ca="1" si="452"/>
        <v>0</v>
      </c>
      <c r="R190" s="64">
        <f t="shared" ca="1" si="452"/>
        <v>0</v>
      </c>
      <c r="S190" s="64">
        <f t="shared" ca="1" si="452"/>
        <v>0</v>
      </c>
      <c r="T190" s="64">
        <f t="shared" ca="1" si="452"/>
        <v>0</v>
      </c>
      <c r="U190" s="64">
        <f t="shared" ca="1" si="452"/>
        <v>0</v>
      </c>
      <c r="V190" s="64">
        <f t="shared" ca="1" si="452"/>
        <v>0</v>
      </c>
      <c r="W190" s="64">
        <f t="shared" ca="1" si="452"/>
        <v>0</v>
      </c>
      <c r="X190" s="64">
        <f t="shared" ca="1" si="452"/>
        <v>0</v>
      </c>
      <c r="Y190" s="64">
        <f t="shared" ca="1" si="452"/>
        <v>0</v>
      </c>
      <c r="Z190" s="64">
        <f t="shared" ca="1" si="452"/>
        <v>0</v>
      </c>
      <c r="AA190" s="699"/>
      <c r="AB190" s="699"/>
      <c r="AC190" s="699"/>
      <c r="AD190" s="699"/>
      <c r="AE190" s="49"/>
      <c r="AF190" s="49"/>
      <c r="AG190" s="49"/>
      <c r="AH190" s="49"/>
      <c r="AI190" s="49"/>
      <c r="AJ190" s="49"/>
      <c r="AK190" s="49"/>
      <c r="AL190" s="49"/>
      <c r="AM190" s="49"/>
      <c r="AN190" s="49"/>
      <c r="AO190" s="49"/>
      <c r="AP190" s="49"/>
      <c r="AQ190" s="49"/>
      <c r="AR190" s="49"/>
      <c r="AS190" s="49"/>
      <c r="AT190" s="49"/>
      <c r="AU190" s="49"/>
      <c r="AV190" s="49"/>
      <c r="AW190" s="49"/>
      <c r="AX190" s="49"/>
      <c r="AY190" s="49"/>
      <c r="AZ190" s="49"/>
      <c r="BA190" s="49"/>
      <c r="BB190" s="49"/>
      <c r="BC190" s="49"/>
      <c r="BD190" s="49"/>
      <c r="BE190" s="49"/>
      <c r="BF190" s="49"/>
      <c r="BG190" s="49"/>
      <c r="BH190" s="49"/>
      <c r="BI190" s="49"/>
      <c r="BJ190" s="49"/>
      <c r="BK190" s="49"/>
      <c r="BL190" s="49"/>
      <c r="BM190" s="49"/>
      <c r="BN190" s="49"/>
    </row>
    <row r="191" spans="2:66">
      <c r="B191" s="49"/>
      <c r="C191" s="49"/>
      <c r="D191" s="49"/>
      <c r="E191" s="49"/>
      <c r="F191" s="49"/>
      <c r="G191" s="49"/>
      <c r="H191" s="49"/>
      <c r="I191" s="49"/>
      <c r="J191" s="49"/>
      <c r="K191" s="49"/>
      <c r="L191" s="49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9"/>
      <c r="Z191" s="49"/>
      <c r="AA191" s="699"/>
      <c r="AB191" s="699"/>
      <c r="AC191" s="699"/>
      <c r="AD191" s="699"/>
      <c r="AE191" s="49"/>
      <c r="AF191" s="49"/>
      <c r="AG191" s="49"/>
      <c r="AH191" s="49"/>
      <c r="AI191" s="49"/>
      <c r="AJ191" s="49"/>
      <c r="AK191" s="49"/>
      <c r="AL191" s="49"/>
      <c r="AM191" s="49"/>
      <c r="AN191" s="49"/>
      <c r="AO191" s="49"/>
      <c r="AP191" s="49"/>
      <c r="AQ191" s="49"/>
      <c r="AR191" s="49"/>
      <c r="AS191" s="49"/>
      <c r="AT191" s="49"/>
      <c r="AU191" s="49"/>
      <c r="AV191" s="49"/>
      <c r="AW191" s="49"/>
      <c r="AX191" s="49"/>
      <c r="AY191" s="49"/>
      <c r="AZ191" s="49"/>
      <c r="BA191" s="49"/>
      <c r="BB191" s="49"/>
      <c r="BC191" s="49"/>
      <c r="BD191" s="49"/>
      <c r="BE191" s="49"/>
      <c r="BF191" s="49"/>
      <c r="BG191" s="49"/>
      <c r="BH191" s="49"/>
      <c r="BI191" s="49"/>
      <c r="BJ191" s="49"/>
      <c r="BK191" s="49"/>
      <c r="BL191" s="49"/>
      <c r="BM191" s="49"/>
      <c r="BN191" s="49"/>
    </row>
    <row r="192" spans="2:66">
      <c r="B192" s="116" t="s">
        <v>348</v>
      </c>
      <c r="C192" s="49"/>
      <c r="D192" s="49"/>
      <c r="E192" s="49"/>
      <c r="F192" s="49"/>
      <c r="G192" s="49"/>
      <c r="H192" s="49"/>
      <c r="I192" s="49"/>
      <c r="J192" s="49"/>
      <c r="K192" s="49"/>
      <c r="L192" s="49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9"/>
      <c r="Z192" s="49"/>
      <c r="AA192" s="699"/>
      <c r="AB192" s="699"/>
      <c r="AC192" s="699"/>
      <c r="AD192" s="699"/>
      <c r="AE192" s="49"/>
      <c r="AF192" s="49"/>
      <c r="AG192" s="49"/>
      <c r="AH192" s="49"/>
      <c r="AI192" s="49"/>
      <c r="AJ192" s="49"/>
      <c r="AK192" s="49"/>
      <c r="AL192" s="49"/>
      <c r="AM192" s="49"/>
      <c r="AN192" s="49"/>
      <c r="AO192" s="49"/>
      <c r="AP192" s="49"/>
      <c r="AQ192" s="49"/>
      <c r="AR192" s="49"/>
      <c r="AS192" s="49"/>
      <c r="AT192" s="49"/>
      <c r="AU192" s="49"/>
      <c r="AV192" s="49"/>
      <c r="AW192" s="49"/>
      <c r="AX192" s="49"/>
      <c r="AY192" s="49"/>
      <c r="AZ192" s="49"/>
      <c r="BA192" s="49"/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</row>
    <row r="193" spans="1:66">
      <c r="A193" s="699" t="s">
        <v>511</v>
      </c>
      <c r="B193" s="115" t="s">
        <v>655</v>
      </c>
      <c r="C193" s="49"/>
      <c r="D193" s="79">
        <f>+Assumptions!M128</f>
        <v>2.5000000000000001E-2</v>
      </c>
      <c r="E193" s="79"/>
      <c r="F193" s="90">
        <f t="shared" ref="F193:Z193" si="453">+$D193*F$168</f>
        <v>0</v>
      </c>
      <c r="G193" s="90">
        <f t="shared" si="453"/>
        <v>0</v>
      </c>
      <c r="H193" s="90">
        <f t="shared" si="453"/>
        <v>0</v>
      </c>
      <c r="I193" s="90">
        <f t="shared" si="453"/>
        <v>0</v>
      </c>
      <c r="J193" s="90">
        <f t="shared" si="453"/>
        <v>0</v>
      </c>
      <c r="K193" s="90">
        <f t="shared" si="453"/>
        <v>0</v>
      </c>
      <c r="L193" s="90">
        <f t="shared" si="453"/>
        <v>0</v>
      </c>
      <c r="M193" s="90">
        <f t="shared" si="453"/>
        <v>0</v>
      </c>
      <c r="N193" s="90">
        <f t="shared" si="453"/>
        <v>0</v>
      </c>
      <c r="O193" s="90">
        <f t="shared" si="453"/>
        <v>0</v>
      </c>
      <c r="P193" s="90">
        <f t="shared" si="453"/>
        <v>0</v>
      </c>
      <c r="Q193" s="90">
        <f t="shared" si="453"/>
        <v>0</v>
      </c>
      <c r="R193" s="90">
        <f t="shared" si="453"/>
        <v>0</v>
      </c>
      <c r="S193" s="90">
        <f t="shared" si="453"/>
        <v>0</v>
      </c>
      <c r="T193" s="90">
        <f t="shared" si="453"/>
        <v>0</v>
      </c>
      <c r="U193" s="90">
        <f t="shared" si="453"/>
        <v>0</v>
      </c>
      <c r="V193" s="90">
        <f t="shared" si="453"/>
        <v>0</v>
      </c>
      <c r="W193" s="90">
        <f t="shared" si="453"/>
        <v>0</v>
      </c>
      <c r="X193" s="90">
        <f t="shared" si="453"/>
        <v>0</v>
      </c>
      <c r="Y193" s="90">
        <f t="shared" si="453"/>
        <v>0</v>
      </c>
      <c r="Z193" s="90">
        <f t="shared" si="453"/>
        <v>0</v>
      </c>
      <c r="AA193" s="699"/>
      <c r="AB193" s="699"/>
      <c r="AC193" s="699"/>
      <c r="AD193" s="699"/>
      <c r="AE193" s="49"/>
      <c r="AF193" s="49"/>
      <c r="AG193" s="49"/>
      <c r="AH193" s="49"/>
      <c r="AI193" s="49"/>
      <c r="AJ193" s="49"/>
      <c r="AK193" s="49"/>
      <c r="AL193" s="49"/>
      <c r="AM193" s="49"/>
      <c r="AN193" s="49"/>
      <c r="AO193" s="49"/>
      <c r="AP193" s="49"/>
      <c r="AQ193" s="49"/>
      <c r="AR193" s="49"/>
      <c r="AS193" s="49"/>
      <c r="AT193" s="49"/>
      <c r="AU193" s="49"/>
      <c r="AV193" s="49"/>
      <c r="AW193" s="49"/>
      <c r="AX193" s="49"/>
      <c r="AY193" s="49"/>
      <c r="AZ193" s="49"/>
      <c r="BA193" s="49"/>
      <c r="BB193" s="49"/>
      <c r="BC193" s="49"/>
      <c r="BD193" s="49"/>
      <c r="BE193" s="49"/>
      <c r="BF193" s="49"/>
      <c r="BG193" s="49"/>
      <c r="BH193" s="49"/>
      <c r="BI193" s="49"/>
      <c r="BJ193" s="49"/>
      <c r="BK193" s="49"/>
      <c r="BL193" s="49"/>
      <c r="BM193" s="49"/>
      <c r="BN193" s="49"/>
    </row>
    <row r="194" spans="1:66" ht="15.75">
      <c r="A194" s="699"/>
      <c r="B194" s="50" t="s">
        <v>1112</v>
      </c>
      <c r="C194" s="50"/>
      <c r="D194" s="50"/>
      <c r="E194" s="50"/>
      <c r="F194" s="55">
        <f ca="1">+F190-F193</f>
        <v>0</v>
      </c>
      <c r="G194" s="55">
        <f t="shared" ref="G194:Z194" ca="1" si="454">+G190-G193</f>
        <v>0</v>
      </c>
      <c r="H194" s="55">
        <f t="shared" ca="1" si="454"/>
        <v>0</v>
      </c>
      <c r="I194" s="55">
        <f t="shared" ca="1" si="454"/>
        <v>0</v>
      </c>
      <c r="J194" s="55">
        <f t="shared" ca="1" si="454"/>
        <v>0</v>
      </c>
      <c r="K194" s="55">
        <f t="shared" ca="1" si="454"/>
        <v>0</v>
      </c>
      <c r="L194" s="55">
        <f t="shared" ca="1" si="454"/>
        <v>0</v>
      </c>
      <c r="M194" s="55">
        <f t="shared" ca="1" si="454"/>
        <v>0</v>
      </c>
      <c r="N194" s="55">
        <f t="shared" ca="1" si="454"/>
        <v>0</v>
      </c>
      <c r="O194" s="55">
        <f t="shared" ca="1" si="454"/>
        <v>0</v>
      </c>
      <c r="P194" s="55">
        <f t="shared" ca="1" si="454"/>
        <v>0</v>
      </c>
      <c r="Q194" s="55">
        <f t="shared" ca="1" si="454"/>
        <v>0</v>
      </c>
      <c r="R194" s="55">
        <f t="shared" ca="1" si="454"/>
        <v>0</v>
      </c>
      <c r="S194" s="55">
        <f t="shared" ca="1" si="454"/>
        <v>0</v>
      </c>
      <c r="T194" s="55">
        <f t="shared" ca="1" si="454"/>
        <v>0</v>
      </c>
      <c r="U194" s="55">
        <f t="shared" ca="1" si="454"/>
        <v>0</v>
      </c>
      <c r="V194" s="55">
        <f t="shared" ca="1" si="454"/>
        <v>0</v>
      </c>
      <c r="W194" s="55">
        <f t="shared" ca="1" si="454"/>
        <v>0</v>
      </c>
      <c r="X194" s="55">
        <f t="shared" ca="1" si="454"/>
        <v>0</v>
      </c>
      <c r="Y194" s="55">
        <f t="shared" ca="1" si="454"/>
        <v>0</v>
      </c>
      <c r="Z194" s="55">
        <f t="shared" ca="1" si="454"/>
        <v>0</v>
      </c>
      <c r="AA194" s="699"/>
      <c r="AB194" s="699"/>
      <c r="AC194" s="699"/>
      <c r="AD194" s="699"/>
      <c r="AE194" s="49"/>
      <c r="AF194" s="49"/>
      <c r="AG194" s="49"/>
      <c r="AH194" s="49"/>
      <c r="AI194" s="49"/>
      <c r="AJ194" s="49"/>
      <c r="AK194" s="49"/>
      <c r="AL194" s="49"/>
      <c r="AM194" s="49"/>
      <c r="AN194" s="49"/>
      <c r="AO194" s="49"/>
      <c r="AP194" s="49"/>
      <c r="AQ194" s="49"/>
      <c r="AR194" s="49"/>
      <c r="AS194" s="49"/>
      <c r="AT194" s="49"/>
      <c r="AU194" s="49"/>
      <c r="AV194" s="49"/>
      <c r="AW194" s="49"/>
      <c r="AX194" s="49"/>
      <c r="AY194" s="49"/>
      <c r="AZ194" s="49"/>
      <c r="BA194" s="49"/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</row>
    <row r="195" spans="1:66" ht="15.75">
      <c r="A195" s="699"/>
      <c r="B195" s="51" t="s">
        <v>1136</v>
      </c>
      <c r="C195" s="113"/>
      <c r="D195" s="113"/>
      <c r="E195" s="113"/>
      <c r="F195" s="149" t="str">
        <f ca="1">+IFERROR(F194/F171,"")</f>
        <v/>
      </c>
      <c r="G195" s="149" t="str">
        <f t="shared" ref="G195:Z195" ca="1" si="455">+IFERROR(G194/G171,"")</f>
        <v/>
      </c>
      <c r="H195" s="149" t="str">
        <f t="shared" ca="1" si="455"/>
        <v/>
      </c>
      <c r="I195" s="149" t="str">
        <f t="shared" ca="1" si="455"/>
        <v/>
      </c>
      <c r="J195" s="149" t="str">
        <f t="shared" ca="1" si="455"/>
        <v/>
      </c>
      <c r="K195" s="149" t="str">
        <f t="shared" ca="1" si="455"/>
        <v/>
      </c>
      <c r="L195" s="149" t="str">
        <f t="shared" ca="1" si="455"/>
        <v/>
      </c>
      <c r="M195" s="149" t="str">
        <f t="shared" ca="1" si="455"/>
        <v/>
      </c>
      <c r="N195" s="149" t="str">
        <f t="shared" ca="1" si="455"/>
        <v/>
      </c>
      <c r="O195" s="149" t="str">
        <f t="shared" ca="1" si="455"/>
        <v/>
      </c>
      <c r="P195" s="149" t="str">
        <f t="shared" ca="1" si="455"/>
        <v/>
      </c>
      <c r="Q195" s="149" t="str">
        <f t="shared" ca="1" si="455"/>
        <v/>
      </c>
      <c r="R195" s="149" t="str">
        <f t="shared" ca="1" si="455"/>
        <v/>
      </c>
      <c r="S195" s="149" t="str">
        <f t="shared" ca="1" si="455"/>
        <v/>
      </c>
      <c r="T195" s="149" t="str">
        <f t="shared" ca="1" si="455"/>
        <v/>
      </c>
      <c r="U195" s="149" t="str">
        <f t="shared" ca="1" si="455"/>
        <v/>
      </c>
      <c r="V195" s="149" t="str">
        <f t="shared" ca="1" si="455"/>
        <v/>
      </c>
      <c r="W195" s="149" t="str">
        <f t="shared" ca="1" si="455"/>
        <v/>
      </c>
      <c r="X195" s="149" t="str">
        <f t="shared" ca="1" si="455"/>
        <v/>
      </c>
      <c r="Y195" s="149" t="str">
        <f t="shared" ca="1" si="455"/>
        <v/>
      </c>
      <c r="Z195" s="149" t="str">
        <f t="shared" ca="1" si="455"/>
        <v/>
      </c>
      <c r="AA195" s="699"/>
      <c r="AB195" s="699"/>
      <c r="AC195" s="699"/>
      <c r="AD195" s="699"/>
      <c r="AE195" s="49"/>
      <c r="AF195" s="49"/>
      <c r="AG195" s="49"/>
      <c r="AH195" s="49"/>
      <c r="AI195" s="49"/>
      <c r="AJ195" s="49"/>
      <c r="AK195" s="49"/>
      <c r="AL195" s="49"/>
      <c r="AM195" s="49"/>
      <c r="AN195" s="49"/>
      <c r="AO195" s="49"/>
      <c r="AP195" s="49"/>
      <c r="AQ195" s="49"/>
      <c r="AR195" s="49"/>
      <c r="AS195" s="49"/>
      <c r="AT195" s="49"/>
      <c r="AU195" s="49"/>
      <c r="AV195" s="49"/>
      <c r="AW195" s="49"/>
      <c r="AX195" s="49"/>
      <c r="AY195" s="49"/>
      <c r="AZ195" s="49"/>
      <c r="BA195" s="49"/>
      <c r="BB195" s="49"/>
      <c r="BC195" s="49"/>
      <c r="BD195" s="49"/>
      <c r="BE195" s="49"/>
      <c r="BF195" s="49"/>
      <c r="BG195" s="49"/>
      <c r="BH195" s="49"/>
      <c r="BI195" s="49"/>
      <c r="BJ195" s="49"/>
      <c r="BK195" s="49"/>
      <c r="BL195" s="49"/>
      <c r="BM195" s="49"/>
      <c r="BN195" s="49"/>
    </row>
    <row r="196" spans="1:66" ht="15.75">
      <c r="A196" s="699"/>
      <c r="B196" s="51" t="s">
        <v>1064</v>
      </c>
      <c r="C196" s="113"/>
      <c r="D196" s="113"/>
      <c r="E196" s="113"/>
      <c r="F196" s="150">
        <f ca="1">+F194/Assumptions!$F$50</f>
        <v>0</v>
      </c>
      <c r="G196" s="150">
        <f ca="1">+G194/Assumptions!$F$50</f>
        <v>0</v>
      </c>
      <c r="H196" s="150">
        <f ca="1">+H194/Assumptions!$F$50</f>
        <v>0</v>
      </c>
      <c r="I196" s="150">
        <f ca="1">+I194/Assumptions!$F$50</f>
        <v>0</v>
      </c>
      <c r="J196" s="150">
        <f ca="1">+J194/Assumptions!$F$50</f>
        <v>0</v>
      </c>
      <c r="K196" s="150">
        <f ca="1">+K194/Assumptions!$F$50</f>
        <v>0</v>
      </c>
      <c r="L196" s="150">
        <f ca="1">+L194/Assumptions!$F$50</f>
        <v>0</v>
      </c>
      <c r="M196" s="150">
        <f ca="1">+M194/Assumptions!$F$50</f>
        <v>0</v>
      </c>
      <c r="N196" s="150">
        <f ca="1">+N194/Assumptions!$F$50</f>
        <v>0</v>
      </c>
      <c r="O196" s="150">
        <f ca="1">+O194/Assumptions!$F$50</f>
        <v>0</v>
      </c>
      <c r="P196" s="150">
        <f ca="1">+P194/Assumptions!$F$50</f>
        <v>0</v>
      </c>
      <c r="Q196" s="150">
        <f ca="1">+Q194/Assumptions!$F$50</f>
        <v>0</v>
      </c>
      <c r="R196" s="150">
        <f ca="1">+R194/Assumptions!$F$50</f>
        <v>0</v>
      </c>
      <c r="S196" s="150">
        <f ca="1">+S194/Assumptions!$F$50</f>
        <v>0</v>
      </c>
      <c r="T196" s="150">
        <f ca="1">+T194/Assumptions!$F$50</f>
        <v>0</v>
      </c>
      <c r="U196" s="150">
        <f ca="1">+U194/Assumptions!$F$50</f>
        <v>0</v>
      </c>
      <c r="V196" s="150">
        <f ca="1">+V194/Assumptions!$F$50</f>
        <v>0</v>
      </c>
      <c r="W196" s="150">
        <f ca="1">+W194/Assumptions!$F$50</f>
        <v>0</v>
      </c>
      <c r="X196" s="150">
        <f ca="1">+X194/Assumptions!$F$50</f>
        <v>0</v>
      </c>
      <c r="Y196" s="150">
        <f ca="1">+Y194/Assumptions!$F$50</f>
        <v>0</v>
      </c>
      <c r="Z196" s="150">
        <f ca="1">+Z194/Assumptions!$F$50</f>
        <v>0</v>
      </c>
      <c r="AA196" s="699"/>
      <c r="AB196" s="699"/>
      <c r="AC196" s="699"/>
      <c r="AD196" s="699"/>
      <c r="AE196" s="49"/>
      <c r="AF196" s="49"/>
      <c r="AG196" s="49"/>
      <c r="AH196" s="49"/>
      <c r="AI196" s="49"/>
      <c r="AJ196" s="49"/>
      <c r="AK196" s="49"/>
      <c r="AL196" s="49"/>
      <c r="AM196" s="49"/>
      <c r="AN196" s="49"/>
      <c r="AO196" s="49"/>
      <c r="AP196" s="49"/>
      <c r="AQ196" s="49"/>
      <c r="AR196" s="49"/>
      <c r="AS196" s="49"/>
      <c r="AT196" s="49"/>
      <c r="AU196" s="49"/>
      <c r="AV196" s="49"/>
      <c r="AW196" s="49"/>
      <c r="AX196" s="49"/>
      <c r="AY196" s="49"/>
      <c r="AZ196" s="49"/>
      <c r="BA196" s="49"/>
      <c r="BB196" s="49"/>
      <c r="BC196" s="49"/>
      <c r="BD196" s="49"/>
      <c r="BE196" s="49"/>
      <c r="BF196" s="49"/>
      <c r="BG196" s="49"/>
      <c r="BH196" s="49"/>
      <c r="BI196" s="49"/>
      <c r="BJ196" s="49"/>
      <c r="BK196" s="49"/>
      <c r="BL196" s="49"/>
      <c r="BM196" s="49"/>
      <c r="BN196" s="49"/>
    </row>
    <row r="197" spans="1:66">
      <c r="A197" s="699"/>
      <c r="B197" s="49"/>
      <c r="C197" s="49"/>
      <c r="D197" s="49"/>
      <c r="E197" s="49"/>
      <c r="F197" s="49"/>
      <c r="G197" s="49"/>
      <c r="H197" s="49"/>
      <c r="I197" s="49"/>
      <c r="J197" s="49"/>
      <c r="K197" s="49"/>
      <c r="L197" s="49"/>
      <c r="M197" s="49"/>
      <c r="N197" s="49"/>
      <c r="O197" s="49"/>
      <c r="P197" s="49"/>
      <c r="Q197" s="49"/>
      <c r="R197" s="49"/>
      <c r="S197" s="49"/>
      <c r="T197" s="49"/>
      <c r="U197" s="49"/>
      <c r="V197" s="49"/>
      <c r="W197" s="49"/>
      <c r="X197" s="49"/>
      <c r="Y197" s="49"/>
      <c r="Z197" s="49"/>
      <c r="AA197" s="699"/>
      <c r="AB197" s="699"/>
      <c r="AC197" s="699"/>
      <c r="AD197" s="699"/>
      <c r="AE197" s="49"/>
      <c r="AF197" s="49"/>
      <c r="AG197" s="49"/>
      <c r="AH197" s="49"/>
      <c r="AI197" s="49"/>
      <c r="AJ197" s="49"/>
      <c r="AK197" s="49"/>
      <c r="AL197" s="49"/>
      <c r="AM197" s="49"/>
      <c r="AN197" s="49"/>
      <c r="AO197" s="49"/>
      <c r="AP197" s="49"/>
      <c r="AQ197" s="49"/>
      <c r="AR197" s="49"/>
      <c r="AS197" s="49"/>
      <c r="AT197" s="49"/>
      <c r="AU197" s="49"/>
      <c r="AV197" s="49"/>
      <c r="AW197" s="49"/>
      <c r="AX197" s="49"/>
      <c r="AY197" s="49"/>
      <c r="AZ197" s="49"/>
      <c r="BA197" s="49"/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</row>
    <row r="198" spans="1:66" ht="15.75">
      <c r="A198" s="699"/>
      <c r="B198" s="112" t="s">
        <v>1170</v>
      </c>
      <c r="C198" s="49"/>
      <c r="D198" s="49"/>
      <c r="E198" s="49"/>
      <c r="F198" s="148">
        <f>+Assumptions!$F$27</f>
        <v>45291</v>
      </c>
      <c r="G198" s="148">
        <f>+EOMONTH(F198,12)</f>
        <v>45657</v>
      </c>
      <c r="H198" s="148">
        <f t="shared" ref="H198" si="456">+EOMONTH(G198,12)</f>
        <v>46022</v>
      </c>
      <c r="I198" s="148">
        <f t="shared" ref="I198" si="457">+EOMONTH(H198,12)</f>
        <v>46387</v>
      </c>
      <c r="J198" s="148">
        <f t="shared" ref="J198" si="458">+EOMONTH(I198,12)</f>
        <v>46752</v>
      </c>
      <c r="K198" s="148">
        <f t="shared" ref="K198" si="459">+EOMONTH(J198,12)</f>
        <v>47118</v>
      </c>
      <c r="L198" s="148">
        <f t="shared" ref="L198" si="460">+EOMONTH(K198,12)</f>
        <v>47483</v>
      </c>
      <c r="M198" s="148">
        <f t="shared" ref="M198" si="461">+EOMONTH(L198,12)</f>
        <v>47848</v>
      </c>
      <c r="N198" s="148">
        <f t="shared" ref="N198" si="462">+EOMONTH(M198,12)</f>
        <v>48213</v>
      </c>
      <c r="O198" s="148">
        <f t="shared" ref="O198" si="463">+EOMONTH(N198,12)</f>
        <v>48579</v>
      </c>
      <c r="P198" s="148">
        <f t="shared" ref="P198" si="464">+EOMONTH(O198,12)</f>
        <v>48944</v>
      </c>
      <c r="Q198" s="148">
        <f t="shared" ref="Q198" si="465">+EOMONTH(P198,12)</f>
        <v>49309</v>
      </c>
      <c r="R198" s="148">
        <f t="shared" ref="R198" si="466">+EOMONTH(Q198,12)</f>
        <v>49674</v>
      </c>
      <c r="S198" s="148">
        <f t="shared" ref="S198" si="467">+EOMONTH(R198,12)</f>
        <v>50040</v>
      </c>
      <c r="T198" s="148">
        <f t="shared" ref="T198" si="468">+EOMONTH(S198,12)</f>
        <v>50405</v>
      </c>
      <c r="U198" s="148">
        <f t="shared" ref="U198" si="469">+EOMONTH(T198,12)</f>
        <v>50770</v>
      </c>
      <c r="V198" s="148">
        <f t="shared" ref="V198" si="470">+EOMONTH(U198,12)</f>
        <v>51135</v>
      </c>
      <c r="W198" s="148">
        <f t="shared" ref="W198" si="471">+EOMONTH(V198,12)</f>
        <v>51501</v>
      </c>
      <c r="X198" s="148">
        <f t="shared" ref="X198" si="472">+EOMONTH(W198,12)</f>
        <v>51866</v>
      </c>
      <c r="Y198" s="148">
        <f t="shared" ref="Y198" si="473">+EOMONTH(X198,12)</f>
        <v>52231</v>
      </c>
      <c r="Z198" s="148">
        <f t="shared" ref="Z198" si="474">+EOMONTH(Y198,12)</f>
        <v>52596</v>
      </c>
      <c r="AA198" s="699"/>
      <c r="AB198" s="699"/>
      <c r="AC198" s="699"/>
      <c r="AD198" s="699"/>
      <c r="AE198" s="49"/>
      <c r="AF198" s="49"/>
      <c r="AG198" s="49"/>
      <c r="AH198" s="49"/>
      <c r="AI198" s="49"/>
      <c r="AJ198" s="49"/>
      <c r="AK198" s="49"/>
      <c r="AL198" s="49"/>
      <c r="AM198" s="49"/>
      <c r="AN198" s="49"/>
      <c r="AO198" s="49"/>
      <c r="AP198" s="49"/>
      <c r="AQ198" s="49"/>
      <c r="AR198" s="49"/>
      <c r="AS198" s="49"/>
      <c r="AT198" s="49"/>
      <c r="AU198" s="49"/>
      <c r="AV198" s="49"/>
      <c r="AW198" s="49"/>
      <c r="AX198" s="49"/>
      <c r="AY198" s="49"/>
      <c r="AZ198" s="49"/>
      <c r="BA198" s="49"/>
      <c r="BB198" s="49"/>
      <c r="BC198" s="49"/>
      <c r="BD198" s="49"/>
      <c r="BE198" s="49"/>
      <c r="BF198" s="49"/>
      <c r="BG198" s="49"/>
      <c r="BH198" s="49"/>
      <c r="BI198" s="49"/>
      <c r="BJ198" s="49"/>
      <c r="BK198" s="49"/>
      <c r="BL198" s="49"/>
      <c r="BM198" s="49"/>
      <c r="BN198" s="49"/>
    </row>
    <row r="199" spans="1:66">
      <c r="A199" s="699"/>
      <c r="B199" s="699" t="s">
        <v>1147</v>
      </c>
      <c r="C199" s="49"/>
      <c r="D199" s="49"/>
      <c r="E199" s="49"/>
      <c r="F199" s="1028">
        <v>0</v>
      </c>
      <c r="G199" s="1028">
        <f>+F202</f>
        <v>0</v>
      </c>
      <c r="H199" s="1028">
        <f t="shared" ref="H199:Z199" si="475">+G202</f>
        <v>0</v>
      </c>
      <c r="I199" s="1028">
        <f t="shared" si="475"/>
        <v>0</v>
      </c>
      <c r="J199" s="1028">
        <f t="shared" si="475"/>
        <v>0</v>
      </c>
      <c r="K199" s="1028">
        <f t="shared" si="475"/>
        <v>0</v>
      </c>
      <c r="L199" s="1028">
        <f t="shared" si="475"/>
        <v>0</v>
      </c>
      <c r="M199" s="1028">
        <f t="shared" si="475"/>
        <v>0</v>
      </c>
      <c r="N199" s="1028">
        <f t="shared" si="475"/>
        <v>0</v>
      </c>
      <c r="O199" s="1028">
        <f t="shared" si="475"/>
        <v>0</v>
      </c>
      <c r="P199" s="1028">
        <f t="shared" si="475"/>
        <v>0</v>
      </c>
      <c r="Q199" s="1028">
        <f t="shared" si="475"/>
        <v>0</v>
      </c>
      <c r="R199" s="1028">
        <f t="shared" si="475"/>
        <v>0</v>
      </c>
      <c r="S199" s="1028">
        <f t="shared" si="475"/>
        <v>0</v>
      </c>
      <c r="T199" s="1028">
        <f t="shared" si="475"/>
        <v>0</v>
      </c>
      <c r="U199" s="1028">
        <f t="shared" si="475"/>
        <v>0</v>
      </c>
      <c r="V199" s="1028">
        <f t="shared" si="475"/>
        <v>0</v>
      </c>
      <c r="W199" s="1028">
        <f t="shared" si="475"/>
        <v>0</v>
      </c>
      <c r="X199" s="1028">
        <f t="shared" si="475"/>
        <v>0</v>
      </c>
      <c r="Y199" s="1028">
        <f t="shared" si="475"/>
        <v>0</v>
      </c>
      <c r="Z199" s="1028">
        <f t="shared" si="475"/>
        <v>0</v>
      </c>
      <c r="AA199" s="699"/>
      <c r="AB199" s="699"/>
      <c r="AC199" s="699"/>
      <c r="AD199" s="699"/>
      <c r="AE199" s="49"/>
      <c r="AF199" s="49"/>
      <c r="AG199" s="49"/>
      <c r="AH199" s="49"/>
      <c r="AI199" s="49"/>
      <c r="AJ199" s="49"/>
      <c r="AK199" s="49"/>
      <c r="AL199" s="49"/>
      <c r="AM199" s="49"/>
      <c r="AN199" s="49"/>
      <c r="AO199" s="49"/>
      <c r="AP199" s="49"/>
      <c r="AQ199" s="49"/>
      <c r="AR199" s="49"/>
      <c r="AS199" s="49"/>
      <c r="AT199" s="49"/>
      <c r="AU199" s="49"/>
      <c r="AV199" s="49"/>
      <c r="AW199" s="49"/>
      <c r="AX199" s="49"/>
      <c r="AY199" s="49"/>
      <c r="AZ199" s="49"/>
      <c r="BA199" s="49"/>
      <c r="BB199" s="49"/>
      <c r="BC199" s="49"/>
      <c r="BD199" s="49"/>
      <c r="BE199" s="49"/>
      <c r="BF199" s="49"/>
      <c r="BG199" s="49"/>
      <c r="BH199" s="49"/>
      <c r="BI199" s="49"/>
      <c r="BJ199" s="49"/>
      <c r="BK199" s="49"/>
      <c r="BL199" s="49"/>
      <c r="BM199" s="49"/>
      <c r="BN199" s="49"/>
    </row>
    <row r="200" spans="1:66">
      <c r="A200" s="699"/>
      <c r="B200" s="699" t="s">
        <v>1148</v>
      </c>
      <c r="C200" s="49"/>
      <c r="D200" s="49"/>
      <c r="E200" s="49"/>
      <c r="F200" s="90">
        <f>+IF(YEAR(F$129)=YEAR(Assumptions!$F$31),'S&amp;U'!$R$18,0)</f>
        <v>0</v>
      </c>
      <c r="G200" s="90">
        <f>+IF(YEAR(G$129)=YEAR(Assumptions!$F$31),'S&amp;U'!$R$18,0)</f>
        <v>0</v>
      </c>
      <c r="H200" s="90">
        <f>+IF(YEAR(H$129)=YEAR(Assumptions!$F$31),'S&amp;U'!$R$18,0)</f>
        <v>0</v>
      </c>
      <c r="I200" s="90">
        <f>+IF(YEAR(I$129)=YEAR(Assumptions!$F$31),'S&amp;U'!$R$18,0)</f>
        <v>0</v>
      </c>
      <c r="J200" s="90">
        <f>+IF(YEAR(J$129)=YEAR(Assumptions!$F$31),'S&amp;U'!$R$18,0)</f>
        <v>0</v>
      </c>
      <c r="K200" s="90">
        <f>+IF(YEAR(K$129)=YEAR(Assumptions!$F$31),'S&amp;U'!$R$18,0)</f>
        <v>0</v>
      </c>
      <c r="L200" s="90">
        <f>+IF(YEAR(L$129)=YEAR(Assumptions!$F$31),'S&amp;U'!$R$18,0)</f>
        <v>0</v>
      </c>
      <c r="M200" s="90">
        <f>+IF(YEAR(M$129)=YEAR(Assumptions!$F$31),'S&amp;U'!$R$18,0)</f>
        <v>0</v>
      </c>
      <c r="N200" s="90">
        <f>+IF(YEAR(N$129)=YEAR(Assumptions!$F$31),'S&amp;U'!$R$18,0)</f>
        <v>0</v>
      </c>
      <c r="O200" s="90">
        <f>+IF(YEAR(O$129)=YEAR(Assumptions!$F$31),'S&amp;U'!$R$18,0)</f>
        <v>0</v>
      </c>
      <c r="P200" s="90">
        <f>+IF(YEAR(P$129)=YEAR(Assumptions!$F$31),'S&amp;U'!$R$18,0)</f>
        <v>0</v>
      </c>
      <c r="Q200" s="90">
        <f>+IF(YEAR(Q$129)=YEAR(Assumptions!$F$31),'S&amp;U'!$R$18,0)</f>
        <v>0</v>
      </c>
      <c r="R200" s="90">
        <f>+IF(YEAR(R$129)=YEAR(Assumptions!$F$31),'S&amp;U'!$R$18,0)</f>
        <v>0</v>
      </c>
      <c r="S200" s="90">
        <f>+IF(YEAR(S$129)=YEAR(Assumptions!$F$31),'S&amp;U'!$R$18,0)</f>
        <v>0</v>
      </c>
      <c r="T200" s="90">
        <f>+IF(YEAR(T$129)=YEAR(Assumptions!$F$31),'S&amp;U'!$R$18,0)</f>
        <v>0</v>
      </c>
      <c r="U200" s="90">
        <f>+IF(YEAR(U$129)=YEAR(Assumptions!$F$31),'S&amp;U'!$R$18,0)</f>
        <v>0</v>
      </c>
      <c r="V200" s="90">
        <f>+IF(YEAR(V$129)=YEAR(Assumptions!$F$31),'S&amp;U'!$R$18,0)</f>
        <v>0</v>
      </c>
      <c r="W200" s="90">
        <f>+IF(YEAR(W$129)=YEAR(Assumptions!$F$31),'S&amp;U'!$R$18,0)</f>
        <v>0</v>
      </c>
      <c r="X200" s="90">
        <f>+IF(YEAR(X$129)=YEAR(Assumptions!$F$31),'S&amp;U'!$R$18,0)</f>
        <v>0</v>
      </c>
      <c r="Y200" s="90">
        <f>+IF(YEAR(Y$129)=YEAR(Assumptions!$F$31),'S&amp;U'!$R$18,0)</f>
        <v>0</v>
      </c>
      <c r="Z200" s="90">
        <f>+IF(YEAR(Z$129)=YEAR(Assumptions!$F$31),'S&amp;U'!$R$18,0)</f>
        <v>0</v>
      </c>
      <c r="AA200" s="699"/>
      <c r="AB200" s="699"/>
      <c r="AC200" s="699"/>
      <c r="AD200" s="699"/>
      <c r="AE200" s="49"/>
      <c r="AF200" s="49"/>
      <c r="AG200" s="49"/>
      <c r="AH200" s="49"/>
      <c r="AI200" s="49"/>
      <c r="AJ200" s="49"/>
      <c r="AK200" s="49"/>
      <c r="AL200" s="49"/>
      <c r="AM200" s="49"/>
      <c r="AN200" s="49"/>
      <c r="AO200" s="49"/>
      <c r="AP200" s="49"/>
      <c r="AQ200" s="49"/>
      <c r="AR200" s="49"/>
      <c r="AS200" s="49"/>
      <c r="AT200" s="49"/>
      <c r="AU200" s="49"/>
      <c r="AV200" s="49"/>
      <c r="AW200" s="49"/>
      <c r="AX200" s="49"/>
      <c r="AY200" s="49"/>
      <c r="AZ200" s="49"/>
      <c r="BA200" s="49"/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</row>
    <row r="201" spans="1:66">
      <c r="A201" s="699"/>
      <c r="B201" s="699" t="s">
        <v>682</v>
      </c>
      <c r="C201" s="49"/>
      <c r="D201" s="49"/>
      <c r="E201" s="49"/>
      <c r="F201" s="90">
        <v>0</v>
      </c>
      <c r="G201" s="90">
        <v>0</v>
      </c>
      <c r="H201" s="90">
        <v>0</v>
      </c>
      <c r="I201" s="90">
        <v>0</v>
      </c>
      <c r="J201" s="90">
        <v>0</v>
      </c>
      <c r="K201" s="90">
        <v>0</v>
      </c>
      <c r="L201" s="90">
        <v>0</v>
      </c>
      <c r="M201" s="90">
        <v>0</v>
      </c>
      <c r="N201" s="90">
        <v>0</v>
      </c>
      <c r="O201" s="90">
        <v>0</v>
      </c>
      <c r="P201" s="90">
        <v>0</v>
      </c>
      <c r="Q201" s="90">
        <v>0</v>
      </c>
      <c r="R201" s="90">
        <v>0</v>
      </c>
      <c r="S201" s="90">
        <v>0</v>
      </c>
      <c r="T201" s="90">
        <v>0</v>
      </c>
      <c r="U201" s="90">
        <v>0</v>
      </c>
      <c r="V201" s="90">
        <v>0</v>
      </c>
      <c r="W201" s="90">
        <v>0</v>
      </c>
      <c r="X201" s="90">
        <v>0</v>
      </c>
      <c r="Y201" s="90">
        <v>0</v>
      </c>
      <c r="Z201" s="90">
        <v>0</v>
      </c>
      <c r="AA201" s="699"/>
      <c r="AB201" s="699"/>
      <c r="AC201" s="699"/>
      <c r="AD201" s="699"/>
      <c r="AE201" s="49"/>
      <c r="AF201" s="49"/>
      <c r="AG201" s="49"/>
      <c r="AH201" s="49"/>
      <c r="AI201" s="49"/>
      <c r="AJ201" s="49"/>
      <c r="AK201" s="49"/>
      <c r="AL201" s="49"/>
      <c r="AM201" s="49"/>
      <c r="AN201" s="49"/>
      <c r="AO201" s="49"/>
      <c r="AP201" s="49"/>
      <c r="AQ201" s="49"/>
      <c r="AR201" s="49"/>
      <c r="AS201" s="49"/>
      <c r="AT201" s="49"/>
      <c r="AU201" s="49"/>
      <c r="AV201" s="49"/>
      <c r="AW201" s="49"/>
      <c r="AX201" s="49"/>
      <c r="AY201" s="49"/>
      <c r="AZ201" s="49"/>
      <c r="BA201" s="49"/>
      <c r="BB201" s="49"/>
      <c r="BC201" s="49"/>
      <c r="BD201" s="49"/>
      <c r="BE201" s="49"/>
      <c r="BF201" s="49"/>
      <c r="BG201" s="49"/>
      <c r="BH201" s="49"/>
      <c r="BI201" s="49"/>
      <c r="BJ201" s="49"/>
      <c r="BK201" s="49"/>
      <c r="BL201" s="49"/>
      <c r="BM201" s="49"/>
      <c r="BN201" s="49"/>
    </row>
    <row r="202" spans="1:66">
      <c r="A202" s="699"/>
      <c r="B202" s="699" t="s">
        <v>1149</v>
      </c>
      <c r="C202" s="49"/>
      <c r="D202" s="49"/>
      <c r="E202" s="49"/>
      <c r="F202" s="90">
        <f>+SUM(F199:F201)</f>
        <v>0</v>
      </c>
      <c r="G202" s="90">
        <f t="shared" ref="G202:Z202" si="476">+SUM(G199:G201)</f>
        <v>0</v>
      </c>
      <c r="H202" s="90">
        <f t="shared" si="476"/>
        <v>0</v>
      </c>
      <c r="I202" s="90">
        <f t="shared" si="476"/>
        <v>0</v>
      </c>
      <c r="J202" s="90">
        <f t="shared" si="476"/>
        <v>0</v>
      </c>
      <c r="K202" s="90">
        <f t="shared" si="476"/>
        <v>0</v>
      </c>
      <c r="L202" s="90">
        <f t="shared" si="476"/>
        <v>0</v>
      </c>
      <c r="M202" s="90">
        <f t="shared" si="476"/>
        <v>0</v>
      </c>
      <c r="N202" s="90">
        <f t="shared" si="476"/>
        <v>0</v>
      </c>
      <c r="O202" s="90">
        <f t="shared" si="476"/>
        <v>0</v>
      </c>
      <c r="P202" s="90">
        <f t="shared" si="476"/>
        <v>0</v>
      </c>
      <c r="Q202" s="90">
        <f t="shared" si="476"/>
        <v>0</v>
      </c>
      <c r="R202" s="90">
        <f t="shared" si="476"/>
        <v>0</v>
      </c>
      <c r="S202" s="90">
        <f t="shared" si="476"/>
        <v>0</v>
      </c>
      <c r="T202" s="90">
        <f t="shared" si="476"/>
        <v>0</v>
      </c>
      <c r="U202" s="90">
        <f t="shared" si="476"/>
        <v>0</v>
      </c>
      <c r="V202" s="90">
        <f t="shared" si="476"/>
        <v>0</v>
      </c>
      <c r="W202" s="90">
        <f t="shared" si="476"/>
        <v>0</v>
      </c>
      <c r="X202" s="90">
        <f t="shared" si="476"/>
        <v>0</v>
      </c>
      <c r="Y202" s="90">
        <f t="shared" si="476"/>
        <v>0</v>
      </c>
      <c r="Z202" s="90">
        <f t="shared" si="476"/>
        <v>0</v>
      </c>
      <c r="AA202" s="699"/>
      <c r="AB202" s="699"/>
      <c r="AC202" s="699"/>
      <c r="AD202" s="699"/>
      <c r="AE202" s="49"/>
      <c r="AF202" s="49"/>
      <c r="AG202" s="49"/>
      <c r="AH202" s="49"/>
      <c r="AI202" s="49"/>
      <c r="AJ202" s="49"/>
      <c r="AK202" s="49"/>
      <c r="AL202" s="49"/>
      <c r="AM202" s="49"/>
      <c r="AN202" s="49"/>
      <c r="AO202" s="49"/>
      <c r="AP202" s="49"/>
      <c r="AQ202" s="49"/>
      <c r="AR202" s="49"/>
      <c r="AS202" s="49"/>
      <c r="AT202" s="49"/>
      <c r="AU202" s="49"/>
      <c r="AV202" s="49"/>
      <c r="AW202" s="49"/>
      <c r="AX202" s="49"/>
      <c r="AY202" s="49"/>
      <c r="AZ202" s="49"/>
      <c r="BA202" s="49"/>
      <c r="BB202" s="49"/>
      <c r="BC202" s="49"/>
      <c r="BD202" s="49"/>
      <c r="BE202" s="49"/>
      <c r="BF202" s="49"/>
      <c r="BG202" s="49"/>
      <c r="BH202" s="49"/>
      <c r="BI202" s="49"/>
      <c r="BJ202" s="49"/>
      <c r="BK202" s="49"/>
      <c r="BL202" s="49"/>
      <c r="BM202" s="49"/>
      <c r="BN202" s="49"/>
    </row>
    <row r="203" spans="1:66">
      <c r="A203" s="699"/>
      <c r="B203" s="49"/>
      <c r="C203" s="49"/>
      <c r="D203" s="49"/>
      <c r="E203" s="49"/>
      <c r="F203" s="699"/>
      <c r="G203" s="49"/>
      <c r="H203" s="49"/>
      <c r="I203" s="49"/>
      <c r="J203" s="49"/>
      <c r="K203" s="49"/>
      <c r="L203" s="49"/>
      <c r="M203" s="49"/>
      <c r="N203" s="49"/>
      <c r="O203" s="49"/>
      <c r="P203" s="49"/>
      <c r="Q203" s="49"/>
      <c r="R203" s="49"/>
      <c r="S203" s="49"/>
      <c r="T203" s="49"/>
      <c r="U203" s="49"/>
      <c r="V203" s="49"/>
      <c r="W203" s="49"/>
      <c r="X203" s="49"/>
      <c r="Y203" s="49"/>
      <c r="Z203" s="49"/>
      <c r="AA203" s="699"/>
      <c r="AB203" s="699"/>
      <c r="AC203" s="699"/>
      <c r="AD203" s="699"/>
      <c r="AE203" s="49"/>
      <c r="AF203" s="49"/>
      <c r="AG203" s="49"/>
      <c r="AH203" s="49"/>
      <c r="AI203" s="49"/>
      <c r="AJ203" s="49"/>
      <c r="AK203" s="49"/>
      <c r="AL203" s="49"/>
      <c r="AM203" s="49"/>
      <c r="AN203" s="49"/>
      <c r="AO203" s="49"/>
      <c r="AP203" s="49"/>
      <c r="AQ203" s="49"/>
      <c r="AR203" s="49"/>
      <c r="AS203" s="49"/>
      <c r="AT203" s="49"/>
      <c r="AU203" s="49"/>
      <c r="AV203" s="49"/>
      <c r="AW203" s="49"/>
      <c r="AX203" s="49"/>
      <c r="AY203" s="49"/>
      <c r="AZ203" s="49"/>
      <c r="BA203" s="49"/>
      <c r="BB203" s="49"/>
      <c r="BC203" s="49"/>
      <c r="BD203" s="49"/>
      <c r="BE203" s="49"/>
      <c r="BF203" s="49"/>
      <c r="BG203" s="49"/>
      <c r="BH203" s="49"/>
      <c r="BI203" s="49"/>
      <c r="BJ203" s="49"/>
      <c r="BK203" s="49"/>
      <c r="BL203" s="49"/>
      <c r="BM203" s="49"/>
      <c r="BN203" s="49"/>
    </row>
    <row r="204" spans="1:66">
      <c r="A204" s="699"/>
      <c r="B204" s="49" t="s">
        <v>1150</v>
      </c>
      <c r="C204" s="49"/>
      <c r="D204" s="49"/>
      <c r="E204" s="49"/>
      <c r="F204" s="1028">
        <v>0</v>
      </c>
      <c r="G204" s="1028">
        <v>0</v>
      </c>
      <c r="H204" s="1028">
        <v>0</v>
      </c>
      <c r="I204" s="1028">
        <v>0</v>
      </c>
      <c r="J204" s="1028">
        <v>0</v>
      </c>
      <c r="K204" s="1028">
        <v>0</v>
      </c>
      <c r="L204" s="1028">
        <v>0</v>
      </c>
      <c r="M204" s="1028">
        <v>0</v>
      </c>
      <c r="N204" s="1028">
        <v>0</v>
      </c>
      <c r="O204" s="1028">
        <v>0</v>
      </c>
      <c r="P204" s="1028">
        <v>0</v>
      </c>
      <c r="Q204" s="1028">
        <v>0</v>
      </c>
      <c r="R204" s="1028">
        <v>0</v>
      </c>
      <c r="S204" s="1028">
        <v>0</v>
      </c>
      <c r="T204" s="1028">
        <v>0</v>
      </c>
      <c r="U204" s="1028">
        <v>0</v>
      </c>
      <c r="V204" s="1028">
        <v>0</v>
      </c>
      <c r="W204" s="1028">
        <v>0</v>
      </c>
      <c r="X204" s="1028">
        <v>0</v>
      </c>
      <c r="Y204" s="1028">
        <v>0</v>
      </c>
      <c r="Z204" s="1028">
        <v>0</v>
      </c>
      <c r="AA204" s="699"/>
      <c r="AB204" s="699"/>
      <c r="AC204" s="699"/>
      <c r="AD204" s="699"/>
      <c r="AE204" s="49"/>
      <c r="AF204" s="49"/>
      <c r="AG204" s="49"/>
      <c r="AH204" s="49"/>
      <c r="AI204" s="49"/>
      <c r="AJ204" s="49"/>
      <c r="AK204" s="49"/>
      <c r="AL204" s="49"/>
      <c r="AM204" s="49"/>
      <c r="AN204" s="49"/>
      <c r="AO204" s="49"/>
      <c r="AP204" s="49"/>
      <c r="AQ204" s="49"/>
      <c r="AR204" s="49"/>
      <c r="AS204" s="49"/>
      <c r="AT204" s="49"/>
      <c r="AU204" s="49"/>
      <c r="AV204" s="49"/>
      <c r="AW204" s="49"/>
      <c r="AX204" s="49"/>
      <c r="AY204" s="49"/>
      <c r="AZ204" s="49"/>
      <c r="BA204" s="49"/>
      <c r="BB204" s="49"/>
      <c r="BC204" s="49"/>
      <c r="BD204" s="49"/>
      <c r="BE204" s="49"/>
      <c r="BF204" s="49"/>
      <c r="BG204" s="49"/>
      <c r="BH204" s="49"/>
      <c r="BI204" s="49"/>
      <c r="BJ204" s="49"/>
      <c r="BK204" s="49"/>
      <c r="BL204" s="49"/>
      <c r="BM204" s="49"/>
      <c r="BN204" s="49"/>
    </row>
    <row r="205" spans="1:66" ht="16.5">
      <c r="A205" s="699"/>
      <c r="B205" s="61" t="s">
        <v>1151</v>
      </c>
      <c r="C205" s="61"/>
      <c r="D205" s="61"/>
      <c r="E205" s="61"/>
      <c r="F205" s="145">
        <f>+F204-F201</f>
        <v>0</v>
      </c>
      <c r="G205" s="145">
        <f t="shared" ref="G205:Z205" si="477">+G204-G201</f>
        <v>0</v>
      </c>
      <c r="H205" s="145">
        <f t="shared" si="477"/>
        <v>0</v>
      </c>
      <c r="I205" s="145">
        <f t="shared" si="477"/>
        <v>0</v>
      </c>
      <c r="J205" s="145">
        <f t="shared" si="477"/>
        <v>0</v>
      </c>
      <c r="K205" s="145">
        <f t="shared" si="477"/>
        <v>0</v>
      </c>
      <c r="L205" s="145">
        <f t="shared" si="477"/>
        <v>0</v>
      </c>
      <c r="M205" s="145">
        <f t="shared" si="477"/>
        <v>0</v>
      </c>
      <c r="N205" s="145">
        <f t="shared" si="477"/>
        <v>0</v>
      </c>
      <c r="O205" s="145">
        <f t="shared" si="477"/>
        <v>0</v>
      </c>
      <c r="P205" s="145">
        <f t="shared" si="477"/>
        <v>0</v>
      </c>
      <c r="Q205" s="145">
        <f t="shared" si="477"/>
        <v>0</v>
      </c>
      <c r="R205" s="145">
        <f t="shared" si="477"/>
        <v>0</v>
      </c>
      <c r="S205" s="145">
        <f t="shared" si="477"/>
        <v>0</v>
      </c>
      <c r="T205" s="145">
        <f t="shared" si="477"/>
        <v>0</v>
      </c>
      <c r="U205" s="145">
        <f t="shared" si="477"/>
        <v>0</v>
      </c>
      <c r="V205" s="145">
        <f t="shared" si="477"/>
        <v>0</v>
      </c>
      <c r="W205" s="145">
        <f t="shared" si="477"/>
        <v>0</v>
      </c>
      <c r="X205" s="145">
        <f t="shared" si="477"/>
        <v>0</v>
      </c>
      <c r="Y205" s="145">
        <f t="shared" si="477"/>
        <v>0</v>
      </c>
      <c r="Z205" s="145">
        <f t="shared" si="477"/>
        <v>0</v>
      </c>
      <c r="AA205" s="699"/>
      <c r="AB205" s="699"/>
      <c r="AC205" s="699"/>
      <c r="AD205" s="699"/>
      <c r="AE205" s="49"/>
      <c r="AF205" s="49"/>
      <c r="AG205" s="49"/>
      <c r="AH205" s="49"/>
      <c r="AI205" s="49"/>
      <c r="AJ205" s="49"/>
      <c r="AK205" s="49"/>
      <c r="AL205" s="49"/>
      <c r="AM205" s="49"/>
      <c r="AN205" s="49"/>
      <c r="AO205" s="49"/>
      <c r="AP205" s="49"/>
      <c r="AQ205" s="49"/>
      <c r="AR205" s="49"/>
      <c r="AS205" s="49"/>
      <c r="AT205" s="49"/>
      <c r="AU205" s="49"/>
      <c r="AV205" s="49"/>
      <c r="AW205" s="49"/>
      <c r="AX205" s="49"/>
      <c r="AY205" s="49"/>
      <c r="AZ205" s="49"/>
      <c r="BA205" s="49"/>
      <c r="BB205" s="49"/>
      <c r="BC205" s="49"/>
      <c r="BD205" s="49"/>
      <c r="BE205" s="49"/>
      <c r="BF205" s="49"/>
      <c r="BG205" s="49"/>
      <c r="BH205" s="49"/>
      <c r="BI205" s="49"/>
      <c r="BJ205" s="49"/>
      <c r="BK205" s="49"/>
      <c r="BL205" s="49"/>
      <c r="BM205" s="49"/>
      <c r="BN205" s="49"/>
    </row>
    <row r="206" spans="1:66">
      <c r="A206" s="699"/>
      <c r="B206" s="117" t="s">
        <v>670</v>
      </c>
      <c r="C206" s="49"/>
      <c r="D206" s="49"/>
      <c r="E206" s="49"/>
      <c r="F206" s="146" t="str">
        <f ca="1">+IFERROR(F194/F205,"")</f>
        <v/>
      </c>
      <c r="G206" s="146" t="str">
        <f t="shared" ref="G206:Z206" ca="1" si="478">+IFERROR(G194/G205,"")</f>
        <v/>
      </c>
      <c r="H206" s="146" t="str">
        <f t="shared" ca="1" si="478"/>
        <v/>
      </c>
      <c r="I206" s="146" t="str">
        <f t="shared" ca="1" si="478"/>
        <v/>
      </c>
      <c r="J206" s="146" t="str">
        <f t="shared" ca="1" si="478"/>
        <v/>
      </c>
      <c r="K206" s="146" t="str">
        <f t="shared" ca="1" si="478"/>
        <v/>
      </c>
      <c r="L206" s="146" t="str">
        <f t="shared" ca="1" si="478"/>
        <v/>
      </c>
      <c r="M206" s="146" t="str">
        <f t="shared" ca="1" si="478"/>
        <v/>
      </c>
      <c r="N206" s="146" t="str">
        <f t="shared" ca="1" si="478"/>
        <v/>
      </c>
      <c r="O206" s="146" t="str">
        <f t="shared" ca="1" si="478"/>
        <v/>
      </c>
      <c r="P206" s="146" t="str">
        <f t="shared" ca="1" si="478"/>
        <v/>
      </c>
      <c r="Q206" s="146" t="str">
        <f t="shared" ca="1" si="478"/>
        <v/>
      </c>
      <c r="R206" s="146" t="str">
        <f t="shared" ca="1" si="478"/>
        <v/>
      </c>
      <c r="S206" s="146" t="str">
        <f t="shared" ca="1" si="478"/>
        <v/>
      </c>
      <c r="T206" s="146" t="str">
        <f t="shared" ca="1" si="478"/>
        <v/>
      </c>
      <c r="U206" s="146" t="str">
        <f t="shared" ca="1" si="478"/>
        <v/>
      </c>
      <c r="V206" s="146" t="str">
        <f t="shared" ca="1" si="478"/>
        <v/>
      </c>
      <c r="W206" s="146" t="str">
        <f t="shared" ca="1" si="478"/>
        <v/>
      </c>
      <c r="X206" s="146" t="str">
        <f t="shared" ca="1" si="478"/>
        <v/>
      </c>
      <c r="Y206" s="146" t="str">
        <f t="shared" ca="1" si="478"/>
        <v/>
      </c>
      <c r="Z206" s="146" t="str">
        <f t="shared" ca="1" si="478"/>
        <v/>
      </c>
      <c r="AA206" s="699"/>
      <c r="AB206" s="699"/>
      <c r="AC206" s="699"/>
      <c r="AD206" s="699"/>
      <c r="AE206" s="49"/>
      <c r="AF206" s="49"/>
      <c r="AG206" s="49"/>
      <c r="AH206" s="49"/>
      <c r="AI206" s="49"/>
      <c r="AJ206" s="49"/>
      <c r="AK206" s="49"/>
      <c r="AL206" s="49"/>
      <c r="AM206" s="49"/>
      <c r="AN206" s="49"/>
      <c r="AO206" s="49"/>
      <c r="AP206" s="49"/>
      <c r="AQ206" s="49"/>
      <c r="AR206" s="49"/>
      <c r="AS206" s="49"/>
      <c r="AT206" s="49"/>
      <c r="AU206" s="49"/>
      <c r="AV206" s="49"/>
      <c r="AW206" s="49"/>
      <c r="AX206" s="49"/>
      <c r="AY206" s="49"/>
      <c r="AZ206" s="49"/>
      <c r="BA206" s="49"/>
      <c r="BB206" s="49"/>
      <c r="BC206" s="49"/>
      <c r="BD206" s="49"/>
      <c r="BE206" s="49"/>
      <c r="BF206" s="49"/>
      <c r="BG206" s="49"/>
      <c r="BH206" s="49"/>
      <c r="BI206" s="49"/>
      <c r="BJ206" s="49"/>
      <c r="BK206" s="49"/>
      <c r="BL206" s="49"/>
      <c r="BM206" s="49"/>
      <c r="BN206" s="49"/>
    </row>
    <row r="207" spans="1:66">
      <c r="A207" s="699"/>
      <c r="B207" s="49"/>
      <c r="C207" s="49"/>
      <c r="D207" s="49"/>
      <c r="E207" s="49"/>
      <c r="F207" s="699"/>
      <c r="G207" s="699"/>
      <c r="H207" s="699"/>
      <c r="I207" s="699"/>
      <c r="J207" s="699"/>
      <c r="K207" s="699"/>
      <c r="L207" s="699"/>
      <c r="M207" s="699"/>
      <c r="N207" s="699"/>
      <c r="O207" s="699"/>
      <c r="P207" s="699"/>
      <c r="Q207" s="699"/>
      <c r="R207" s="699"/>
      <c r="S207" s="699"/>
      <c r="T207" s="699"/>
      <c r="U207" s="699"/>
      <c r="V207" s="699"/>
      <c r="W207" s="699"/>
      <c r="X207" s="699"/>
      <c r="Y207" s="699"/>
      <c r="Z207" s="699"/>
      <c r="AA207" s="699"/>
      <c r="AB207" s="699"/>
      <c r="AC207" s="699"/>
      <c r="AD207" s="699"/>
      <c r="AE207" s="49"/>
      <c r="AF207" s="49"/>
      <c r="AG207" s="49"/>
      <c r="AH207" s="49"/>
      <c r="AI207" s="49"/>
      <c r="AJ207" s="49"/>
      <c r="AK207" s="49"/>
      <c r="AL207" s="49"/>
      <c r="AM207" s="49"/>
      <c r="AN207" s="49"/>
      <c r="AO207" s="49"/>
      <c r="AP207" s="49"/>
      <c r="AQ207" s="49"/>
      <c r="AR207" s="49"/>
      <c r="AS207" s="49"/>
      <c r="AT207" s="49"/>
      <c r="AU207" s="49"/>
      <c r="AV207" s="49"/>
      <c r="AW207" s="49"/>
      <c r="AX207" s="49"/>
      <c r="AY207" s="49"/>
      <c r="AZ207" s="49"/>
      <c r="BA207" s="49"/>
      <c r="BB207" s="49"/>
      <c r="BC207" s="49"/>
      <c r="BD207" s="49"/>
      <c r="BE207" s="49"/>
      <c r="BF207" s="49"/>
      <c r="BG207" s="49"/>
      <c r="BH207" s="49"/>
      <c r="BI207" s="49"/>
      <c r="BJ207" s="49"/>
      <c r="BK207" s="49"/>
      <c r="BL207" s="49"/>
      <c r="BM207" s="49"/>
      <c r="BN207" s="49"/>
    </row>
    <row r="208" spans="1:66">
      <c r="A208" s="699"/>
      <c r="B208" s="49" t="s">
        <v>1152</v>
      </c>
      <c r="C208" s="49"/>
      <c r="D208" s="49"/>
      <c r="E208" s="49"/>
      <c r="F208" s="1087">
        <v>0</v>
      </c>
      <c r="G208" s="1087">
        <v>0</v>
      </c>
      <c r="H208" s="1087">
        <v>0</v>
      </c>
      <c r="I208" s="1087">
        <v>0</v>
      </c>
      <c r="J208" s="1087">
        <v>0</v>
      </c>
      <c r="K208" s="1087">
        <v>0</v>
      </c>
      <c r="L208" s="1087">
        <v>0</v>
      </c>
      <c r="M208" s="1087">
        <v>0</v>
      </c>
      <c r="N208" s="1087">
        <v>0</v>
      </c>
      <c r="O208" s="1087">
        <v>0</v>
      </c>
      <c r="P208" s="1087">
        <v>0</v>
      </c>
      <c r="Q208" s="1087">
        <v>0</v>
      </c>
      <c r="R208" s="1087">
        <v>0</v>
      </c>
      <c r="S208" s="1087">
        <v>0</v>
      </c>
      <c r="T208" s="1087">
        <v>0</v>
      </c>
      <c r="U208" s="1087">
        <v>0</v>
      </c>
      <c r="V208" s="1087">
        <v>0</v>
      </c>
      <c r="W208" s="1087">
        <v>0</v>
      </c>
      <c r="X208" s="1087">
        <v>0</v>
      </c>
      <c r="Y208" s="1087">
        <v>0</v>
      </c>
      <c r="Z208" s="1087">
        <v>0</v>
      </c>
      <c r="AA208" s="699"/>
      <c r="AB208" s="699"/>
      <c r="AC208" s="699"/>
      <c r="AD208" s="699"/>
      <c r="AE208" s="49"/>
      <c r="AF208" s="49"/>
      <c r="AG208" s="49"/>
      <c r="AH208" s="49"/>
      <c r="AI208" s="49"/>
      <c r="AJ208" s="49"/>
      <c r="AK208" s="49"/>
      <c r="AL208" s="49"/>
      <c r="AM208" s="49"/>
      <c r="AN208" s="49"/>
      <c r="AO208" s="49"/>
      <c r="AP208" s="49"/>
      <c r="AQ208" s="49"/>
      <c r="AR208" s="49"/>
      <c r="AS208" s="49"/>
      <c r="AT208" s="49"/>
      <c r="AU208" s="49"/>
      <c r="AV208" s="49"/>
      <c r="AW208" s="49"/>
      <c r="AX208" s="49"/>
      <c r="AY208" s="49"/>
      <c r="AZ208" s="49"/>
      <c r="BA208" s="49"/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</row>
    <row r="209" spans="1:66">
      <c r="A209" s="699"/>
      <c r="B209" s="49"/>
      <c r="C209" s="49"/>
      <c r="D209" s="49"/>
      <c r="E209" s="49"/>
      <c r="F209" s="699"/>
      <c r="G209" s="699"/>
      <c r="H209" s="699"/>
      <c r="I209" s="699"/>
      <c r="J209" s="699"/>
      <c r="K209" s="699"/>
      <c r="L209" s="699"/>
      <c r="M209" s="699"/>
      <c r="N209" s="699"/>
      <c r="O209" s="699"/>
      <c r="P209" s="699"/>
      <c r="Q209" s="699"/>
      <c r="R209" s="699"/>
      <c r="S209" s="699"/>
      <c r="T209" s="699"/>
      <c r="U209" s="699"/>
      <c r="V209" s="699"/>
      <c r="W209" s="699"/>
      <c r="X209" s="699"/>
      <c r="Y209" s="699"/>
      <c r="Z209" s="699"/>
      <c r="AA209" s="699"/>
      <c r="AB209" s="699"/>
      <c r="AC209" s="699"/>
      <c r="AD209" s="699"/>
      <c r="AE209" s="49"/>
      <c r="AF209" s="49"/>
      <c r="AG209" s="49"/>
      <c r="AH209" s="49"/>
      <c r="AI209" s="49"/>
      <c r="AJ209" s="49"/>
      <c r="AK209" s="49"/>
      <c r="AL209" s="49"/>
      <c r="AM209" s="49"/>
      <c r="AN209" s="49"/>
      <c r="AO209" s="49"/>
      <c r="AP209" s="49"/>
      <c r="AQ209" s="49"/>
      <c r="AR209" s="49"/>
      <c r="AS209" s="49"/>
      <c r="AT209" s="49"/>
      <c r="AU209" s="49"/>
      <c r="AV209" s="49"/>
      <c r="AW209" s="49"/>
      <c r="AX209" s="49"/>
      <c r="AY209" s="49"/>
      <c r="AZ209" s="49"/>
      <c r="BA209" s="49"/>
      <c r="BB209" s="49"/>
      <c r="BC209" s="49"/>
      <c r="BD209" s="49"/>
      <c r="BE209" s="49"/>
      <c r="BF209" s="49"/>
      <c r="BG209" s="49"/>
      <c r="BH209" s="49"/>
      <c r="BI209" s="49"/>
      <c r="BJ209" s="49"/>
      <c r="BK209" s="49"/>
      <c r="BL209" s="49"/>
      <c r="BM209" s="49"/>
      <c r="BN209" s="49"/>
    </row>
    <row r="210" spans="1:66" ht="16.5">
      <c r="A210" s="699"/>
      <c r="B210" s="61" t="s">
        <v>1153</v>
      </c>
      <c r="C210" s="61"/>
      <c r="D210" s="61"/>
      <c r="E210" s="61"/>
      <c r="F210" s="144">
        <f ca="1">+F194-F205-F208</f>
        <v>0</v>
      </c>
      <c r="G210" s="144">
        <f t="shared" ref="G210:Z210" ca="1" si="479">+G194-G205-G208</f>
        <v>0</v>
      </c>
      <c r="H210" s="144">
        <f t="shared" ca="1" si="479"/>
        <v>0</v>
      </c>
      <c r="I210" s="144">
        <f t="shared" ca="1" si="479"/>
        <v>0</v>
      </c>
      <c r="J210" s="144">
        <f t="shared" ca="1" si="479"/>
        <v>0</v>
      </c>
      <c r="K210" s="144">
        <f t="shared" ca="1" si="479"/>
        <v>0</v>
      </c>
      <c r="L210" s="144">
        <f t="shared" ca="1" si="479"/>
        <v>0</v>
      </c>
      <c r="M210" s="144">
        <f t="shared" ca="1" si="479"/>
        <v>0</v>
      </c>
      <c r="N210" s="144">
        <f t="shared" ca="1" si="479"/>
        <v>0</v>
      </c>
      <c r="O210" s="144">
        <f t="shared" ca="1" si="479"/>
        <v>0</v>
      </c>
      <c r="P210" s="144">
        <f t="shared" ca="1" si="479"/>
        <v>0</v>
      </c>
      <c r="Q210" s="144">
        <f t="shared" ca="1" si="479"/>
        <v>0</v>
      </c>
      <c r="R210" s="144">
        <f t="shared" ca="1" si="479"/>
        <v>0</v>
      </c>
      <c r="S210" s="144">
        <f t="shared" ca="1" si="479"/>
        <v>0</v>
      </c>
      <c r="T210" s="144">
        <f t="shared" ca="1" si="479"/>
        <v>0</v>
      </c>
      <c r="U210" s="144">
        <f t="shared" ca="1" si="479"/>
        <v>0</v>
      </c>
      <c r="V210" s="144">
        <f t="shared" ca="1" si="479"/>
        <v>0</v>
      </c>
      <c r="W210" s="144">
        <f t="shared" ca="1" si="479"/>
        <v>0</v>
      </c>
      <c r="X210" s="144">
        <f t="shared" ca="1" si="479"/>
        <v>0</v>
      </c>
      <c r="Y210" s="144">
        <f t="shared" ca="1" si="479"/>
        <v>0</v>
      </c>
      <c r="Z210" s="144">
        <f t="shared" ca="1" si="479"/>
        <v>0</v>
      </c>
      <c r="AA210" s="699"/>
      <c r="AB210" s="699"/>
      <c r="AC210" s="699"/>
      <c r="AD210" s="699"/>
      <c r="AE210" s="49"/>
      <c r="AF210" s="49"/>
      <c r="AG210" s="49"/>
      <c r="AH210" s="49"/>
      <c r="AI210" s="49"/>
      <c r="AJ210" s="49"/>
      <c r="AK210" s="49"/>
      <c r="AL210" s="49"/>
      <c r="AM210" s="49"/>
      <c r="AN210" s="49"/>
      <c r="AO210" s="49"/>
      <c r="AP210" s="49"/>
      <c r="AQ210" s="49"/>
      <c r="AR210" s="49"/>
      <c r="AS210" s="49"/>
      <c r="AT210" s="49"/>
      <c r="AU210" s="49"/>
      <c r="AV210" s="49"/>
      <c r="AW210" s="49"/>
      <c r="AX210" s="49"/>
      <c r="AY210" s="49"/>
      <c r="AZ210" s="49"/>
      <c r="BA210" s="49"/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</row>
    <row r="211" spans="1:66">
      <c r="A211" s="699"/>
      <c r="B211" s="49"/>
      <c r="C211" s="49"/>
      <c r="D211" s="49"/>
      <c r="E211" s="49"/>
      <c r="F211" s="699"/>
      <c r="G211" s="699"/>
      <c r="H211" s="699"/>
      <c r="I211" s="699"/>
      <c r="J211" s="699"/>
      <c r="K211" s="699"/>
      <c r="L211" s="699"/>
      <c r="M211" s="699"/>
      <c r="N211" s="699"/>
      <c r="O211" s="699"/>
      <c r="P211" s="699"/>
      <c r="Q211" s="699"/>
      <c r="R211" s="699"/>
      <c r="S211" s="699"/>
      <c r="T211" s="699"/>
      <c r="U211" s="699"/>
      <c r="V211" s="699"/>
      <c r="W211" s="699"/>
      <c r="X211" s="699"/>
      <c r="Y211" s="699"/>
      <c r="Z211" s="699"/>
      <c r="AA211" s="699"/>
      <c r="AB211" s="699"/>
      <c r="AC211" s="699"/>
      <c r="AD211" s="699"/>
      <c r="AE211" s="49"/>
      <c r="AF211" s="49"/>
      <c r="AG211" s="49"/>
      <c r="AH211" s="49"/>
      <c r="AI211" s="49"/>
      <c r="AJ211" s="49"/>
      <c r="AK211" s="49"/>
      <c r="AL211" s="49"/>
      <c r="AM211" s="49"/>
      <c r="AN211" s="49"/>
      <c r="AO211" s="49"/>
      <c r="AP211" s="49"/>
      <c r="AQ211" s="49"/>
      <c r="AR211" s="49"/>
      <c r="AS211" s="49"/>
      <c r="AT211" s="49"/>
      <c r="AU211" s="49"/>
      <c r="AV211" s="49"/>
      <c r="AW211" s="49"/>
      <c r="AX211" s="49"/>
      <c r="AY211" s="49"/>
      <c r="AZ211" s="49"/>
      <c r="BA211" s="49"/>
      <c r="BB211" s="49"/>
      <c r="BC211" s="49"/>
      <c r="BD211" s="49"/>
      <c r="BE211" s="49"/>
      <c r="BF211" s="49"/>
      <c r="BG211" s="49"/>
      <c r="BH211" s="49"/>
      <c r="BI211" s="49"/>
      <c r="BJ211" s="49"/>
      <c r="BK211" s="49"/>
      <c r="BL211" s="49"/>
      <c r="BM211" s="49"/>
      <c r="BN211" s="49"/>
    </row>
    <row r="212" spans="1:66" ht="21" customHeight="1">
      <c r="A212" s="699"/>
      <c r="B212" s="112" t="s">
        <v>1155</v>
      </c>
      <c r="C212" s="49"/>
      <c r="D212" s="49"/>
      <c r="E212" s="49"/>
      <c r="F212" s="699"/>
      <c r="G212" s="699"/>
      <c r="H212" s="699"/>
      <c r="I212" s="699"/>
      <c r="J212" s="699"/>
      <c r="K212" s="699"/>
      <c r="L212" s="699"/>
      <c r="M212" s="699"/>
      <c r="N212" s="699"/>
      <c r="O212" s="699"/>
      <c r="P212" s="699"/>
      <c r="Q212" s="699"/>
      <c r="R212" s="699"/>
      <c r="S212" s="699"/>
      <c r="T212" s="699"/>
      <c r="U212" s="699"/>
      <c r="V212" s="699"/>
      <c r="W212" s="699"/>
      <c r="X212" s="699"/>
      <c r="Y212" s="699"/>
      <c r="Z212" s="699"/>
      <c r="AA212" s="699"/>
      <c r="AB212" s="699"/>
      <c r="AC212" s="699"/>
      <c r="AD212" s="699"/>
      <c r="AE212" s="49"/>
      <c r="AF212" s="49"/>
      <c r="AG212" s="49"/>
      <c r="AH212" s="49"/>
      <c r="AI212" s="49"/>
      <c r="AJ212" s="49"/>
      <c r="AK212" s="49"/>
      <c r="AL212" s="49"/>
      <c r="AM212" s="49"/>
      <c r="AN212" s="49"/>
      <c r="AO212" s="49"/>
      <c r="AP212" s="49"/>
      <c r="AQ212" s="49"/>
      <c r="AR212" s="49"/>
      <c r="AS212" s="49"/>
      <c r="AT212" s="49"/>
      <c r="AU212" s="49"/>
      <c r="AV212" s="49"/>
      <c r="AW212" s="49"/>
      <c r="AX212" s="49"/>
      <c r="AY212" s="49"/>
      <c r="AZ212" s="49"/>
      <c r="BA212" s="49"/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</row>
    <row r="213" spans="1:66">
      <c r="A213" s="699"/>
      <c r="B213" s="699" t="s">
        <v>1156</v>
      </c>
      <c r="C213" s="49"/>
      <c r="D213" s="49"/>
      <c r="E213" s="49"/>
      <c r="F213" s="83">
        <f>+IF(YEAR(F$129)=YEAR(Assumptions!$F$35),F196,0)</f>
        <v>0</v>
      </c>
      <c r="G213" s="83">
        <f>+IF(YEAR(G$129)=YEAR(Assumptions!$F$35),G196,0)</f>
        <v>0</v>
      </c>
      <c r="H213" s="83">
        <f>+IF(YEAR(H$129)=YEAR(Assumptions!$F$35),H196,0)</f>
        <v>0</v>
      </c>
      <c r="I213" s="83">
        <f>+IF(YEAR(I$129)=YEAR(Assumptions!$F$35),I196,0)</f>
        <v>0</v>
      </c>
      <c r="J213" s="83">
        <f>+IF(YEAR(J$129)=YEAR(Assumptions!$F$35),J196,0)</f>
        <v>0</v>
      </c>
      <c r="K213" s="83">
        <f>+IF(YEAR(K$129)=YEAR(Assumptions!$F$35),K196,0)</f>
        <v>0</v>
      </c>
      <c r="L213" s="83">
        <f>+IF(YEAR(L$129)=YEAR(Assumptions!$F$35),L196,0)</f>
        <v>0</v>
      </c>
      <c r="M213" s="83">
        <f>+IF(YEAR(M$129)=YEAR(Assumptions!$F$35),M196,0)</f>
        <v>0</v>
      </c>
      <c r="N213" s="83">
        <f>+IF(YEAR(N$129)=YEAR(Assumptions!$F$35),N196,0)</f>
        <v>0</v>
      </c>
      <c r="O213" s="83">
        <f>+IF(YEAR(O$129)=YEAR(Assumptions!$F$35),O196,0)</f>
        <v>0</v>
      </c>
      <c r="P213" s="83">
        <f ca="1">+IF(YEAR(P$129)=YEAR(Assumptions!$F$35),P196,0)</f>
        <v>0</v>
      </c>
      <c r="Q213" s="83">
        <f>+IF(YEAR(Q$129)=YEAR(Assumptions!$F$35),Q196,0)</f>
        <v>0</v>
      </c>
      <c r="R213" s="83">
        <f>+IF(YEAR(R$129)=YEAR(Assumptions!$F$35),R196,0)</f>
        <v>0</v>
      </c>
      <c r="S213" s="83">
        <f>+IF(YEAR(S$129)=YEAR(Assumptions!$F$35),S196,0)</f>
        <v>0</v>
      </c>
      <c r="T213" s="83">
        <f>+IF(YEAR(T$129)=YEAR(Assumptions!$F$35),T196,0)</f>
        <v>0</v>
      </c>
      <c r="U213" s="83">
        <f>+IF(YEAR(U$129)=YEAR(Assumptions!$F$35),U196,0)</f>
        <v>0</v>
      </c>
      <c r="V213" s="83">
        <f>+IF(YEAR(V$129)=YEAR(Assumptions!$F$35),V196,0)</f>
        <v>0</v>
      </c>
      <c r="W213" s="83">
        <f>+IF(YEAR(W$129)=YEAR(Assumptions!$F$35),W196,0)</f>
        <v>0</v>
      </c>
      <c r="X213" s="83">
        <f>+IF(YEAR(X$129)=YEAR(Assumptions!$F$35),X196,0)</f>
        <v>0</v>
      </c>
      <c r="Y213" s="83">
        <f>+IF(YEAR(Y$129)=YEAR(Assumptions!$F$35),Y196,0)</f>
        <v>0</v>
      </c>
      <c r="Z213" s="83">
        <f>+IF(YEAR(Z$129)=YEAR(Assumptions!$F$35),Z196,0)</f>
        <v>0</v>
      </c>
      <c r="AA213" s="699"/>
      <c r="AB213" s="699"/>
      <c r="AC213" s="699"/>
      <c r="AD213" s="699"/>
      <c r="AE213" s="49"/>
      <c r="AF213" s="49"/>
      <c r="AG213" s="49"/>
      <c r="AH213" s="49"/>
      <c r="AI213" s="49"/>
      <c r="AJ213" s="49"/>
      <c r="AK213" s="49"/>
      <c r="AL213" s="49"/>
      <c r="AM213" s="49"/>
      <c r="AN213" s="49"/>
      <c r="AO213" s="49"/>
      <c r="AP213" s="49"/>
      <c r="AQ213" s="49"/>
      <c r="AR213" s="49"/>
      <c r="AS213" s="49"/>
      <c r="AT213" s="49"/>
      <c r="AU213" s="49"/>
      <c r="AV213" s="49"/>
      <c r="AW213" s="49"/>
      <c r="AX213" s="49"/>
      <c r="AY213" s="49"/>
      <c r="AZ213" s="49"/>
      <c r="BA213" s="49"/>
      <c r="BB213" s="49"/>
      <c r="BC213" s="49"/>
      <c r="BD213" s="49"/>
      <c r="BE213" s="49"/>
      <c r="BF213" s="49"/>
      <c r="BG213" s="49"/>
      <c r="BH213" s="49"/>
      <c r="BI213" s="49"/>
      <c r="BJ213" s="49"/>
      <c r="BK213" s="49"/>
      <c r="BL213" s="49"/>
      <c r="BM213" s="49"/>
      <c r="BN213" s="49"/>
    </row>
    <row r="214" spans="1:66">
      <c r="A214" s="699"/>
      <c r="B214" s="699" t="s">
        <v>1158</v>
      </c>
      <c r="C214" s="49"/>
      <c r="D214" s="49"/>
      <c r="E214" s="49"/>
      <c r="F214" s="90">
        <f>-F213*Assumptions!$F$42</f>
        <v>0</v>
      </c>
      <c r="G214" s="90">
        <f>-G213*Assumptions!$F$42</f>
        <v>0</v>
      </c>
      <c r="H214" s="90">
        <f>-H213*Assumptions!$F$42</f>
        <v>0</v>
      </c>
      <c r="I214" s="90">
        <f>-I213*Assumptions!$F$42</f>
        <v>0</v>
      </c>
      <c r="J214" s="90">
        <f>-J213*Assumptions!$F$42</f>
        <v>0</v>
      </c>
      <c r="K214" s="90">
        <f>-K213*Assumptions!$F$42</f>
        <v>0</v>
      </c>
      <c r="L214" s="90">
        <f>-L213*Assumptions!$F$42</f>
        <v>0</v>
      </c>
      <c r="M214" s="90">
        <f>-M213*Assumptions!$F$42</f>
        <v>0</v>
      </c>
      <c r="N214" s="90">
        <f>-N213*Assumptions!$F$42</f>
        <v>0</v>
      </c>
      <c r="O214" s="90">
        <f>-O213*Assumptions!$F$42</f>
        <v>0</v>
      </c>
      <c r="P214" s="90">
        <f ca="1">-P213*Assumptions!$F$42</f>
        <v>0</v>
      </c>
      <c r="Q214" s="90">
        <f>-Q213*Assumptions!$F$42</f>
        <v>0</v>
      </c>
      <c r="R214" s="90">
        <f>-R213*Assumptions!$F$42</f>
        <v>0</v>
      </c>
      <c r="S214" s="90">
        <f>-S213*Assumptions!$F$42</f>
        <v>0</v>
      </c>
      <c r="T214" s="90">
        <f>-T213*Assumptions!$F$42</f>
        <v>0</v>
      </c>
      <c r="U214" s="90">
        <f>-U213*Assumptions!$F$42</f>
        <v>0</v>
      </c>
      <c r="V214" s="90">
        <f>-V213*Assumptions!$F$42</f>
        <v>0</v>
      </c>
      <c r="W214" s="90">
        <f>-W213*Assumptions!$F$42</f>
        <v>0</v>
      </c>
      <c r="X214" s="90">
        <f>-X213*Assumptions!$F$42</f>
        <v>0</v>
      </c>
      <c r="Y214" s="90">
        <f>-Y213*Assumptions!$F$42</f>
        <v>0</v>
      </c>
      <c r="Z214" s="90">
        <f>-Z213*Assumptions!$F$42</f>
        <v>0</v>
      </c>
      <c r="AA214" s="699"/>
      <c r="AB214" s="699"/>
      <c r="AC214" s="699"/>
      <c r="AD214" s="699"/>
      <c r="AE214" s="49"/>
      <c r="AF214" s="49"/>
      <c r="AG214" s="49"/>
      <c r="AH214" s="49"/>
      <c r="AI214" s="49"/>
      <c r="AJ214" s="49"/>
      <c r="AK214" s="49"/>
      <c r="AL214" s="49"/>
      <c r="AM214" s="49"/>
      <c r="AN214" s="49"/>
      <c r="AO214" s="49"/>
      <c r="AP214" s="49"/>
      <c r="AQ214" s="49"/>
      <c r="AR214" s="49"/>
      <c r="AS214" s="49"/>
      <c r="AT214" s="49"/>
      <c r="AU214" s="49"/>
      <c r="AV214" s="49"/>
      <c r="AW214" s="49"/>
      <c r="AX214" s="49"/>
      <c r="AY214" s="49"/>
      <c r="AZ214" s="49"/>
      <c r="BA214" s="49"/>
      <c r="BB214" s="49"/>
      <c r="BC214" s="49"/>
      <c r="BD214" s="49"/>
      <c r="BE214" s="49"/>
      <c r="BF214" s="49"/>
      <c r="BG214" s="49"/>
      <c r="BH214" s="49"/>
      <c r="BI214" s="49"/>
      <c r="BJ214" s="49"/>
      <c r="BK214" s="49"/>
      <c r="BL214" s="49"/>
      <c r="BM214" s="49"/>
      <c r="BN214" s="49"/>
    </row>
    <row r="215" spans="1:66">
      <c r="A215" s="699"/>
      <c r="B215" s="699" t="s">
        <v>1159</v>
      </c>
      <c r="C215" s="49"/>
      <c r="D215" s="49"/>
      <c r="E215" s="49"/>
      <c r="F215" s="90">
        <f>+IF(YEAR(F$129)=YEAR(Assumptions!$F$35),-'Phase 1 Pro Forma'!F202,0)</f>
        <v>0</v>
      </c>
      <c r="G215" s="90">
        <f>+IF(YEAR(G$129)=YEAR(Assumptions!$F$35),-'Phase 1 Pro Forma'!G202,0)</f>
        <v>0</v>
      </c>
      <c r="H215" s="90">
        <f>+IF(YEAR(H$129)=YEAR(Assumptions!$F$35),-'Phase 1 Pro Forma'!H202,0)</f>
        <v>0</v>
      </c>
      <c r="I215" s="90">
        <f>+IF(YEAR(I$129)=YEAR(Assumptions!$F$35),-'Phase 1 Pro Forma'!I202,0)</f>
        <v>0</v>
      </c>
      <c r="J215" s="90">
        <f>+IF(YEAR(J$129)=YEAR(Assumptions!$F$35),-'Phase 1 Pro Forma'!J202,0)</f>
        <v>0</v>
      </c>
      <c r="K215" s="90">
        <f>+IF(YEAR(K$129)=YEAR(Assumptions!$F$35),-'Phase 1 Pro Forma'!K202,0)</f>
        <v>0</v>
      </c>
      <c r="L215" s="90">
        <f>+IF(YEAR(L$129)=YEAR(Assumptions!$F$35),-'Phase 1 Pro Forma'!L202,0)</f>
        <v>0</v>
      </c>
      <c r="M215" s="90">
        <f>+IF(YEAR(M$129)=YEAR(Assumptions!$F$35),-'Phase 1 Pro Forma'!M202,0)</f>
        <v>0</v>
      </c>
      <c r="N215" s="90">
        <f>+IF(YEAR(N$129)=YEAR(Assumptions!$F$35),-'Phase 1 Pro Forma'!N202,0)</f>
        <v>0</v>
      </c>
      <c r="O215" s="90">
        <f>+IF(YEAR(O$129)=YEAR(Assumptions!$F$35),-'Phase 1 Pro Forma'!O202,0)</f>
        <v>0</v>
      </c>
      <c r="P215" s="90">
        <f>+IF(YEAR(P$129)=YEAR(Assumptions!$F$35),-'Phase 1 Pro Forma'!P202,0)</f>
        <v>0</v>
      </c>
      <c r="Q215" s="90">
        <f>+IF(YEAR(Q$129)=YEAR(Assumptions!$F$35),-'Phase 1 Pro Forma'!Q202,0)</f>
        <v>0</v>
      </c>
      <c r="R215" s="90">
        <f>+IF(YEAR(R$129)=YEAR(Assumptions!$F$35),-'Phase 1 Pro Forma'!R202,0)</f>
        <v>0</v>
      </c>
      <c r="S215" s="90">
        <f>+IF(YEAR(S$129)=YEAR(Assumptions!$F$35),-'Phase 1 Pro Forma'!S202,0)</f>
        <v>0</v>
      </c>
      <c r="T215" s="90">
        <f>+IF(YEAR(T$129)=YEAR(Assumptions!$F$35),-'Phase 1 Pro Forma'!T202,0)</f>
        <v>0</v>
      </c>
      <c r="U215" s="90">
        <f>+IF(YEAR(U$129)=YEAR(Assumptions!$F$35),-'Phase 1 Pro Forma'!U202,0)</f>
        <v>0</v>
      </c>
      <c r="V215" s="90">
        <f>+IF(YEAR(V$129)=YEAR(Assumptions!$F$35),-'Phase 1 Pro Forma'!V202,0)</f>
        <v>0</v>
      </c>
      <c r="W215" s="90">
        <f>+IF(YEAR(W$129)=YEAR(Assumptions!$F$35),-'Phase 1 Pro Forma'!W202,0)</f>
        <v>0</v>
      </c>
      <c r="X215" s="90">
        <f>+IF(YEAR(X$129)=YEAR(Assumptions!$F$35),-'Phase 1 Pro Forma'!X202,0)</f>
        <v>0</v>
      </c>
      <c r="Y215" s="90">
        <f>+IF(YEAR(Y$129)=YEAR(Assumptions!$F$35),-'Phase 1 Pro Forma'!Y202,0)</f>
        <v>0</v>
      </c>
      <c r="Z215" s="90">
        <f>+IF(YEAR(Z$129)=YEAR(Assumptions!$F$35),-'Phase 1 Pro Forma'!Z202,0)</f>
        <v>0</v>
      </c>
      <c r="AA215" s="699"/>
      <c r="AB215" s="699"/>
      <c r="AC215" s="699"/>
      <c r="AD215" s="699"/>
      <c r="AE215" s="49"/>
      <c r="AF215" s="49"/>
      <c r="AG215" s="49"/>
      <c r="AH215" s="49"/>
      <c r="AI215" s="49"/>
      <c r="AJ215" s="49"/>
      <c r="AK215" s="49"/>
      <c r="AL215" s="49"/>
      <c r="AM215" s="49"/>
      <c r="AN215" s="49"/>
      <c r="AO215" s="49"/>
      <c r="AP215" s="49"/>
      <c r="AQ215" s="49"/>
      <c r="AR215" s="49"/>
      <c r="AS215" s="49"/>
      <c r="AT215" s="49"/>
      <c r="AU215" s="49"/>
      <c r="AV215" s="49"/>
      <c r="AW215" s="49"/>
      <c r="AX215" s="49"/>
      <c r="AY215" s="49"/>
      <c r="AZ215" s="49"/>
      <c r="BA215" s="49"/>
      <c r="BB215" s="49"/>
      <c r="BC215" s="49"/>
      <c r="BD215" s="49"/>
      <c r="BE215" s="49"/>
      <c r="BF215" s="49"/>
      <c r="BG215" s="49"/>
      <c r="BH215" s="49"/>
      <c r="BI215" s="49"/>
      <c r="BJ215" s="49"/>
      <c r="BK215" s="49"/>
      <c r="BL215" s="49"/>
      <c r="BM215" s="49"/>
      <c r="BN215" s="49"/>
    </row>
    <row r="216" spans="1:66">
      <c r="A216" s="699"/>
      <c r="B216" s="61" t="s">
        <v>1160</v>
      </c>
      <c r="C216" s="61"/>
      <c r="D216" s="61"/>
      <c r="E216" s="61"/>
      <c r="F216" s="64">
        <f>+SUM(F213:F215)</f>
        <v>0</v>
      </c>
      <c r="G216" s="64">
        <f t="shared" ref="G216:Z216" si="480">+SUM(G213:G215)</f>
        <v>0</v>
      </c>
      <c r="H216" s="64">
        <f t="shared" si="480"/>
        <v>0</v>
      </c>
      <c r="I216" s="64">
        <f t="shared" si="480"/>
        <v>0</v>
      </c>
      <c r="J216" s="64">
        <f t="shared" si="480"/>
        <v>0</v>
      </c>
      <c r="K216" s="64">
        <f t="shared" si="480"/>
        <v>0</v>
      </c>
      <c r="L216" s="64">
        <f t="shared" si="480"/>
        <v>0</v>
      </c>
      <c r="M216" s="64">
        <f t="shared" si="480"/>
        <v>0</v>
      </c>
      <c r="N216" s="64">
        <f t="shared" si="480"/>
        <v>0</v>
      </c>
      <c r="O216" s="64">
        <f t="shared" si="480"/>
        <v>0</v>
      </c>
      <c r="P216" s="64">
        <f t="shared" ca="1" si="480"/>
        <v>0</v>
      </c>
      <c r="Q216" s="64">
        <f t="shared" si="480"/>
        <v>0</v>
      </c>
      <c r="R216" s="64">
        <f t="shared" si="480"/>
        <v>0</v>
      </c>
      <c r="S216" s="64">
        <f t="shared" si="480"/>
        <v>0</v>
      </c>
      <c r="T216" s="64">
        <f t="shared" si="480"/>
        <v>0</v>
      </c>
      <c r="U216" s="64">
        <f t="shared" si="480"/>
        <v>0</v>
      </c>
      <c r="V216" s="64">
        <f t="shared" si="480"/>
        <v>0</v>
      </c>
      <c r="W216" s="64">
        <f t="shared" si="480"/>
        <v>0</v>
      </c>
      <c r="X216" s="64">
        <f t="shared" si="480"/>
        <v>0</v>
      </c>
      <c r="Y216" s="64">
        <f t="shared" si="480"/>
        <v>0</v>
      </c>
      <c r="Z216" s="64">
        <f t="shared" si="480"/>
        <v>0</v>
      </c>
      <c r="AA216" s="699"/>
      <c r="AB216" s="699"/>
      <c r="AC216" s="699"/>
      <c r="AD216" s="699"/>
      <c r="AE216" s="49"/>
      <c r="AF216" s="49"/>
      <c r="AG216" s="49"/>
      <c r="AH216" s="49"/>
      <c r="AI216" s="49"/>
      <c r="AJ216" s="49"/>
      <c r="AK216" s="49"/>
      <c r="AL216" s="49"/>
      <c r="AM216" s="49"/>
      <c r="AN216" s="49"/>
      <c r="AO216" s="49"/>
      <c r="AP216" s="49"/>
      <c r="AQ216" s="49"/>
      <c r="AR216" s="49"/>
      <c r="AS216" s="49"/>
      <c r="AT216" s="49"/>
      <c r="AU216" s="49"/>
      <c r="AV216" s="49"/>
      <c r="AW216" s="49"/>
      <c r="AX216" s="49"/>
      <c r="AY216" s="49"/>
      <c r="AZ216" s="49"/>
      <c r="BA216" s="49"/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</row>
    <row r="217" spans="1:66">
      <c r="A217" s="699" t="s">
        <v>511</v>
      </c>
      <c r="B217" s="49"/>
      <c r="C217" s="49"/>
      <c r="D217" s="49"/>
      <c r="E217" s="49"/>
      <c r="F217" s="699"/>
      <c r="G217" s="699"/>
      <c r="H217" s="699"/>
      <c r="I217" s="699"/>
      <c r="J217" s="699"/>
      <c r="K217" s="699"/>
      <c r="L217" s="699"/>
      <c r="M217" s="699"/>
      <c r="N217" s="699"/>
      <c r="O217" s="699"/>
      <c r="P217" s="699"/>
      <c r="Q217" s="699"/>
      <c r="R217" s="699"/>
      <c r="S217" s="699"/>
      <c r="T217" s="699"/>
      <c r="U217" s="699"/>
      <c r="V217" s="699"/>
      <c r="W217" s="699"/>
      <c r="X217" s="699"/>
      <c r="Y217" s="699"/>
      <c r="Z217" s="699"/>
      <c r="AA217" s="699"/>
      <c r="AB217" s="699"/>
      <c r="AC217" s="699"/>
      <c r="AD217" s="69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  <c r="BK217" s="49"/>
      <c r="BL217" s="49"/>
      <c r="BM217" s="49"/>
      <c r="BN217" s="49"/>
    </row>
    <row r="218" spans="1:66">
      <c r="A218" s="699"/>
      <c r="B218" s="49"/>
      <c r="C218" s="49"/>
      <c r="D218" s="49"/>
      <c r="E218" s="49"/>
      <c r="F218" s="699"/>
      <c r="G218" s="699"/>
      <c r="H218" s="699"/>
      <c r="I218" s="699"/>
      <c r="J218" s="699"/>
      <c r="K218" s="699"/>
      <c r="L218" s="699"/>
      <c r="M218" s="699"/>
      <c r="N218" s="699"/>
      <c r="O218" s="699"/>
      <c r="P218" s="699"/>
      <c r="Q218" s="699"/>
      <c r="R218" s="699"/>
      <c r="S218" s="699"/>
      <c r="T218" s="699"/>
      <c r="U218" s="699"/>
      <c r="V218" s="699"/>
      <c r="W218" s="699"/>
      <c r="X218" s="699"/>
      <c r="Y218" s="699"/>
      <c r="Z218" s="699"/>
      <c r="AA218" s="699"/>
      <c r="AB218" s="699"/>
      <c r="AC218" s="699"/>
      <c r="AD218" s="699"/>
      <c r="AE218" s="49"/>
      <c r="AF218" s="49"/>
      <c r="AG218" s="49"/>
      <c r="AH218" s="49"/>
      <c r="AI218" s="49"/>
      <c r="AJ218" s="49"/>
      <c r="AK218" s="49"/>
      <c r="AL218" s="49"/>
      <c r="AM218" s="49"/>
      <c r="AN218" s="49"/>
      <c r="AO218" s="49"/>
      <c r="AP218" s="49"/>
      <c r="AQ218" s="49"/>
      <c r="AR218" s="49"/>
      <c r="AS218" s="49"/>
      <c r="AT218" s="49"/>
      <c r="AU218" s="49"/>
      <c r="AV218" s="49"/>
      <c r="AW218" s="49"/>
      <c r="AX218" s="49"/>
      <c r="AY218" s="49"/>
      <c r="AZ218" s="49"/>
      <c r="BA218" s="49"/>
      <c r="BB218" s="49"/>
      <c r="BC218" s="49"/>
      <c r="BD218" s="49"/>
      <c r="BE218" s="49"/>
      <c r="BF218" s="49"/>
      <c r="BG218" s="49"/>
      <c r="BH218" s="49"/>
      <c r="BI218" s="49"/>
      <c r="BJ218" s="49"/>
      <c r="BK218" s="49"/>
      <c r="BL218" s="49"/>
      <c r="BM218" s="49"/>
      <c r="BN218" s="49"/>
    </row>
    <row r="219" spans="1:66" ht="15.75">
      <c r="A219" s="699"/>
      <c r="B219" s="50" t="s">
        <v>1179</v>
      </c>
      <c r="C219" s="50"/>
      <c r="D219" s="50"/>
      <c r="E219" s="50"/>
      <c r="F219" s="55">
        <f ca="1">+IF(YEAR(F$129)&lt;=YEAR(Assumptions!$F$35),'Phase 1 Pro Forma'!F216+'Phase 1 Pro Forma'!F210,0)</f>
        <v>0</v>
      </c>
      <c r="G219" s="55">
        <f ca="1">+IF(YEAR(G$129)&lt;=YEAR(Assumptions!$F$35),'Phase 1 Pro Forma'!G216+'Phase 1 Pro Forma'!G210,0)</f>
        <v>0</v>
      </c>
      <c r="H219" s="55">
        <f ca="1">+IF(YEAR(H$129)&lt;=YEAR(Assumptions!$F$35),'Phase 1 Pro Forma'!H216+'Phase 1 Pro Forma'!H210,0)</f>
        <v>0</v>
      </c>
      <c r="I219" s="55">
        <f ca="1">+IF(YEAR(I$129)&lt;=YEAR(Assumptions!$F$35),'Phase 1 Pro Forma'!I216+'Phase 1 Pro Forma'!I210,0)</f>
        <v>0</v>
      </c>
      <c r="J219" s="55">
        <f ca="1">+IF(YEAR(J$129)&lt;=YEAR(Assumptions!$F$35),'Phase 1 Pro Forma'!J216+'Phase 1 Pro Forma'!J210,0)</f>
        <v>0</v>
      </c>
      <c r="K219" s="55">
        <f ca="1">+IF(YEAR(K$129)&lt;=YEAR(Assumptions!$F$35),'Phase 1 Pro Forma'!K216+'Phase 1 Pro Forma'!K210,0)</f>
        <v>0</v>
      </c>
      <c r="L219" s="55">
        <f ca="1">+IF(YEAR(L$129)&lt;=YEAR(Assumptions!$F$35),'Phase 1 Pro Forma'!L216+'Phase 1 Pro Forma'!L210,0)</f>
        <v>0</v>
      </c>
      <c r="M219" s="55">
        <f ca="1">+IF(YEAR(M$129)&lt;=YEAR(Assumptions!$F$35),'Phase 1 Pro Forma'!M216+'Phase 1 Pro Forma'!M210,0)</f>
        <v>0</v>
      </c>
      <c r="N219" s="55">
        <f ca="1">+IF(YEAR(N$129)&lt;=YEAR(Assumptions!$F$35),'Phase 1 Pro Forma'!N216+'Phase 1 Pro Forma'!N210,0)</f>
        <v>0</v>
      </c>
      <c r="O219" s="55">
        <f ca="1">+IF(YEAR(O$129)&lt;=YEAR(Assumptions!$F$35),'Phase 1 Pro Forma'!O216+'Phase 1 Pro Forma'!O210,0)</f>
        <v>0</v>
      </c>
      <c r="P219" s="55">
        <f ca="1">+IF(YEAR(P$129)&lt;=YEAR(Assumptions!$F$35),'Phase 1 Pro Forma'!P216+'Phase 1 Pro Forma'!P210,0)</f>
        <v>0</v>
      </c>
      <c r="Q219" s="55">
        <f>+IF(YEAR(Q$129)&lt;=YEAR(Assumptions!$F$35),'Phase 1 Pro Forma'!Q216+'Phase 1 Pro Forma'!Q210,0)</f>
        <v>0</v>
      </c>
      <c r="R219" s="55">
        <f>+IF(YEAR(R$129)&lt;=YEAR(Assumptions!$F$35),'Phase 1 Pro Forma'!R216+'Phase 1 Pro Forma'!R210,0)</f>
        <v>0</v>
      </c>
      <c r="S219" s="55">
        <f>+IF(YEAR(S$129)&lt;=YEAR(Assumptions!$F$35),'Phase 1 Pro Forma'!S216+'Phase 1 Pro Forma'!S210,0)</f>
        <v>0</v>
      </c>
      <c r="T219" s="55">
        <f>+IF(YEAR(T$129)&lt;=YEAR(Assumptions!$F$35),'Phase 1 Pro Forma'!T216+'Phase 1 Pro Forma'!T210,0)</f>
        <v>0</v>
      </c>
      <c r="U219" s="55">
        <f>+IF(YEAR(U$129)&lt;=YEAR(Assumptions!$F$35),'Phase 1 Pro Forma'!U216+'Phase 1 Pro Forma'!U210,0)</f>
        <v>0</v>
      </c>
      <c r="V219" s="55">
        <f>+IF(YEAR(V$129)&lt;=YEAR(Assumptions!$F$35),'Phase 1 Pro Forma'!V216+'Phase 1 Pro Forma'!V210,0)</f>
        <v>0</v>
      </c>
      <c r="W219" s="55">
        <f>+IF(YEAR(W$129)&lt;=YEAR(Assumptions!$F$35),'Phase 1 Pro Forma'!W216+'Phase 1 Pro Forma'!W210,0)</f>
        <v>0</v>
      </c>
      <c r="X219" s="55">
        <f>+IF(YEAR(X$129)&lt;=YEAR(Assumptions!$F$35),'Phase 1 Pro Forma'!X216+'Phase 1 Pro Forma'!X210,0)</f>
        <v>0</v>
      </c>
      <c r="Y219" s="55">
        <f>+IF(YEAR(Y$129)&lt;=YEAR(Assumptions!$F$35),'Phase 1 Pro Forma'!Y216+'Phase 1 Pro Forma'!Y210,0)</f>
        <v>0</v>
      </c>
      <c r="Z219" s="55">
        <f>+IF(YEAR(Z$129)&lt;=YEAR(Assumptions!$F$35),'Phase 1 Pro Forma'!Z216+'Phase 1 Pro Forma'!Z210,0)</f>
        <v>0</v>
      </c>
      <c r="AA219" s="699"/>
      <c r="AB219" s="699"/>
      <c r="AC219" s="699"/>
      <c r="AD219" s="699"/>
      <c r="AE219" s="49"/>
      <c r="AF219" s="49"/>
      <c r="AG219" s="49"/>
      <c r="AH219" s="49"/>
      <c r="AI219" s="49"/>
      <c r="AJ219" s="49"/>
      <c r="AK219" s="49"/>
      <c r="AL219" s="49"/>
      <c r="AM219" s="49"/>
      <c r="AN219" s="49"/>
      <c r="AO219" s="49"/>
      <c r="AP219" s="49"/>
      <c r="AQ219" s="49"/>
      <c r="AR219" s="49"/>
      <c r="AS219" s="49"/>
      <c r="AT219" s="49"/>
      <c r="AU219" s="49"/>
      <c r="AV219" s="49"/>
      <c r="AW219" s="49"/>
      <c r="AX219" s="49"/>
      <c r="AY219" s="49"/>
      <c r="AZ219" s="49"/>
      <c r="BA219" s="49"/>
      <c r="BB219" s="49"/>
      <c r="BC219" s="49"/>
      <c r="BD219" s="49"/>
      <c r="BE219" s="49"/>
      <c r="BF219" s="49"/>
      <c r="BG219" s="49"/>
      <c r="BH219" s="49"/>
      <c r="BI219" s="49"/>
      <c r="BJ219" s="49"/>
      <c r="BK219" s="49"/>
      <c r="BL219" s="49"/>
      <c r="BM219" s="49"/>
      <c r="BN219" s="49"/>
    </row>
    <row r="220" spans="1:66" ht="15.75">
      <c r="A220" s="699"/>
      <c r="B220"/>
      <c r="C220" s="5"/>
      <c r="D220" s="5"/>
      <c r="E220" s="5"/>
      <c r="F220" s="5"/>
      <c r="G220"/>
      <c r="H220" s="49"/>
      <c r="I220" s="49"/>
      <c r="J220" s="49"/>
      <c r="K220" s="49"/>
      <c r="L220" s="49"/>
      <c r="M220" s="49"/>
      <c r="N220" s="49"/>
      <c r="O220" s="49"/>
      <c r="P220" s="49"/>
      <c r="Q220" s="49"/>
      <c r="R220" s="49"/>
      <c r="S220" s="49"/>
      <c r="T220" s="49"/>
      <c r="U220" s="49"/>
      <c r="V220" s="49"/>
      <c r="W220" s="49"/>
      <c r="X220" s="49"/>
      <c r="Y220" s="49"/>
      <c r="Z220" s="49"/>
      <c r="AA220" s="699"/>
      <c r="AB220" s="699"/>
      <c r="AC220" s="699"/>
      <c r="AD220" s="699"/>
      <c r="AE220" s="49"/>
      <c r="AF220" s="49"/>
      <c r="AG220" s="49"/>
      <c r="AH220" s="49"/>
      <c r="AI220" s="49"/>
      <c r="AJ220" s="49"/>
      <c r="AK220" s="49"/>
      <c r="AL220" s="49"/>
      <c r="AM220" s="49"/>
      <c r="AN220" s="49"/>
      <c r="AO220" s="49"/>
      <c r="AP220" s="49"/>
      <c r="AQ220" s="49"/>
      <c r="AR220" s="49"/>
      <c r="AS220" s="49"/>
      <c r="AT220" s="49"/>
      <c r="AU220" s="49"/>
      <c r="AV220" s="49"/>
      <c r="AW220" s="49"/>
      <c r="AX220" s="49"/>
      <c r="AY220" s="49"/>
      <c r="AZ220" s="49"/>
      <c r="BA220" s="49"/>
      <c r="BB220" s="49"/>
      <c r="BC220" s="49"/>
      <c r="BD220" s="49"/>
      <c r="BE220" s="49"/>
      <c r="BF220" s="49"/>
      <c r="BG220" s="49"/>
      <c r="BH220" s="49"/>
      <c r="BI220" s="49"/>
      <c r="BJ220" s="49"/>
      <c r="BK220" s="49"/>
      <c r="BL220" s="49"/>
      <c r="BM220" s="49"/>
      <c r="BN220" s="49"/>
    </row>
    <row r="221" spans="1:66" ht="15.75">
      <c r="A221" s="699"/>
      <c r="B221" s="468" t="s">
        <v>1182</v>
      </c>
      <c r="C221" s="540"/>
      <c r="D221" s="540"/>
      <c r="E221" s="540"/>
      <c r="F221" s="759"/>
      <c r="G221" s="759"/>
      <c r="H221" s="759"/>
      <c r="I221" s="759"/>
      <c r="J221" s="759"/>
      <c r="K221" s="759"/>
      <c r="L221" s="759"/>
      <c r="M221" s="759"/>
      <c r="N221" s="759"/>
      <c r="O221" s="759"/>
      <c r="P221" s="759"/>
      <c r="Q221" s="759"/>
      <c r="R221" s="759"/>
      <c r="S221" s="759"/>
      <c r="T221" s="759"/>
      <c r="U221" s="759"/>
      <c r="V221" s="759"/>
      <c r="W221" s="759"/>
      <c r="X221" s="759"/>
      <c r="Y221" s="759"/>
      <c r="Z221" s="759"/>
      <c r="AA221" s="699"/>
      <c r="AB221" s="699"/>
      <c r="AC221" s="699"/>
      <c r="AD221" s="699"/>
      <c r="AE221" s="49"/>
      <c r="AF221" s="49"/>
      <c r="AG221" s="49"/>
      <c r="AH221" s="49"/>
      <c r="AI221" s="49"/>
      <c r="AJ221" s="49"/>
      <c r="AK221" s="49"/>
      <c r="AL221" s="49"/>
      <c r="AM221" s="49"/>
      <c r="AN221" s="49"/>
      <c r="AO221" s="49"/>
      <c r="AP221" s="49"/>
      <c r="AQ221" s="49"/>
      <c r="AR221" s="49"/>
      <c r="AS221" s="49"/>
      <c r="AT221" s="49"/>
      <c r="AU221" s="49"/>
      <c r="AV221" s="49"/>
      <c r="AW221" s="49"/>
      <c r="AX221" s="49"/>
      <c r="AY221" s="49"/>
      <c r="AZ221" s="49"/>
      <c r="BA221" s="49"/>
      <c r="BB221" s="49"/>
      <c r="BC221" s="49"/>
      <c r="BD221" s="49"/>
      <c r="BE221" s="49"/>
      <c r="BF221" s="49"/>
      <c r="BG221" s="49"/>
      <c r="BH221" s="49"/>
      <c r="BI221" s="49"/>
      <c r="BJ221" s="49"/>
      <c r="BK221" s="49"/>
      <c r="BL221" s="49"/>
      <c r="BM221" s="49"/>
      <c r="BN221" s="49"/>
    </row>
    <row r="222" spans="1:66">
      <c r="A222" s="699"/>
      <c r="B222" s="49"/>
      <c r="C222" s="49"/>
      <c r="D222" s="49"/>
      <c r="E222" s="49"/>
      <c r="F222" s="49"/>
      <c r="G222" s="49"/>
      <c r="H222" s="49"/>
      <c r="I222" s="49"/>
      <c r="J222" s="49"/>
      <c r="K222" s="49"/>
      <c r="L222" s="49"/>
      <c r="M222" s="49"/>
      <c r="N222" s="49"/>
      <c r="O222" s="49"/>
      <c r="P222" s="49"/>
      <c r="Q222" s="49"/>
      <c r="R222" s="49"/>
      <c r="S222" s="49"/>
      <c r="T222" s="49"/>
      <c r="U222" s="49"/>
      <c r="V222" s="49"/>
      <c r="W222" s="49"/>
      <c r="X222" s="49"/>
      <c r="Y222" s="49"/>
      <c r="Z222" s="49"/>
      <c r="AA222" s="699"/>
      <c r="AB222" s="699"/>
      <c r="AC222" s="699"/>
      <c r="AD222" s="699"/>
      <c r="AE222" s="49"/>
      <c r="AF222" s="49"/>
      <c r="AG222" s="49"/>
      <c r="AH222" s="49"/>
      <c r="AI222" s="49"/>
      <c r="AJ222" s="49"/>
      <c r="AK222" s="49"/>
      <c r="AL222" s="49"/>
      <c r="AM222" s="49"/>
      <c r="AN222" s="49"/>
      <c r="AO222" s="49"/>
      <c r="AP222" s="49"/>
      <c r="AQ222" s="49"/>
      <c r="AR222" s="49"/>
      <c r="AS222" s="49"/>
      <c r="AT222" s="49"/>
      <c r="AU222" s="49"/>
      <c r="AV222" s="49"/>
      <c r="AW222" s="49"/>
      <c r="AX222" s="49"/>
      <c r="AY222" s="49"/>
      <c r="AZ222" s="49"/>
      <c r="BA222" s="49"/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</row>
    <row r="223" spans="1:66" ht="15.75">
      <c r="A223" s="699"/>
      <c r="B223" s="53" t="s">
        <v>288</v>
      </c>
      <c r="C223" s="699"/>
      <c r="D223" s="699"/>
      <c r="E223" s="699"/>
      <c r="F223" s="54">
        <f>+Assumptions!$F$27</f>
        <v>45291</v>
      </c>
      <c r="G223" s="54">
        <f t="shared" ref="G223:Z223" si="481">+EOMONTH(F223,12)</f>
        <v>45657</v>
      </c>
      <c r="H223" s="54">
        <f t="shared" si="481"/>
        <v>46022</v>
      </c>
      <c r="I223" s="54">
        <f t="shared" si="481"/>
        <v>46387</v>
      </c>
      <c r="J223" s="54">
        <f t="shared" si="481"/>
        <v>46752</v>
      </c>
      <c r="K223" s="54">
        <f t="shared" si="481"/>
        <v>47118</v>
      </c>
      <c r="L223" s="54">
        <f t="shared" si="481"/>
        <v>47483</v>
      </c>
      <c r="M223" s="54">
        <f t="shared" si="481"/>
        <v>47848</v>
      </c>
      <c r="N223" s="54">
        <f t="shared" si="481"/>
        <v>48213</v>
      </c>
      <c r="O223" s="54">
        <f t="shared" si="481"/>
        <v>48579</v>
      </c>
      <c r="P223" s="54">
        <f t="shared" si="481"/>
        <v>48944</v>
      </c>
      <c r="Q223" s="54">
        <f t="shared" si="481"/>
        <v>49309</v>
      </c>
      <c r="R223" s="54">
        <f t="shared" si="481"/>
        <v>49674</v>
      </c>
      <c r="S223" s="54">
        <f t="shared" si="481"/>
        <v>50040</v>
      </c>
      <c r="T223" s="54">
        <f t="shared" si="481"/>
        <v>50405</v>
      </c>
      <c r="U223" s="54">
        <f t="shared" si="481"/>
        <v>50770</v>
      </c>
      <c r="V223" s="54">
        <f t="shared" si="481"/>
        <v>51135</v>
      </c>
      <c r="W223" s="54">
        <f t="shared" si="481"/>
        <v>51501</v>
      </c>
      <c r="X223" s="54">
        <f t="shared" si="481"/>
        <v>51866</v>
      </c>
      <c r="Y223" s="54">
        <f t="shared" si="481"/>
        <v>52231</v>
      </c>
      <c r="Z223" s="54">
        <f t="shared" si="481"/>
        <v>52596</v>
      </c>
      <c r="AA223" s="699"/>
      <c r="AB223" s="699"/>
      <c r="AC223" s="699"/>
      <c r="AD223" s="699"/>
      <c r="AE223" s="49"/>
      <c r="AF223" s="49"/>
      <c r="AG223" s="49"/>
      <c r="AH223" s="49"/>
      <c r="AI223" s="49"/>
      <c r="AJ223" s="49"/>
      <c r="AK223" s="49"/>
      <c r="AL223" s="49"/>
      <c r="AM223" s="49"/>
      <c r="AN223" s="49"/>
      <c r="AO223" s="49"/>
      <c r="AP223" s="49"/>
      <c r="AQ223" s="49"/>
      <c r="AR223" s="49"/>
      <c r="AS223" s="49"/>
      <c r="AT223" s="49"/>
      <c r="AU223" s="49"/>
      <c r="AV223" s="49"/>
      <c r="AW223" s="49"/>
      <c r="AX223" s="49"/>
      <c r="AY223" s="49"/>
      <c r="AZ223" s="49"/>
      <c r="BA223" s="49"/>
      <c r="BB223" s="49"/>
      <c r="BC223" s="49"/>
      <c r="BD223" s="49"/>
      <c r="BE223" s="49"/>
      <c r="BF223" s="49"/>
      <c r="BG223" s="49"/>
      <c r="BH223" s="49"/>
      <c r="BI223" s="49"/>
      <c r="BJ223" s="49"/>
      <c r="BK223" s="49"/>
      <c r="BL223" s="49"/>
      <c r="BM223" s="49"/>
      <c r="BN223" s="49"/>
    </row>
    <row r="224" spans="1:66">
      <c r="A224" s="699"/>
      <c r="B224" s="699" t="s">
        <v>1120</v>
      </c>
      <c r="C224" s="699"/>
      <c r="D224" s="699"/>
      <c r="E224" s="1050"/>
      <c r="F224" s="1050">
        <f>+IF(F223=Assumptions!$F$31,Assumptions!$F$137/ROUNDUP((12/12),0),)</f>
        <v>0</v>
      </c>
      <c r="G224" s="1050">
        <f>+IF(G223=Assumptions!$F$31,Assumptions!$F$137/ROUNDUP((12/12),0),)</f>
        <v>0</v>
      </c>
      <c r="H224" s="1050">
        <f>+IF(H223=Assumptions!$F$31,Assumptions!$F$137/ROUNDUP((12/12),0),)</f>
        <v>0</v>
      </c>
      <c r="I224" s="1050">
        <f>+IF(I223=Assumptions!$F$31,Assumptions!$F$137/ROUNDUP((12/12),0),)</f>
        <v>0</v>
      </c>
      <c r="J224" s="1050">
        <f>+IF(J223=Assumptions!$F$31,Assumptions!$F$137/ROUNDUP((12/12),0),)</f>
        <v>25053.075000000004</v>
      </c>
      <c r="K224" s="1050">
        <f>+IF(K223=Assumptions!$F$31,Assumptions!$F$137/ROUNDUP((12/12),0),)</f>
        <v>0</v>
      </c>
      <c r="L224" s="1050">
        <f>+IF(L223=Assumptions!$F$31,Assumptions!$F$137/ROUNDUP((12/12),0),)</f>
        <v>0</v>
      </c>
      <c r="M224" s="1050">
        <f>+IF(M223=Assumptions!$F$31,Assumptions!$F$137/ROUNDUP((12/12),0),)</f>
        <v>0</v>
      </c>
      <c r="N224" s="1050">
        <f>+IF(N223=Assumptions!$F$31,Assumptions!$F$137/ROUNDUP((12/12),0),)</f>
        <v>0</v>
      </c>
      <c r="O224" s="1050">
        <f>+IF(O223=Assumptions!$F$31,Assumptions!$F$137/ROUNDUP((12/12),0),)</f>
        <v>0</v>
      </c>
      <c r="P224" s="1050">
        <f>+IF(P223=Assumptions!$F$31,Assumptions!$F$137/ROUNDUP((12/12),0),)</f>
        <v>0</v>
      </c>
      <c r="Q224" s="1050">
        <f>+IF(Q223=Assumptions!$F$31,Assumptions!$F$137/ROUNDUP((12/12),0),)</f>
        <v>0</v>
      </c>
      <c r="R224" s="1050">
        <f>+IF(R223=Assumptions!$F$31,Assumptions!$F$137/ROUNDUP((12/12),0),)</f>
        <v>0</v>
      </c>
      <c r="S224" s="1050">
        <f>+IF(S223=Assumptions!$F$31,Assumptions!$F$137/ROUNDUP((12/12),0),)</f>
        <v>0</v>
      </c>
      <c r="T224" s="1050">
        <f>+IF(T223=Assumptions!$F$31,Assumptions!$F$137/ROUNDUP((12/12),0),)</f>
        <v>0</v>
      </c>
      <c r="U224" s="1050">
        <f>+IF(U223=Assumptions!$F$31,Assumptions!$F$137/ROUNDUP((12/12),0),)</f>
        <v>0</v>
      </c>
      <c r="V224" s="1050">
        <f>+IF(V223=Assumptions!$F$31,Assumptions!$F$137/ROUNDUP((12/12),0),)</f>
        <v>0</v>
      </c>
      <c r="W224" s="1050">
        <f>+IF(W223=Assumptions!$F$31,Assumptions!$F$137/ROUNDUP((12/12),0),)</f>
        <v>0</v>
      </c>
      <c r="X224" s="1050">
        <f>+IF(X223=Assumptions!$F$31,Assumptions!$F$137/ROUNDUP((12/12),0),)</f>
        <v>0</v>
      </c>
      <c r="Y224" s="1050">
        <f>+IF(Y223=Assumptions!$F$31,Assumptions!$F$137/ROUNDUP((12/12),0),)</f>
        <v>0</v>
      </c>
      <c r="Z224" s="1050">
        <f>+IF(Z223=Assumptions!$F$31,Assumptions!$F$137/ROUNDUP((12/12),0),)</f>
        <v>0</v>
      </c>
      <c r="AA224" s="699"/>
      <c r="AB224" s="699"/>
      <c r="AC224" s="699"/>
      <c r="AD224" s="699"/>
      <c r="AE224" s="49"/>
      <c r="AF224" s="49"/>
      <c r="AG224" s="49"/>
      <c r="AH224" s="49"/>
      <c r="AI224" s="49"/>
      <c r="AJ224" s="49"/>
      <c r="AK224" s="49"/>
      <c r="AL224" s="49"/>
      <c r="AM224" s="49"/>
      <c r="AN224" s="49"/>
      <c r="AO224" s="49"/>
      <c r="AP224" s="49"/>
      <c r="AQ224" s="49"/>
      <c r="AR224" s="49"/>
      <c r="AS224" s="49"/>
      <c r="AT224" s="49"/>
      <c r="AU224" s="49"/>
      <c r="AV224" s="49"/>
      <c r="AW224" s="49"/>
      <c r="AX224" s="49"/>
      <c r="AY224" s="49"/>
      <c r="AZ224" s="49"/>
      <c r="BA224" s="49"/>
      <c r="BB224" s="49"/>
      <c r="BC224" s="49"/>
      <c r="BD224" s="49"/>
      <c r="BE224" s="49"/>
      <c r="BF224" s="49"/>
      <c r="BG224" s="49"/>
      <c r="BH224" s="49"/>
      <c r="BI224" s="49"/>
      <c r="BJ224" s="49"/>
      <c r="BK224" s="49"/>
      <c r="BL224" s="49"/>
      <c r="BM224" s="49"/>
      <c r="BN224" s="49"/>
    </row>
    <row r="225" spans="2:66">
      <c r="B225" s="699" t="s">
        <v>1121</v>
      </c>
      <c r="C225" s="699"/>
      <c r="D225" s="699"/>
      <c r="E225" s="1050">
        <v>0</v>
      </c>
      <c r="F225" s="1050">
        <f t="shared" ref="F225" si="482">+E225+F224</f>
        <v>0</v>
      </c>
      <c r="G225" s="1050">
        <f t="shared" ref="G225" si="483">+F225+G224</f>
        <v>0</v>
      </c>
      <c r="H225" s="1050">
        <f t="shared" ref="H225" si="484">+G225+H224</f>
        <v>0</v>
      </c>
      <c r="I225" s="1050">
        <f t="shared" ref="I225" si="485">+H225+I224</f>
        <v>0</v>
      </c>
      <c r="J225" s="1050">
        <f t="shared" ref="J225" si="486">+I225+J224</f>
        <v>25053.075000000004</v>
      </c>
      <c r="K225" s="1050">
        <f t="shared" ref="K225" si="487">+J225+K224</f>
        <v>25053.075000000004</v>
      </c>
      <c r="L225" s="1050">
        <f t="shared" ref="L225" si="488">+K225+L224</f>
        <v>25053.075000000004</v>
      </c>
      <c r="M225" s="1050">
        <f t="shared" ref="M225" si="489">+L225+M224</f>
        <v>25053.075000000004</v>
      </c>
      <c r="N225" s="1050">
        <f t="shared" ref="N225" si="490">+M225+N224</f>
        <v>25053.075000000004</v>
      </c>
      <c r="O225" s="1050">
        <f t="shared" ref="O225" si="491">+N225+O224</f>
        <v>25053.075000000004</v>
      </c>
      <c r="P225" s="1050">
        <f t="shared" ref="P225" si="492">+O225+P224</f>
        <v>25053.075000000004</v>
      </c>
      <c r="Q225" s="1050">
        <f t="shared" ref="Q225" si="493">+P225+Q224</f>
        <v>25053.075000000004</v>
      </c>
      <c r="R225" s="1050">
        <f t="shared" ref="R225" si="494">+Q225+R224</f>
        <v>25053.075000000004</v>
      </c>
      <c r="S225" s="1050">
        <f t="shared" ref="S225" si="495">+R225+S224</f>
        <v>25053.075000000004</v>
      </c>
      <c r="T225" s="1050">
        <f t="shared" ref="T225" si="496">+S225+T224</f>
        <v>25053.075000000004</v>
      </c>
      <c r="U225" s="1050">
        <f t="shared" ref="U225" si="497">+T225+U224</f>
        <v>25053.075000000004</v>
      </c>
      <c r="V225" s="1050">
        <f t="shared" ref="V225" si="498">+U225+V224</f>
        <v>25053.075000000004</v>
      </c>
      <c r="W225" s="1050">
        <f t="shared" ref="W225" si="499">+V225+W224</f>
        <v>25053.075000000004</v>
      </c>
      <c r="X225" s="1050">
        <f t="shared" ref="X225" si="500">+W225+X224</f>
        <v>25053.075000000004</v>
      </c>
      <c r="Y225" s="1050">
        <f t="shared" ref="Y225" si="501">+X225+Y224</f>
        <v>25053.075000000004</v>
      </c>
      <c r="Z225" s="1050">
        <f t="shared" ref="Z225" si="502">+Y225+Z224</f>
        <v>25053.075000000004</v>
      </c>
      <c r="AA225" s="699"/>
      <c r="AB225" s="699"/>
      <c r="AC225" s="699"/>
      <c r="AD225" s="699"/>
      <c r="AE225" s="49"/>
      <c r="AF225" s="49"/>
      <c r="AG225" s="49"/>
      <c r="AH225" s="49"/>
      <c r="AI225" s="49"/>
      <c r="AJ225" s="49"/>
      <c r="AK225" s="49"/>
      <c r="AL225" s="49"/>
      <c r="AM225" s="49"/>
      <c r="AN225" s="49"/>
      <c r="AO225" s="49"/>
      <c r="AP225" s="49"/>
      <c r="AQ225" s="49"/>
      <c r="AR225" s="49"/>
      <c r="AS225" s="49"/>
      <c r="AT225" s="49"/>
      <c r="AU225" s="49"/>
      <c r="AV225" s="49"/>
      <c r="AW225" s="49"/>
      <c r="AX225" s="49"/>
      <c r="AY225" s="49"/>
      <c r="AZ225" s="49"/>
      <c r="BA225" s="49"/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</row>
    <row r="226" spans="2:66">
      <c r="B226" s="699" t="s">
        <v>1123</v>
      </c>
      <c r="C226" s="699"/>
      <c r="D226" s="699"/>
      <c r="E226" s="699"/>
      <c r="F226" s="1084">
        <f t="shared" ref="F226" si="503">+F227-E227</f>
        <v>0</v>
      </c>
      <c r="G226" s="1084">
        <f t="shared" ref="G226" si="504">+G227-F227</f>
        <v>0</v>
      </c>
      <c r="H226" s="1084">
        <f t="shared" ref="H226" si="505">+H227-G227</f>
        <v>0</v>
      </c>
      <c r="I226" s="1084">
        <f t="shared" ref="I226" si="506">+I227-H227</f>
        <v>0</v>
      </c>
      <c r="J226" s="1084">
        <f t="shared" ref="J226" si="507">+J227-I227</f>
        <v>19.416133125000005</v>
      </c>
      <c r="K226" s="1084">
        <f t="shared" ref="K226" si="508">+K227-J227</f>
        <v>0</v>
      </c>
      <c r="L226" s="1084">
        <f t="shared" ref="L226" si="509">+L227-K227</f>
        <v>0</v>
      </c>
      <c r="M226" s="1084">
        <f t="shared" ref="M226" si="510">+M227-L227</f>
        <v>0</v>
      </c>
      <c r="N226" s="1084">
        <f t="shared" ref="N226" si="511">+N227-M227</f>
        <v>0</v>
      </c>
      <c r="O226" s="1084">
        <f t="shared" ref="O226" si="512">+O227-N227</f>
        <v>0</v>
      </c>
      <c r="P226" s="1084">
        <f t="shared" ref="P226" si="513">+P227-O227</f>
        <v>0</v>
      </c>
      <c r="Q226" s="1084">
        <f t="shared" ref="Q226" si="514">+Q227-P227</f>
        <v>0</v>
      </c>
      <c r="R226" s="1084">
        <f t="shared" ref="R226" si="515">+R227-Q227</f>
        <v>0</v>
      </c>
      <c r="S226" s="1084">
        <f t="shared" ref="S226" si="516">+S227-R227</f>
        <v>0</v>
      </c>
      <c r="T226" s="1084">
        <f t="shared" ref="T226" si="517">+T227-S227</f>
        <v>0</v>
      </c>
      <c r="U226" s="1084">
        <f t="shared" ref="U226" si="518">+U227-T227</f>
        <v>0</v>
      </c>
      <c r="V226" s="1084">
        <f t="shared" ref="V226" si="519">+V227-U227</f>
        <v>0</v>
      </c>
      <c r="W226" s="1084">
        <f t="shared" ref="W226" si="520">+W227-V227</f>
        <v>0</v>
      </c>
      <c r="X226" s="1084">
        <f t="shared" ref="X226" si="521">+X227-W227</f>
        <v>0</v>
      </c>
      <c r="Y226" s="1084">
        <f t="shared" ref="Y226" si="522">+Y227-X227</f>
        <v>0</v>
      </c>
      <c r="Z226" s="1084">
        <f t="shared" ref="Z226" si="523">+Z227-Y227</f>
        <v>0</v>
      </c>
      <c r="AA226" s="699"/>
      <c r="AB226" s="699"/>
      <c r="AC226" s="699"/>
      <c r="AD226" s="699"/>
      <c r="AE226" s="49"/>
      <c r="AF226" s="49"/>
      <c r="AG226" s="49"/>
      <c r="AH226" s="49"/>
      <c r="AI226" s="49"/>
      <c r="AJ226" s="49"/>
      <c r="AK226" s="49"/>
      <c r="AL226" s="49"/>
      <c r="AM226" s="49"/>
      <c r="AN226" s="49"/>
      <c r="AO226" s="49"/>
      <c r="AP226" s="49"/>
      <c r="AQ226" s="49"/>
      <c r="AR226" s="49"/>
      <c r="AS226" s="49"/>
      <c r="AT226" s="49"/>
      <c r="AU226" s="49"/>
      <c r="AV226" s="49"/>
      <c r="AW226" s="49"/>
      <c r="AX226" s="49"/>
      <c r="AY226" s="49"/>
      <c r="AZ226" s="49"/>
      <c r="BA226" s="49"/>
      <c r="BB226" s="49"/>
      <c r="BC226" s="49"/>
      <c r="BD226" s="49"/>
      <c r="BE226" s="49"/>
      <c r="BF226" s="49"/>
      <c r="BG226" s="49"/>
      <c r="BH226" s="49"/>
      <c r="BI226" s="49"/>
      <c r="BJ226" s="49"/>
      <c r="BK226" s="49"/>
      <c r="BL226" s="49"/>
      <c r="BM226" s="49"/>
      <c r="BN226" s="49"/>
    </row>
    <row r="227" spans="2:66" ht="15.75">
      <c r="B227" s="699" t="s">
        <v>1124</v>
      </c>
      <c r="C227" s="699"/>
      <c r="D227" s="699"/>
      <c r="E227" s="699"/>
      <c r="F227" s="1084">
        <f>+F228*Assumptions!$F$138</f>
        <v>0</v>
      </c>
      <c r="G227" s="1084">
        <f>+G228*Assumptions!$F$138</f>
        <v>0</v>
      </c>
      <c r="H227" s="1084">
        <f>+H228*Assumptions!$F$138</f>
        <v>0</v>
      </c>
      <c r="I227" s="1084">
        <f>+I228*Assumptions!$F$138</f>
        <v>0</v>
      </c>
      <c r="J227" s="1084">
        <f>+J228*Assumptions!$F$138</f>
        <v>19.416133125000005</v>
      </c>
      <c r="K227" s="1084">
        <f>+K228*Assumptions!$F$138</f>
        <v>19.416133125000005</v>
      </c>
      <c r="L227" s="1084">
        <f>+L228*Assumptions!$F$138</f>
        <v>19.416133125000005</v>
      </c>
      <c r="M227" s="1084">
        <f>+M228*Assumptions!$F$138</f>
        <v>19.416133125000005</v>
      </c>
      <c r="N227" s="1084">
        <f>+N228*Assumptions!$F$138</f>
        <v>19.416133125000005</v>
      </c>
      <c r="O227" s="1084">
        <f>+O228*Assumptions!$F$138</f>
        <v>19.416133125000005</v>
      </c>
      <c r="P227" s="1084">
        <f>+P228*Assumptions!$F$138</f>
        <v>19.416133125000005</v>
      </c>
      <c r="Q227" s="1084">
        <f>+Q228*Assumptions!$F$138</f>
        <v>19.416133125000005</v>
      </c>
      <c r="R227" s="1084">
        <f>+R228*Assumptions!$F$138</f>
        <v>19.416133125000005</v>
      </c>
      <c r="S227" s="1084">
        <f>+S228*Assumptions!$F$138</f>
        <v>19.416133125000005</v>
      </c>
      <c r="T227" s="1084">
        <f>+T228*Assumptions!$F$138</f>
        <v>19.416133125000005</v>
      </c>
      <c r="U227" s="1084">
        <f>+U228*Assumptions!$F$138</f>
        <v>19.416133125000005</v>
      </c>
      <c r="V227" s="1084">
        <f>+V228*Assumptions!$F$138</f>
        <v>19.416133125000005</v>
      </c>
      <c r="W227" s="1084">
        <f>+W228*Assumptions!$F$138</f>
        <v>19.416133125000005</v>
      </c>
      <c r="X227" s="1084">
        <f>+X228*Assumptions!$F$138</f>
        <v>19.416133125000005</v>
      </c>
      <c r="Y227" s="1084">
        <f>+Y228*Assumptions!$F$138</f>
        <v>19.416133125000005</v>
      </c>
      <c r="Z227" s="1084">
        <f>+Z228*Assumptions!$F$138</f>
        <v>19.416133125000005</v>
      </c>
      <c r="AA227" s="699"/>
      <c r="AB227" s="699"/>
      <c r="AC227" s="699"/>
      <c r="AD227" s="699"/>
      <c r="AE227" s="49"/>
      <c r="AF227" s="49"/>
      <c r="AG227" s="49"/>
      <c r="AH227" s="49"/>
      <c r="AI227" s="49"/>
      <c r="AJ227" s="49"/>
      <c r="AK227" s="49"/>
      <c r="AL227" s="49"/>
      <c r="AM227" s="339"/>
      <c r="AN227" s="339"/>
      <c r="AO227" s="339"/>
      <c r="AP227" s="339"/>
      <c r="AQ227" s="339"/>
      <c r="AR227" s="339"/>
      <c r="AS227" s="339"/>
      <c r="AT227" s="339"/>
      <c r="AU227" s="339"/>
      <c r="AV227" s="339"/>
      <c r="AW227" s="339"/>
      <c r="AX227" s="339"/>
      <c r="AY227" s="339"/>
      <c r="AZ227" s="339"/>
      <c r="BA227" s="339"/>
      <c r="BB227" s="339"/>
      <c r="BC227" s="339"/>
      <c r="BD227" s="339"/>
      <c r="BE227" s="339"/>
      <c r="BF227" s="339"/>
      <c r="BG227" s="339"/>
      <c r="BH227" s="339"/>
      <c r="BI227" s="339"/>
      <c r="BJ227" s="339"/>
      <c r="BK227" s="339"/>
      <c r="BL227" s="49"/>
      <c r="BM227" s="49"/>
      <c r="BN227" s="49"/>
    </row>
    <row r="228" spans="2:66">
      <c r="B228" s="699" t="s">
        <v>1125</v>
      </c>
      <c r="C228" s="699"/>
      <c r="D228" s="699"/>
      <c r="E228" s="699"/>
      <c r="F228" s="1074">
        <f t="shared" ref="F228:Z228" si="524">+IFERROR(F225/SUM($F224:$Z224),0)</f>
        <v>0</v>
      </c>
      <c r="G228" s="1074">
        <f t="shared" si="524"/>
        <v>0</v>
      </c>
      <c r="H228" s="1074">
        <f t="shared" si="524"/>
        <v>0</v>
      </c>
      <c r="I228" s="1074">
        <f t="shared" si="524"/>
        <v>0</v>
      </c>
      <c r="J228" s="1074">
        <f t="shared" si="524"/>
        <v>1</v>
      </c>
      <c r="K228" s="1074">
        <f t="shared" si="524"/>
        <v>1</v>
      </c>
      <c r="L228" s="1074">
        <f t="shared" si="524"/>
        <v>1</v>
      </c>
      <c r="M228" s="1074">
        <f t="shared" si="524"/>
        <v>1</v>
      </c>
      <c r="N228" s="1074">
        <f t="shared" si="524"/>
        <v>1</v>
      </c>
      <c r="O228" s="1074">
        <f t="shared" si="524"/>
        <v>1</v>
      </c>
      <c r="P228" s="1074">
        <f t="shared" si="524"/>
        <v>1</v>
      </c>
      <c r="Q228" s="1074">
        <f t="shared" si="524"/>
        <v>1</v>
      </c>
      <c r="R228" s="1074">
        <f t="shared" si="524"/>
        <v>1</v>
      </c>
      <c r="S228" s="1074">
        <f t="shared" si="524"/>
        <v>1</v>
      </c>
      <c r="T228" s="1074">
        <f t="shared" si="524"/>
        <v>1</v>
      </c>
      <c r="U228" s="1074">
        <f t="shared" si="524"/>
        <v>1</v>
      </c>
      <c r="V228" s="1074">
        <f t="shared" si="524"/>
        <v>1</v>
      </c>
      <c r="W228" s="1074">
        <f t="shared" si="524"/>
        <v>1</v>
      </c>
      <c r="X228" s="1074">
        <f t="shared" si="524"/>
        <v>1</v>
      </c>
      <c r="Y228" s="1074">
        <f t="shared" si="524"/>
        <v>1</v>
      </c>
      <c r="Z228" s="1074">
        <f t="shared" si="524"/>
        <v>1</v>
      </c>
      <c r="AA228" s="699"/>
      <c r="AB228" s="699"/>
      <c r="AC228" s="699"/>
      <c r="AD228" s="699"/>
      <c r="AE228" s="49"/>
      <c r="AF228" s="49"/>
      <c r="AG228" s="49"/>
      <c r="AH228" s="49"/>
      <c r="AI228" s="49"/>
      <c r="AJ228" s="49"/>
      <c r="AK228" s="49"/>
      <c r="AL228" s="49"/>
      <c r="AM228" s="49"/>
      <c r="AN228" s="49"/>
      <c r="AO228" s="49"/>
      <c r="AP228" s="49"/>
      <c r="AQ228" s="49"/>
      <c r="AR228" s="49"/>
      <c r="AS228" s="49"/>
      <c r="AT228" s="49"/>
      <c r="AU228" s="49"/>
      <c r="AV228" s="49"/>
      <c r="AW228" s="49"/>
      <c r="AX228" s="49"/>
      <c r="AY228" s="49"/>
      <c r="AZ228" s="49"/>
      <c r="BA228" s="49"/>
      <c r="BB228" s="49"/>
      <c r="BC228" s="49"/>
      <c r="BD228" s="49"/>
      <c r="BE228" s="49"/>
      <c r="BF228" s="49"/>
      <c r="BG228" s="49"/>
      <c r="BH228" s="49"/>
      <c r="BI228" s="49"/>
      <c r="BJ228" s="49"/>
      <c r="BK228" s="49"/>
      <c r="BL228" s="49"/>
      <c r="BM228" s="49"/>
      <c r="BN228" s="49"/>
    </row>
    <row r="229" spans="2:66">
      <c r="B229" s="699"/>
      <c r="C229" s="699"/>
      <c r="D229" s="699"/>
      <c r="E229" s="699"/>
      <c r="F229" s="699"/>
      <c r="G229" s="699"/>
      <c r="H229" s="699"/>
      <c r="I229" s="699"/>
      <c r="J229" s="699"/>
      <c r="K229" s="699"/>
      <c r="L229" s="699"/>
      <c r="M229" s="699"/>
      <c r="N229" s="699"/>
      <c r="O229" s="699"/>
      <c r="P229" s="699"/>
      <c r="Q229" s="699"/>
      <c r="R229" s="699"/>
      <c r="S229" s="699"/>
      <c r="T229" s="699"/>
      <c r="U229" s="699"/>
      <c r="V229" s="699"/>
      <c r="W229" s="699"/>
      <c r="X229" s="699"/>
      <c r="Y229" s="699"/>
      <c r="Z229" s="699"/>
      <c r="AA229" s="699"/>
      <c r="AB229" s="699"/>
      <c r="AC229" s="699"/>
      <c r="AD229" s="699"/>
      <c r="AE229" s="49"/>
      <c r="AF229" s="49"/>
      <c r="AG229" s="49"/>
      <c r="AH229" s="49"/>
      <c r="AI229" s="49"/>
      <c r="AJ229" s="49"/>
      <c r="AK229" s="49"/>
      <c r="AL229" s="49"/>
      <c r="AM229" s="49"/>
      <c r="AN229" s="49"/>
      <c r="AO229" s="49"/>
      <c r="AP229" s="49"/>
      <c r="AQ229" s="49"/>
      <c r="AR229" s="49"/>
      <c r="AS229" s="49"/>
      <c r="AT229" s="49"/>
      <c r="AU229" s="49"/>
      <c r="AV229" s="49"/>
      <c r="AW229" s="49"/>
      <c r="AX229" s="49"/>
      <c r="AY229" s="49"/>
      <c r="AZ229" s="49"/>
      <c r="BA229" s="49"/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</row>
    <row r="230" spans="2:66">
      <c r="B230" s="699" t="s">
        <v>1126</v>
      </c>
      <c r="C230" s="699"/>
      <c r="D230" s="699"/>
      <c r="E230" s="699"/>
      <c r="F230" s="1074">
        <v>1</v>
      </c>
      <c r="G230" s="1074">
        <f>+F230*(1+Assumptions!$N$70)</f>
        <v>1.04</v>
      </c>
      <c r="H230" s="1074">
        <f>+G230*(1+Assumptions!$N$70)</f>
        <v>1.0816000000000001</v>
      </c>
      <c r="I230" s="1074">
        <f>+H230*(1+Assumptions!$N$70)</f>
        <v>1.1248640000000001</v>
      </c>
      <c r="J230" s="1074">
        <f>+I230*(1+Assumptions!$N$70)</f>
        <v>1.1698585600000002</v>
      </c>
      <c r="K230" s="1074">
        <f>+J230*(1+Assumptions!$N$70)</f>
        <v>1.2166529024000003</v>
      </c>
      <c r="L230" s="1074">
        <f>+K230*(1+Assumptions!$N$70)</f>
        <v>1.2653190184960004</v>
      </c>
      <c r="M230" s="1074">
        <f>+L230*(1+Assumptions!$N$70)</f>
        <v>1.3159317792358405</v>
      </c>
      <c r="N230" s="1074">
        <f>+M230*(1+Assumptions!$N$70)</f>
        <v>1.3685690504052741</v>
      </c>
      <c r="O230" s="1074">
        <f>+N230*(1+Assumptions!$N$70)</f>
        <v>1.4233118124214852</v>
      </c>
      <c r="P230" s="1074">
        <f>+O230*(1+Assumptions!$N$70)</f>
        <v>1.4802442849183446</v>
      </c>
      <c r="Q230" s="1074">
        <f>+P230*(1+Assumptions!$N$70)</f>
        <v>1.5394540563150785</v>
      </c>
      <c r="R230" s="1074">
        <f>+Q230*(1+Assumptions!$N$70)</f>
        <v>1.6010322185676817</v>
      </c>
      <c r="S230" s="1074">
        <f>+R230*(1+Assumptions!$N$70)</f>
        <v>1.6650735073103891</v>
      </c>
      <c r="T230" s="1074">
        <f>+S230*(1+Assumptions!$N$70)</f>
        <v>1.7316764476028046</v>
      </c>
      <c r="U230" s="1074">
        <f>+T230*(1+Assumptions!$N$70)</f>
        <v>1.8009435055069167</v>
      </c>
      <c r="V230" s="1074">
        <f>+U230*(1+Assumptions!$N$70)</f>
        <v>1.8729812457271935</v>
      </c>
      <c r="W230" s="1074">
        <f>+V230*(1+Assumptions!$N$70)</f>
        <v>1.9479004955562813</v>
      </c>
      <c r="X230" s="1074">
        <f>+W230*(1+Assumptions!$N$70)</f>
        <v>2.0258165153785326</v>
      </c>
      <c r="Y230" s="1074">
        <f>+X230*(1+Assumptions!$N$70)</f>
        <v>2.1068491759936738</v>
      </c>
      <c r="Z230" s="1074">
        <f>+Y230*(1+Assumptions!$N$70)</f>
        <v>2.1911231430334208</v>
      </c>
      <c r="AA230" s="699"/>
      <c r="AB230" s="699"/>
      <c r="AC230" s="699"/>
      <c r="AD230" s="699"/>
      <c r="AE230" s="49"/>
      <c r="AF230" s="49"/>
      <c r="AG230" s="49"/>
      <c r="AH230" s="49"/>
      <c r="AI230" s="49"/>
      <c r="AJ230" s="49"/>
      <c r="AK230" s="49"/>
      <c r="AL230" s="49"/>
      <c r="AM230" s="49"/>
      <c r="AN230" s="49"/>
      <c r="AO230" s="49"/>
      <c r="AP230" s="49"/>
      <c r="AQ230" s="49"/>
      <c r="AR230" s="49"/>
      <c r="AS230" s="49"/>
      <c r="AT230" s="49"/>
      <c r="AU230" s="49"/>
      <c r="AV230" s="49"/>
      <c r="AW230" s="49"/>
      <c r="AX230" s="49"/>
      <c r="AY230" s="49"/>
      <c r="AZ230" s="49"/>
      <c r="BA230" s="49"/>
      <c r="BB230" s="49"/>
      <c r="BC230" s="49"/>
      <c r="BD230" s="49"/>
      <c r="BE230" s="49"/>
      <c r="BF230" s="49"/>
      <c r="BG230" s="49"/>
      <c r="BH230" s="49"/>
      <c r="BI230" s="49"/>
      <c r="BJ230" s="49"/>
      <c r="BK230" s="49"/>
      <c r="BL230" s="49"/>
      <c r="BM230" s="49"/>
      <c r="BN230" s="49"/>
    </row>
    <row r="231" spans="2:66">
      <c r="B231" s="699" t="s">
        <v>1127</v>
      </c>
      <c r="C231" s="699"/>
      <c r="D231" s="699"/>
      <c r="E231" s="699"/>
      <c r="F231" s="1074">
        <v>1</v>
      </c>
      <c r="G231" s="1074">
        <f>+F231*(1+Assumptions!$N$81)</f>
        <v>1.03</v>
      </c>
      <c r="H231" s="1074">
        <f>+G231*(1+Assumptions!$N$81)</f>
        <v>1.0609</v>
      </c>
      <c r="I231" s="1074">
        <f>+H231*(1+Assumptions!$N$81)</f>
        <v>1.092727</v>
      </c>
      <c r="J231" s="1074">
        <f>+I231*(1+Assumptions!$N$81)</f>
        <v>1.1255088100000001</v>
      </c>
      <c r="K231" s="1074">
        <f>+J231*(1+Assumptions!$N$81)</f>
        <v>1.1592740743000001</v>
      </c>
      <c r="L231" s="1074">
        <f>+K231*(1+Assumptions!$N$81)</f>
        <v>1.1940522965290001</v>
      </c>
      <c r="M231" s="1074">
        <f>+L231*(1+Assumptions!$N$81)</f>
        <v>1.2298738654248702</v>
      </c>
      <c r="N231" s="1074">
        <f>+M231*(1+Assumptions!$N$81)</f>
        <v>1.2667700813876164</v>
      </c>
      <c r="O231" s="1074">
        <f>+N231*(1+Assumptions!$N$81)</f>
        <v>1.3047731838292449</v>
      </c>
      <c r="P231" s="1074">
        <f>+O231*(1+Assumptions!$N$81)</f>
        <v>1.3439163793441222</v>
      </c>
      <c r="Q231" s="1074">
        <f>+P231*(1+Assumptions!$N$81)</f>
        <v>1.3842338707244459</v>
      </c>
      <c r="R231" s="1074">
        <f>+Q231*(1+Assumptions!$N$81)</f>
        <v>1.4257608868461793</v>
      </c>
      <c r="S231" s="1074">
        <f>+R231*(1+Assumptions!$N$81)</f>
        <v>1.4685337134515648</v>
      </c>
      <c r="T231" s="1074">
        <f>+S231*(1+Assumptions!$N$81)</f>
        <v>1.5125897248551119</v>
      </c>
      <c r="U231" s="1074">
        <f>+T231*(1+Assumptions!$N$81)</f>
        <v>1.5579674166007653</v>
      </c>
      <c r="V231" s="1074">
        <f>+U231*(1+Assumptions!$N$81)</f>
        <v>1.6047064390987884</v>
      </c>
      <c r="W231" s="1074">
        <f>+V231*(1+Assumptions!$N$81)</f>
        <v>1.652847632271752</v>
      </c>
      <c r="X231" s="1074">
        <f>+W231*(1+Assumptions!$N$81)</f>
        <v>1.7024330612399046</v>
      </c>
      <c r="Y231" s="1074">
        <f>+X231*(1+Assumptions!$N$81)</f>
        <v>1.7535060530771018</v>
      </c>
      <c r="Z231" s="1074">
        <f>+Y231*(1+Assumptions!$N$81)</f>
        <v>1.806111234669415</v>
      </c>
      <c r="AA231" s="699"/>
      <c r="AB231" s="699"/>
      <c r="AC231" s="699"/>
      <c r="AD231" s="699"/>
      <c r="AE231" s="49"/>
      <c r="AF231" s="49"/>
      <c r="AG231" s="49"/>
      <c r="AH231" s="49"/>
      <c r="AI231" s="49"/>
      <c r="AJ231" s="49"/>
      <c r="AK231" s="49"/>
      <c r="AL231" s="49"/>
      <c r="AM231" s="49"/>
      <c r="AN231" s="49"/>
      <c r="AO231" s="49"/>
      <c r="AP231" s="49"/>
      <c r="AQ231" s="49"/>
      <c r="AR231" s="49"/>
      <c r="AS231" s="49"/>
      <c r="AT231" s="49"/>
      <c r="AU231" s="49"/>
      <c r="AV231" s="49"/>
      <c r="AW231" s="49"/>
      <c r="AX231" s="49"/>
      <c r="AY231" s="49"/>
      <c r="AZ231" s="49"/>
      <c r="BA231" s="49"/>
      <c r="BB231" s="49"/>
      <c r="BC231" s="49"/>
      <c r="BD231" s="49"/>
      <c r="BE231" s="49"/>
      <c r="BF231" s="49"/>
      <c r="BG231" s="49"/>
      <c r="BH231" s="49"/>
      <c r="BI231" s="49"/>
      <c r="BJ231" s="49"/>
      <c r="BK231" s="49"/>
      <c r="BL231" s="49"/>
      <c r="BM231" s="49"/>
      <c r="BN231" s="49"/>
    </row>
    <row r="232" spans="2:66">
      <c r="B232" s="699"/>
      <c r="C232" s="699"/>
      <c r="D232" s="699"/>
      <c r="E232" s="699"/>
      <c r="F232" s="699"/>
      <c r="G232" s="699"/>
      <c r="H232" s="699"/>
      <c r="I232" s="699"/>
      <c r="J232" s="699"/>
      <c r="K232" s="699"/>
      <c r="L232" s="699"/>
      <c r="M232" s="699"/>
      <c r="N232" s="699"/>
      <c r="O232" s="699"/>
      <c r="P232" s="699"/>
      <c r="Q232" s="699"/>
      <c r="R232" s="699"/>
      <c r="S232" s="699"/>
      <c r="T232" s="699"/>
      <c r="U232" s="699"/>
      <c r="V232" s="699"/>
      <c r="W232" s="699"/>
      <c r="X232" s="699"/>
      <c r="Y232" s="699"/>
      <c r="Z232" s="699"/>
      <c r="AA232" s="699"/>
      <c r="AB232" s="699"/>
      <c r="AC232" s="699"/>
      <c r="AD232" s="699"/>
      <c r="AE232" s="49"/>
      <c r="AF232" s="49"/>
      <c r="AG232" s="49"/>
      <c r="AH232" s="49"/>
      <c r="AI232" s="49"/>
      <c r="AJ232" s="49"/>
      <c r="AK232" s="49"/>
      <c r="AL232" s="49"/>
      <c r="AM232" s="49"/>
      <c r="AN232" s="49"/>
      <c r="AO232" s="49"/>
      <c r="AP232" s="49"/>
      <c r="AQ232" s="49"/>
      <c r="AR232" s="49"/>
      <c r="AS232" s="49"/>
      <c r="AT232" s="49"/>
      <c r="AU232" s="49"/>
      <c r="AV232" s="49"/>
      <c r="AW232" s="49"/>
      <c r="AX232" s="49"/>
      <c r="AY232" s="49"/>
      <c r="AZ232" s="49"/>
      <c r="BA232" s="49"/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</row>
    <row r="233" spans="2:66">
      <c r="B233" s="699" t="s">
        <v>1183</v>
      </c>
      <c r="C233" s="699"/>
      <c r="D233" s="699"/>
      <c r="E233" s="699"/>
      <c r="F233" s="1028">
        <f>+IF(F223=Assumptions!$F$31,(F228*Assumptions!$F$136*F230/(12/12)),0)</f>
        <v>0</v>
      </c>
      <c r="G233" s="1028">
        <f>+IF(G223=Assumptions!$F$31,(G228*Assumptions!$F$136*G230/(12/12)),0)</f>
        <v>0</v>
      </c>
      <c r="H233" s="1028">
        <f>+IF(H223=Assumptions!$F$31,(H228*Assumptions!$F$136*H230/(12/12)),0)</f>
        <v>0</v>
      </c>
      <c r="I233" s="1028">
        <f>+IF(I223=Assumptions!$F$31,(I228*Assumptions!$F$136*I230/(12/12)),0)</f>
        <v>0</v>
      </c>
      <c r="J233" s="1028">
        <f>+IF(J223=Assumptions!$F$31,(J228*Assumptions!$F$136*J230/(12/12)),0)</f>
        <v>5861249.7302390775</v>
      </c>
      <c r="K233" s="1028">
        <f>+IF(K223=Assumptions!$F$31,(K228*Assumptions!$F$136*K230/(12/12)),0)</f>
        <v>0</v>
      </c>
      <c r="L233" s="1028">
        <f>+IF(L223=Assumptions!$F$31,(L228*Assumptions!$F$136*L230/(12/12)),0)</f>
        <v>0</v>
      </c>
      <c r="M233" s="1028">
        <f>+IF(M223=Assumptions!$F$31,(M228*Assumptions!$F$136*M230/(12/12)),0)</f>
        <v>0</v>
      </c>
      <c r="N233" s="1028">
        <f>+IF(N223=Assumptions!$F$31,(N228*Assumptions!$F$136*N230/(12/12)),0)</f>
        <v>0</v>
      </c>
      <c r="O233" s="1028">
        <f>+IF(O223=Assumptions!$F$31,(O228*Assumptions!$F$136*O230/(12/12)),0)</f>
        <v>0</v>
      </c>
      <c r="P233" s="1028">
        <f>+IF(P223=Assumptions!$F$31,(P228*Assumptions!$F$136*P230/(12/12)),0)</f>
        <v>0</v>
      </c>
      <c r="Q233" s="1028">
        <f>+IF(Q223=Assumptions!$F$31,(Q228*Assumptions!$F$136*Q230/(12/12)),0)</f>
        <v>0</v>
      </c>
      <c r="R233" s="1028">
        <f>+IF(R223=Assumptions!$F$31,(R228*Assumptions!$F$136*R230/(12/12)),0)</f>
        <v>0</v>
      </c>
      <c r="S233" s="1028">
        <f>+IF(S223=Assumptions!$F$31,(S228*Assumptions!$F$136*S230/(12/12)),0)</f>
        <v>0</v>
      </c>
      <c r="T233" s="1028">
        <f>+IF(T223=Assumptions!$F$31,(T228*Assumptions!$F$136*T230/(12/12)),0)</f>
        <v>0</v>
      </c>
      <c r="U233" s="1028">
        <f>+IF(U223=Assumptions!$F$31,(U228*Assumptions!$F$136*U230/(12/12)),0)</f>
        <v>0</v>
      </c>
      <c r="V233" s="1028">
        <f>+IF(V223=Assumptions!$F$31,(V228*Assumptions!$F$136*V230/(12/12)),0)</f>
        <v>0</v>
      </c>
      <c r="W233" s="1028">
        <f>+IF(W223=Assumptions!$F$31,(W228*Assumptions!$F$136*W230/(12/12)),0)</f>
        <v>0</v>
      </c>
      <c r="X233" s="1028">
        <f>+IF(X223=Assumptions!$F$31,(X228*Assumptions!$F$136*X230/(12/12)),0)</f>
        <v>0</v>
      </c>
      <c r="Y233" s="1028">
        <f>+IF(Y223=Assumptions!$F$31,(Y228*Assumptions!$F$136*Y230/(12/12)),0)</f>
        <v>0</v>
      </c>
      <c r="Z233" s="1028">
        <f>+IF(Z223=Assumptions!$F$31,(Z228*Assumptions!$F$136*Z230/(12/12)),0)</f>
        <v>0</v>
      </c>
      <c r="AA233" s="699"/>
      <c r="AB233" s="699"/>
      <c r="AC233" s="699"/>
      <c r="AD233" s="699"/>
      <c r="AE233" s="49"/>
      <c r="AF233" s="49"/>
      <c r="AG233" s="49"/>
      <c r="AH233" s="49"/>
      <c r="AI233" s="49"/>
      <c r="AJ233" s="49"/>
      <c r="AK233" s="49"/>
      <c r="AL233" s="49"/>
      <c r="AM233" s="49"/>
      <c r="AN233" s="49"/>
      <c r="AO233" s="49"/>
      <c r="AP233" s="49"/>
      <c r="AQ233" s="49"/>
      <c r="AR233" s="49"/>
      <c r="AS233" s="49"/>
      <c r="AT233" s="49"/>
      <c r="AU233" s="49"/>
      <c r="AV233" s="49"/>
      <c r="AW233" s="49"/>
      <c r="AX233" s="49"/>
      <c r="AY233" s="49"/>
      <c r="AZ233" s="49"/>
      <c r="BA233" s="49"/>
      <c r="BB233" s="49"/>
      <c r="BC233" s="49"/>
      <c r="BD233" s="49"/>
      <c r="BE233" s="49"/>
      <c r="BF233" s="49"/>
      <c r="BG233" s="49"/>
      <c r="BH233" s="49"/>
      <c r="BI233" s="49"/>
      <c r="BJ233" s="49"/>
      <c r="BK233" s="49"/>
      <c r="BL233" s="49"/>
      <c r="BM233" s="49"/>
      <c r="BN233" s="49"/>
    </row>
    <row r="234" spans="2:66">
      <c r="B234" s="699" t="s">
        <v>1130</v>
      </c>
      <c r="C234" s="699"/>
      <c r="D234" s="699"/>
      <c r="E234" s="699"/>
      <c r="F234" s="1085">
        <f>-F233*Assumptions!$N$61</f>
        <v>0</v>
      </c>
      <c r="G234" s="1085">
        <f>-G233*Assumptions!$N$61</f>
        <v>0</v>
      </c>
      <c r="H234" s="1085">
        <f>-H233*Assumptions!$N$61</f>
        <v>0</v>
      </c>
      <c r="I234" s="1085">
        <f>-I233*Assumptions!$N$61</f>
        <v>0</v>
      </c>
      <c r="J234" s="1085">
        <f>-J233*Assumptions!$N$61</f>
        <v>-234449.98920956309</v>
      </c>
      <c r="K234" s="1085">
        <f>-K233*Assumptions!$N$61</f>
        <v>0</v>
      </c>
      <c r="L234" s="1085">
        <f>-L233*Assumptions!$N$61</f>
        <v>0</v>
      </c>
      <c r="M234" s="1085">
        <f>-M233*Assumptions!$N$61</f>
        <v>0</v>
      </c>
      <c r="N234" s="1085">
        <f>-N233*Assumptions!$N$61</f>
        <v>0</v>
      </c>
      <c r="O234" s="1085">
        <f>-O233*Assumptions!$N$61</f>
        <v>0</v>
      </c>
      <c r="P234" s="1085">
        <f>-P233*Assumptions!$N$61</f>
        <v>0</v>
      </c>
      <c r="Q234" s="1085">
        <f>-Q233*Assumptions!$N$61</f>
        <v>0</v>
      </c>
      <c r="R234" s="1085">
        <f>-R233*Assumptions!$N$61</f>
        <v>0</v>
      </c>
      <c r="S234" s="1085">
        <f>-S233*Assumptions!$N$61</f>
        <v>0</v>
      </c>
      <c r="T234" s="1085">
        <f>-T233*Assumptions!$N$61</f>
        <v>0</v>
      </c>
      <c r="U234" s="1085">
        <f>-U233*Assumptions!$N$61</f>
        <v>0</v>
      </c>
      <c r="V234" s="1085">
        <f>-V233*Assumptions!$N$61</f>
        <v>0</v>
      </c>
      <c r="W234" s="1085">
        <f>-W233*Assumptions!$N$61</f>
        <v>0</v>
      </c>
      <c r="X234" s="1085">
        <f>-X233*Assumptions!$N$61</f>
        <v>0</v>
      </c>
      <c r="Y234" s="1085">
        <f>-Y233*Assumptions!$N$61</f>
        <v>0</v>
      </c>
      <c r="Z234" s="1085">
        <f>-Z233*Assumptions!$N$61</f>
        <v>0</v>
      </c>
      <c r="AA234" s="699"/>
      <c r="AB234" s="699"/>
      <c r="AC234" s="699"/>
      <c r="AD234" s="699"/>
      <c r="AE234" s="49"/>
      <c r="AF234" s="49"/>
      <c r="AG234" s="49"/>
      <c r="AH234" s="49"/>
      <c r="AI234" s="49"/>
      <c r="AJ234" s="49"/>
      <c r="AK234" s="49"/>
      <c r="AL234" s="49"/>
      <c r="AM234" s="49"/>
      <c r="AN234" s="49"/>
      <c r="AO234" s="49"/>
      <c r="AP234" s="49"/>
      <c r="AQ234" s="49"/>
      <c r="AR234" s="49"/>
      <c r="AS234" s="49"/>
      <c r="AT234" s="49"/>
      <c r="AU234" s="49"/>
      <c r="AV234" s="49"/>
      <c r="AW234" s="49"/>
      <c r="AX234" s="49"/>
      <c r="AY234" s="49"/>
      <c r="AZ234" s="49"/>
      <c r="BA234" s="49"/>
      <c r="BB234" s="49"/>
      <c r="BC234" s="49"/>
      <c r="BD234" s="49"/>
      <c r="BE234" s="49"/>
      <c r="BF234" s="49"/>
      <c r="BG234" s="49"/>
      <c r="BH234" s="49"/>
      <c r="BI234" s="49"/>
      <c r="BJ234" s="49"/>
      <c r="BK234" s="49"/>
      <c r="BL234" s="49"/>
      <c r="BM234" s="49"/>
      <c r="BN234" s="49"/>
    </row>
    <row r="235" spans="2:66">
      <c r="B235" s="699" t="s">
        <v>1184</v>
      </c>
      <c r="C235" s="699"/>
      <c r="D235" s="699"/>
      <c r="E235" s="699"/>
      <c r="F235" s="1085">
        <f>+IF(F223=Assumptions!$F$31,F227*Assumptions!$AE$158*(1-Assumptions!$N$61)*12,0)</f>
        <v>0</v>
      </c>
      <c r="G235" s="1085">
        <f>+IF(G223=Assumptions!$F$31,G227*Assumptions!$AE$158*(1-Assumptions!$N$61)*12,0)</f>
        <v>0</v>
      </c>
      <c r="H235" s="1085">
        <f>+IF(H223=Assumptions!$F$31,H227*Assumptions!$AE$158*(1-Assumptions!$N$61)*12,0)</f>
        <v>0</v>
      </c>
      <c r="I235" s="1085">
        <f>+IF(I223=Assumptions!$F$31,I227*Assumptions!$AE$158*(1-Assumptions!$N$61)*12,0)</f>
        <v>0</v>
      </c>
      <c r="J235" s="1085">
        <f>+IF(J223=Assumptions!$F$31,J227*Assumptions!$AE$158*(1-Assumptions!$N$61)*12,0)</f>
        <v>1789.3908288000005</v>
      </c>
      <c r="K235" s="1085">
        <f>+IF(K223=Assumptions!$F$31,K227*Assumptions!$AE$158*(1-Assumptions!$N$61)*12,0)</f>
        <v>0</v>
      </c>
      <c r="L235" s="1085">
        <f>+IF(L223=Assumptions!$F$31,L227*Assumptions!$AE$158*(1-Assumptions!$N$61)*12,0)</f>
        <v>0</v>
      </c>
      <c r="M235" s="1085">
        <f>+IF(M223=Assumptions!$F$31,M227*Assumptions!$AE$158*(1-Assumptions!$N$61)*12,0)</f>
        <v>0</v>
      </c>
      <c r="N235" s="1085">
        <f>+IF(N223=Assumptions!$F$31,N227*Assumptions!$AE$158*(1-Assumptions!$N$61)*12,0)</f>
        <v>0</v>
      </c>
      <c r="O235" s="1085">
        <f>+IF(O223=Assumptions!$F$31,O227*Assumptions!$AE$158*(1-Assumptions!$N$61)*12,0)</f>
        <v>0</v>
      </c>
      <c r="P235" s="1085">
        <f>+IF(P223=Assumptions!$F$31,P227*Assumptions!$AE$158*(1-Assumptions!$N$61)*12,0)</f>
        <v>0</v>
      </c>
      <c r="Q235" s="1085">
        <f>+IF(Q223=Assumptions!$F$31,Q227*Assumptions!$AE$158*(1-Assumptions!$N$61)*12,0)</f>
        <v>0</v>
      </c>
      <c r="R235" s="1085">
        <f>+IF(R223=Assumptions!$F$31,R227*Assumptions!$AE$158*(1-Assumptions!$N$61)*12,0)</f>
        <v>0</v>
      </c>
      <c r="S235" s="1085">
        <f>+IF(S223=Assumptions!$F$31,S227*Assumptions!$AE$158*(1-Assumptions!$N$61)*12,0)</f>
        <v>0</v>
      </c>
      <c r="T235" s="1085">
        <f>+IF(T223=Assumptions!$F$31,T227*Assumptions!$AE$158*(1-Assumptions!$N$61)*12,0)</f>
        <v>0</v>
      </c>
      <c r="U235" s="1085">
        <f>+IF(U223=Assumptions!$F$31,U227*Assumptions!$AE$158*(1-Assumptions!$N$61)*12,0)</f>
        <v>0</v>
      </c>
      <c r="V235" s="1085">
        <f>+IF(V223=Assumptions!$F$31,V227*Assumptions!$AE$158*(1-Assumptions!$N$61)*12,0)</f>
        <v>0</v>
      </c>
      <c r="W235" s="1085">
        <f>+IF(W223=Assumptions!$F$31,W227*Assumptions!$AE$158*(1-Assumptions!$N$61)*12,0)</f>
        <v>0</v>
      </c>
      <c r="X235" s="1085">
        <f>+IF(X223=Assumptions!$F$31,X227*Assumptions!$AE$158*(1-Assumptions!$N$61)*12,0)</f>
        <v>0</v>
      </c>
      <c r="Y235" s="1085">
        <f>+IF(Y223=Assumptions!$F$31,Y227*Assumptions!$AE$158*(1-Assumptions!$N$61)*12,0)</f>
        <v>0</v>
      </c>
      <c r="Z235" s="1085">
        <f>+IF(Z223=Assumptions!$F$31,Z227*Assumptions!$AE$158*(1-Assumptions!$N$61)*12,0)</f>
        <v>0</v>
      </c>
      <c r="AA235" s="699"/>
      <c r="AB235" s="699"/>
      <c r="AC235" s="699"/>
      <c r="AD235" s="699"/>
      <c r="AE235" s="49"/>
      <c r="AF235" s="49"/>
      <c r="AG235" s="49"/>
      <c r="AH235" s="49"/>
      <c r="AI235" s="49"/>
      <c r="AJ235" s="49"/>
      <c r="AK235" s="49"/>
      <c r="AL235" s="49"/>
      <c r="AM235" s="49"/>
      <c r="AN235" s="49"/>
      <c r="AO235" s="49"/>
      <c r="AP235" s="49"/>
      <c r="AQ235" s="49"/>
      <c r="AR235" s="49"/>
      <c r="AS235" s="49"/>
      <c r="AT235" s="49"/>
      <c r="AU235" s="49"/>
      <c r="AV235" s="49"/>
      <c r="AW235" s="49"/>
      <c r="AX235" s="49"/>
      <c r="AY235" s="49"/>
      <c r="AZ235" s="49"/>
      <c r="BA235" s="49"/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</row>
    <row r="236" spans="2:66">
      <c r="B236" s="52" t="s">
        <v>1131</v>
      </c>
      <c r="C236" s="1052"/>
      <c r="D236" s="1052"/>
      <c r="E236" s="1052"/>
      <c r="F236" s="1086">
        <f>SUM(F233:F235)</f>
        <v>0</v>
      </c>
      <c r="G236" s="1086">
        <f t="shared" ref="G236:Z236" si="525">SUM(G233:G235)</f>
        <v>0</v>
      </c>
      <c r="H236" s="1086">
        <f t="shared" si="525"/>
        <v>0</v>
      </c>
      <c r="I236" s="1086">
        <f t="shared" si="525"/>
        <v>0</v>
      </c>
      <c r="J236" s="1086">
        <f t="shared" si="525"/>
        <v>5628589.1318583144</v>
      </c>
      <c r="K236" s="1086">
        <f t="shared" si="525"/>
        <v>0</v>
      </c>
      <c r="L236" s="1086">
        <f t="shared" si="525"/>
        <v>0</v>
      </c>
      <c r="M236" s="1086">
        <f t="shared" si="525"/>
        <v>0</v>
      </c>
      <c r="N236" s="1086">
        <f t="shared" si="525"/>
        <v>0</v>
      </c>
      <c r="O236" s="1086">
        <f t="shared" si="525"/>
        <v>0</v>
      </c>
      <c r="P236" s="1086">
        <f t="shared" si="525"/>
        <v>0</v>
      </c>
      <c r="Q236" s="1086">
        <f t="shared" si="525"/>
        <v>0</v>
      </c>
      <c r="R236" s="1086">
        <f t="shared" si="525"/>
        <v>0</v>
      </c>
      <c r="S236" s="1086">
        <f t="shared" si="525"/>
        <v>0</v>
      </c>
      <c r="T236" s="1086">
        <f t="shared" si="525"/>
        <v>0</v>
      </c>
      <c r="U236" s="1086">
        <f t="shared" si="525"/>
        <v>0</v>
      </c>
      <c r="V236" s="1086">
        <f t="shared" si="525"/>
        <v>0</v>
      </c>
      <c r="W236" s="1086">
        <f t="shared" si="525"/>
        <v>0</v>
      </c>
      <c r="X236" s="1086">
        <f t="shared" si="525"/>
        <v>0</v>
      </c>
      <c r="Y236" s="1086">
        <f t="shared" si="525"/>
        <v>0</v>
      </c>
      <c r="Z236" s="1086">
        <f t="shared" si="525"/>
        <v>0</v>
      </c>
      <c r="AA236" s="699"/>
      <c r="AB236" s="699"/>
      <c r="AC236" s="699"/>
      <c r="AD236" s="699"/>
      <c r="AE236" s="49"/>
      <c r="AF236" s="49"/>
      <c r="AG236" s="49"/>
      <c r="AH236" s="49"/>
      <c r="AI236" s="49"/>
      <c r="AJ236" s="49"/>
      <c r="AK236" s="49"/>
      <c r="AL236" s="49"/>
      <c r="AM236" s="49"/>
      <c r="AN236" s="49"/>
      <c r="AO236" s="49"/>
      <c r="AP236" s="49"/>
      <c r="AQ236" s="49"/>
      <c r="AR236" s="49"/>
      <c r="AS236" s="49"/>
      <c r="AT236" s="49"/>
      <c r="AU236" s="49"/>
      <c r="AV236" s="49"/>
      <c r="AW236" s="49"/>
      <c r="AX236" s="49"/>
      <c r="AY236" s="49"/>
      <c r="AZ236" s="49"/>
      <c r="BA236" s="49"/>
      <c r="BB236" s="49"/>
      <c r="BC236" s="49"/>
      <c r="BD236" s="49"/>
      <c r="BE236" s="49"/>
      <c r="BF236" s="49"/>
      <c r="BG236" s="49"/>
      <c r="BH236" s="49"/>
      <c r="BI236" s="49"/>
      <c r="BJ236" s="49"/>
      <c r="BK236" s="49"/>
      <c r="BL236" s="49"/>
      <c r="BM236" s="49"/>
      <c r="BN236" s="49"/>
    </row>
    <row r="237" spans="2:66">
      <c r="B237" s="49"/>
      <c r="C237" s="699"/>
      <c r="D237" s="699"/>
      <c r="E237" s="699"/>
      <c r="F237" s="699"/>
      <c r="G237" s="699"/>
      <c r="H237" s="699"/>
      <c r="I237" s="699"/>
      <c r="J237" s="699"/>
      <c r="K237" s="699"/>
      <c r="L237" s="699"/>
      <c r="M237" s="699"/>
      <c r="N237" s="699"/>
      <c r="O237" s="699"/>
      <c r="P237" s="699"/>
      <c r="Q237" s="699"/>
      <c r="R237" s="699"/>
      <c r="S237" s="699"/>
      <c r="T237" s="699"/>
      <c r="U237" s="699"/>
      <c r="V237" s="699"/>
      <c r="W237" s="699"/>
      <c r="X237" s="699"/>
      <c r="Y237" s="699"/>
      <c r="Z237" s="699"/>
      <c r="AA237" s="699"/>
      <c r="AB237" s="699"/>
      <c r="AC237" s="699"/>
      <c r="AD237" s="699"/>
      <c r="AE237" s="49"/>
      <c r="AF237" s="49"/>
      <c r="AG237" s="49"/>
      <c r="AH237" s="49"/>
      <c r="AI237" s="49"/>
      <c r="AJ237" s="49"/>
      <c r="AK237" s="49"/>
      <c r="AL237" s="49"/>
      <c r="AM237" s="49"/>
      <c r="AN237" s="49"/>
      <c r="AO237" s="49"/>
      <c r="AP237" s="49"/>
      <c r="AQ237" s="49"/>
      <c r="AR237" s="49"/>
      <c r="AS237" s="49"/>
      <c r="AT237" s="49"/>
      <c r="AU237" s="49"/>
      <c r="AV237" s="49"/>
      <c r="AW237" s="49"/>
      <c r="AX237" s="49"/>
      <c r="AY237" s="49"/>
      <c r="AZ237" s="49"/>
      <c r="BA237" s="49"/>
      <c r="BB237" s="49"/>
      <c r="BC237" s="49"/>
      <c r="BD237" s="49"/>
      <c r="BE237" s="49"/>
      <c r="BF237" s="49"/>
      <c r="BG237" s="49"/>
      <c r="BH237" s="49"/>
      <c r="BI237" s="49"/>
      <c r="BJ237" s="49"/>
      <c r="BK237" s="49"/>
      <c r="BL237" s="49"/>
      <c r="BM237" s="49"/>
      <c r="BN237" s="49"/>
    </row>
    <row r="238" spans="2:66">
      <c r="B238" s="699" t="s">
        <v>1132</v>
      </c>
      <c r="C238" s="699"/>
      <c r="D238" s="699"/>
      <c r="E238" s="699"/>
      <c r="F238" s="1087">
        <f>+F227*Assumptions!$N$98*F231</f>
        <v>0</v>
      </c>
      <c r="G238" s="1087">
        <f>+G227*Assumptions!$N$98*G231</f>
        <v>0</v>
      </c>
      <c r="H238" s="1087">
        <f>+H227*Assumptions!$N$98*H231</f>
        <v>0</v>
      </c>
      <c r="I238" s="1087">
        <f>+I227*Assumptions!$N$98*I231</f>
        <v>0</v>
      </c>
      <c r="J238" s="1087">
        <f>+J227*Assumptions!$N$98*J231</f>
        <v>0</v>
      </c>
      <c r="K238" s="1087">
        <f>+K227*Assumptions!$N$98*K231</f>
        <v>0</v>
      </c>
      <c r="L238" s="1087">
        <f>+L227*Assumptions!$N$98*L231</f>
        <v>0</v>
      </c>
      <c r="M238" s="1087">
        <f>+M227*Assumptions!$N$98*M231</f>
        <v>0</v>
      </c>
      <c r="N238" s="1087">
        <f>+N227*Assumptions!$N$98*N231</f>
        <v>0</v>
      </c>
      <c r="O238" s="1087">
        <f>+O227*Assumptions!$N$98*O231</f>
        <v>0</v>
      </c>
      <c r="P238" s="1087">
        <f>+P227*Assumptions!$N$98*P231</f>
        <v>0</v>
      </c>
      <c r="Q238" s="1087">
        <f>+Q227*Assumptions!$N$98*Q231</f>
        <v>0</v>
      </c>
      <c r="R238" s="1087">
        <f>+R227*Assumptions!$N$98*R231</f>
        <v>0</v>
      </c>
      <c r="S238" s="1087">
        <f>+S227*Assumptions!$N$98*S231</f>
        <v>0</v>
      </c>
      <c r="T238" s="1087">
        <f>+T227*Assumptions!$N$98*T231</f>
        <v>0</v>
      </c>
      <c r="U238" s="1087">
        <f>+U227*Assumptions!$N$98*U231</f>
        <v>0</v>
      </c>
      <c r="V238" s="1087">
        <f>+V227*Assumptions!$N$98*V231</f>
        <v>0</v>
      </c>
      <c r="W238" s="1087">
        <f>+W227*Assumptions!$N$98*W231</f>
        <v>0</v>
      </c>
      <c r="X238" s="1087">
        <f>+X227*Assumptions!$N$98*X231</f>
        <v>0</v>
      </c>
      <c r="Y238" s="1087">
        <f>+Y227*Assumptions!$N$98*Y231</f>
        <v>0</v>
      </c>
      <c r="Z238" s="1087">
        <f>+Z227*Assumptions!$N$98*Z231</f>
        <v>0</v>
      </c>
      <c r="AA238" s="699"/>
      <c r="AB238" s="699"/>
      <c r="AC238" s="699"/>
      <c r="AD238" s="69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A238" s="49"/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</row>
    <row r="239" spans="2:66">
      <c r="B239" s="699"/>
      <c r="C239" s="699"/>
      <c r="D239" s="699"/>
      <c r="E239" s="699"/>
      <c r="F239" s="1087"/>
      <c r="G239" s="1087"/>
      <c r="H239" s="1087"/>
      <c r="I239" s="1087"/>
      <c r="J239" s="1087"/>
      <c r="K239" s="1087"/>
      <c r="L239" s="1087"/>
      <c r="M239" s="1087"/>
      <c r="N239" s="1087"/>
      <c r="O239" s="1087"/>
      <c r="P239" s="1087"/>
      <c r="Q239" s="1087"/>
      <c r="R239" s="1087"/>
      <c r="S239" s="1087"/>
      <c r="T239" s="1087"/>
      <c r="U239" s="1087"/>
      <c r="V239" s="1087"/>
      <c r="W239" s="1087"/>
      <c r="X239" s="1087"/>
      <c r="Y239" s="1087"/>
      <c r="Z239" s="1087"/>
      <c r="AA239" s="699"/>
      <c r="AB239" s="699"/>
      <c r="AC239" s="699"/>
      <c r="AD239" s="699"/>
      <c r="AE239" s="49"/>
      <c r="AF239" s="49"/>
      <c r="AG239" s="49"/>
      <c r="AH239" s="49"/>
      <c r="AI239" s="49"/>
      <c r="AJ239" s="49"/>
      <c r="AK239" s="49"/>
      <c r="AL239" s="49"/>
      <c r="AM239" s="49"/>
      <c r="AN239" s="49"/>
      <c r="AO239" s="49"/>
      <c r="AP239" s="49"/>
      <c r="AQ239" s="49"/>
      <c r="AR239" s="49"/>
      <c r="AS239" s="49"/>
      <c r="AT239" s="49"/>
      <c r="AU239" s="49"/>
      <c r="AV239" s="49"/>
      <c r="AW239" s="49"/>
      <c r="AX239" s="49"/>
      <c r="AY239" s="49"/>
      <c r="AZ239" s="49"/>
      <c r="BA239" s="49"/>
      <c r="BB239" s="49"/>
      <c r="BC239" s="49"/>
      <c r="BD239" s="49"/>
      <c r="BE239" s="49"/>
      <c r="BF239" s="49"/>
      <c r="BG239" s="49"/>
      <c r="BH239" s="49"/>
      <c r="BI239" s="49"/>
      <c r="BJ239" s="49"/>
      <c r="BK239" s="49"/>
      <c r="BL239" s="49"/>
      <c r="BM239" s="49"/>
      <c r="BN239" s="49"/>
    </row>
    <row r="240" spans="2:66">
      <c r="B240" s="699" t="s">
        <v>1133</v>
      </c>
      <c r="C240" s="699"/>
      <c r="D240" s="699"/>
      <c r="E240" s="699"/>
      <c r="F240" s="1050"/>
      <c r="G240" s="1050"/>
      <c r="H240" s="1050"/>
      <c r="I240" s="1050"/>
      <c r="J240" s="1050"/>
      <c r="K240" s="1050"/>
      <c r="L240" s="1050"/>
      <c r="M240" s="1050"/>
      <c r="N240" s="1050"/>
      <c r="O240" s="1050"/>
      <c r="P240" s="1050"/>
      <c r="Q240" s="1050"/>
      <c r="R240" s="1050"/>
      <c r="S240" s="1050"/>
      <c r="T240" s="1050"/>
      <c r="U240" s="1050"/>
      <c r="V240" s="1050"/>
      <c r="W240" s="1050"/>
      <c r="X240" s="1050"/>
      <c r="Y240" s="1050"/>
      <c r="Z240" s="1050"/>
      <c r="AA240" s="699"/>
      <c r="AB240" s="699"/>
      <c r="AC240" s="699"/>
      <c r="AD240" s="699"/>
      <c r="AE240" s="49"/>
      <c r="AF240" s="49"/>
      <c r="AG240" s="49"/>
      <c r="AH240" s="49"/>
      <c r="AI240" s="49"/>
      <c r="AJ240" s="49"/>
      <c r="AK240" s="49"/>
      <c r="AL240" s="49"/>
      <c r="AM240" s="49"/>
      <c r="AN240" s="49"/>
      <c r="AO240" s="49"/>
      <c r="AP240" s="49"/>
      <c r="AQ240" s="49"/>
      <c r="AR240" s="49"/>
      <c r="AS240" s="49"/>
      <c r="AT240" s="49"/>
      <c r="AU240" s="49"/>
      <c r="AV240" s="49"/>
      <c r="AW240" s="49"/>
      <c r="AX240" s="49"/>
      <c r="AY240" s="49"/>
      <c r="AZ240" s="49"/>
      <c r="BA240" s="49"/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</row>
    <row r="241" spans="1:66">
      <c r="A241" s="699"/>
      <c r="B241" s="52" t="s">
        <v>1134</v>
      </c>
      <c r="C241" s="1052"/>
      <c r="D241" s="1052"/>
      <c r="E241" s="1052"/>
      <c r="F241" s="1088">
        <f>+SUM(F238:F240)</f>
        <v>0</v>
      </c>
      <c r="G241" s="1088">
        <f t="shared" ref="G241:Z241" si="526">+SUM(G238:G240)</f>
        <v>0</v>
      </c>
      <c r="H241" s="1088">
        <f t="shared" si="526"/>
        <v>0</v>
      </c>
      <c r="I241" s="1088">
        <f t="shared" si="526"/>
        <v>0</v>
      </c>
      <c r="J241" s="1088">
        <f t="shared" si="526"/>
        <v>0</v>
      </c>
      <c r="K241" s="1088">
        <f t="shared" si="526"/>
        <v>0</v>
      </c>
      <c r="L241" s="1088">
        <f t="shared" si="526"/>
        <v>0</v>
      </c>
      <c r="M241" s="1088">
        <f t="shared" si="526"/>
        <v>0</v>
      </c>
      <c r="N241" s="1088">
        <f t="shared" si="526"/>
        <v>0</v>
      </c>
      <c r="O241" s="1088">
        <f t="shared" si="526"/>
        <v>0</v>
      </c>
      <c r="P241" s="1088">
        <f t="shared" si="526"/>
        <v>0</v>
      </c>
      <c r="Q241" s="1088">
        <f t="shared" si="526"/>
        <v>0</v>
      </c>
      <c r="R241" s="1088">
        <f t="shared" si="526"/>
        <v>0</v>
      </c>
      <c r="S241" s="1088">
        <f t="shared" si="526"/>
        <v>0</v>
      </c>
      <c r="T241" s="1088">
        <f t="shared" si="526"/>
        <v>0</v>
      </c>
      <c r="U241" s="1088">
        <f t="shared" si="526"/>
        <v>0</v>
      </c>
      <c r="V241" s="1088">
        <f t="shared" si="526"/>
        <v>0</v>
      </c>
      <c r="W241" s="1088">
        <f t="shared" si="526"/>
        <v>0</v>
      </c>
      <c r="X241" s="1088">
        <f t="shared" si="526"/>
        <v>0</v>
      </c>
      <c r="Y241" s="1088">
        <f t="shared" si="526"/>
        <v>0</v>
      </c>
      <c r="Z241" s="1088">
        <f t="shared" si="526"/>
        <v>0</v>
      </c>
      <c r="AA241" s="699"/>
      <c r="AB241" s="699"/>
      <c r="AC241" s="699"/>
      <c r="AD241" s="699"/>
      <c r="AE241" s="49"/>
      <c r="AF241" s="49"/>
      <c r="AG241" s="49"/>
      <c r="AH241" s="49"/>
      <c r="AI241" s="49"/>
      <c r="AJ241" s="49"/>
      <c r="AK241" s="49"/>
      <c r="AL241" s="49"/>
      <c r="AM241" s="49"/>
      <c r="AN241" s="49"/>
      <c r="AO241" s="49"/>
      <c r="AP241" s="49"/>
      <c r="AQ241" s="49"/>
      <c r="AR241" s="49"/>
      <c r="AS241" s="49"/>
      <c r="AT241" s="49"/>
      <c r="AU241" s="49"/>
      <c r="AV241" s="49"/>
      <c r="AW241" s="49"/>
      <c r="AX241" s="49"/>
      <c r="AY241" s="49"/>
      <c r="AZ241" s="49"/>
      <c r="BA241" s="49"/>
      <c r="BB241" s="49"/>
      <c r="BC241" s="49"/>
      <c r="BD241" s="49"/>
      <c r="BE241" s="49"/>
      <c r="BF241" s="49"/>
      <c r="BG241" s="49"/>
      <c r="BH241" s="49"/>
      <c r="BI241" s="49"/>
      <c r="BJ241" s="49"/>
      <c r="BK241" s="49"/>
      <c r="BL241" s="49"/>
      <c r="BM241" s="49"/>
      <c r="BN241" s="49"/>
    </row>
    <row r="242" spans="1:66">
      <c r="A242" s="699"/>
      <c r="B242" s="699"/>
      <c r="C242" s="699"/>
      <c r="D242" s="699"/>
      <c r="E242" s="699"/>
      <c r="F242" s="699"/>
      <c r="G242" s="699"/>
      <c r="H242" s="699"/>
      <c r="I242" s="699"/>
      <c r="J242" s="699"/>
      <c r="K242" s="699"/>
      <c r="L242" s="699"/>
      <c r="M242" s="699"/>
      <c r="N242" s="699"/>
      <c r="O242" s="699"/>
      <c r="P242" s="699"/>
      <c r="Q242" s="699"/>
      <c r="R242" s="699"/>
      <c r="S242" s="699"/>
      <c r="T242" s="699"/>
      <c r="U242" s="699"/>
      <c r="V242" s="699"/>
      <c r="W242" s="699"/>
      <c r="X242" s="699"/>
      <c r="Y242" s="699"/>
      <c r="Z242" s="699"/>
      <c r="AA242" s="699"/>
      <c r="AB242" s="699"/>
      <c r="AC242" s="699"/>
      <c r="AD242" s="699"/>
      <c r="AE242" s="49"/>
      <c r="AF242" s="49"/>
      <c r="AG242" s="49"/>
      <c r="AH242" s="49"/>
      <c r="AI242" s="49"/>
      <c r="AJ242" s="49"/>
      <c r="AK242" s="49"/>
      <c r="AL242" s="49"/>
      <c r="AM242" s="49"/>
      <c r="AN242" s="49"/>
      <c r="AO242" s="49"/>
      <c r="AP242" s="49"/>
      <c r="AQ242" s="49"/>
      <c r="AR242" s="49"/>
      <c r="AS242" s="49"/>
      <c r="AT242" s="49"/>
      <c r="AU242" s="49"/>
      <c r="AV242" s="49"/>
      <c r="AW242" s="49"/>
      <c r="AX242" s="49"/>
      <c r="AY242" s="49"/>
      <c r="AZ242" s="49"/>
      <c r="BA242" s="49"/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</row>
    <row r="243" spans="1:66" s="5" customFormat="1" ht="15.75">
      <c r="A243" s="699"/>
      <c r="B243" s="50" t="s">
        <v>1135</v>
      </c>
      <c r="C243" s="50"/>
      <c r="D243" s="50"/>
      <c r="E243" s="50"/>
      <c r="F243" s="55">
        <f>+F236-F241</f>
        <v>0</v>
      </c>
      <c r="G243" s="55">
        <f t="shared" ref="G243:Z243" si="527">+G236-G241</f>
        <v>0</v>
      </c>
      <c r="H243" s="55">
        <f t="shared" si="527"/>
        <v>0</v>
      </c>
      <c r="I243" s="55">
        <f t="shared" si="527"/>
        <v>0</v>
      </c>
      <c r="J243" s="55">
        <f t="shared" si="527"/>
        <v>5628589.1318583144</v>
      </c>
      <c r="K243" s="55">
        <f t="shared" si="527"/>
        <v>0</v>
      </c>
      <c r="L243" s="55">
        <f t="shared" si="527"/>
        <v>0</v>
      </c>
      <c r="M243" s="55">
        <f t="shared" si="527"/>
        <v>0</v>
      </c>
      <c r="N243" s="55">
        <f t="shared" si="527"/>
        <v>0</v>
      </c>
      <c r="O243" s="55">
        <f t="shared" si="527"/>
        <v>0</v>
      </c>
      <c r="P243" s="55">
        <f t="shared" si="527"/>
        <v>0</v>
      </c>
      <c r="Q243" s="55">
        <f t="shared" si="527"/>
        <v>0</v>
      </c>
      <c r="R243" s="55">
        <f t="shared" si="527"/>
        <v>0</v>
      </c>
      <c r="S243" s="55">
        <f t="shared" si="527"/>
        <v>0</v>
      </c>
      <c r="T243" s="55">
        <f t="shared" si="527"/>
        <v>0</v>
      </c>
      <c r="U243" s="55">
        <f t="shared" si="527"/>
        <v>0</v>
      </c>
      <c r="V243" s="55">
        <f t="shared" si="527"/>
        <v>0</v>
      </c>
      <c r="W243" s="55">
        <f t="shared" si="527"/>
        <v>0</v>
      </c>
      <c r="X243" s="55">
        <f t="shared" si="527"/>
        <v>0</v>
      </c>
      <c r="Y243" s="55">
        <f t="shared" si="527"/>
        <v>0</v>
      </c>
      <c r="Z243" s="55">
        <f t="shared" si="527"/>
        <v>0</v>
      </c>
      <c r="AA243" s="699"/>
      <c r="AB243" s="699"/>
      <c r="AC243" s="699"/>
      <c r="AE243" s="339"/>
      <c r="AF243" s="339"/>
      <c r="AG243" s="339"/>
      <c r="AH243" s="339"/>
      <c r="AI243" s="339"/>
      <c r="AJ243" s="339"/>
      <c r="AK243" s="339"/>
      <c r="AL243" s="339"/>
      <c r="AM243" s="49"/>
      <c r="AN243" s="49"/>
      <c r="AO243" s="49"/>
      <c r="AP243" s="49"/>
      <c r="AQ243" s="49"/>
      <c r="AR243" s="49"/>
      <c r="AS243" s="49"/>
      <c r="AT243" s="49"/>
      <c r="AU243" s="49"/>
      <c r="AV243" s="49"/>
      <c r="AW243" s="49"/>
      <c r="AX243" s="49"/>
      <c r="AY243" s="49"/>
      <c r="AZ243" s="49"/>
      <c r="BA243" s="49"/>
      <c r="BB243" s="49"/>
      <c r="BC243" s="49"/>
      <c r="BD243" s="49"/>
      <c r="BE243" s="49"/>
      <c r="BF243" s="49"/>
      <c r="BG243" s="49"/>
      <c r="BH243" s="49"/>
      <c r="BI243" s="49"/>
      <c r="BJ243" s="49"/>
      <c r="BK243" s="49"/>
      <c r="BL243" s="339"/>
      <c r="BM243" s="339"/>
      <c r="BN243" s="339"/>
    </row>
    <row r="244" spans="1:66" ht="15.75">
      <c r="A244" s="699" t="s">
        <v>881</v>
      </c>
      <c r="B244" s="50" t="s">
        <v>1136</v>
      </c>
      <c r="C244" s="50"/>
      <c r="D244" s="50"/>
      <c r="E244" s="50"/>
      <c r="F244" s="56" t="str">
        <f t="shared" ref="F244" si="528">+IFERROR(F243/F236,"")</f>
        <v/>
      </c>
      <c r="G244" s="56" t="str">
        <f t="shared" ref="G244:Z244" si="529">+IFERROR(G243/G236,"")</f>
        <v/>
      </c>
      <c r="H244" s="56" t="str">
        <f t="shared" si="529"/>
        <v/>
      </c>
      <c r="I244" s="56" t="str">
        <f t="shared" si="529"/>
        <v/>
      </c>
      <c r="J244" s="56">
        <f t="shared" si="529"/>
        <v>1</v>
      </c>
      <c r="K244" s="56" t="str">
        <f t="shared" si="529"/>
        <v/>
      </c>
      <c r="L244" s="56" t="str">
        <f t="shared" si="529"/>
        <v/>
      </c>
      <c r="M244" s="56" t="str">
        <f t="shared" si="529"/>
        <v/>
      </c>
      <c r="N244" s="56" t="str">
        <f t="shared" si="529"/>
        <v/>
      </c>
      <c r="O244" s="56" t="str">
        <f t="shared" si="529"/>
        <v/>
      </c>
      <c r="P244" s="56" t="str">
        <f t="shared" si="529"/>
        <v/>
      </c>
      <c r="Q244" s="56" t="str">
        <f t="shared" si="529"/>
        <v/>
      </c>
      <c r="R244" s="56" t="str">
        <f t="shared" si="529"/>
        <v/>
      </c>
      <c r="S244" s="56" t="str">
        <f t="shared" si="529"/>
        <v/>
      </c>
      <c r="T244" s="56" t="str">
        <f t="shared" si="529"/>
        <v/>
      </c>
      <c r="U244" s="56" t="str">
        <f t="shared" si="529"/>
        <v/>
      </c>
      <c r="V244" s="56" t="str">
        <f t="shared" si="529"/>
        <v/>
      </c>
      <c r="W244" s="56" t="str">
        <f t="shared" si="529"/>
        <v/>
      </c>
      <c r="X244" s="56" t="str">
        <f t="shared" si="529"/>
        <v/>
      </c>
      <c r="Y244" s="56" t="str">
        <f t="shared" si="529"/>
        <v/>
      </c>
      <c r="Z244" s="56" t="str">
        <f t="shared" si="529"/>
        <v/>
      </c>
      <c r="AA244" s="699"/>
      <c r="AB244" s="699"/>
      <c r="AC244" s="699"/>
      <c r="AD244" s="699"/>
      <c r="AE244" s="49"/>
      <c r="AF244" s="49"/>
      <c r="AG244" s="49"/>
      <c r="AH244" s="49"/>
      <c r="AI244" s="49"/>
      <c r="AJ244" s="49"/>
      <c r="AK244" s="49"/>
      <c r="AL244" s="49"/>
      <c r="AM244" s="49"/>
      <c r="AN244" s="49"/>
      <c r="AO244" s="49"/>
      <c r="AP244" s="49"/>
      <c r="AQ244" s="49"/>
      <c r="AR244" s="49"/>
      <c r="AS244" s="49"/>
      <c r="AT244" s="49"/>
      <c r="AU244" s="49"/>
      <c r="AV244" s="49"/>
      <c r="AW244" s="49"/>
      <c r="AX244" s="49"/>
      <c r="AY244" s="49"/>
      <c r="AZ244" s="49"/>
      <c r="BA244" s="49"/>
      <c r="BB244" s="49"/>
      <c r="BC244" s="49"/>
      <c r="BD244" s="49"/>
      <c r="BE244" s="49"/>
      <c r="BF244" s="49"/>
      <c r="BG244" s="49"/>
      <c r="BH244" s="49"/>
      <c r="BI244" s="49"/>
      <c r="BJ244" s="49"/>
      <c r="BK244" s="49"/>
      <c r="BL244" s="49"/>
      <c r="BM244" s="49"/>
      <c r="BN244" s="49"/>
    </row>
    <row r="245" spans="1:66" ht="15.75">
      <c r="A245" s="699"/>
      <c r="B245" s="50" t="s">
        <v>1185</v>
      </c>
      <c r="C245" s="50"/>
      <c r="D245" s="50"/>
      <c r="E245" s="50"/>
      <c r="F245" s="55">
        <f t="shared" ref="F245" si="530">+F243</f>
        <v>0</v>
      </c>
      <c r="G245" s="55">
        <f t="shared" ref="G245:Z245" si="531">+G243</f>
        <v>0</v>
      </c>
      <c r="H245" s="55">
        <f t="shared" si="531"/>
        <v>0</v>
      </c>
      <c r="I245" s="55">
        <f t="shared" si="531"/>
        <v>0</v>
      </c>
      <c r="J245" s="55">
        <f t="shared" si="531"/>
        <v>5628589.1318583144</v>
      </c>
      <c r="K245" s="55">
        <f t="shared" si="531"/>
        <v>0</v>
      </c>
      <c r="L245" s="55">
        <f t="shared" si="531"/>
        <v>0</v>
      </c>
      <c r="M245" s="55">
        <f t="shared" si="531"/>
        <v>0</v>
      </c>
      <c r="N245" s="55">
        <f t="shared" si="531"/>
        <v>0</v>
      </c>
      <c r="O245" s="55">
        <f t="shared" si="531"/>
        <v>0</v>
      </c>
      <c r="P245" s="55">
        <f t="shared" si="531"/>
        <v>0</v>
      </c>
      <c r="Q245" s="55">
        <f t="shared" si="531"/>
        <v>0</v>
      </c>
      <c r="R245" s="55">
        <f t="shared" si="531"/>
        <v>0</v>
      </c>
      <c r="S245" s="55">
        <f t="shared" si="531"/>
        <v>0</v>
      </c>
      <c r="T245" s="55">
        <f t="shared" si="531"/>
        <v>0</v>
      </c>
      <c r="U245" s="55">
        <f t="shared" si="531"/>
        <v>0</v>
      </c>
      <c r="V245" s="55">
        <f t="shared" si="531"/>
        <v>0</v>
      </c>
      <c r="W245" s="55">
        <f t="shared" si="531"/>
        <v>0</v>
      </c>
      <c r="X245" s="55">
        <f t="shared" si="531"/>
        <v>0</v>
      </c>
      <c r="Y245" s="55">
        <f t="shared" si="531"/>
        <v>0</v>
      </c>
      <c r="Z245" s="55">
        <f t="shared" si="531"/>
        <v>0</v>
      </c>
      <c r="AA245" s="699"/>
      <c r="AB245" s="699"/>
      <c r="AC245" s="699"/>
      <c r="AD245" s="699"/>
      <c r="AE245" s="49"/>
      <c r="AF245" s="49"/>
      <c r="AG245" s="49"/>
      <c r="AH245" s="49"/>
      <c r="AI245" s="49"/>
      <c r="AJ245" s="49"/>
      <c r="AK245" s="49"/>
      <c r="AL245" s="49"/>
      <c r="AM245" s="49"/>
      <c r="AN245" s="49"/>
      <c r="AO245" s="49"/>
      <c r="AP245" s="49"/>
      <c r="AQ245" s="49"/>
      <c r="AR245" s="49"/>
      <c r="AS245" s="49"/>
      <c r="AT245" s="49"/>
      <c r="AU245" s="49"/>
      <c r="AV245" s="49"/>
      <c r="AW245" s="49"/>
      <c r="AX245" s="49"/>
      <c r="AY245" s="49"/>
      <c r="AZ245" s="49"/>
      <c r="BA245" s="49"/>
      <c r="BB245" s="49"/>
      <c r="BC245" s="49"/>
      <c r="BD245" s="49"/>
      <c r="BE245" s="49"/>
      <c r="BF245" s="49"/>
      <c r="BG245" s="49"/>
      <c r="BH245" s="49"/>
      <c r="BI245" s="49"/>
      <c r="BJ245" s="49"/>
      <c r="BK245" s="49"/>
      <c r="BL245" s="49"/>
      <c r="BM245" s="49"/>
      <c r="BN245" s="49"/>
    </row>
    <row r="246" spans="1:66">
      <c r="A246" s="699"/>
      <c r="B246" s="699"/>
      <c r="C246" s="699"/>
      <c r="D246" s="699"/>
      <c r="E246" s="699"/>
      <c r="F246" s="699"/>
      <c r="G246" s="699"/>
      <c r="H246" s="699"/>
      <c r="I246" s="699"/>
      <c r="J246" s="699"/>
      <c r="K246" s="699"/>
      <c r="L246" s="699"/>
      <c r="M246" s="699"/>
      <c r="N246" s="699"/>
      <c r="O246" s="699"/>
      <c r="P246" s="699"/>
      <c r="Q246" s="699"/>
      <c r="R246" s="699"/>
      <c r="S246" s="699"/>
      <c r="T246" s="699"/>
      <c r="U246" s="699"/>
      <c r="V246" s="699"/>
      <c r="W246" s="699"/>
      <c r="X246" s="699"/>
      <c r="Y246" s="699"/>
      <c r="Z246" s="699"/>
      <c r="AA246" s="699"/>
      <c r="AB246" s="699"/>
      <c r="AC246" s="699"/>
      <c r="AD246" s="699"/>
      <c r="AE246" s="49"/>
      <c r="AF246" s="49"/>
      <c r="AG246" s="49"/>
      <c r="AH246" s="49"/>
      <c r="AI246" s="49"/>
      <c r="AJ246" s="49"/>
      <c r="AK246" s="49"/>
      <c r="AL246" s="49"/>
      <c r="AM246" s="49"/>
      <c r="AN246" s="49"/>
      <c r="AO246" s="49"/>
      <c r="AP246" s="49"/>
      <c r="AQ246" s="49"/>
      <c r="AR246" s="49"/>
      <c r="AS246" s="49"/>
      <c r="AT246" s="49"/>
      <c r="AU246" s="49"/>
      <c r="AV246" s="49"/>
      <c r="AW246" s="49"/>
      <c r="AX246" s="49"/>
      <c r="AY246" s="49"/>
      <c r="AZ246" s="49"/>
      <c r="BA246" s="49"/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</row>
    <row r="247" spans="1:66" ht="15.75">
      <c r="A247" s="699"/>
      <c r="B247" s="53" t="s">
        <v>338</v>
      </c>
      <c r="C247" s="699"/>
      <c r="D247" s="699"/>
      <c r="E247" s="699"/>
      <c r="F247" s="54">
        <f>+Assumptions!$F$27</f>
        <v>45291</v>
      </c>
      <c r="G247" s="54">
        <f t="shared" ref="G247:Z247" si="532">+EOMONTH(F247,12)</f>
        <v>45657</v>
      </c>
      <c r="H247" s="54">
        <f t="shared" si="532"/>
        <v>46022</v>
      </c>
      <c r="I247" s="54">
        <f t="shared" si="532"/>
        <v>46387</v>
      </c>
      <c r="J247" s="54">
        <f t="shared" si="532"/>
        <v>46752</v>
      </c>
      <c r="K247" s="54">
        <f t="shared" si="532"/>
        <v>47118</v>
      </c>
      <c r="L247" s="54">
        <f t="shared" si="532"/>
        <v>47483</v>
      </c>
      <c r="M247" s="54">
        <f t="shared" si="532"/>
        <v>47848</v>
      </c>
      <c r="N247" s="54">
        <f t="shared" si="532"/>
        <v>48213</v>
      </c>
      <c r="O247" s="54">
        <f t="shared" si="532"/>
        <v>48579</v>
      </c>
      <c r="P247" s="54">
        <f t="shared" si="532"/>
        <v>48944</v>
      </c>
      <c r="Q247" s="54">
        <f t="shared" si="532"/>
        <v>49309</v>
      </c>
      <c r="R247" s="54">
        <f t="shared" si="532"/>
        <v>49674</v>
      </c>
      <c r="S247" s="54">
        <f t="shared" si="532"/>
        <v>50040</v>
      </c>
      <c r="T247" s="54">
        <f t="shared" si="532"/>
        <v>50405</v>
      </c>
      <c r="U247" s="54">
        <f t="shared" si="532"/>
        <v>50770</v>
      </c>
      <c r="V247" s="54">
        <f t="shared" si="532"/>
        <v>51135</v>
      </c>
      <c r="W247" s="54">
        <f t="shared" si="532"/>
        <v>51501</v>
      </c>
      <c r="X247" s="54">
        <f t="shared" si="532"/>
        <v>51866</v>
      </c>
      <c r="Y247" s="54">
        <f t="shared" si="532"/>
        <v>52231</v>
      </c>
      <c r="Z247" s="54">
        <f t="shared" si="532"/>
        <v>52596</v>
      </c>
      <c r="AA247" s="699"/>
      <c r="AB247" s="699"/>
      <c r="AC247" s="699"/>
      <c r="AD247" s="699"/>
      <c r="AE247" s="49"/>
      <c r="AF247" s="49"/>
      <c r="AG247" s="49"/>
      <c r="AH247" s="49"/>
      <c r="AI247" s="49"/>
      <c r="AJ247" s="49"/>
      <c r="AK247" s="49"/>
      <c r="AL247" s="49"/>
      <c r="AM247" s="49"/>
      <c r="AN247" s="49"/>
      <c r="AO247" s="49"/>
      <c r="AP247" s="49"/>
      <c r="AQ247" s="49"/>
      <c r="AR247" s="49"/>
      <c r="AS247" s="49"/>
      <c r="AT247" s="49"/>
      <c r="AU247" s="49"/>
      <c r="AV247" s="49"/>
      <c r="AW247" s="49"/>
      <c r="AX247" s="49"/>
      <c r="AY247" s="49"/>
      <c r="AZ247" s="49"/>
      <c r="BA247" s="49"/>
      <c r="BB247" s="49"/>
      <c r="BC247" s="49"/>
      <c r="BD247" s="49"/>
      <c r="BE247" s="49"/>
      <c r="BF247" s="49"/>
      <c r="BG247" s="49"/>
      <c r="BH247" s="49"/>
      <c r="BI247" s="49"/>
      <c r="BJ247" s="49"/>
      <c r="BK247" s="49"/>
      <c r="BL247" s="49"/>
      <c r="BM247" s="49"/>
      <c r="BN247" s="49"/>
    </row>
    <row r="248" spans="1:66">
      <c r="A248" s="699"/>
      <c r="B248" s="699" t="s">
        <v>1120</v>
      </c>
      <c r="C248" s="699"/>
      <c r="D248" s="699"/>
      <c r="E248" s="1050"/>
      <c r="F248" s="1050">
        <f>+IF(F247=Assumptions!$F$31,Assumptions!$F$156/ROUNDUP((12/12),0),)</f>
        <v>0</v>
      </c>
      <c r="G248" s="1050">
        <f>+IF(G247=Assumptions!$F$31,Assumptions!$F$156/ROUNDUP((12/12),0),)</f>
        <v>0</v>
      </c>
      <c r="H248" s="1050">
        <f>+IF(H247=Assumptions!$F$31,Assumptions!$F$156/ROUNDUP((12/12),0),)</f>
        <v>0</v>
      </c>
      <c r="I248" s="1050">
        <f>+IF(I247=Assumptions!$F$31,Assumptions!$F$156/ROUNDUP((12/12),0),)</f>
        <v>0</v>
      </c>
      <c r="J248" s="1050">
        <f>+IF(J247=Assumptions!$F$31,Assumptions!$F$156/ROUNDUP((12/12),0),)</f>
        <v>55116.764999999999</v>
      </c>
      <c r="K248" s="1050">
        <f>+IF(K247=Assumptions!$F$31,Assumptions!$F$156/ROUNDUP((12/12),0),)</f>
        <v>0</v>
      </c>
      <c r="L248" s="1050">
        <f>+IF(L247=Assumptions!$F$31,Assumptions!$F$156/ROUNDUP((12/12),0),)</f>
        <v>0</v>
      </c>
      <c r="M248" s="1050">
        <f>+IF(M247=Assumptions!$F$31,Assumptions!$F$156/ROUNDUP((12/12),0),)</f>
        <v>0</v>
      </c>
      <c r="N248" s="1050">
        <f>+IF(N247=Assumptions!$F$31,Assumptions!$F$156/ROUNDUP((12/12),0),)</f>
        <v>0</v>
      </c>
      <c r="O248" s="1050">
        <f>+IF(O247=Assumptions!$F$31,Assumptions!$F$156/ROUNDUP((12/12),0),)</f>
        <v>0</v>
      </c>
      <c r="P248" s="1050">
        <f>+IF(P247=Assumptions!$F$31,Assumptions!$F$156/ROUNDUP((12/12),0),)</f>
        <v>0</v>
      </c>
      <c r="Q248" s="1050">
        <f>+IF(Q247=Assumptions!$F$31,Assumptions!$F$156/ROUNDUP((12/12),0),)</f>
        <v>0</v>
      </c>
      <c r="R248" s="1050">
        <f>+IF(R247=Assumptions!$F$31,Assumptions!$F$156/ROUNDUP((12/12),0),)</f>
        <v>0</v>
      </c>
      <c r="S248" s="1050">
        <f>+IF(S247=Assumptions!$F$31,Assumptions!$F$156/ROUNDUP((12/12),0),)</f>
        <v>0</v>
      </c>
      <c r="T248" s="1050">
        <f>+IF(T247=Assumptions!$F$31,Assumptions!$F$156/ROUNDUP((12/12),0),)</f>
        <v>0</v>
      </c>
      <c r="U248" s="1050">
        <f>+IF(U247=Assumptions!$F$31,Assumptions!$F$156/ROUNDUP((12/12),0),)</f>
        <v>0</v>
      </c>
      <c r="V248" s="1050">
        <f>+IF(V247=Assumptions!$F$31,Assumptions!$F$156/ROUNDUP((12/12),0),)</f>
        <v>0</v>
      </c>
      <c r="W248" s="1050">
        <f>+IF(W247=Assumptions!$F$31,Assumptions!$F$156/ROUNDUP((12/12),0),)</f>
        <v>0</v>
      </c>
      <c r="X248" s="1050">
        <f>+IF(X247=Assumptions!$F$31,Assumptions!$F$156/ROUNDUP((12/12),0),)</f>
        <v>0</v>
      </c>
      <c r="Y248" s="1050">
        <f>+IF(Y247=Assumptions!$F$31,Assumptions!$F$156/ROUNDUP((12/12),0),)</f>
        <v>0</v>
      </c>
      <c r="Z248" s="1050">
        <f>+IF(Z247=Assumptions!$F$31,Assumptions!$F$156/ROUNDUP((12/12),0),)</f>
        <v>0</v>
      </c>
      <c r="AA248" s="699"/>
      <c r="AB248" s="699"/>
      <c r="AC248" s="699"/>
      <c r="AD248" s="699"/>
      <c r="AE248" s="49"/>
      <c r="AF248" s="49"/>
      <c r="AG248" s="49"/>
      <c r="AH248" s="49"/>
      <c r="AI248" s="49"/>
      <c r="AJ248" s="49"/>
      <c r="AK248" s="49"/>
      <c r="AL248" s="49"/>
      <c r="AM248" s="49"/>
      <c r="AN248" s="49"/>
      <c r="AO248" s="49"/>
      <c r="AP248" s="49"/>
      <c r="AQ248" s="49"/>
      <c r="AR248" s="49"/>
      <c r="AS248" s="49"/>
      <c r="AT248" s="49"/>
      <c r="AU248" s="49"/>
      <c r="AV248" s="49"/>
      <c r="AW248" s="49"/>
      <c r="AX248" s="49"/>
      <c r="AY248" s="49"/>
      <c r="AZ248" s="49"/>
      <c r="BA248" s="49"/>
      <c r="BB248" s="49"/>
      <c r="BC248" s="49"/>
      <c r="BD248" s="49"/>
      <c r="BE248" s="49"/>
      <c r="BF248" s="49"/>
      <c r="BG248" s="49"/>
      <c r="BH248" s="49"/>
      <c r="BI248" s="49"/>
      <c r="BJ248" s="49"/>
      <c r="BK248" s="49"/>
      <c r="BL248" s="49"/>
      <c r="BM248" s="49"/>
      <c r="BN248" s="49"/>
    </row>
    <row r="249" spans="1:66">
      <c r="A249" s="699"/>
      <c r="B249" s="699" t="s">
        <v>1121</v>
      </c>
      <c r="C249" s="699"/>
      <c r="D249" s="699"/>
      <c r="E249" s="1050">
        <v>0</v>
      </c>
      <c r="F249" s="1050">
        <f t="shared" ref="F249" si="533">+E249+F248</f>
        <v>0</v>
      </c>
      <c r="G249" s="1050">
        <f t="shared" ref="G249" si="534">+F249+G248</f>
        <v>0</v>
      </c>
      <c r="H249" s="1050">
        <f t="shared" ref="H249" si="535">+G249+H248</f>
        <v>0</v>
      </c>
      <c r="I249" s="1050">
        <f t="shared" ref="I249" si="536">+H249+I248</f>
        <v>0</v>
      </c>
      <c r="J249" s="1050">
        <f t="shared" ref="J249" si="537">+I249+J248</f>
        <v>55116.764999999999</v>
      </c>
      <c r="K249" s="1050">
        <f t="shared" ref="K249" si="538">+J249+K248</f>
        <v>55116.764999999999</v>
      </c>
      <c r="L249" s="1050">
        <f t="shared" ref="L249" si="539">+K249+L248</f>
        <v>55116.764999999999</v>
      </c>
      <c r="M249" s="1050">
        <f t="shared" ref="M249" si="540">+L249+M248</f>
        <v>55116.764999999999</v>
      </c>
      <c r="N249" s="1050">
        <f t="shared" ref="N249" si="541">+M249+N248</f>
        <v>55116.764999999999</v>
      </c>
      <c r="O249" s="1050">
        <f t="shared" ref="O249" si="542">+N249+O248</f>
        <v>55116.764999999999</v>
      </c>
      <c r="P249" s="1050">
        <f t="shared" ref="P249" si="543">+O249+P248</f>
        <v>55116.764999999999</v>
      </c>
      <c r="Q249" s="1050">
        <f t="shared" ref="Q249" si="544">+P249+Q248</f>
        <v>55116.764999999999</v>
      </c>
      <c r="R249" s="1050">
        <f t="shared" ref="R249" si="545">+Q249+R248</f>
        <v>55116.764999999999</v>
      </c>
      <c r="S249" s="1050">
        <f t="shared" ref="S249" si="546">+R249+S248</f>
        <v>55116.764999999999</v>
      </c>
      <c r="T249" s="1050">
        <f t="shared" ref="T249" si="547">+S249+T248</f>
        <v>55116.764999999999</v>
      </c>
      <c r="U249" s="1050">
        <f t="shared" ref="U249" si="548">+T249+U248</f>
        <v>55116.764999999999</v>
      </c>
      <c r="V249" s="1050">
        <f t="shared" ref="V249" si="549">+U249+V248</f>
        <v>55116.764999999999</v>
      </c>
      <c r="W249" s="1050">
        <f t="shared" ref="W249" si="550">+V249+W248</f>
        <v>55116.764999999999</v>
      </c>
      <c r="X249" s="1050">
        <f t="shared" ref="X249" si="551">+W249+X248</f>
        <v>55116.764999999999</v>
      </c>
      <c r="Y249" s="1050">
        <f t="shared" ref="Y249" si="552">+X249+Y248</f>
        <v>55116.764999999999</v>
      </c>
      <c r="Z249" s="1050">
        <f t="shared" ref="Z249" si="553">+Y249+Z248</f>
        <v>55116.764999999999</v>
      </c>
      <c r="AA249" s="699"/>
      <c r="AB249" s="699"/>
      <c r="AC249" s="699"/>
      <c r="AD249" s="699"/>
      <c r="AE249" s="49"/>
      <c r="AF249" s="49"/>
      <c r="AG249" s="49"/>
      <c r="AH249" s="49"/>
      <c r="AI249" s="49"/>
      <c r="AJ249" s="49"/>
      <c r="AK249" s="49"/>
      <c r="AL249" s="49"/>
      <c r="AM249" s="49"/>
      <c r="AN249" s="49"/>
      <c r="AO249" s="49"/>
      <c r="AP249" s="49"/>
      <c r="AQ249" s="49"/>
      <c r="AR249" s="49"/>
      <c r="AS249" s="49"/>
      <c r="AT249" s="49"/>
      <c r="AU249" s="49"/>
      <c r="AV249" s="49"/>
      <c r="AW249" s="49"/>
      <c r="AX249" s="49"/>
      <c r="AY249" s="49"/>
      <c r="AZ249" s="49"/>
      <c r="BA249" s="49"/>
      <c r="BB249" s="49"/>
      <c r="BC249" s="49"/>
      <c r="BD249" s="49"/>
      <c r="BE249" s="49"/>
      <c r="BF249" s="49"/>
      <c r="BG249" s="49"/>
      <c r="BH249" s="49"/>
      <c r="BI249" s="49"/>
      <c r="BJ249" s="49"/>
      <c r="BK249" s="49"/>
      <c r="BL249" s="49"/>
      <c r="BM249" s="49"/>
      <c r="BN249" s="49"/>
    </row>
    <row r="250" spans="1:66">
      <c r="A250" s="699"/>
      <c r="B250" s="699" t="s">
        <v>1123</v>
      </c>
      <c r="C250" s="699"/>
      <c r="D250" s="699"/>
      <c r="E250" s="699"/>
      <c r="F250" s="1084">
        <f t="shared" ref="F250" si="554">+F251-E251</f>
        <v>0</v>
      </c>
      <c r="G250" s="1084">
        <f t="shared" ref="G250" si="555">+G251-F251</f>
        <v>0</v>
      </c>
      <c r="H250" s="1084">
        <f t="shared" ref="H250" si="556">+H251-G251</f>
        <v>0</v>
      </c>
      <c r="I250" s="1084">
        <f t="shared" ref="I250" si="557">+I251-H251</f>
        <v>0</v>
      </c>
      <c r="J250" s="1084">
        <f t="shared" ref="J250" si="558">+J251-I251</f>
        <v>54.887111812500002</v>
      </c>
      <c r="K250" s="1084">
        <f t="shared" ref="K250" si="559">+K251-J251</f>
        <v>0</v>
      </c>
      <c r="L250" s="1084">
        <f t="shared" ref="L250" si="560">+L251-K251</f>
        <v>0</v>
      </c>
      <c r="M250" s="1084">
        <f t="shared" ref="M250" si="561">+M251-L251</f>
        <v>0</v>
      </c>
      <c r="N250" s="1084">
        <f t="shared" ref="N250" si="562">+N251-M251</f>
        <v>0</v>
      </c>
      <c r="O250" s="1084">
        <f t="shared" ref="O250" si="563">+O251-N251</f>
        <v>0</v>
      </c>
      <c r="P250" s="1084">
        <f t="shared" ref="P250" si="564">+P251-O251</f>
        <v>0</v>
      </c>
      <c r="Q250" s="1084">
        <f t="shared" ref="Q250" si="565">+Q251-P251</f>
        <v>0</v>
      </c>
      <c r="R250" s="1084">
        <f t="shared" ref="R250" si="566">+R251-Q251</f>
        <v>0</v>
      </c>
      <c r="S250" s="1084">
        <f t="shared" ref="S250" si="567">+S251-R251</f>
        <v>0</v>
      </c>
      <c r="T250" s="1084">
        <f t="shared" ref="T250" si="568">+T251-S251</f>
        <v>0</v>
      </c>
      <c r="U250" s="1084">
        <f t="shared" ref="U250" si="569">+U251-T251</f>
        <v>0</v>
      </c>
      <c r="V250" s="1084">
        <f t="shared" ref="V250" si="570">+V251-U251</f>
        <v>0</v>
      </c>
      <c r="W250" s="1084">
        <f t="shared" ref="W250" si="571">+W251-V251</f>
        <v>0</v>
      </c>
      <c r="X250" s="1084">
        <f t="shared" ref="X250" si="572">+X251-W251</f>
        <v>0</v>
      </c>
      <c r="Y250" s="1084">
        <f t="shared" ref="Y250" si="573">+Y251-X251</f>
        <v>0</v>
      </c>
      <c r="Z250" s="1084">
        <f t="shared" ref="Z250" si="574">+Z251-Y251</f>
        <v>0</v>
      </c>
      <c r="AA250" s="699"/>
      <c r="AB250" s="699"/>
      <c r="AC250" s="699"/>
      <c r="AD250" s="699"/>
      <c r="AE250" s="49"/>
      <c r="AF250" s="49"/>
      <c r="AG250" s="49"/>
      <c r="AH250" s="49"/>
      <c r="AI250" s="49"/>
      <c r="AJ250" s="49"/>
      <c r="AK250" s="49"/>
      <c r="AL250" s="49"/>
      <c r="AM250" s="49"/>
      <c r="AN250" s="49"/>
      <c r="AO250" s="49"/>
      <c r="AP250" s="49"/>
      <c r="AQ250" s="49"/>
      <c r="AR250" s="49"/>
      <c r="AS250" s="49"/>
      <c r="AT250" s="49"/>
      <c r="AU250" s="49"/>
      <c r="AV250" s="49"/>
      <c r="AW250" s="49"/>
      <c r="AX250" s="49"/>
      <c r="AY250" s="49"/>
      <c r="AZ250" s="49"/>
      <c r="BA250" s="49"/>
      <c r="BB250" s="49"/>
      <c r="BC250" s="49"/>
      <c r="BD250" s="49"/>
      <c r="BE250" s="49"/>
      <c r="BF250" s="49"/>
      <c r="BG250" s="49"/>
      <c r="BH250" s="49"/>
      <c r="BI250" s="49"/>
      <c r="BJ250" s="49"/>
      <c r="BK250" s="49"/>
      <c r="BL250" s="49"/>
      <c r="BM250" s="49"/>
      <c r="BN250" s="49"/>
    </row>
    <row r="251" spans="1:66">
      <c r="A251" s="699"/>
      <c r="B251" s="699" t="s">
        <v>1124</v>
      </c>
      <c r="C251" s="699"/>
      <c r="D251" s="699"/>
      <c r="E251" s="699"/>
      <c r="F251" s="1084">
        <f>+F252*Assumptions!$F$157</f>
        <v>0</v>
      </c>
      <c r="G251" s="1084">
        <f>+G252*Assumptions!$F$157</f>
        <v>0</v>
      </c>
      <c r="H251" s="1084">
        <f>+H252*Assumptions!$F$157</f>
        <v>0</v>
      </c>
      <c r="I251" s="1084">
        <f>+I252*Assumptions!$F$157</f>
        <v>0</v>
      </c>
      <c r="J251" s="1084">
        <f>+J252*Assumptions!$F$157</f>
        <v>54.887111812500002</v>
      </c>
      <c r="K251" s="1084">
        <f>+K252*Assumptions!$F$157</f>
        <v>54.887111812500002</v>
      </c>
      <c r="L251" s="1084">
        <f>+L252*Assumptions!$F$157</f>
        <v>54.887111812500002</v>
      </c>
      <c r="M251" s="1084">
        <f>+M252*Assumptions!$F$157</f>
        <v>54.887111812500002</v>
      </c>
      <c r="N251" s="1084">
        <f>+N252*Assumptions!$F$157</f>
        <v>54.887111812500002</v>
      </c>
      <c r="O251" s="1084">
        <f>+O252*Assumptions!$F$157</f>
        <v>54.887111812500002</v>
      </c>
      <c r="P251" s="1084">
        <f>+P252*Assumptions!$F$157</f>
        <v>54.887111812500002</v>
      </c>
      <c r="Q251" s="1084">
        <f>+Q252*Assumptions!$F$157</f>
        <v>54.887111812500002</v>
      </c>
      <c r="R251" s="1084">
        <f>+R252*Assumptions!$F$157</f>
        <v>54.887111812500002</v>
      </c>
      <c r="S251" s="1084">
        <f>+S252*Assumptions!$F$157</f>
        <v>54.887111812500002</v>
      </c>
      <c r="T251" s="1084">
        <f>+T252*Assumptions!$F$157</f>
        <v>54.887111812500002</v>
      </c>
      <c r="U251" s="1084">
        <f>+U252*Assumptions!$F$157</f>
        <v>54.887111812500002</v>
      </c>
      <c r="V251" s="1084">
        <f>+V252*Assumptions!$F$157</f>
        <v>54.887111812500002</v>
      </c>
      <c r="W251" s="1084">
        <f>+W252*Assumptions!$F$157</f>
        <v>54.887111812500002</v>
      </c>
      <c r="X251" s="1084">
        <f>+X252*Assumptions!$F$157</f>
        <v>54.887111812500002</v>
      </c>
      <c r="Y251" s="1084">
        <f>+Y252*Assumptions!$F$157</f>
        <v>54.887111812500002</v>
      </c>
      <c r="Z251" s="1084">
        <f>+Z252*Assumptions!$F$157</f>
        <v>54.887111812500002</v>
      </c>
      <c r="AA251" s="699"/>
      <c r="AB251" s="699"/>
      <c r="AC251" s="699"/>
      <c r="AD251" s="699"/>
      <c r="AE251" s="49"/>
      <c r="AF251" s="49"/>
      <c r="AG251" s="49"/>
      <c r="AH251" s="49"/>
      <c r="AI251" s="49"/>
      <c r="AJ251" s="49"/>
      <c r="AK251" s="49"/>
      <c r="AL251" s="49"/>
      <c r="AM251" s="49"/>
      <c r="AN251" s="49"/>
      <c r="AO251" s="49"/>
      <c r="AP251" s="49"/>
      <c r="AQ251" s="49"/>
      <c r="AR251" s="49"/>
      <c r="AS251" s="49"/>
      <c r="AT251" s="49"/>
      <c r="AU251" s="49"/>
      <c r="AV251" s="49"/>
      <c r="AW251" s="49"/>
      <c r="AX251" s="49"/>
      <c r="AY251" s="49"/>
      <c r="AZ251" s="49"/>
      <c r="BA251" s="49"/>
      <c r="BB251" s="49"/>
      <c r="BC251" s="49"/>
      <c r="BD251" s="49"/>
      <c r="BE251" s="49"/>
      <c r="BF251" s="49"/>
      <c r="BG251" s="49"/>
      <c r="BH251" s="49"/>
      <c r="BI251" s="49"/>
      <c r="BJ251" s="49"/>
      <c r="BK251" s="49"/>
      <c r="BL251" s="49"/>
      <c r="BM251" s="49"/>
      <c r="BN251" s="49"/>
    </row>
    <row r="252" spans="1:66">
      <c r="A252" s="699"/>
      <c r="B252" s="699" t="s">
        <v>1125</v>
      </c>
      <c r="C252" s="699"/>
      <c r="D252" s="699"/>
      <c r="E252" s="699"/>
      <c r="F252" s="1074">
        <f t="shared" ref="F252:Z252" si="575">+IFERROR(F249/SUM($F248:$Z248),0)</f>
        <v>0</v>
      </c>
      <c r="G252" s="1074">
        <f t="shared" si="575"/>
        <v>0</v>
      </c>
      <c r="H252" s="1074">
        <f t="shared" si="575"/>
        <v>0</v>
      </c>
      <c r="I252" s="1074">
        <f t="shared" si="575"/>
        <v>0</v>
      </c>
      <c r="J252" s="1074">
        <f t="shared" si="575"/>
        <v>1</v>
      </c>
      <c r="K252" s="1074">
        <f t="shared" si="575"/>
        <v>1</v>
      </c>
      <c r="L252" s="1074">
        <f t="shared" si="575"/>
        <v>1</v>
      </c>
      <c r="M252" s="1074">
        <f t="shared" si="575"/>
        <v>1</v>
      </c>
      <c r="N252" s="1074">
        <f t="shared" si="575"/>
        <v>1</v>
      </c>
      <c r="O252" s="1074">
        <f t="shared" si="575"/>
        <v>1</v>
      </c>
      <c r="P252" s="1074">
        <f t="shared" si="575"/>
        <v>1</v>
      </c>
      <c r="Q252" s="1074">
        <f t="shared" si="575"/>
        <v>1</v>
      </c>
      <c r="R252" s="1074">
        <f t="shared" si="575"/>
        <v>1</v>
      </c>
      <c r="S252" s="1074">
        <f t="shared" si="575"/>
        <v>1</v>
      </c>
      <c r="T252" s="1074">
        <f t="shared" si="575"/>
        <v>1</v>
      </c>
      <c r="U252" s="1074">
        <f t="shared" si="575"/>
        <v>1</v>
      </c>
      <c r="V252" s="1074">
        <f t="shared" si="575"/>
        <v>1</v>
      </c>
      <c r="W252" s="1074">
        <f t="shared" si="575"/>
        <v>1</v>
      </c>
      <c r="X252" s="1074">
        <f t="shared" si="575"/>
        <v>1</v>
      </c>
      <c r="Y252" s="1074">
        <f t="shared" si="575"/>
        <v>1</v>
      </c>
      <c r="Z252" s="1074">
        <f t="shared" si="575"/>
        <v>1</v>
      </c>
      <c r="AA252" s="699"/>
      <c r="AB252" s="699"/>
      <c r="AC252" s="699"/>
      <c r="AD252" s="699"/>
      <c r="AE252" s="49"/>
      <c r="AF252" s="49"/>
      <c r="AG252" s="49"/>
      <c r="AH252" s="49"/>
      <c r="AI252" s="49"/>
      <c r="AJ252" s="49"/>
      <c r="AK252" s="49"/>
      <c r="AL252" s="49"/>
      <c r="AM252" s="49"/>
      <c r="AN252" s="49"/>
      <c r="AO252" s="49"/>
      <c r="AP252" s="49"/>
      <c r="AQ252" s="49"/>
      <c r="AR252" s="49"/>
      <c r="AS252" s="49"/>
      <c r="AT252" s="49"/>
      <c r="AU252" s="49"/>
      <c r="AV252" s="49"/>
      <c r="AW252" s="49"/>
      <c r="AX252" s="49"/>
      <c r="AY252" s="49"/>
      <c r="AZ252" s="49"/>
      <c r="BA252" s="49"/>
      <c r="BB252" s="49"/>
      <c r="BC252" s="49"/>
      <c r="BD252" s="49"/>
      <c r="BE252" s="49"/>
      <c r="BF252" s="49"/>
      <c r="BG252" s="49"/>
      <c r="BH252" s="49"/>
      <c r="BI252" s="49"/>
      <c r="BJ252" s="49"/>
      <c r="BK252" s="49"/>
      <c r="BL252" s="49"/>
      <c r="BM252" s="49"/>
      <c r="BN252" s="49"/>
    </row>
    <row r="253" spans="1:66">
      <c r="A253" s="699"/>
      <c r="B253" s="699"/>
      <c r="C253" s="699"/>
      <c r="D253" s="699"/>
      <c r="E253" s="699"/>
      <c r="F253" s="699"/>
      <c r="G253" s="699"/>
      <c r="H253" s="699"/>
      <c r="I253" s="699"/>
      <c r="J253" s="699"/>
      <c r="K253" s="699"/>
      <c r="L253" s="699"/>
      <c r="M253" s="699"/>
      <c r="N253" s="699"/>
      <c r="O253" s="699"/>
      <c r="P253" s="699"/>
      <c r="Q253" s="699"/>
      <c r="R253" s="699"/>
      <c r="S253" s="699"/>
      <c r="T253" s="699"/>
      <c r="U253" s="699"/>
      <c r="V253" s="699"/>
      <c r="W253" s="699"/>
      <c r="X253" s="699"/>
      <c r="Y253" s="699"/>
      <c r="Z253" s="699"/>
      <c r="AA253" s="699"/>
      <c r="AB253" s="699"/>
      <c r="AC253" s="699"/>
      <c r="AD253" s="699"/>
      <c r="AE253" s="49"/>
      <c r="AF253" s="49"/>
      <c r="AG253" s="49"/>
      <c r="AH253" s="49"/>
      <c r="AI253" s="49"/>
      <c r="AJ253" s="49"/>
      <c r="AK253" s="49"/>
      <c r="AL253" s="49"/>
      <c r="AM253" s="49"/>
      <c r="AN253" s="49"/>
      <c r="AO253" s="49"/>
      <c r="AP253" s="49"/>
      <c r="AQ253" s="49"/>
      <c r="AR253" s="49"/>
      <c r="AS253" s="49"/>
      <c r="AT253" s="49"/>
      <c r="AU253" s="49"/>
      <c r="AV253" s="49"/>
      <c r="AW253" s="49"/>
      <c r="AX253" s="49"/>
      <c r="AY253" s="49"/>
      <c r="AZ253" s="49"/>
      <c r="BA253" s="49"/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</row>
    <row r="254" spans="1:66">
      <c r="A254" s="699"/>
      <c r="B254" s="699" t="s">
        <v>1126</v>
      </c>
      <c r="C254" s="699"/>
      <c r="D254" s="699"/>
      <c r="E254" s="699"/>
      <c r="F254" s="1074">
        <v>1</v>
      </c>
      <c r="G254" s="1074">
        <f>+F254*(1+Assumptions!$AP$84)</f>
        <v>1.03</v>
      </c>
      <c r="H254" s="1074">
        <f>+G254*(1+Assumptions!$AP$84)</f>
        <v>1.0609</v>
      </c>
      <c r="I254" s="1074">
        <f>+H254*(1+Assumptions!$AP$84)</f>
        <v>1.092727</v>
      </c>
      <c r="J254" s="1074">
        <f>+I254*(1+Assumptions!$AP$84)</f>
        <v>1.1255088100000001</v>
      </c>
      <c r="K254" s="1074">
        <f>+J254*(1+Assumptions!$AP$84)</f>
        <v>1.1592740743000001</v>
      </c>
      <c r="L254" s="1074">
        <f>+K254*(1+Assumptions!$AP$84)</f>
        <v>1.1940522965290001</v>
      </c>
      <c r="M254" s="1074">
        <f>+L254*(1+Assumptions!$AP$84)</f>
        <v>1.2298738654248702</v>
      </c>
      <c r="N254" s="1074">
        <f>+M254*(1+Assumptions!$AP$84)</f>
        <v>1.2667700813876164</v>
      </c>
      <c r="O254" s="1074">
        <f>+N254*(1+Assumptions!$AP$84)</f>
        <v>1.3047731838292449</v>
      </c>
      <c r="P254" s="1074">
        <f>+O254*(1+Assumptions!$AP$84)</f>
        <v>1.3439163793441222</v>
      </c>
      <c r="Q254" s="1074">
        <f>+P254*(1+Assumptions!$AP$84)</f>
        <v>1.3842338707244459</v>
      </c>
      <c r="R254" s="1074">
        <f>+Q254*(1+Assumptions!$AP$84)</f>
        <v>1.4257608868461793</v>
      </c>
      <c r="S254" s="1074">
        <f>+R254*(1+Assumptions!$AP$84)</f>
        <v>1.4685337134515648</v>
      </c>
      <c r="T254" s="1074">
        <f>+S254*(1+Assumptions!$AP$84)</f>
        <v>1.5125897248551119</v>
      </c>
      <c r="U254" s="1074">
        <f>+T254*(1+Assumptions!$AP$84)</f>
        <v>1.5579674166007653</v>
      </c>
      <c r="V254" s="1074">
        <f>+U254*(1+Assumptions!$AP$84)</f>
        <v>1.6047064390987884</v>
      </c>
      <c r="W254" s="1074">
        <f>+V254*(1+Assumptions!$AP$84)</f>
        <v>1.652847632271752</v>
      </c>
      <c r="X254" s="1074">
        <f>+W254*(1+Assumptions!$AP$84)</f>
        <v>1.7024330612399046</v>
      </c>
      <c r="Y254" s="1074">
        <f>+X254*(1+Assumptions!$AP$84)</f>
        <v>1.7535060530771018</v>
      </c>
      <c r="Z254" s="1074">
        <f>+Y254*(1+Assumptions!$AP$84)</f>
        <v>1.806111234669415</v>
      </c>
      <c r="AA254" s="699"/>
      <c r="AB254" s="699"/>
      <c r="AC254" s="699"/>
      <c r="AD254" s="699"/>
      <c r="AE254" s="49"/>
      <c r="AF254" s="49"/>
      <c r="AG254" s="49"/>
      <c r="AH254" s="49"/>
      <c r="AI254" s="49"/>
      <c r="AJ254" s="49"/>
      <c r="AK254" s="49"/>
      <c r="AL254" s="49"/>
      <c r="AM254" s="49"/>
      <c r="AN254" s="49"/>
      <c r="AO254" s="49"/>
      <c r="AP254" s="49"/>
      <c r="AQ254" s="49"/>
      <c r="AR254" s="49"/>
      <c r="AS254" s="49"/>
      <c r="AT254" s="49"/>
      <c r="AU254" s="49"/>
      <c r="AV254" s="49"/>
      <c r="AW254" s="49"/>
      <c r="AX254" s="49"/>
      <c r="AY254" s="49"/>
      <c r="AZ254" s="49"/>
      <c r="BA254" s="49"/>
      <c r="BB254" s="49"/>
      <c r="BC254" s="49"/>
      <c r="BD254" s="49"/>
      <c r="BE254" s="49"/>
      <c r="BF254" s="49"/>
      <c r="BG254" s="49"/>
      <c r="BH254" s="49"/>
      <c r="BI254" s="49"/>
      <c r="BJ254" s="49"/>
      <c r="BK254" s="49"/>
      <c r="BL254" s="49"/>
      <c r="BM254" s="49"/>
      <c r="BN254" s="49"/>
    </row>
    <row r="255" spans="1:66">
      <c r="A255" s="699"/>
      <c r="B255" s="699" t="s">
        <v>1127</v>
      </c>
      <c r="C255" s="699"/>
      <c r="D255" s="699"/>
      <c r="E255" s="699"/>
      <c r="F255" s="1074">
        <v>1</v>
      </c>
      <c r="G255" s="1074">
        <f>+F255*(1+Assumptions!$AP$95)</f>
        <v>1.03</v>
      </c>
      <c r="H255" s="1074">
        <f>+G255*(1+Assumptions!$AP$95)</f>
        <v>1.0609</v>
      </c>
      <c r="I255" s="1074">
        <f>+H255*(1+Assumptions!$AP$95)</f>
        <v>1.092727</v>
      </c>
      <c r="J255" s="1074">
        <f>+I255*(1+Assumptions!$AP$95)</f>
        <v>1.1255088100000001</v>
      </c>
      <c r="K255" s="1074">
        <f>+J255*(1+Assumptions!$AP$95)</f>
        <v>1.1592740743000001</v>
      </c>
      <c r="L255" s="1074">
        <f>+K255*(1+Assumptions!$AP$95)</f>
        <v>1.1940522965290001</v>
      </c>
      <c r="M255" s="1074">
        <f>+L255*(1+Assumptions!$AP$95)</f>
        <v>1.2298738654248702</v>
      </c>
      <c r="N255" s="1074">
        <f>+M255*(1+Assumptions!$AP$95)</f>
        <v>1.2667700813876164</v>
      </c>
      <c r="O255" s="1074">
        <f>+N255*(1+Assumptions!$AP$95)</f>
        <v>1.3047731838292449</v>
      </c>
      <c r="P255" s="1074">
        <f>+O255*(1+Assumptions!$AP$95)</f>
        <v>1.3439163793441222</v>
      </c>
      <c r="Q255" s="1074">
        <f>+P255*(1+Assumptions!$AP$95)</f>
        <v>1.3842338707244459</v>
      </c>
      <c r="R255" s="1074">
        <f>+Q255*(1+Assumptions!$AP$95)</f>
        <v>1.4257608868461793</v>
      </c>
      <c r="S255" s="1074">
        <f>+R255*(1+Assumptions!$AP$95)</f>
        <v>1.4685337134515648</v>
      </c>
      <c r="T255" s="1074">
        <f>+S255*(1+Assumptions!$AP$95)</f>
        <v>1.5125897248551119</v>
      </c>
      <c r="U255" s="1074">
        <f>+T255*(1+Assumptions!$AP$95)</f>
        <v>1.5579674166007653</v>
      </c>
      <c r="V255" s="1074">
        <f>+U255*(1+Assumptions!$AP$95)</f>
        <v>1.6047064390987884</v>
      </c>
      <c r="W255" s="1074">
        <f>+V255*(1+Assumptions!$AP$95)</f>
        <v>1.652847632271752</v>
      </c>
      <c r="X255" s="1074">
        <f>+W255*(1+Assumptions!$AP$95)</f>
        <v>1.7024330612399046</v>
      </c>
      <c r="Y255" s="1074">
        <f>+X255*(1+Assumptions!$AP$95)</f>
        <v>1.7535060530771018</v>
      </c>
      <c r="Z255" s="1074">
        <f>+Y255*(1+Assumptions!$AP$95)</f>
        <v>1.806111234669415</v>
      </c>
      <c r="AA255" s="699"/>
      <c r="AB255" s="699"/>
      <c r="AC255" s="699"/>
      <c r="AD255" s="699"/>
      <c r="AE255" s="49"/>
      <c r="AF255" s="49"/>
      <c r="AG255" s="49"/>
      <c r="AH255" s="49"/>
      <c r="AI255" s="49"/>
      <c r="AJ255" s="49"/>
      <c r="AK255" s="49"/>
      <c r="AL255" s="49"/>
      <c r="AM255" s="49"/>
      <c r="AN255" s="49"/>
      <c r="AO255" s="49"/>
      <c r="AP255" s="49"/>
      <c r="AQ255" s="49"/>
      <c r="AR255" s="49"/>
      <c r="AS255" s="49"/>
      <c r="AT255" s="49"/>
      <c r="AU255" s="49"/>
      <c r="AV255" s="49"/>
      <c r="AW255" s="49"/>
      <c r="AX255" s="49"/>
      <c r="AY255" s="49"/>
      <c r="AZ255" s="49"/>
      <c r="BA255" s="49"/>
      <c r="BB255" s="49"/>
      <c r="BC255" s="49"/>
      <c r="BD255" s="49"/>
      <c r="BE255" s="49"/>
      <c r="BF255" s="49"/>
      <c r="BG255" s="49"/>
      <c r="BH255" s="49"/>
      <c r="BI255" s="49"/>
      <c r="BJ255" s="49"/>
      <c r="BK255" s="49"/>
      <c r="BL255" s="49"/>
      <c r="BM255" s="49"/>
      <c r="BN255" s="49"/>
    </row>
    <row r="256" spans="1:66">
      <c r="A256" s="699"/>
      <c r="B256" s="699"/>
      <c r="C256" s="699"/>
      <c r="D256" s="699"/>
      <c r="E256" s="699"/>
      <c r="F256" s="699"/>
      <c r="G256" s="699"/>
      <c r="H256" s="699"/>
      <c r="I256" s="699"/>
      <c r="J256" s="699"/>
      <c r="K256" s="699"/>
      <c r="L256" s="699"/>
      <c r="M256" s="699"/>
      <c r="N256" s="699"/>
      <c r="O256" s="699"/>
      <c r="P256" s="699"/>
      <c r="Q256" s="699"/>
      <c r="R256" s="699"/>
      <c r="S256" s="699"/>
      <c r="T256" s="699"/>
      <c r="U256" s="699"/>
      <c r="V256" s="699"/>
      <c r="W256" s="699"/>
      <c r="X256" s="699"/>
      <c r="Y256" s="699"/>
      <c r="Z256" s="699"/>
      <c r="AA256" s="699"/>
      <c r="AB256" s="699"/>
      <c r="AC256" s="699"/>
      <c r="AD256" s="699"/>
      <c r="AE256" s="49"/>
      <c r="AF256" s="49"/>
      <c r="AG256" s="49"/>
      <c r="AH256" s="49"/>
      <c r="AI256" s="49"/>
      <c r="AJ256" s="49"/>
      <c r="AK256" s="49"/>
      <c r="AL256" s="49"/>
      <c r="AM256" s="49"/>
      <c r="AN256" s="49"/>
      <c r="AO256" s="49"/>
      <c r="AP256" s="49"/>
      <c r="AQ256" s="49"/>
      <c r="AR256" s="49"/>
      <c r="AS256" s="49"/>
      <c r="AT256" s="49"/>
      <c r="AU256" s="49"/>
      <c r="AV256" s="49"/>
      <c r="AW256" s="49"/>
      <c r="AX256" s="49"/>
      <c r="AY256" s="49"/>
      <c r="AZ256" s="49"/>
      <c r="BA256" s="49"/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</row>
    <row r="257" spans="1:66">
      <c r="A257" s="699"/>
      <c r="B257" s="699" t="s">
        <v>1183</v>
      </c>
      <c r="C257" s="699"/>
      <c r="D257" s="699"/>
      <c r="E257" s="699"/>
      <c r="F257" s="1028">
        <f>+IF(F247=Assumptions!$F$31,(F252*Assumptions!$F$155*F254/(12/12)),0)</f>
        <v>0</v>
      </c>
      <c r="G257" s="1028">
        <f>+IF(G247=Assumptions!$F$31,(G252*Assumptions!$F$155*G254/(12/12)),0)</f>
        <v>0</v>
      </c>
      <c r="H257" s="1028">
        <f>+IF(H247=Assumptions!$F$31,(H252*Assumptions!$F$155*H254/(12/12)),0)</f>
        <v>0</v>
      </c>
      <c r="I257" s="1028">
        <f>+IF(I247=Assumptions!$F$31,(I252*Assumptions!$F$155*I254/(12/12)),0)</f>
        <v>0</v>
      </c>
      <c r="J257" s="1028">
        <f>+IF(J247=Assumptions!$F$31,(J252*Assumptions!$F$155*J254/(12/12)),0)</f>
        <v>45564270.168563649</v>
      </c>
      <c r="K257" s="1028">
        <f>+IF(K247=Assumptions!$F$31,(K252*Assumptions!$F$155*K254/(12/12)),0)</f>
        <v>0</v>
      </c>
      <c r="L257" s="1028">
        <f>+IF(L247=Assumptions!$F$31,(L252*Assumptions!$F$155*L254/(12/12)),0)</f>
        <v>0</v>
      </c>
      <c r="M257" s="1028">
        <f>+IF(M247=Assumptions!$F$31,(M252*Assumptions!$F$155*M254/(12/12)),0)</f>
        <v>0</v>
      </c>
      <c r="N257" s="1028">
        <f>+IF(N247=Assumptions!$F$31,(N252*Assumptions!$F$155*N254/(12/12)),0)</f>
        <v>0</v>
      </c>
      <c r="O257" s="1028">
        <f>+IF(O247=Assumptions!$F$31,(O252*Assumptions!$F$155*O254/(12/12)),0)</f>
        <v>0</v>
      </c>
      <c r="P257" s="1028">
        <f>+IF(P247=Assumptions!$F$31,(P252*Assumptions!$F$155*P254/(12/12)),0)</f>
        <v>0</v>
      </c>
      <c r="Q257" s="1028">
        <f>+IF(Q247=Assumptions!$F$31,(Q252*Assumptions!$F$155*Q254/(12/12)),0)</f>
        <v>0</v>
      </c>
      <c r="R257" s="1028">
        <f>+IF(R247=Assumptions!$F$31,(R252*Assumptions!$F$155*R254/(12/12)),0)</f>
        <v>0</v>
      </c>
      <c r="S257" s="1028">
        <f>+IF(S247=Assumptions!$F$31,(S252*Assumptions!$F$155*S254/(12/12)),0)</f>
        <v>0</v>
      </c>
      <c r="T257" s="1028">
        <f>+IF(T247=Assumptions!$F$31,(T252*Assumptions!$F$155*T254/(12/12)),0)</f>
        <v>0</v>
      </c>
      <c r="U257" s="1028">
        <f>+IF(U247=Assumptions!$F$31,(U252*Assumptions!$F$155*U254/(12/12)),0)</f>
        <v>0</v>
      </c>
      <c r="V257" s="1028">
        <f>+IF(V247=Assumptions!$F$31,(V252*Assumptions!$F$155*V254/(12/12)),0)</f>
        <v>0</v>
      </c>
      <c r="W257" s="1028">
        <f>+IF(W247=Assumptions!$F$31,(W252*Assumptions!$F$155*W254/(12/12)),0)</f>
        <v>0</v>
      </c>
      <c r="X257" s="1028">
        <f>+IF(X247=Assumptions!$F$31,(X252*Assumptions!$F$155*X254/(12/12)),0)</f>
        <v>0</v>
      </c>
      <c r="Y257" s="1028">
        <f>+IF(Y247=Assumptions!$F$31,(Y252*Assumptions!$F$155*Y254/(12/12)),0)</f>
        <v>0</v>
      </c>
      <c r="Z257" s="1028">
        <f>+IF(Z247=Assumptions!$F$31,(Z252*Assumptions!$F$155*Z254/(12/12)),0)</f>
        <v>0</v>
      </c>
      <c r="AA257" s="699"/>
      <c r="AB257" s="699"/>
      <c r="AC257" s="699"/>
      <c r="AD257" s="699"/>
      <c r="AE257" s="49"/>
      <c r="AF257" s="49"/>
      <c r="AG257" s="49"/>
      <c r="AH257" s="49"/>
      <c r="AI257" s="49"/>
      <c r="AJ257" s="49"/>
      <c r="AK257" s="49"/>
      <c r="AL257" s="49"/>
      <c r="AM257" s="49"/>
      <c r="AN257" s="49"/>
      <c r="AO257" s="49"/>
      <c r="AP257" s="49"/>
      <c r="AQ257" s="49"/>
      <c r="AR257" s="49"/>
      <c r="AS257" s="49"/>
      <c r="AT257" s="49"/>
      <c r="AU257" s="49"/>
      <c r="AV257" s="49"/>
      <c r="AW257" s="49"/>
      <c r="AX257" s="49"/>
      <c r="AY257" s="49"/>
      <c r="AZ257" s="49"/>
      <c r="BA257" s="49"/>
      <c r="BB257" s="49"/>
      <c r="BC257" s="49"/>
      <c r="BD257" s="49"/>
      <c r="BE257" s="49"/>
      <c r="BF257" s="49"/>
      <c r="BG257" s="49"/>
      <c r="BH257" s="49"/>
      <c r="BI257" s="49"/>
      <c r="BJ257" s="49"/>
      <c r="BK257" s="49"/>
      <c r="BL257" s="49"/>
      <c r="BM257" s="49"/>
      <c r="BN257" s="49"/>
    </row>
    <row r="258" spans="1:66">
      <c r="A258" s="699"/>
      <c r="B258" s="699" t="s">
        <v>1130</v>
      </c>
      <c r="C258" s="699"/>
      <c r="D258" s="699"/>
      <c r="E258" s="699"/>
      <c r="F258" s="1085">
        <f>-F257*Assumptions!$N$62</f>
        <v>0</v>
      </c>
      <c r="G258" s="1085">
        <f>-G257*Assumptions!$N$62</f>
        <v>0</v>
      </c>
      <c r="H258" s="1085">
        <f>-H257*Assumptions!$N$62</f>
        <v>0</v>
      </c>
      <c r="I258" s="1085">
        <f>-I257*Assumptions!$N$62</f>
        <v>0</v>
      </c>
      <c r="J258" s="1085">
        <f>-J257*Assumptions!$N$62</f>
        <v>-3189498.9117994555</v>
      </c>
      <c r="K258" s="1085">
        <f>-K257*Assumptions!$N$62</f>
        <v>0</v>
      </c>
      <c r="L258" s="1085">
        <f>-L257*Assumptions!$N$62</f>
        <v>0</v>
      </c>
      <c r="M258" s="1085">
        <f>-M257*Assumptions!$N$62</f>
        <v>0</v>
      </c>
      <c r="N258" s="1085">
        <f>-N257*Assumptions!$N$62</f>
        <v>0</v>
      </c>
      <c r="O258" s="1085">
        <f>-O257*Assumptions!$N$62</f>
        <v>0</v>
      </c>
      <c r="P258" s="1085">
        <f>-P257*Assumptions!$N$62</f>
        <v>0</v>
      </c>
      <c r="Q258" s="1085">
        <f>-Q257*Assumptions!$N$62</f>
        <v>0</v>
      </c>
      <c r="R258" s="1085">
        <f>-R257*Assumptions!$N$62</f>
        <v>0</v>
      </c>
      <c r="S258" s="1085">
        <f>-S257*Assumptions!$N$62</f>
        <v>0</v>
      </c>
      <c r="T258" s="1085">
        <f>-T257*Assumptions!$N$62</f>
        <v>0</v>
      </c>
      <c r="U258" s="1085">
        <f>-U257*Assumptions!$N$62</f>
        <v>0</v>
      </c>
      <c r="V258" s="1085">
        <f>-V257*Assumptions!$N$62</f>
        <v>0</v>
      </c>
      <c r="W258" s="1085">
        <f>-W257*Assumptions!$N$62</f>
        <v>0</v>
      </c>
      <c r="X258" s="1085">
        <f>-X257*Assumptions!$N$62</f>
        <v>0</v>
      </c>
      <c r="Y258" s="1085">
        <f>-Y257*Assumptions!$N$62</f>
        <v>0</v>
      </c>
      <c r="Z258" s="1085">
        <f>-Z257*Assumptions!$N$62</f>
        <v>0</v>
      </c>
      <c r="AA258" s="699"/>
      <c r="AB258" s="699"/>
      <c r="AC258" s="699"/>
      <c r="AD258" s="699"/>
      <c r="AE258" s="49"/>
      <c r="AF258" s="49"/>
      <c r="AG258" s="49"/>
      <c r="AH258" s="49"/>
      <c r="AI258" s="49"/>
      <c r="AJ258" s="49"/>
      <c r="AK258" s="49"/>
      <c r="AL258" s="49"/>
      <c r="AM258" s="49"/>
      <c r="AN258" s="49"/>
      <c r="AO258" s="49"/>
      <c r="AP258" s="49"/>
      <c r="AQ258" s="49"/>
      <c r="AR258" s="49"/>
      <c r="AS258" s="49"/>
      <c r="AT258" s="49"/>
      <c r="AU258" s="49"/>
      <c r="AV258" s="49"/>
      <c r="AW258" s="49"/>
      <c r="AX258" s="49"/>
      <c r="AY258" s="49"/>
      <c r="AZ258" s="49"/>
      <c r="BA258" s="49"/>
      <c r="BB258" s="49"/>
      <c r="BC258" s="49"/>
      <c r="BD258" s="49"/>
      <c r="BE258" s="49"/>
      <c r="BF258" s="49"/>
      <c r="BG258" s="49"/>
      <c r="BH258" s="49"/>
      <c r="BI258" s="49"/>
      <c r="BJ258" s="49"/>
      <c r="BK258" s="49"/>
      <c r="BL258" s="49"/>
      <c r="BM258" s="49"/>
      <c r="BN258" s="49"/>
    </row>
    <row r="259" spans="1:66">
      <c r="A259" s="699"/>
      <c r="B259" s="699" t="s">
        <v>1184</v>
      </c>
      <c r="C259" s="699"/>
      <c r="D259" s="699"/>
      <c r="E259" s="699"/>
      <c r="F259" s="1085">
        <f>+IF(F247=Assumptions!$F$31,F251*Assumptions!$AE$159*(1-Assumptions!$N$62)*12,0)</f>
        <v>0</v>
      </c>
      <c r="G259" s="1085">
        <f>+IF(G247=Assumptions!$F$31,G251*Assumptions!$AE$159*(1-Assumptions!$N$62)*12,0)</f>
        <v>0</v>
      </c>
      <c r="H259" s="1085">
        <f>+IF(H247=Assumptions!$F$31,H251*Assumptions!$AE$159*(1-Assumptions!$N$62)*12,0)</f>
        <v>0</v>
      </c>
      <c r="I259" s="1085">
        <f>+IF(I247=Assumptions!$F$31,I251*Assumptions!$AE$159*(1-Assumptions!$N$62)*12,0)</f>
        <v>0</v>
      </c>
      <c r="J259" s="1085">
        <f>+IF(J247=Assumptions!$F$31,J251*Assumptions!$AE$159*(1-Assumptions!$N$62)*12,0)</f>
        <v>33689.709230512497</v>
      </c>
      <c r="K259" s="1085">
        <f>+IF(K247=Assumptions!$F$31,K251*Assumptions!$AE$159*(1-Assumptions!$N$62)*12,0)</f>
        <v>0</v>
      </c>
      <c r="L259" s="1085">
        <f>+IF(L247=Assumptions!$F$31,L251*Assumptions!$AE$159*(1-Assumptions!$N$62)*12,0)</f>
        <v>0</v>
      </c>
      <c r="M259" s="1085">
        <f>+IF(M247=Assumptions!$F$31,M251*Assumptions!$AE$159*(1-Assumptions!$N$62)*12,0)</f>
        <v>0</v>
      </c>
      <c r="N259" s="1085">
        <f>+IF(N247=Assumptions!$F$31,N251*Assumptions!$AE$159*(1-Assumptions!$N$62)*12,0)</f>
        <v>0</v>
      </c>
      <c r="O259" s="1085">
        <f>+IF(O247=Assumptions!$F$31,O251*Assumptions!$AE$159*(1-Assumptions!$N$62)*12,0)</f>
        <v>0</v>
      </c>
      <c r="P259" s="1085">
        <f>+IF(P247=Assumptions!$F$31,P251*Assumptions!$AE$159*(1-Assumptions!$N$62)*12,0)</f>
        <v>0</v>
      </c>
      <c r="Q259" s="1085">
        <f>+IF(Q247=Assumptions!$F$31,Q251*Assumptions!$AE$159*(1-Assumptions!$N$62)*12,0)</f>
        <v>0</v>
      </c>
      <c r="R259" s="1085">
        <f>+IF(R247=Assumptions!$F$31,R251*Assumptions!$AE$159*(1-Assumptions!$N$62)*12,0)</f>
        <v>0</v>
      </c>
      <c r="S259" s="1085">
        <f>+IF(S247=Assumptions!$F$31,S251*Assumptions!$AE$159*(1-Assumptions!$N$62)*12,0)</f>
        <v>0</v>
      </c>
      <c r="T259" s="1085">
        <f>+IF(T247=Assumptions!$F$31,T251*Assumptions!$AE$159*(1-Assumptions!$N$62)*12,0)</f>
        <v>0</v>
      </c>
      <c r="U259" s="1085">
        <f>+IF(U247=Assumptions!$F$31,U251*Assumptions!$AE$159*(1-Assumptions!$N$62)*12,0)</f>
        <v>0</v>
      </c>
      <c r="V259" s="1085">
        <f>+IF(V247=Assumptions!$F$31,V251*Assumptions!$AE$159*(1-Assumptions!$N$62)*12,0)</f>
        <v>0</v>
      </c>
      <c r="W259" s="1085">
        <f>+IF(W247=Assumptions!$F$31,W251*Assumptions!$AE$159*(1-Assumptions!$N$62)*12,0)</f>
        <v>0</v>
      </c>
      <c r="X259" s="1085">
        <f>+IF(X247=Assumptions!$F$31,X251*Assumptions!$AE$159*(1-Assumptions!$N$62)*12,0)</f>
        <v>0</v>
      </c>
      <c r="Y259" s="1085">
        <f>+IF(Y247=Assumptions!$F$31,Y251*Assumptions!$AE$159*(1-Assumptions!$N$62)*12,0)</f>
        <v>0</v>
      </c>
      <c r="Z259" s="1085">
        <f>+IF(Z247=Assumptions!$F$31,Z251*Assumptions!$AE$159*(1-Assumptions!$N$62)*12,0)</f>
        <v>0</v>
      </c>
      <c r="AA259" s="699"/>
      <c r="AB259" s="699"/>
      <c r="AC259" s="699"/>
      <c r="AD259" s="699"/>
      <c r="AE259" s="49"/>
      <c r="AF259" s="49"/>
      <c r="AG259" s="49"/>
      <c r="AH259" s="49"/>
      <c r="AI259" s="49"/>
      <c r="AJ259" s="49"/>
      <c r="AK259" s="49"/>
      <c r="AL259" s="49"/>
      <c r="AM259" s="49"/>
      <c r="AN259" s="49"/>
      <c r="AO259" s="49"/>
      <c r="AP259" s="49"/>
      <c r="AQ259" s="49"/>
      <c r="AR259" s="49"/>
      <c r="AS259" s="49"/>
      <c r="AT259" s="49"/>
      <c r="AU259" s="49"/>
      <c r="AV259" s="49"/>
      <c r="AW259" s="49"/>
      <c r="AX259" s="49"/>
      <c r="AY259" s="49"/>
      <c r="AZ259" s="49"/>
      <c r="BA259" s="49"/>
      <c r="BB259" s="49"/>
      <c r="BC259" s="49"/>
      <c r="BD259" s="49"/>
      <c r="BE259" s="49"/>
      <c r="BF259" s="49"/>
      <c r="BG259" s="49"/>
      <c r="BH259" s="49"/>
      <c r="BI259" s="49"/>
      <c r="BJ259" s="49"/>
      <c r="BK259" s="49"/>
      <c r="BL259" s="49"/>
      <c r="BM259" s="49"/>
      <c r="BN259" s="49"/>
    </row>
    <row r="260" spans="1:66">
      <c r="A260" s="699"/>
      <c r="B260" s="52" t="s">
        <v>1131</v>
      </c>
      <c r="C260" s="1052"/>
      <c r="D260" s="1052"/>
      <c r="E260" s="1052"/>
      <c r="F260" s="1086">
        <f>SUM(F257:F259)</f>
        <v>0</v>
      </c>
      <c r="G260" s="1086">
        <f t="shared" ref="G260:Z260" si="576">SUM(G257:G259)</f>
        <v>0</v>
      </c>
      <c r="H260" s="1086">
        <f t="shared" si="576"/>
        <v>0</v>
      </c>
      <c r="I260" s="1086">
        <f t="shared" si="576"/>
        <v>0</v>
      </c>
      <c r="J260" s="1086">
        <f t="shared" si="576"/>
        <v>42408460.965994708</v>
      </c>
      <c r="K260" s="1086">
        <f t="shared" si="576"/>
        <v>0</v>
      </c>
      <c r="L260" s="1086">
        <f t="shared" si="576"/>
        <v>0</v>
      </c>
      <c r="M260" s="1086">
        <f t="shared" si="576"/>
        <v>0</v>
      </c>
      <c r="N260" s="1086">
        <f t="shared" si="576"/>
        <v>0</v>
      </c>
      <c r="O260" s="1086">
        <f t="shared" si="576"/>
        <v>0</v>
      </c>
      <c r="P260" s="1086">
        <f t="shared" si="576"/>
        <v>0</v>
      </c>
      <c r="Q260" s="1086">
        <f t="shared" si="576"/>
        <v>0</v>
      </c>
      <c r="R260" s="1086">
        <f t="shared" si="576"/>
        <v>0</v>
      </c>
      <c r="S260" s="1086">
        <f t="shared" si="576"/>
        <v>0</v>
      </c>
      <c r="T260" s="1086">
        <f t="shared" si="576"/>
        <v>0</v>
      </c>
      <c r="U260" s="1086">
        <f t="shared" si="576"/>
        <v>0</v>
      </c>
      <c r="V260" s="1086">
        <f t="shared" si="576"/>
        <v>0</v>
      </c>
      <c r="W260" s="1086">
        <f t="shared" si="576"/>
        <v>0</v>
      </c>
      <c r="X260" s="1086">
        <f t="shared" si="576"/>
        <v>0</v>
      </c>
      <c r="Y260" s="1086">
        <f t="shared" si="576"/>
        <v>0</v>
      </c>
      <c r="Z260" s="1086">
        <f t="shared" si="576"/>
        <v>0</v>
      </c>
      <c r="AA260" s="699"/>
      <c r="AB260" s="699"/>
      <c r="AC260" s="699"/>
      <c r="AD260" s="699"/>
      <c r="AE260" s="49"/>
      <c r="AF260" s="49"/>
      <c r="AG260" s="49"/>
      <c r="AH260" s="49"/>
      <c r="AI260" s="49"/>
      <c r="AJ260" s="49"/>
      <c r="AK260" s="49"/>
      <c r="AL260" s="49"/>
      <c r="AM260" s="49"/>
      <c r="AN260" s="49"/>
      <c r="AO260" s="49"/>
      <c r="AP260" s="49"/>
      <c r="AQ260" s="49"/>
      <c r="AR260" s="49"/>
      <c r="AS260" s="49"/>
      <c r="AT260" s="49"/>
      <c r="AU260" s="49"/>
      <c r="AV260" s="49"/>
      <c r="AW260" s="49"/>
      <c r="AX260" s="49"/>
      <c r="AY260" s="49"/>
      <c r="AZ260" s="49"/>
      <c r="BA260" s="49"/>
      <c r="BB260" s="49"/>
      <c r="BC260" s="49"/>
      <c r="BD260" s="49"/>
      <c r="BE260" s="49"/>
      <c r="BF260" s="49"/>
      <c r="BG260" s="49"/>
      <c r="BH260" s="49"/>
      <c r="BI260" s="49"/>
      <c r="BJ260" s="49"/>
      <c r="BK260" s="49"/>
      <c r="BL260" s="49"/>
      <c r="BM260" s="49"/>
      <c r="BN260" s="49"/>
    </row>
    <row r="261" spans="1:66">
      <c r="A261" s="699"/>
      <c r="B261" s="49"/>
      <c r="C261" s="699"/>
      <c r="D261" s="699"/>
      <c r="E261" s="699"/>
      <c r="F261" s="699"/>
      <c r="G261" s="699"/>
      <c r="H261" s="699"/>
      <c r="I261" s="699"/>
      <c r="J261" s="699"/>
      <c r="K261" s="699"/>
      <c r="L261" s="699"/>
      <c r="M261" s="699"/>
      <c r="N261" s="699"/>
      <c r="O261" s="699"/>
      <c r="P261" s="699"/>
      <c r="Q261" s="699"/>
      <c r="R261" s="699"/>
      <c r="S261" s="699"/>
      <c r="T261" s="699"/>
      <c r="U261" s="699"/>
      <c r="V261" s="699"/>
      <c r="W261" s="699"/>
      <c r="X261" s="699"/>
      <c r="Y261" s="699"/>
      <c r="Z261" s="699"/>
      <c r="AA261" s="699"/>
      <c r="AB261" s="699"/>
      <c r="AC261" s="699"/>
      <c r="AD261" s="699"/>
      <c r="AE261" s="49"/>
      <c r="AF261" s="49"/>
      <c r="AG261" s="49"/>
      <c r="AH261" s="49"/>
      <c r="AI261" s="49"/>
      <c r="AJ261" s="49"/>
      <c r="AK261" s="49"/>
      <c r="AL261" s="49"/>
      <c r="AM261" s="49"/>
      <c r="AN261" s="49"/>
      <c r="AO261" s="49"/>
      <c r="AP261" s="49"/>
      <c r="AQ261" s="49"/>
      <c r="AR261" s="49"/>
      <c r="AS261" s="49"/>
      <c r="AT261" s="49"/>
      <c r="AU261" s="49"/>
      <c r="AV261" s="49"/>
      <c r="AW261" s="49"/>
      <c r="AX261" s="49"/>
      <c r="AY261" s="49"/>
      <c r="AZ261" s="49"/>
      <c r="BA261" s="49"/>
      <c r="BB261" s="49"/>
      <c r="BC261" s="49"/>
      <c r="BD261" s="49"/>
      <c r="BE261" s="49"/>
      <c r="BF261" s="49"/>
      <c r="BG261" s="49"/>
      <c r="BH261" s="49"/>
      <c r="BI261" s="49"/>
      <c r="BJ261" s="49"/>
      <c r="BK261" s="49"/>
      <c r="BL261" s="49"/>
      <c r="BM261" s="49"/>
      <c r="BN261" s="49"/>
    </row>
    <row r="262" spans="1:66">
      <c r="A262" s="699"/>
      <c r="B262" s="699" t="s">
        <v>1132</v>
      </c>
      <c r="C262" s="699"/>
      <c r="D262" s="699"/>
      <c r="E262" s="699"/>
      <c r="F262" s="1087">
        <f>+F251*Assumptions!$N$99*F255</f>
        <v>0</v>
      </c>
      <c r="G262" s="1087">
        <f>+G251*Assumptions!$N$99*G255</f>
        <v>0</v>
      </c>
      <c r="H262" s="1087">
        <f>+H251*Assumptions!$N$99*H255</f>
        <v>0</v>
      </c>
      <c r="I262" s="1087">
        <f>+I251*Assumptions!$N$99*I255</f>
        <v>0</v>
      </c>
      <c r="J262" s="1087">
        <f>+J251*Assumptions!$N$99*J255</f>
        <v>0</v>
      </c>
      <c r="K262" s="1087">
        <f>+K251*Assumptions!$N$99*K255</f>
        <v>0</v>
      </c>
      <c r="L262" s="1087">
        <f>+L251*Assumptions!$N$99*L255</f>
        <v>0</v>
      </c>
      <c r="M262" s="1087">
        <f>+M251*Assumptions!$N$99*M255</f>
        <v>0</v>
      </c>
      <c r="N262" s="1087">
        <f>+N251*Assumptions!$N$99*N255</f>
        <v>0</v>
      </c>
      <c r="O262" s="1087">
        <f>+O251*Assumptions!$N$99*O255</f>
        <v>0</v>
      </c>
      <c r="P262" s="1087">
        <f>+P251*Assumptions!$N$99*P255</f>
        <v>0</v>
      </c>
      <c r="Q262" s="1087">
        <f>+Q251*Assumptions!$N$99*Q255</f>
        <v>0</v>
      </c>
      <c r="R262" s="1087">
        <f>+R251*Assumptions!$N$99*R255</f>
        <v>0</v>
      </c>
      <c r="S262" s="1087">
        <f>+S251*Assumptions!$N$99*S255</f>
        <v>0</v>
      </c>
      <c r="T262" s="1087">
        <f>+T251*Assumptions!$N$99*T255</f>
        <v>0</v>
      </c>
      <c r="U262" s="1087">
        <f>+U251*Assumptions!$N$99*U255</f>
        <v>0</v>
      </c>
      <c r="V262" s="1087">
        <f>+V251*Assumptions!$N$99*V255</f>
        <v>0</v>
      </c>
      <c r="W262" s="1087">
        <f>+W251*Assumptions!$N$99*W255</f>
        <v>0</v>
      </c>
      <c r="X262" s="1087">
        <f>+X251*Assumptions!$N$99*X255</f>
        <v>0</v>
      </c>
      <c r="Y262" s="1087">
        <f>+Y251*Assumptions!$N$99*Y255</f>
        <v>0</v>
      </c>
      <c r="Z262" s="1087">
        <f>+Z251*Assumptions!$N$99*Z255</f>
        <v>0</v>
      </c>
      <c r="AA262" s="699"/>
      <c r="AB262" s="699"/>
      <c r="AC262" s="699"/>
      <c r="AD262" s="699"/>
      <c r="AE262" s="49"/>
      <c r="AF262" s="49"/>
      <c r="AG262" s="49"/>
      <c r="AH262" s="49"/>
      <c r="AI262" s="49"/>
      <c r="AJ262" s="49"/>
      <c r="AK262" s="49"/>
      <c r="AL262" s="49"/>
      <c r="AM262" s="49"/>
      <c r="AN262" s="49"/>
      <c r="AO262" s="49"/>
      <c r="AP262" s="49"/>
      <c r="AQ262" s="49"/>
      <c r="AR262" s="49"/>
      <c r="AS262" s="49"/>
      <c r="AT262" s="49"/>
      <c r="AU262" s="49"/>
      <c r="AV262" s="49"/>
      <c r="AW262" s="49"/>
      <c r="AX262" s="49"/>
      <c r="AY262" s="49"/>
      <c r="AZ262" s="49"/>
      <c r="BA262" s="49"/>
      <c r="BB262" s="49"/>
      <c r="BC262" s="49"/>
      <c r="BD262" s="49"/>
      <c r="BE262" s="49"/>
      <c r="BF262" s="49"/>
      <c r="BG262" s="49"/>
      <c r="BH262" s="49"/>
      <c r="BI262" s="49"/>
      <c r="BJ262" s="49"/>
      <c r="BK262" s="49"/>
      <c r="BL262" s="49"/>
      <c r="BM262" s="49"/>
      <c r="BN262" s="49"/>
    </row>
    <row r="263" spans="1:66">
      <c r="A263" s="699"/>
      <c r="B263" s="699"/>
      <c r="C263" s="699"/>
      <c r="D263" s="699"/>
      <c r="E263" s="699"/>
      <c r="F263" s="1087"/>
      <c r="G263" s="1087"/>
      <c r="H263" s="1087"/>
      <c r="I263" s="1087"/>
      <c r="J263" s="1087"/>
      <c r="K263" s="1087"/>
      <c r="L263" s="1087"/>
      <c r="M263" s="1087"/>
      <c r="N263" s="1087"/>
      <c r="O263" s="1087"/>
      <c r="P263" s="1087"/>
      <c r="Q263" s="1087"/>
      <c r="R263" s="1087"/>
      <c r="S263" s="1087"/>
      <c r="T263" s="1087"/>
      <c r="U263" s="1087"/>
      <c r="V263" s="1087"/>
      <c r="W263" s="1087"/>
      <c r="X263" s="1087"/>
      <c r="Y263" s="1087"/>
      <c r="Z263" s="1087"/>
      <c r="AA263" s="699"/>
      <c r="AB263" s="699"/>
      <c r="AC263" s="699"/>
      <c r="AD263" s="699"/>
      <c r="AE263" s="49"/>
      <c r="AF263" s="49"/>
      <c r="AG263" s="49"/>
      <c r="AH263" s="49"/>
      <c r="AI263" s="49"/>
      <c r="AJ263" s="49"/>
      <c r="AK263" s="49"/>
      <c r="AL263" s="49"/>
      <c r="AM263" s="49"/>
      <c r="AN263" s="49"/>
      <c r="AO263" s="49"/>
      <c r="AP263" s="49"/>
      <c r="AQ263" s="49"/>
      <c r="AR263" s="49"/>
      <c r="AS263" s="49"/>
      <c r="AT263" s="49"/>
      <c r="AU263" s="49"/>
      <c r="AV263" s="49"/>
      <c r="AW263" s="49"/>
      <c r="AX263" s="49"/>
      <c r="AY263" s="49"/>
      <c r="AZ263" s="49"/>
      <c r="BA263" s="49"/>
      <c r="BB263" s="49"/>
      <c r="BC263" s="49"/>
      <c r="BD263" s="49"/>
      <c r="BE263" s="49"/>
      <c r="BF263" s="49"/>
      <c r="BG263" s="49"/>
      <c r="BH263" s="49"/>
      <c r="BI263" s="49"/>
      <c r="BJ263" s="49"/>
      <c r="BK263" s="49"/>
      <c r="BL263" s="49"/>
      <c r="BM263" s="49"/>
      <c r="BN263" s="49"/>
    </row>
    <row r="264" spans="1:66">
      <c r="A264" s="699"/>
      <c r="B264" s="699" t="s">
        <v>1133</v>
      </c>
      <c r="C264" s="699"/>
      <c r="D264" s="699"/>
      <c r="E264" s="699"/>
      <c r="F264" s="1050">
        <v>0</v>
      </c>
      <c r="G264" s="1050">
        <v>0</v>
      </c>
      <c r="H264" s="1050">
        <v>0</v>
      </c>
      <c r="I264" s="1050">
        <v>0</v>
      </c>
      <c r="J264" s="1050">
        <v>0</v>
      </c>
      <c r="K264" s="1050">
        <v>0</v>
      </c>
      <c r="L264" s="1050">
        <v>0</v>
      </c>
      <c r="M264" s="1050">
        <v>0</v>
      </c>
      <c r="N264" s="1050">
        <v>0</v>
      </c>
      <c r="O264" s="1050">
        <v>0</v>
      </c>
      <c r="P264" s="1050">
        <v>0</v>
      </c>
      <c r="Q264" s="1050">
        <v>0</v>
      </c>
      <c r="R264" s="1050">
        <v>0</v>
      </c>
      <c r="S264" s="1050">
        <v>0</v>
      </c>
      <c r="T264" s="1050">
        <v>0</v>
      </c>
      <c r="U264" s="1050">
        <v>0</v>
      </c>
      <c r="V264" s="1050">
        <v>0</v>
      </c>
      <c r="W264" s="1050">
        <v>0</v>
      </c>
      <c r="X264" s="1050">
        <v>0</v>
      </c>
      <c r="Y264" s="1050">
        <v>0</v>
      </c>
      <c r="Z264" s="1050">
        <v>0</v>
      </c>
      <c r="AA264" s="699"/>
      <c r="AB264" s="699"/>
      <c r="AC264" s="699"/>
      <c r="AD264" s="699"/>
      <c r="AE264" s="49"/>
      <c r="AF264" s="49"/>
      <c r="AG264" s="49"/>
      <c r="AH264" s="49"/>
      <c r="AI264" s="49"/>
      <c r="AJ264" s="49"/>
      <c r="AK264" s="49"/>
      <c r="AL264" s="49"/>
      <c r="AM264" s="49"/>
      <c r="AN264" s="49"/>
      <c r="AO264" s="49"/>
      <c r="AP264" s="49"/>
      <c r="AQ264" s="49"/>
      <c r="AR264" s="49"/>
      <c r="AS264" s="49"/>
      <c r="AT264" s="49"/>
      <c r="AU264" s="49"/>
      <c r="AV264" s="49"/>
      <c r="AW264" s="49"/>
      <c r="AX264" s="49"/>
      <c r="AY264" s="49"/>
      <c r="AZ264" s="49"/>
      <c r="BA264" s="49"/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</row>
    <row r="265" spans="1:66">
      <c r="A265" s="699"/>
      <c r="B265" s="52" t="s">
        <v>1134</v>
      </c>
      <c r="C265" s="1052"/>
      <c r="D265" s="1052"/>
      <c r="E265" s="1052"/>
      <c r="F265" s="1088">
        <f>+SUM(F262:F264)</f>
        <v>0</v>
      </c>
      <c r="G265" s="1088">
        <f t="shared" ref="G265:Z265" si="577">+SUM(G262:G264)</f>
        <v>0</v>
      </c>
      <c r="H265" s="1088">
        <f t="shared" si="577"/>
        <v>0</v>
      </c>
      <c r="I265" s="1088">
        <f t="shared" si="577"/>
        <v>0</v>
      </c>
      <c r="J265" s="1088">
        <f t="shared" si="577"/>
        <v>0</v>
      </c>
      <c r="K265" s="1088">
        <f t="shared" si="577"/>
        <v>0</v>
      </c>
      <c r="L265" s="1088">
        <f t="shared" si="577"/>
        <v>0</v>
      </c>
      <c r="M265" s="1088">
        <f t="shared" si="577"/>
        <v>0</v>
      </c>
      <c r="N265" s="1088">
        <f t="shared" si="577"/>
        <v>0</v>
      </c>
      <c r="O265" s="1088">
        <f t="shared" si="577"/>
        <v>0</v>
      </c>
      <c r="P265" s="1088">
        <f t="shared" si="577"/>
        <v>0</v>
      </c>
      <c r="Q265" s="1088">
        <f t="shared" si="577"/>
        <v>0</v>
      </c>
      <c r="R265" s="1088">
        <f t="shared" si="577"/>
        <v>0</v>
      </c>
      <c r="S265" s="1088">
        <f t="shared" si="577"/>
        <v>0</v>
      </c>
      <c r="T265" s="1088">
        <f t="shared" si="577"/>
        <v>0</v>
      </c>
      <c r="U265" s="1088">
        <f t="shared" si="577"/>
        <v>0</v>
      </c>
      <c r="V265" s="1088">
        <f t="shared" si="577"/>
        <v>0</v>
      </c>
      <c r="W265" s="1088">
        <f t="shared" si="577"/>
        <v>0</v>
      </c>
      <c r="X265" s="1088">
        <f t="shared" si="577"/>
        <v>0</v>
      </c>
      <c r="Y265" s="1088">
        <f t="shared" si="577"/>
        <v>0</v>
      </c>
      <c r="Z265" s="1088">
        <f t="shared" si="577"/>
        <v>0</v>
      </c>
      <c r="AA265" s="699"/>
      <c r="AB265" s="699"/>
      <c r="AC265" s="699"/>
      <c r="AD265" s="69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AY265" s="49"/>
      <c r="AZ265" s="49"/>
      <c r="BA265" s="49"/>
      <c r="BB265" s="49"/>
      <c r="BC265" s="49"/>
      <c r="BD265" s="49"/>
      <c r="BE265" s="49"/>
      <c r="BF265" s="49"/>
      <c r="BG265" s="49"/>
      <c r="BH265" s="49"/>
      <c r="BI265" s="49"/>
      <c r="BJ265" s="49"/>
      <c r="BK265" s="49"/>
      <c r="BL265" s="49"/>
      <c r="BM265" s="49"/>
      <c r="BN265" s="49"/>
    </row>
    <row r="266" spans="1:66">
      <c r="A266" s="699"/>
      <c r="B266" s="699"/>
      <c r="C266" s="699"/>
      <c r="D266" s="699"/>
      <c r="E266" s="699"/>
      <c r="F266" s="699"/>
      <c r="G266" s="699"/>
      <c r="H266" s="699"/>
      <c r="I266" s="699"/>
      <c r="J266" s="699"/>
      <c r="K266" s="699"/>
      <c r="L266" s="699"/>
      <c r="M266" s="699"/>
      <c r="N266" s="699"/>
      <c r="O266" s="699"/>
      <c r="P266" s="699"/>
      <c r="Q266" s="699"/>
      <c r="R266" s="699"/>
      <c r="S266" s="699"/>
      <c r="T266" s="699"/>
      <c r="U266" s="699"/>
      <c r="V266" s="699"/>
      <c r="W266" s="699"/>
      <c r="X266" s="699"/>
      <c r="Y266" s="699"/>
      <c r="Z266" s="699"/>
      <c r="AA266" s="699"/>
      <c r="AB266" s="699"/>
      <c r="AC266" s="699"/>
      <c r="AD266" s="69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AY266" s="49"/>
      <c r="AZ266" s="49"/>
      <c r="BA266" s="49"/>
      <c r="BB266" s="49"/>
      <c r="BC266" s="49"/>
      <c r="BD266" s="49"/>
      <c r="BE266" s="49"/>
      <c r="BF266" s="49"/>
      <c r="BG266" s="49"/>
      <c r="BH266" s="49"/>
      <c r="BI266" s="49"/>
      <c r="BJ266" s="49"/>
      <c r="BK266" s="49"/>
      <c r="BL266" s="49"/>
      <c r="BM266" s="49"/>
      <c r="BN266" s="49"/>
    </row>
    <row r="267" spans="1:66" ht="15.75">
      <c r="A267" s="699"/>
      <c r="B267" s="50" t="s">
        <v>1135</v>
      </c>
      <c r="C267" s="50"/>
      <c r="D267" s="50"/>
      <c r="E267" s="50"/>
      <c r="F267" s="55">
        <f>+F260-F265</f>
        <v>0</v>
      </c>
      <c r="G267" s="55">
        <f t="shared" ref="G267:Z267" si="578">+G260-G265</f>
        <v>0</v>
      </c>
      <c r="H267" s="55">
        <f t="shared" si="578"/>
        <v>0</v>
      </c>
      <c r="I267" s="55">
        <f t="shared" si="578"/>
        <v>0</v>
      </c>
      <c r="J267" s="55">
        <f t="shared" si="578"/>
        <v>42408460.965994708</v>
      </c>
      <c r="K267" s="55">
        <f t="shared" si="578"/>
        <v>0</v>
      </c>
      <c r="L267" s="55">
        <f t="shared" si="578"/>
        <v>0</v>
      </c>
      <c r="M267" s="55">
        <f t="shared" si="578"/>
        <v>0</v>
      </c>
      <c r="N267" s="55">
        <f t="shared" si="578"/>
        <v>0</v>
      </c>
      <c r="O267" s="55">
        <f t="shared" si="578"/>
        <v>0</v>
      </c>
      <c r="P267" s="55">
        <f t="shared" si="578"/>
        <v>0</v>
      </c>
      <c r="Q267" s="55">
        <f t="shared" si="578"/>
        <v>0</v>
      </c>
      <c r="R267" s="55">
        <f t="shared" si="578"/>
        <v>0</v>
      </c>
      <c r="S267" s="55">
        <f t="shared" si="578"/>
        <v>0</v>
      </c>
      <c r="T267" s="55">
        <f t="shared" si="578"/>
        <v>0</v>
      </c>
      <c r="U267" s="55">
        <f t="shared" si="578"/>
        <v>0</v>
      </c>
      <c r="V267" s="55">
        <f t="shared" si="578"/>
        <v>0</v>
      </c>
      <c r="W267" s="55">
        <f t="shared" si="578"/>
        <v>0</v>
      </c>
      <c r="X267" s="55">
        <f t="shared" si="578"/>
        <v>0</v>
      </c>
      <c r="Y267" s="55">
        <f t="shared" si="578"/>
        <v>0</v>
      </c>
      <c r="Z267" s="55">
        <f t="shared" si="578"/>
        <v>0</v>
      </c>
      <c r="AA267" s="699"/>
      <c r="AB267" s="699"/>
      <c r="AC267" s="699"/>
      <c r="AD267" s="69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AY267" s="49"/>
      <c r="AZ267" s="49"/>
      <c r="BA267" s="49"/>
      <c r="BB267" s="49"/>
      <c r="BC267" s="49"/>
      <c r="BD267" s="49"/>
      <c r="BE267" s="49"/>
      <c r="BF267" s="49"/>
      <c r="BG267" s="49"/>
      <c r="BH267" s="49"/>
      <c r="BI267" s="49"/>
      <c r="BJ267" s="49"/>
      <c r="BK267" s="49"/>
      <c r="BL267" s="49"/>
      <c r="BM267" s="49"/>
      <c r="BN267" s="49"/>
    </row>
    <row r="268" spans="1:66" ht="15.75">
      <c r="A268" s="699"/>
      <c r="B268" s="50" t="s">
        <v>1136</v>
      </c>
      <c r="C268" s="50"/>
      <c r="D268" s="50"/>
      <c r="E268" s="50"/>
      <c r="F268" s="56" t="str">
        <f t="shared" ref="F268" si="579">+IFERROR(F267/F260,"")</f>
        <v/>
      </c>
      <c r="G268" s="56" t="str">
        <f t="shared" ref="G268:Z268" si="580">+IFERROR(G267/G260,"")</f>
        <v/>
      </c>
      <c r="H268" s="56" t="str">
        <f t="shared" si="580"/>
        <v/>
      </c>
      <c r="I268" s="56" t="str">
        <f t="shared" si="580"/>
        <v/>
      </c>
      <c r="J268" s="56">
        <f t="shared" si="580"/>
        <v>1</v>
      </c>
      <c r="K268" s="56" t="str">
        <f t="shared" si="580"/>
        <v/>
      </c>
      <c r="L268" s="56" t="str">
        <f t="shared" si="580"/>
        <v/>
      </c>
      <c r="M268" s="56" t="str">
        <f t="shared" si="580"/>
        <v/>
      </c>
      <c r="N268" s="56" t="str">
        <f t="shared" si="580"/>
        <v/>
      </c>
      <c r="O268" s="56" t="str">
        <f t="shared" si="580"/>
        <v/>
      </c>
      <c r="P268" s="56" t="str">
        <f t="shared" si="580"/>
        <v/>
      </c>
      <c r="Q268" s="56" t="str">
        <f t="shared" si="580"/>
        <v/>
      </c>
      <c r="R268" s="56" t="str">
        <f t="shared" si="580"/>
        <v/>
      </c>
      <c r="S268" s="56" t="str">
        <f t="shared" si="580"/>
        <v/>
      </c>
      <c r="T268" s="56" t="str">
        <f t="shared" si="580"/>
        <v/>
      </c>
      <c r="U268" s="56" t="str">
        <f t="shared" si="580"/>
        <v/>
      </c>
      <c r="V268" s="56" t="str">
        <f t="shared" si="580"/>
        <v/>
      </c>
      <c r="W268" s="56" t="str">
        <f t="shared" si="580"/>
        <v/>
      </c>
      <c r="X268" s="56" t="str">
        <f t="shared" si="580"/>
        <v/>
      </c>
      <c r="Y268" s="56" t="str">
        <f t="shared" si="580"/>
        <v/>
      </c>
      <c r="Z268" s="56" t="str">
        <f t="shared" si="580"/>
        <v/>
      </c>
      <c r="AA268" s="699"/>
      <c r="AB268" s="699"/>
      <c r="AC268" s="699"/>
      <c r="AD268" s="69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AY268" s="49"/>
      <c r="AZ268" s="49"/>
      <c r="BA268" s="49"/>
      <c r="BB268" s="49"/>
      <c r="BC268" s="49"/>
      <c r="BD268" s="49"/>
      <c r="BE268" s="49"/>
      <c r="BF268" s="49"/>
      <c r="BG268" s="49"/>
      <c r="BH268" s="49"/>
      <c r="BI268" s="49"/>
      <c r="BJ268" s="49"/>
      <c r="BK268" s="49"/>
      <c r="BL268" s="49"/>
      <c r="BM268" s="49"/>
      <c r="BN268" s="49"/>
    </row>
    <row r="269" spans="1:66" ht="15.75">
      <c r="A269" s="699" t="s">
        <v>511</v>
      </c>
      <c r="B269" s="50" t="s">
        <v>1186</v>
      </c>
      <c r="C269" s="50"/>
      <c r="D269" s="50"/>
      <c r="E269" s="50"/>
      <c r="F269" s="55">
        <f t="shared" ref="F269" si="581">+F267</f>
        <v>0</v>
      </c>
      <c r="G269" s="55">
        <f t="shared" ref="G269:Z269" si="582">+G267</f>
        <v>0</v>
      </c>
      <c r="H269" s="55">
        <f t="shared" si="582"/>
        <v>0</v>
      </c>
      <c r="I269" s="55">
        <f t="shared" si="582"/>
        <v>0</v>
      </c>
      <c r="J269" s="55">
        <f t="shared" si="582"/>
        <v>42408460.965994708</v>
      </c>
      <c r="K269" s="55">
        <f t="shared" si="582"/>
        <v>0</v>
      </c>
      <c r="L269" s="55">
        <f t="shared" si="582"/>
        <v>0</v>
      </c>
      <c r="M269" s="55">
        <f t="shared" si="582"/>
        <v>0</v>
      </c>
      <c r="N269" s="55">
        <f t="shared" si="582"/>
        <v>0</v>
      </c>
      <c r="O269" s="55">
        <f t="shared" si="582"/>
        <v>0</v>
      </c>
      <c r="P269" s="55">
        <f t="shared" si="582"/>
        <v>0</v>
      </c>
      <c r="Q269" s="55">
        <f t="shared" si="582"/>
        <v>0</v>
      </c>
      <c r="R269" s="55">
        <f t="shared" si="582"/>
        <v>0</v>
      </c>
      <c r="S269" s="55">
        <f t="shared" si="582"/>
        <v>0</v>
      </c>
      <c r="T269" s="55">
        <f t="shared" si="582"/>
        <v>0</v>
      </c>
      <c r="U269" s="55">
        <f t="shared" si="582"/>
        <v>0</v>
      </c>
      <c r="V269" s="55">
        <f t="shared" si="582"/>
        <v>0</v>
      </c>
      <c r="W269" s="55">
        <f t="shared" si="582"/>
        <v>0</v>
      </c>
      <c r="X269" s="55">
        <f t="shared" si="582"/>
        <v>0</v>
      </c>
      <c r="Y269" s="55">
        <f t="shared" si="582"/>
        <v>0</v>
      </c>
      <c r="Z269" s="55">
        <f t="shared" si="582"/>
        <v>0</v>
      </c>
      <c r="AA269" s="699"/>
      <c r="AB269" s="699"/>
      <c r="AC269" s="699"/>
      <c r="AD269" s="69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AY269" s="49"/>
      <c r="AZ269" s="49"/>
      <c r="BA269" s="49"/>
      <c r="BB269" s="49"/>
      <c r="BC269" s="49"/>
      <c r="BD269" s="49"/>
      <c r="BE269" s="49"/>
      <c r="BF269" s="49"/>
      <c r="BG269" s="49"/>
      <c r="BH269" s="49"/>
      <c r="BI269" s="49"/>
      <c r="BJ269" s="49"/>
      <c r="BK269" s="49"/>
      <c r="BL269" s="49"/>
      <c r="BM269" s="49"/>
      <c r="BN269" s="49"/>
    </row>
    <row r="270" spans="1:66">
      <c r="A270" s="699"/>
      <c r="B270" s="49"/>
      <c r="C270" s="49"/>
      <c r="D270" s="49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699"/>
      <c r="AB270" s="699"/>
      <c r="AC270" s="699"/>
      <c r="AD270" s="69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AY270" s="49"/>
      <c r="AZ270" s="49"/>
      <c r="BA270" s="49"/>
      <c r="BB270" s="49"/>
      <c r="BC270" s="49"/>
      <c r="BD270" s="49"/>
      <c r="BE270" s="49"/>
      <c r="BF270" s="49"/>
      <c r="BG270" s="49"/>
      <c r="BH270" s="49"/>
      <c r="BI270" s="49"/>
      <c r="BJ270" s="49"/>
      <c r="BK270" s="49"/>
      <c r="BL270" s="49"/>
      <c r="BM270" s="49"/>
      <c r="BN270" s="49"/>
    </row>
    <row r="271" spans="1:66" ht="15.75">
      <c r="A271" s="699"/>
      <c r="B271" s="112" t="s">
        <v>1170</v>
      </c>
      <c r="C271" s="49"/>
      <c r="D271" s="49"/>
      <c r="E271" s="49"/>
      <c r="F271" s="148">
        <f>+Assumptions!$F$27</f>
        <v>45291</v>
      </c>
      <c r="G271" s="148">
        <f>+EOMONTH(F271,12)</f>
        <v>45657</v>
      </c>
      <c r="H271" s="148">
        <f t="shared" ref="H271" si="583">+EOMONTH(G271,12)</f>
        <v>46022</v>
      </c>
      <c r="I271" s="148">
        <f t="shared" ref="I271" si="584">+EOMONTH(H271,12)</f>
        <v>46387</v>
      </c>
      <c r="J271" s="148">
        <f t="shared" ref="J271" si="585">+EOMONTH(I271,12)</f>
        <v>46752</v>
      </c>
      <c r="K271" s="148">
        <f t="shared" ref="K271" si="586">+EOMONTH(J271,12)</f>
        <v>47118</v>
      </c>
      <c r="L271" s="148">
        <f t="shared" ref="L271" si="587">+EOMONTH(K271,12)</f>
        <v>47483</v>
      </c>
      <c r="M271" s="148">
        <f t="shared" ref="M271" si="588">+EOMONTH(L271,12)</f>
        <v>47848</v>
      </c>
      <c r="N271" s="148">
        <f t="shared" ref="N271" si="589">+EOMONTH(M271,12)</f>
        <v>48213</v>
      </c>
      <c r="O271" s="148">
        <f t="shared" ref="O271" si="590">+EOMONTH(N271,12)</f>
        <v>48579</v>
      </c>
      <c r="P271" s="148">
        <f t="shared" ref="P271" si="591">+EOMONTH(O271,12)</f>
        <v>48944</v>
      </c>
      <c r="Q271" s="148">
        <f t="shared" ref="Q271" si="592">+EOMONTH(P271,12)</f>
        <v>49309</v>
      </c>
      <c r="R271" s="148">
        <f t="shared" ref="R271" si="593">+EOMONTH(Q271,12)</f>
        <v>49674</v>
      </c>
      <c r="S271" s="148">
        <f t="shared" ref="S271" si="594">+EOMONTH(R271,12)</f>
        <v>50040</v>
      </c>
      <c r="T271" s="148">
        <f t="shared" ref="T271" si="595">+EOMONTH(S271,12)</f>
        <v>50405</v>
      </c>
      <c r="U271" s="148">
        <f t="shared" ref="U271" si="596">+EOMONTH(T271,12)</f>
        <v>50770</v>
      </c>
      <c r="V271" s="148">
        <f t="shared" ref="V271" si="597">+EOMONTH(U271,12)</f>
        <v>51135</v>
      </c>
      <c r="W271" s="148">
        <f t="shared" ref="W271" si="598">+EOMONTH(V271,12)</f>
        <v>51501</v>
      </c>
      <c r="X271" s="148">
        <f t="shared" ref="X271" si="599">+EOMONTH(W271,12)</f>
        <v>51866</v>
      </c>
      <c r="Y271" s="148">
        <f t="shared" ref="Y271" si="600">+EOMONTH(X271,12)</f>
        <v>52231</v>
      </c>
      <c r="Z271" s="148">
        <f t="shared" ref="Z271" si="601">+EOMONTH(Y271,12)</f>
        <v>52596</v>
      </c>
      <c r="AA271" s="699"/>
      <c r="AB271" s="699"/>
      <c r="AC271" s="699"/>
      <c r="AD271" s="69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AY271" s="49"/>
      <c r="AZ271" s="49"/>
      <c r="BA271" s="49"/>
      <c r="BB271" s="49"/>
      <c r="BC271" s="49"/>
      <c r="BD271" s="49"/>
      <c r="BE271" s="49"/>
      <c r="BF271" s="49"/>
      <c r="BG271" s="49"/>
      <c r="BH271" s="49"/>
      <c r="BI271" s="49"/>
      <c r="BJ271" s="49"/>
      <c r="BK271" s="49"/>
      <c r="BL271" s="49"/>
      <c r="BM271" s="49"/>
      <c r="BN271" s="49"/>
    </row>
    <row r="272" spans="1:66">
      <c r="A272" s="699"/>
      <c r="B272" s="699" t="s">
        <v>1147</v>
      </c>
      <c r="C272" s="49"/>
      <c r="D272" s="49"/>
      <c r="E272" s="49"/>
      <c r="F272" s="1028">
        <v>0</v>
      </c>
      <c r="G272" s="83">
        <f>+F275</f>
        <v>0</v>
      </c>
      <c r="H272" s="83">
        <f t="shared" ref="H272" si="602">+G275</f>
        <v>0</v>
      </c>
      <c r="I272" s="83">
        <f t="shared" ref="I272" si="603">+H275</f>
        <v>0</v>
      </c>
      <c r="J272" s="83">
        <f t="shared" ref="J272" si="604">+I275</f>
        <v>0</v>
      </c>
      <c r="K272" s="83">
        <f t="shared" ref="K272" si="605">+J275</f>
        <v>0</v>
      </c>
      <c r="L272" s="83">
        <f t="shared" ref="L272" si="606">+K275</f>
        <v>0</v>
      </c>
      <c r="M272" s="83">
        <f t="shared" ref="M272" si="607">+L275</f>
        <v>0</v>
      </c>
      <c r="N272" s="83">
        <f t="shared" ref="N272" si="608">+M275</f>
        <v>0</v>
      </c>
      <c r="O272" s="83">
        <f t="shared" ref="O272" si="609">+N275</f>
        <v>0</v>
      </c>
      <c r="P272" s="83">
        <f t="shared" ref="P272" si="610">+O275</f>
        <v>0</v>
      </c>
      <c r="Q272" s="83">
        <f t="shared" ref="Q272" si="611">+P275</f>
        <v>0</v>
      </c>
      <c r="R272" s="83">
        <f t="shared" ref="R272" si="612">+Q275</f>
        <v>0</v>
      </c>
      <c r="S272" s="83">
        <f t="shared" ref="S272" si="613">+R275</f>
        <v>0</v>
      </c>
      <c r="T272" s="83">
        <f t="shared" ref="T272" si="614">+S275</f>
        <v>0</v>
      </c>
      <c r="U272" s="83">
        <f t="shared" ref="U272" si="615">+T275</f>
        <v>0</v>
      </c>
      <c r="V272" s="83">
        <f t="shared" ref="V272" si="616">+U275</f>
        <v>0</v>
      </c>
      <c r="W272" s="83">
        <f t="shared" ref="W272" si="617">+V275</f>
        <v>0</v>
      </c>
      <c r="X272" s="83">
        <f t="shared" ref="X272" si="618">+W275</f>
        <v>0</v>
      </c>
      <c r="Y272" s="83">
        <f t="shared" ref="Y272" si="619">+X275</f>
        <v>0</v>
      </c>
      <c r="Z272" s="83">
        <f t="shared" ref="Z272" si="620">+Y275</f>
        <v>0</v>
      </c>
      <c r="AA272" s="699"/>
      <c r="AB272" s="699"/>
      <c r="AC272" s="699"/>
      <c r="AD272" s="69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AY272" s="49"/>
      <c r="AZ272" s="49"/>
      <c r="BA272" s="49"/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</row>
    <row r="273" spans="2:66">
      <c r="B273" s="699" t="s">
        <v>1148</v>
      </c>
      <c r="C273" s="49"/>
      <c r="D273" s="49"/>
      <c r="E273" s="49"/>
      <c r="F273" s="90">
        <f>+IF(YEAR(F$129)=YEAR(Assumptions!$F$31),'S&amp;U'!$R$19,0)</f>
        <v>0</v>
      </c>
      <c r="G273" s="90">
        <f>+IF(YEAR(G$129)=YEAR(Assumptions!$F$31),'S&amp;U'!$R$19,0)</f>
        <v>0</v>
      </c>
      <c r="H273" s="90">
        <f>+IF(YEAR(H$129)=YEAR(Assumptions!$F$31),'S&amp;U'!$R$19,0)</f>
        <v>0</v>
      </c>
      <c r="I273" s="90">
        <f>+IF(YEAR(I$129)=YEAR(Assumptions!$F$31),'S&amp;U'!$R$19,0)</f>
        <v>0</v>
      </c>
      <c r="J273" s="90">
        <f>+IF(YEAR(J$129)=YEAR(Assumptions!$F$31),'S&amp;U'!$R$19,0)</f>
        <v>0</v>
      </c>
      <c r="K273" s="90">
        <f>+IF(YEAR(K$129)=YEAR(Assumptions!$F$31),'S&amp;U'!$R$19,0)</f>
        <v>0</v>
      </c>
      <c r="L273" s="90">
        <f>+IF(YEAR(L$129)=YEAR(Assumptions!$F$31),'S&amp;U'!$R$19,0)</f>
        <v>0</v>
      </c>
      <c r="M273" s="90">
        <f>+IF(YEAR(M$129)=YEAR(Assumptions!$F$31),'S&amp;U'!$R$19,0)</f>
        <v>0</v>
      </c>
      <c r="N273" s="90">
        <f>+IF(YEAR(N$129)=YEAR(Assumptions!$F$31),'S&amp;U'!$R$19,0)</f>
        <v>0</v>
      </c>
      <c r="O273" s="90">
        <f>+IF(YEAR(O$129)=YEAR(Assumptions!$F$31),'S&amp;U'!$R$19,0)</f>
        <v>0</v>
      </c>
      <c r="P273" s="90">
        <f>+IF(YEAR(P$129)=YEAR(Assumptions!$F$31),'S&amp;U'!$R$19,0)</f>
        <v>0</v>
      </c>
      <c r="Q273" s="90">
        <f>+IF(YEAR(Q$129)=YEAR(Assumptions!$F$31),'S&amp;U'!$R$19,0)</f>
        <v>0</v>
      </c>
      <c r="R273" s="90">
        <f>+IF(YEAR(R$129)=YEAR(Assumptions!$F$31),'S&amp;U'!$R$19,0)</f>
        <v>0</v>
      </c>
      <c r="S273" s="90">
        <f>+IF(YEAR(S$129)=YEAR(Assumptions!$F$31),'S&amp;U'!$R$19,0)</f>
        <v>0</v>
      </c>
      <c r="T273" s="90">
        <f>+IF(YEAR(T$129)=YEAR(Assumptions!$F$31),'S&amp;U'!$R$19,0)</f>
        <v>0</v>
      </c>
      <c r="U273" s="90">
        <f>+IF(YEAR(U$129)=YEAR(Assumptions!$F$31),'S&amp;U'!$R$19,0)</f>
        <v>0</v>
      </c>
      <c r="V273" s="90">
        <f>+IF(YEAR(V$129)=YEAR(Assumptions!$F$31),'S&amp;U'!$R$19,0)</f>
        <v>0</v>
      </c>
      <c r="W273" s="90">
        <f>+IF(YEAR(W$129)=YEAR(Assumptions!$F$31),'S&amp;U'!$R$19,0)</f>
        <v>0</v>
      </c>
      <c r="X273" s="90">
        <f>+IF(YEAR(X$129)=YEAR(Assumptions!$F$31),'S&amp;U'!$R$19,0)</f>
        <v>0</v>
      </c>
      <c r="Y273" s="90">
        <f>+IF(YEAR(Y$129)=YEAR(Assumptions!$F$31),'S&amp;U'!$R$19,0)</f>
        <v>0</v>
      </c>
      <c r="Z273" s="90">
        <f>+IF(YEAR(Z$129)=YEAR(Assumptions!$F$31),'S&amp;U'!$R$19,0)</f>
        <v>0</v>
      </c>
      <c r="AA273" s="699"/>
      <c r="AB273" s="699"/>
      <c r="AC273" s="699"/>
      <c r="AD273" s="69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AY273" s="49"/>
      <c r="AZ273" s="49"/>
      <c r="BA273" s="49"/>
      <c r="BB273" s="49"/>
      <c r="BC273" s="49"/>
      <c r="BD273" s="49"/>
      <c r="BE273" s="49"/>
      <c r="BF273" s="49"/>
      <c r="BG273" s="49"/>
      <c r="BH273" s="49"/>
      <c r="BI273" s="49"/>
      <c r="BJ273" s="49"/>
      <c r="BK273" s="49"/>
      <c r="BL273" s="49"/>
      <c r="BM273" s="49"/>
      <c r="BN273" s="49"/>
    </row>
    <row r="274" spans="2:66">
      <c r="B274" s="699" t="s">
        <v>682</v>
      </c>
      <c r="C274" s="49"/>
      <c r="D274" s="49"/>
      <c r="E274" s="49"/>
      <c r="F274" s="90">
        <v>0</v>
      </c>
      <c r="G274" s="90">
        <v>0</v>
      </c>
      <c r="H274" s="90">
        <v>0</v>
      </c>
      <c r="I274" s="90">
        <v>0</v>
      </c>
      <c r="J274" s="90">
        <v>0</v>
      </c>
      <c r="K274" s="90">
        <v>0</v>
      </c>
      <c r="L274" s="90">
        <v>0</v>
      </c>
      <c r="M274" s="90">
        <v>0</v>
      </c>
      <c r="N274" s="90">
        <v>0</v>
      </c>
      <c r="O274" s="90">
        <v>0</v>
      </c>
      <c r="P274" s="90">
        <v>0</v>
      </c>
      <c r="Q274" s="90">
        <v>0</v>
      </c>
      <c r="R274" s="90">
        <v>0</v>
      </c>
      <c r="S274" s="90">
        <v>0</v>
      </c>
      <c r="T274" s="90">
        <v>0</v>
      </c>
      <c r="U274" s="90">
        <v>0</v>
      </c>
      <c r="V274" s="90">
        <v>0</v>
      </c>
      <c r="W274" s="90">
        <v>0</v>
      </c>
      <c r="X274" s="90">
        <v>0</v>
      </c>
      <c r="Y274" s="90">
        <v>0</v>
      </c>
      <c r="Z274" s="90">
        <v>0</v>
      </c>
      <c r="AA274" s="699"/>
      <c r="AB274" s="699"/>
      <c r="AC274" s="699"/>
      <c r="AD274" s="69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AY274" s="49"/>
      <c r="AZ274" s="49"/>
      <c r="BA274" s="49"/>
      <c r="BB274" s="49"/>
      <c r="BC274" s="49"/>
      <c r="BD274" s="49"/>
      <c r="BE274" s="49"/>
      <c r="BF274" s="49"/>
      <c r="BG274" s="49"/>
      <c r="BH274" s="49"/>
      <c r="BI274" s="49"/>
      <c r="BJ274" s="49"/>
      <c r="BK274" s="49"/>
      <c r="BL274" s="49"/>
      <c r="BM274" s="49"/>
      <c r="BN274" s="49"/>
    </row>
    <row r="275" spans="2:66">
      <c r="B275" s="699" t="s">
        <v>1149</v>
      </c>
      <c r="C275" s="49"/>
      <c r="D275" s="49"/>
      <c r="E275" s="49"/>
      <c r="F275" s="90">
        <f>+SUM(F272:F274)</f>
        <v>0</v>
      </c>
      <c r="G275" s="90">
        <f t="shared" ref="G275:Z275" si="621">+SUM(G272:G274)</f>
        <v>0</v>
      </c>
      <c r="H275" s="90">
        <f t="shared" si="621"/>
        <v>0</v>
      </c>
      <c r="I275" s="90">
        <f t="shared" si="621"/>
        <v>0</v>
      </c>
      <c r="J275" s="90">
        <f t="shared" si="621"/>
        <v>0</v>
      </c>
      <c r="K275" s="90">
        <f t="shared" si="621"/>
        <v>0</v>
      </c>
      <c r="L275" s="90">
        <f t="shared" si="621"/>
        <v>0</v>
      </c>
      <c r="M275" s="90">
        <f t="shared" si="621"/>
        <v>0</v>
      </c>
      <c r="N275" s="90">
        <f t="shared" si="621"/>
        <v>0</v>
      </c>
      <c r="O275" s="90">
        <f t="shared" si="621"/>
        <v>0</v>
      </c>
      <c r="P275" s="90">
        <f t="shared" si="621"/>
        <v>0</v>
      </c>
      <c r="Q275" s="90">
        <f t="shared" si="621"/>
        <v>0</v>
      </c>
      <c r="R275" s="90">
        <f t="shared" si="621"/>
        <v>0</v>
      </c>
      <c r="S275" s="90">
        <f t="shared" si="621"/>
        <v>0</v>
      </c>
      <c r="T275" s="90">
        <f t="shared" si="621"/>
        <v>0</v>
      </c>
      <c r="U275" s="90">
        <f t="shared" si="621"/>
        <v>0</v>
      </c>
      <c r="V275" s="90">
        <f t="shared" si="621"/>
        <v>0</v>
      </c>
      <c r="W275" s="90">
        <f t="shared" si="621"/>
        <v>0</v>
      </c>
      <c r="X275" s="90">
        <f t="shared" si="621"/>
        <v>0</v>
      </c>
      <c r="Y275" s="90">
        <f t="shared" si="621"/>
        <v>0</v>
      </c>
      <c r="Z275" s="90">
        <f t="shared" si="621"/>
        <v>0</v>
      </c>
      <c r="AA275" s="699"/>
      <c r="AB275" s="699"/>
      <c r="AC275" s="699"/>
      <c r="AD275" s="69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AY275" s="49"/>
      <c r="AZ275" s="49"/>
      <c r="BA275" s="49"/>
      <c r="BB275" s="49"/>
      <c r="BC275" s="49"/>
      <c r="BD275" s="49"/>
      <c r="BE275" s="49"/>
      <c r="BF275" s="49"/>
      <c r="BG275" s="49"/>
      <c r="BH275" s="49"/>
      <c r="BI275" s="49"/>
      <c r="BJ275" s="49"/>
      <c r="BK275" s="49"/>
      <c r="BL275" s="49"/>
      <c r="BM275" s="49"/>
      <c r="BN275" s="49"/>
    </row>
    <row r="276" spans="2:66">
      <c r="B276" s="49"/>
      <c r="C276" s="49"/>
      <c r="D276" s="49"/>
      <c r="E276" s="49"/>
      <c r="F276" s="69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699"/>
      <c r="AB276" s="699"/>
      <c r="AC276" s="699"/>
      <c r="AD276" s="69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AY276" s="49"/>
      <c r="AZ276" s="49"/>
      <c r="BA276" s="49"/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</row>
    <row r="277" spans="2:66">
      <c r="B277" s="49" t="s">
        <v>1150</v>
      </c>
      <c r="C277" s="49"/>
      <c r="D277" s="49"/>
      <c r="E277" s="49"/>
      <c r="F277" s="1028">
        <f>+F275*Assumptions!$N$157</f>
        <v>0</v>
      </c>
      <c r="G277" s="1028">
        <f>+G275*Assumptions!$N$157</f>
        <v>0</v>
      </c>
      <c r="H277" s="1028">
        <f>+H275*Assumptions!$N$157</f>
        <v>0</v>
      </c>
      <c r="I277" s="1028">
        <f>+I275*Assumptions!$N$157</f>
        <v>0</v>
      </c>
      <c r="J277" s="1028">
        <f>+J275*Assumptions!$N$157</f>
        <v>0</v>
      </c>
      <c r="K277" s="1028">
        <f>+K275*Assumptions!$N$157</f>
        <v>0</v>
      </c>
      <c r="L277" s="1028">
        <f>+L275*Assumptions!$N$157</f>
        <v>0</v>
      </c>
      <c r="M277" s="1028">
        <f>+M275*Assumptions!$N$157</f>
        <v>0</v>
      </c>
      <c r="N277" s="1028">
        <f>+N275*Assumptions!$N$157</f>
        <v>0</v>
      </c>
      <c r="O277" s="1028">
        <f>+O275*Assumptions!$N$157</f>
        <v>0</v>
      </c>
      <c r="P277" s="1028">
        <f>+P275*Assumptions!$N$157</f>
        <v>0</v>
      </c>
      <c r="Q277" s="1028">
        <f>+Q275*Assumptions!$N$157</f>
        <v>0</v>
      </c>
      <c r="R277" s="1028">
        <f>+R275*Assumptions!$N$157</f>
        <v>0</v>
      </c>
      <c r="S277" s="1028">
        <f>+S275*Assumptions!$N$157</f>
        <v>0</v>
      </c>
      <c r="T277" s="1028">
        <f>+T275*Assumptions!$N$157</f>
        <v>0</v>
      </c>
      <c r="U277" s="1028">
        <f>+U275*Assumptions!$N$157</f>
        <v>0</v>
      </c>
      <c r="V277" s="1028">
        <f>+V275*Assumptions!$N$157</f>
        <v>0</v>
      </c>
      <c r="W277" s="1028">
        <f>+W275*Assumptions!$N$157</f>
        <v>0</v>
      </c>
      <c r="X277" s="1028">
        <f>+X275*Assumptions!$N$157</f>
        <v>0</v>
      </c>
      <c r="Y277" s="1028">
        <f>+Y275*Assumptions!$N$157</f>
        <v>0</v>
      </c>
      <c r="Z277" s="1028">
        <f>+Z275*Assumptions!$N$157</f>
        <v>0</v>
      </c>
      <c r="AA277" s="699"/>
      <c r="AB277" s="699"/>
      <c r="AC277" s="699"/>
      <c r="AD277" s="69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AY277" s="49"/>
      <c r="AZ277" s="49"/>
      <c r="BA277" s="49"/>
      <c r="BB277" s="49"/>
      <c r="BC277" s="49"/>
      <c r="BD277" s="49"/>
      <c r="BE277" s="49"/>
      <c r="BF277" s="49"/>
      <c r="BG277" s="49"/>
      <c r="BH277" s="49"/>
      <c r="BI277" s="49"/>
      <c r="BJ277" s="49"/>
      <c r="BK277" s="49"/>
      <c r="BL277" s="49"/>
      <c r="BM277" s="49"/>
      <c r="BN277" s="49"/>
    </row>
    <row r="278" spans="2:66" ht="16.5">
      <c r="B278" s="61" t="s">
        <v>1151</v>
      </c>
      <c r="C278" s="61"/>
      <c r="D278" s="61"/>
      <c r="E278" s="61"/>
      <c r="F278" s="145">
        <f>+F277-F274</f>
        <v>0</v>
      </c>
      <c r="G278" s="145">
        <f t="shared" ref="G278:Z278" si="622">+G277-G274</f>
        <v>0</v>
      </c>
      <c r="H278" s="145">
        <f t="shared" si="622"/>
        <v>0</v>
      </c>
      <c r="I278" s="145">
        <f t="shared" si="622"/>
        <v>0</v>
      </c>
      <c r="J278" s="145">
        <f t="shared" si="622"/>
        <v>0</v>
      </c>
      <c r="K278" s="145">
        <f t="shared" si="622"/>
        <v>0</v>
      </c>
      <c r="L278" s="145">
        <f t="shared" si="622"/>
        <v>0</v>
      </c>
      <c r="M278" s="145">
        <f t="shared" si="622"/>
        <v>0</v>
      </c>
      <c r="N278" s="145">
        <f t="shared" si="622"/>
        <v>0</v>
      </c>
      <c r="O278" s="145">
        <f t="shared" si="622"/>
        <v>0</v>
      </c>
      <c r="P278" s="145">
        <f t="shared" si="622"/>
        <v>0</v>
      </c>
      <c r="Q278" s="145">
        <f t="shared" si="622"/>
        <v>0</v>
      </c>
      <c r="R278" s="145">
        <f t="shared" si="622"/>
        <v>0</v>
      </c>
      <c r="S278" s="145">
        <f t="shared" si="622"/>
        <v>0</v>
      </c>
      <c r="T278" s="145">
        <f t="shared" si="622"/>
        <v>0</v>
      </c>
      <c r="U278" s="145">
        <f t="shared" si="622"/>
        <v>0</v>
      </c>
      <c r="V278" s="145">
        <f t="shared" si="622"/>
        <v>0</v>
      </c>
      <c r="W278" s="145">
        <f t="shared" si="622"/>
        <v>0</v>
      </c>
      <c r="X278" s="145">
        <f t="shared" si="622"/>
        <v>0</v>
      </c>
      <c r="Y278" s="145">
        <f t="shared" si="622"/>
        <v>0</v>
      </c>
      <c r="Z278" s="145">
        <f t="shared" si="622"/>
        <v>0</v>
      </c>
      <c r="AA278" s="699"/>
      <c r="AB278" s="699"/>
      <c r="AC278" s="699"/>
      <c r="AD278" s="69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AY278" s="49"/>
      <c r="AZ278" s="49"/>
      <c r="BA278" s="49"/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</row>
    <row r="279" spans="2:66">
      <c r="B279" s="117" t="s">
        <v>670</v>
      </c>
      <c r="C279" s="49"/>
      <c r="D279" s="49"/>
      <c r="E279" s="49"/>
      <c r="F279" s="146" t="str">
        <f>+IFERROR(F267/F278,"")</f>
        <v/>
      </c>
      <c r="G279" s="146" t="str">
        <f t="shared" ref="G279:Z279" si="623">+IFERROR(G267/G278,"")</f>
        <v/>
      </c>
      <c r="H279" s="146" t="str">
        <f t="shared" si="623"/>
        <v/>
      </c>
      <c r="I279" s="146" t="str">
        <f t="shared" si="623"/>
        <v/>
      </c>
      <c r="J279" s="146" t="str">
        <f t="shared" si="623"/>
        <v/>
      </c>
      <c r="K279" s="146" t="str">
        <f t="shared" si="623"/>
        <v/>
      </c>
      <c r="L279" s="146" t="str">
        <f t="shared" si="623"/>
        <v/>
      </c>
      <c r="M279" s="146" t="str">
        <f t="shared" si="623"/>
        <v/>
      </c>
      <c r="N279" s="146" t="str">
        <f t="shared" si="623"/>
        <v/>
      </c>
      <c r="O279" s="146" t="str">
        <f t="shared" si="623"/>
        <v/>
      </c>
      <c r="P279" s="146" t="str">
        <f t="shared" si="623"/>
        <v/>
      </c>
      <c r="Q279" s="146" t="str">
        <f t="shared" si="623"/>
        <v/>
      </c>
      <c r="R279" s="146" t="str">
        <f t="shared" si="623"/>
        <v/>
      </c>
      <c r="S279" s="146" t="str">
        <f t="shared" si="623"/>
        <v/>
      </c>
      <c r="T279" s="146" t="str">
        <f t="shared" si="623"/>
        <v/>
      </c>
      <c r="U279" s="146" t="str">
        <f t="shared" si="623"/>
        <v/>
      </c>
      <c r="V279" s="146" t="str">
        <f t="shared" si="623"/>
        <v/>
      </c>
      <c r="W279" s="146" t="str">
        <f t="shared" si="623"/>
        <v/>
      </c>
      <c r="X279" s="146" t="str">
        <f t="shared" si="623"/>
        <v/>
      </c>
      <c r="Y279" s="146" t="str">
        <f t="shared" si="623"/>
        <v/>
      </c>
      <c r="Z279" s="146" t="str">
        <f t="shared" si="623"/>
        <v/>
      </c>
      <c r="AA279" s="699"/>
      <c r="AB279" s="699"/>
      <c r="AC279" s="699"/>
      <c r="AD279" s="69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AY279" s="49"/>
      <c r="AZ279" s="49"/>
      <c r="BA279" s="49"/>
      <c r="BB279" s="49"/>
      <c r="BC279" s="49"/>
      <c r="BD279" s="49"/>
      <c r="BE279" s="49"/>
      <c r="BF279" s="49"/>
      <c r="BG279" s="49"/>
      <c r="BH279" s="49"/>
      <c r="BI279" s="49"/>
      <c r="BJ279" s="49"/>
      <c r="BK279" s="49"/>
      <c r="BL279" s="49"/>
      <c r="BM279" s="49"/>
      <c r="BN279" s="49"/>
    </row>
    <row r="280" spans="2:66">
      <c r="B280" s="49"/>
      <c r="C280" s="49"/>
      <c r="D280" s="49"/>
      <c r="E280" s="49"/>
      <c r="F280" s="699"/>
      <c r="G280" s="699"/>
      <c r="H280" s="699"/>
      <c r="I280" s="699"/>
      <c r="J280" s="699"/>
      <c r="K280" s="699"/>
      <c r="L280" s="699"/>
      <c r="M280" s="699"/>
      <c r="N280" s="699"/>
      <c r="O280" s="699"/>
      <c r="P280" s="699"/>
      <c r="Q280" s="699"/>
      <c r="R280" s="699"/>
      <c r="S280" s="699"/>
      <c r="T280" s="699"/>
      <c r="U280" s="699"/>
      <c r="V280" s="699"/>
      <c r="W280" s="699"/>
      <c r="X280" s="699"/>
      <c r="Y280" s="699"/>
      <c r="Z280" s="699"/>
      <c r="AA280" s="699"/>
      <c r="AB280" s="699"/>
      <c r="AC280" s="699"/>
      <c r="AD280" s="69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AY280" s="49"/>
      <c r="AZ280" s="49"/>
      <c r="BA280" s="49"/>
      <c r="BB280" s="49"/>
      <c r="BC280" s="49"/>
      <c r="BD280" s="49"/>
      <c r="BE280" s="49"/>
      <c r="BF280" s="49"/>
      <c r="BG280" s="49"/>
      <c r="BH280" s="49"/>
      <c r="BI280" s="49"/>
      <c r="BJ280" s="49"/>
      <c r="BK280" s="49"/>
      <c r="BL280" s="49"/>
      <c r="BM280" s="49"/>
      <c r="BN280" s="49"/>
    </row>
    <row r="281" spans="2:66">
      <c r="B281" s="49" t="s">
        <v>1152</v>
      </c>
      <c r="C281" s="49"/>
      <c r="D281" s="49"/>
      <c r="E281" s="49"/>
      <c r="F281" s="1087">
        <f>+F273*Assumptions!$N$139</f>
        <v>0</v>
      </c>
      <c r="G281" s="1087">
        <f>+G273*Assumptions!$N$158</f>
        <v>0</v>
      </c>
      <c r="H281" s="1087">
        <f>+H273*Assumptions!$N$158</f>
        <v>0</v>
      </c>
      <c r="I281" s="1087">
        <f>+I273*Assumptions!$N$158</f>
        <v>0</v>
      </c>
      <c r="J281" s="1087">
        <f>+J273*Assumptions!$N$158</f>
        <v>0</v>
      </c>
      <c r="K281" s="1087">
        <f>+K273*Assumptions!$N$158</f>
        <v>0</v>
      </c>
      <c r="L281" s="1087">
        <f>+L273*Assumptions!$N$158</f>
        <v>0</v>
      </c>
      <c r="M281" s="1087">
        <f>+M273*Assumptions!$N$158</f>
        <v>0</v>
      </c>
      <c r="N281" s="1087">
        <f>+N273*Assumptions!$N$158</f>
        <v>0</v>
      </c>
      <c r="O281" s="1087">
        <f>+O273*Assumptions!$N$158</f>
        <v>0</v>
      </c>
      <c r="P281" s="1087">
        <f>+P273*Assumptions!$N$158</f>
        <v>0</v>
      </c>
      <c r="Q281" s="1087">
        <f>+Q273*Assumptions!$N$158</f>
        <v>0</v>
      </c>
      <c r="R281" s="1087">
        <f>+R273*Assumptions!$N$158</f>
        <v>0</v>
      </c>
      <c r="S281" s="1087">
        <f>+S273*Assumptions!$N$158</f>
        <v>0</v>
      </c>
      <c r="T281" s="1087">
        <f>+T273*Assumptions!$N$158</f>
        <v>0</v>
      </c>
      <c r="U281" s="1087">
        <f>+U273*Assumptions!$N$158</f>
        <v>0</v>
      </c>
      <c r="V281" s="1087">
        <f>+V273*Assumptions!$N$158</f>
        <v>0</v>
      </c>
      <c r="W281" s="1087">
        <f>+W273*Assumptions!$N$158</f>
        <v>0</v>
      </c>
      <c r="X281" s="1087">
        <f>+X273*Assumptions!$N$158</f>
        <v>0</v>
      </c>
      <c r="Y281" s="1087">
        <f>+Y273*Assumptions!$N$158</f>
        <v>0</v>
      </c>
      <c r="Z281" s="1087">
        <f>+Z273*Assumptions!$N$158</f>
        <v>0</v>
      </c>
      <c r="AA281" s="699"/>
      <c r="AB281" s="699"/>
      <c r="AC281" s="699"/>
      <c r="AD281" s="69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AY281" s="49"/>
      <c r="AZ281" s="49"/>
      <c r="BA281" s="49"/>
      <c r="BB281" s="49"/>
      <c r="BC281" s="49"/>
      <c r="BD281" s="49"/>
      <c r="BE281" s="49"/>
      <c r="BF281" s="49"/>
      <c r="BG281" s="49"/>
      <c r="BH281" s="49"/>
      <c r="BI281" s="49"/>
      <c r="BJ281" s="49"/>
      <c r="BK281" s="49"/>
      <c r="BL281" s="49"/>
      <c r="BM281" s="49"/>
      <c r="BN281" s="49"/>
    </row>
    <row r="282" spans="2:66">
      <c r="B282" s="49"/>
      <c r="C282" s="49"/>
      <c r="D282" s="49"/>
      <c r="E282" s="49"/>
      <c r="F282" s="699"/>
      <c r="G282" s="699"/>
      <c r="H282" s="699"/>
      <c r="I282" s="699"/>
      <c r="J282" s="699"/>
      <c r="K282" s="699"/>
      <c r="L282" s="699"/>
      <c r="M282" s="699"/>
      <c r="N282" s="699"/>
      <c r="O282" s="699"/>
      <c r="P282" s="699"/>
      <c r="Q282" s="699"/>
      <c r="R282" s="699"/>
      <c r="S282" s="699"/>
      <c r="T282" s="699"/>
      <c r="U282" s="699"/>
      <c r="V282" s="699"/>
      <c r="W282" s="699"/>
      <c r="X282" s="699"/>
      <c r="Y282" s="699"/>
      <c r="Z282" s="699"/>
      <c r="AA282" s="699"/>
      <c r="AB282" s="699"/>
      <c r="AC282" s="699"/>
      <c r="AD282" s="69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BA282" s="49"/>
      <c r="BB282" s="49"/>
      <c r="BC282" s="49"/>
      <c r="BD282" s="49"/>
      <c r="BE282" s="49"/>
      <c r="BF282" s="49"/>
      <c r="BG282" s="49"/>
      <c r="BH282" s="49"/>
      <c r="BI282" s="49"/>
      <c r="BJ282" s="49"/>
      <c r="BK282" s="49"/>
      <c r="BL282" s="49"/>
      <c r="BM282" s="49"/>
      <c r="BN282" s="49"/>
    </row>
    <row r="283" spans="2:66" ht="16.5">
      <c r="B283" s="61" t="s">
        <v>1153</v>
      </c>
      <c r="C283" s="61"/>
      <c r="D283" s="61"/>
      <c r="E283" s="61"/>
      <c r="F283" s="144">
        <v>0</v>
      </c>
      <c r="G283" s="144">
        <v>0</v>
      </c>
      <c r="H283" s="144">
        <v>0</v>
      </c>
      <c r="I283" s="144">
        <v>0</v>
      </c>
      <c r="J283" s="144">
        <v>0</v>
      </c>
      <c r="K283" s="144">
        <v>0</v>
      </c>
      <c r="L283" s="144">
        <v>0</v>
      </c>
      <c r="M283" s="144">
        <v>0</v>
      </c>
      <c r="N283" s="144">
        <v>0</v>
      </c>
      <c r="O283" s="144">
        <v>0</v>
      </c>
      <c r="P283" s="144">
        <v>0</v>
      </c>
      <c r="Q283" s="144">
        <v>0</v>
      </c>
      <c r="R283" s="144">
        <v>0</v>
      </c>
      <c r="S283" s="144">
        <v>0</v>
      </c>
      <c r="T283" s="144">
        <v>0</v>
      </c>
      <c r="U283" s="144">
        <v>0</v>
      </c>
      <c r="V283" s="144">
        <v>0</v>
      </c>
      <c r="W283" s="144">
        <v>0</v>
      </c>
      <c r="X283" s="144">
        <v>0</v>
      </c>
      <c r="Y283" s="144">
        <v>0</v>
      </c>
      <c r="Z283" s="144">
        <v>0</v>
      </c>
      <c r="AA283" s="699"/>
      <c r="AB283" s="699"/>
      <c r="AC283" s="699"/>
      <c r="AD283" s="69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BA283" s="49"/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</row>
    <row r="284" spans="2:66">
      <c r="B284" s="49"/>
      <c r="C284" s="49"/>
      <c r="D284" s="49"/>
      <c r="E284" s="49"/>
      <c r="F284" s="699"/>
      <c r="G284" s="699"/>
      <c r="H284" s="699"/>
      <c r="I284" s="699"/>
      <c r="J284" s="699"/>
      <c r="K284" s="699"/>
      <c r="L284" s="699"/>
      <c r="M284" s="699"/>
      <c r="N284" s="699"/>
      <c r="O284" s="699"/>
      <c r="P284" s="699"/>
      <c r="Q284" s="699"/>
      <c r="R284" s="699"/>
      <c r="S284" s="699"/>
      <c r="T284" s="699"/>
      <c r="U284" s="699"/>
      <c r="V284" s="699"/>
      <c r="W284" s="699"/>
      <c r="X284" s="699"/>
      <c r="Y284" s="699"/>
      <c r="Z284" s="699"/>
      <c r="AA284" s="699"/>
      <c r="AB284" s="699"/>
      <c r="AC284" s="699"/>
      <c r="AD284" s="69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BA284" s="49"/>
      <c r="BB284" s="49"/>
      <c r="BC284" s="49"/>
      <c r="BD284" s="49"/>
      <c r="BE284" s="49"/>
      <c r="BF284" s="49"/>
      <c r="BG284" s="49"/>
      <c r="BH284" s="49"/>
      <c r="BI284" s="49"/>
      <c r="BJ284" s="49"/>
      <c r="BK284" s="49"/>
      <c r="BL284" s="49"/>
      <c r="BM284" s="49"/>
      <c r="BN284" s="49"/>
    </row>
    <row r="285" spans="2:66" ht="15.75">
      <c r="B285" s="112" t="s">
        <v>1178</v>
      </c>
      <c r="C285" s="49"/>
      <c r="D285" s="49"/>
      <c r="E285" s="49"/>
      <c r="F285" s="699"/>
      <c r="G285" s="699"/>
      <c r="H285" s="699"/>
      <c r="I285" s="699"/>
      <c r="J285" s="699"/>
      <c r="K285" s="699"/>
      <c r="L285" s="699"/>
      <c r="M285" s="699"/>
      <c r="N285" s="699"/>
      <c r="O285" s="699"/>
      <c r="P285" s="699"/>
      <c r="Q285" s="699"/>
      <c r="R285" s="699"/>
      <c r="S285" s="699"/>
      <c r="T285" s="699"/>
      <c r="U285" s="699"/>
      <c r="V285" s="699"/>
      <c r="W285" s="699"/>
      <c r="X285" s="699"/>
      <c r="Y285" s="699"/>
      <c r="Z285" s="699"/>
      <c r="AA285" s="699"/>
      <c r="AB285" s="699"/>
      <c r="AC285" s="699"/>
      <c r="AD285" s="69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BA285" s="49"/>
      <c r="BB285" s="49"/>
      <c r="BC285" s="49"/>
      <c r="BD285" s="49"/>
      <c r="BE285" s="49"/>
      <c r="BF285" s="49"/>
      <c r="BG285" s="49"/>
      <c r="BH285" s="49"/>
      <c r="BI285" s="49"/>
      <c r="BJ285" s="49"/>
      <c r="BK285" s="49"/>
      <c r="BL285" s="49"/>
      <c r="BM285" s="49"/>
      <c r="BN285" s="49"/>
    </row>
    <row r="286" spans="2:66">
      <c r="B286" s="699" t="s">
        <v>1156</v>
      </c>
      <c r="C286" s="49"/>
      <c r="D286" s="49"/>
      <c r="E286" s="49"/>
      <c r="F286" s="83">
        <f>+F269+F245</f>
        <v>0</v>
      </c>
      <c r="G286" s="83">
        <f t="shared" ref="G286:Z286" si="624">+G269+G245</f>
        <v>0</v>
      </c>
      <c r="H286" s="83">
        <f t="shared" si="624"/>
        <v>0</v>
      </c>
      <c r="I286" s="83">
        <f t="shared" si="624"/>
        <v>0</v>
      </c>
      <c r="J286" s="83">
        <f t="shared" si="624"/>
        <v>48037050.09785302</v>
      </c>
      <c r="K286" s="83">
        <f t="shared" si="624"/>
        <v>0</v>
      </c>
      <c r="L286" s="83">
        <f t="shared" si="624"/>
        <v>0</v>
      </c>
      <c r="M286" s="83">
        <f t="shared" si="624"/>
        <v>0</v>
      </c>
      <c r="N286" s="83">
        <f t="shared" si="624"/>
        <v>0</v>
      </c>
      <c r="O286" s="83">
        <f t="shared" si="624"/>
        <v>0</v>
      </c>
      <c r="P286" s="83">
        <f t="shared" si="624"/>
        <v>0</v>
      </c>
      <c r="Q286" s="83">
        <f t="shared" si="624"/>
        <v>0</v>
      </c>
      <c r="R286" s="83">
        <f t="shared" si="624"/>
        <v>0</v>
      </c>
      <c r="S286" s="83">
        <f t="shared" si="624"/>
        <v>0</v>
      </c>
      <c r="T286" s="83">
        <f t="shared" si="624"/>
        <v>0</v>
      </c>
      <c r="U286" s="83">
        <f t="shared" si="624"/>
        <v>0</v>
      </c>
      <c r="V286" s="83">
        <f t="shared" si="624"/>
        <v>0</v>
      </c>
      <c r="W286" s="83">
        <f t="shared" si="624"/>
        <v>0</v>
      </c>
      <c r="X286" s="83">
        <f t="shared" si="624"/>
        <v>0</v>
      </c>
      <c r="Y286" s="83">
        <f t="shared" si="624"/>
        <v>0</v>
      </c>
      <c r="Z286" s="83">
        <f t="shared" si="624"/>
        <v>0</v>
      </c>
      <c r="AA286" s="699"/>
      <c r="AB286" s="699"/>
      <c r="AC286" s="699"/>
      <c r="AD286" s="69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BA286" s="49"/>
      <c r="BB286" s="49"/>
      <c r="BC286" s="49"/>
      <c r="BD286" s="49"/>
      <c r="BE286" s="49"/>
      <c r="BF286" s="49"/>
      <c r="BG286" s="49"/>
      <c r="BH286" s="49"/>
      <c r="BI286" s="49"/>
      <c r="BJ286" s="49"/>
      <c r="BK286" s="49"/>
      <c r="BL286" s="49"/>
      <c r="BM286" s="49"/>
      <c r="BN286" s="49"/>
    </row>
    <row r="287" spans="2:66">
      <c r="B287" s="699" t="s">
        <v>1158</v>
      </c>
      <c r="C287" s="49"/>
      <c r="D287" s="49"/>
      <c r="E287" s="49"/>
      <c r="F287" s="90">
        <f>-F286*Assumptions!$F$42</f>
        <v>0</v>
      </c>
      <c r="G287" s="90">
        <f>-G286*Assumptions!$F$42</f>
        <v>0</v>
      </c>
      <c r="H287" s="90">
        <f>-H286*Assumptions!$F$42</f>
        <v>0</v>
      </c>
      <c r="I287" s="90">
        <f>-I286*Assumptions!$F$42</f>
        <v>0</v>
      </c>
      <c r="J287" s="90">
        <f>-J286*Assumptions!$F$42</f>
        <v>-480370.50097853021</v>
      </c>
      <c r="K287" s="90">
        <f>-K286*Assumptions!$F$42</f>
        <v>0</v>
      </c>
      <c r="L287" s="90">
        <f>-L286*Assumptions!$F$42</f>
        <v>0</v>
      </c>
      <c r="M287" s="90">
        <f>-M286*Assumptions!$F$42</f>
        <v>0</v>
      </c>
      <c r="N287" s="90">
        <f>-N286*Assumptions!$F$42</f>
        <v>0</v>
      </c>
      <c r="O287" s="90">
        <f>-O286*Assumptions!$F$42</f>
        <v>0</v>
      </c>
      <c r="P287" s="90">
        <f>-P286*Assumptions!$F$42</f>
        <v>0</v>
      </c>
      <c r="Q287" s="90">
        <f>-Q286*Assumptions!$F$42</f>
        <v>0</v>
      </c>
      <c r="R287" s="90">
        <f>-R286*Assumptions!$F$42</f>
        <v>0</v>
      </c>
      <c r="S287" s="90">
        <f>-S286*Assumptions!$F$42</f>
        <v>0</v>
      </c>
      <c r="T287" s="90">
        <f>-T286*Assumptions!$F$42</f>
        <v>0</v>
      </c>
      <c r="U287" s="90">
        <f>-U286*Assumptions!$F$42</f>
        <v>0</v>
      </c>
      <c r="V287" s="90">
        <f>-V286*Assumptions!$F$42</f>
        <v>0</v>
      </c>
      <c r="W287" s="90">
        <f>-W286*Assumptions!$F$42</f>
        <v>0</v>
      </c>
      <c r="X287" s="90">
        <f>-X286*Assumptions!$F$42</f>
        <v>0</v>
      </c>
      <c r="Y287" s="90">
        <f>-Y286*Assumptions!$F$42</f>
        <v>0</v>
      </c>
      <c r="Z287" s="90">
        <f>-Z286*Assumptions!$F$42</f>
        <v>0</v>
      </c>
      <c r="AA287" s="699"/>
      <c r="AB287" s="699"/>
      <c r="AC287" s="699"/>
      <c r="AD287" s="69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BA287" s="49"/>
      <c r="BB287" s="49"/>
      <c r="BC287" s="49"/>
      <c r="BD287" s="49"/>
      <c r="BE287" s="49"/>
      <c r="BF287" s="49"/>
      <c r="BG287" s="49"/>
      <c r="BH287" s="49"/>
      <c r="BI287" s="49"/>
      <c r="BJ287" s="49"/>
      <c r="BK287" s="49"/>
      <c r="BL287" s="49"/>
      <c r="BM287" s="49"/>
      <c r="BN287" s="49"/>
    </row>
    <row r="288" spans="2:66">
      <c r="B288" s="699" t="s">
        <v>1159</v>
      </c>
      <c r="C288" s="49"/>
      <c r="D288" s="49"/>
      <c r="E288" s="49"/>
      <c r="F288" s="90">
        <f>+IF(YEAR(F$129)=YEAR(Assumptions!$F$35),-'Phase 1 Pro Forma'!F275,0)</f>
        <v>0</v>
      </c>
      <c r="G288" s="90">
        <f>+IF(YEAR(G$129)=YEAR(Assumptions!$F$35),-'Phase 1 Pro Forma'!G275,0)</f>
        <v>0</v>
      </c>
      <c r="H288" s="90">
        <f>+IF(YEAR(H$129)=YEAR(Assumptions!$F$35),-'Phase 1 Pro Forma'!H275,0)</f>
        <v>0</v>
      </c>
      <c r="I288" s="90">
        <f>+IF(YEAR(I$129)=YEAR(Assumptions!$F$35),-'Phase 1 Pro Forma'!I275,0)</f>
        <v>0</v>
      </c>
      <c r="J288" s="90">
        <f>+IF(YEAR(J$129)=YEAR(Assumptions!$F$35),-'Phase 1 Pro Forma'!J275,0)</f>
        <v>0</v>
      </c>
      <c r="K288" s="90">
        <f>+IF(YEAR(K$129)=YEAR(Assumptions!$F$35),-'Phase 1 Pro Forma'!K275,0)</f>
        <v>0</v>
      </c>
      <c r="L288" s="90">
        <f>+IF(YEAR(L$129)=YEAR(Assumptions!$F$35),-'Phase 1 Pro Forma'!L275,0)</f>
        <v>0</v>
      </c>
      <c r="M288" s="90">
        <f>+IF(YEAR(M$129)=YEAR(Assumptions!$F$35),-'Phase 1 Pro Forma'!M275,0)</f>
        <v>0</v>
      </c>
      <c r="N288" s="90">
        <f>+IF(YEAR(N$129)=YEAR(Assumptions!$F$35),-'Phase 1 Pro Forma'!N275,0)</f>
        <v>0</v>
      </c>
      <c r="O288" s="90">
        <f>+IF(YEAR(O$129)=YEAR(Assumptions!$F$35),-'Phase 1 Pro Forma'!O275,0)</f>
        <v>0</v>
      </c>
      <c r="P288" s="90">
        <f>+IF(YEAR(P$129)=YEAR(Assumptions!$F$35),-'Phase 1 Pro Forma'!P275,0)</f>
        <v>0</v>
      </c>
      <c r="Q288" s="90">
        <f>+IF(YEAR(Q$129)=YEAR(Assumptions!$F$35),-'Phase 1 Pro Forma'!Q275,0)</f>
        <v>0</v>
      </c>
      <c r="R288" s="90">
        <f>+IF(YEAR(R$129)=YEAR(Assumptions!$F$35),-'Phase 1 Pro Forma'!R275,0)</f>
        <v>0</v>
      </c>
      <c r="S288" s="90">
        <f>+IF(YEAR(S$129)=YEAR(Assumptions!$F$35),-'Phase 1 Pro Forma'!S275,0)</f>
        <v>0</v>
      </c>
      <c r="T288" s="90">
        <f>+IF(YEAR(T$129)=YEAR(Assumptions!$F$35),-'Phase 1 Pro Forma'!T275,0)</f>
        <v>0</v>
      </c>
      <c r="U288" s="90">
        <f>+IF(YEAR(U$129)=YEAR(Assumptions!$F$35),-'Phase 1 Pro Forma'!U275,0)</f>
        <v>0</v>
      </c>
      <c r="V288" s="90">
        <f>+IF(YEAR(V$129)=YEAR(Assumptions!$F$35),-'Phase 1 Pro Forma'!V275,0)</f>
        <v>0</v>
      </c>
      <c r="W288" s="90">
        <f>+IF(YEAR(W$129)=YEAR(Assumptions!$F$35),-'Phase 1 Pro Forma'!W275,0)</f>
        <v>0</v>
      </c>
      <c r="X288" s="90">
        <f>+IF(YEAR(X$129)=YEAR(Assumptions!$F$35),-'Phase 1 Pro Forma'!X275,0)</f>
        <v>0</v>
      </c>
      <c r="Y288" s="90">
        <f>+IF(YEAR(Y$129)=YEAR(Assumptions!$F$35),-'Phase 1 Pro Forma'!Y275,0)</f>
        <v>0</v>
      </c>
      <c r="Z288" s="90">
        <f>+IF(YEAR(Z$129)=YEAR(Assumptions!$F$35),-'Phase 1 Pro Forma'!Z275,0)</f>
        <v>0</v>
      </c>
      <c r="AA288" s="699"/>
      <c r="AB288" s="699"/>
      <c r="AC288" s="699"/>
      <c r="AD288" s="69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BA288" s="49"/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</row>
    <row r="289" spans="2:66">
      <c r="B289" s="61" t="s">
        <v>1160</v>
      </c>
      <c r="C289" s="61"/>
      <c r="D289" s="61"/>
      <c r="E289" s="61"/>
      <c r="F289" s="64">
        <f>+SUM(F286:F288)</f>
        <v>0</v>
      </c>
      <c r="G289" s="64">
        <f t="shared" ref="G289:Z289" si="625">+SUM(G286:G288)</f>
        <v>0</v>
      </c>
      <c r="H289" s="64">
        <f t="shared" si="625"/>
        <v>0</v>
      </c>
      <c r="I289" s="64">
        <f t="shared" si="625"/>
        <v>0</v>
      </c>
      <c r="J289" s="64">
        <f t="shared" si="625"/>
        <v>47556679.59687449</v>
      </c>
      <c r="K289" s="64">
        <f t="shared" si="625"/>
        <v>0</v>
      </c>
      <c r="L289" s="64">
        <f t="shared" si="625"/>
        <v>0</v>
      </c>
      <c r="M289" s="64">
        <f t="shared" si="625"/>
        <v>0</v>
      </c>
      <c r="N289" s="64">
        <f t="shared" si="625"/>
        <v>0</v>
      </c>
      <c r="O289" s="64">
        <f t="shared" si="625"/>
        <v>0</v>
      </c>
      <c r="P289" s="64">
        <f t="shared" si="625"/>
        <v>0</v>
      </c>
      <c r="Q289" s="64">
        <f t="shared" si="625"/>
        <v>0</v>
      </c>
      <c r="R289" s="64">
        <f t="shared" si="625"/>
        <v>0</v>
      </c>
      <c r="S289" s="64">
        <f t="shared" si="625"/>
        <v>0</v>
      </c>
      <c r="T289" s="64">
        <f t="shared" si="625"/>
        <v>0</v>
      </c>
      <c r="U289" s="64">
        <f t="shared" si="625"/>
        <v>0</v>
      </c>
      <c r="V289" s="64">
        <f t="shared" si="625"/>
        <v>0</v>
      </c>
      <c r="W289" s="64">
        <f t="shared" si="625"/>
        <v>0</v>
      </c>
      <c r="X289" s="64">
        <f t="shared" si="625"/>
        <v>0</v>
      </c>
      <c r="Y289" s="64">
        <f t="shared" si="625"/>
        <v>0</v>
      </c>
      <c r="Z289" s="64">
        <f t="shared" si="625"/>
        <v>0</v>
      </c>
      <c r="AA289" s="699"/>
      <c r="AB289" s="699"/>
      <c r="AC289" s="699"/>
      <c r="AD289" s="69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BA289" s="49"/>
      <c r="BB289" s="49"/>
      <c r="BC289" s="49"/>
      <c r="BD289" s="49"/>
      <c r="BE289" s="49"/>
      <c r="BF289" s="49"/>
      <c r="BG289" s="49"/>
      <c r="BH289" s="49"/>
      <c r="BI289" s="49"/>
      <c r="BJ289" s="49"/>
      <c r="BK289" s="49"/>
      <c r="BL289" s="49"/>
      <c r="BM289" s="49"/>
      <c r="BN289" s="49"/>
    </row>
    <row r="290" spans="2:66">
      <c r="B290" s="49"/>
      <c r="C290" s="49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699"/>
      <c r="AB290" s="699"/>
      <c r="AC290" s="699"/>
      <c r="AD290" s="69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BA290" s="49"/>
      <c r="BB290" s="49"/>
      <c r="BC290" s="49"/>
      <c r="BD290" s="49"/>
      <c r="BE290" s="49"/>
      <c r="BF290" s="49"/>
      <c r="BG290" s="49"/>
      <c r="BH290" s="49"/>
      <c r="BI290" s="49"/>
      <c r="BJ290" s="49"/>
      <c r="BK290" s="49"/>
      <c r="BL290" s="49"/>
      <c r="BM290" s="49"/>
      <c r="BN290" s="49"/>
    </row>
    <row r="291" spans="2:66" ht="15.75">
      <c r="B291" s="50" t="s">
        <v>1179</v>
      </c>
      <c r="C291" s="50"/>
      <c r="D291" s="50"/>
      <c r="E291" s="50"/>
      <c r="F291" s="55">
        <f>+IF(YEAR(F$129)&lt;=YEAR(Assumptions!$F$35),'Phase 1 Pro Forma'!F289+'Phase 1 Pro Forma'!F283,0)</f>
        <v>0</v>
      </c>
      <c r="G291" s="55">
        <f>+IF(YEAR(G$129)&lt;=YEAR(Assumptions!$F$35),'Phase 1 Pro Forma'!G289+'Phase 1 Pro Forma'!G283,0)</f>
        <v>0</v>
      </c>
      <c r="H291" s="55">
        <f>+IF(YEAR(H$129)&lt;=YEAR(Assumptions!$F$35),'Phase 1 Pro Forma'!H289+'Phase 1 Pro Forma'!H283,0)</f>
        <v>0</v>
      </c>
      <c r="I291" s="55">
        <f>+IF(YEAR(I$129)&lt;=YEAR(Assumptions!$F$35),'Phase 1 Pro Forma'!I289+'Phase 1 Pro Forma'!I283,0)</f>
        <v>0</v>
      </c>
      <c r="J291" s="55">
        <f>+IF(YEAR(J$129)&lt;=YEAR(Assumptions!$F$35),'Phase 1 Pro Forma'!J289+'Phase 1 Pro Forma'!J283,0)</f>
        <v>47556679.59687449</v>
      </c>
      <c r="K291" s="55">
        <f>+IF(YEAR(K$129)&lt;=YEAR(Assumptions!$F$35),'Phase 1 Pro Forma'!K289+'Phase 1 Pro Forma'!K283,0)</f>
        <v>0</v>
      </c>
      <c r="L291" s="55">
        <f>+IF(YEAR(L$129)&lt;=YEAR(Assumptions!$F$35),'Phase 1 Pro Forma'!L289+'Phase 1 Pro Forma'!L283,0)</f>
        <v>0</v>
      </c>
      <c r="M291" s="55">
        <f>+IF(YEAR(M$129)&lt;=YEAR(Assumptions!$F$35),'Phase 1 Pro Forma'!M289+'Phase 1 Pro Forma'!M283,0)</f>
        <v>0</v>
      </c>
      <c r="N291" s="55">
        <f>+IF(YEAR(N$129)&lt;=YEAR(Assumptions!$F$35),'Phase 1 Pro Forma'!N289+'Phase 1 Pro Forma'!N283,0)</f>
        <v>0</v>
      </c>
      <c r="O291" s="55">
        <f>+IF(YEAR(O$129)&lt;=YEAR(Assumptions!$F$35),'Phase 1 Pro Forma'!O289+'Phase 1 Pro Forma'!O283,0)</f>
        <v>0</v>
      </c>
      <c r="P291" s="55">
        <f>+IF(YEAR(P$129)&lt;=YEAR(Assumptions!$F$35),'Phase 1 Pro Forma'!P289+'Phase 1 Pro Forma'!P283,0)</f>
        <v>0</v>
      </c>
      <c r="Q291" s="55">
        <f>+IF(YEAR(Q$129)&lt;=YEAR(Assumptions!$F$35),'Phase 1 Pro Forma'!Q289+'Phase 1 Pro Forma'!Q283,0)</f>
        <v>0</v>
      </c>
      <c r="R291" s="55">
        <f>+IF(YEAR(R$129)&lt;=YEAR(Assumptions!$F$35),'Phase 1 Pro Forma'!R289+'Phase 1 Pro Forma'!R283,0)</f>
        <v>0</v>
      </c>
      <c r="S291" s="55">
        <f>+IF(YEAR(S$129)&lt;=YEAR(Assumptions!$F$35),'Phase 1 Pro Forma'!S289+'Phase 1 Pro Forma'!S283,0)</f>
        <v>0</v>
      </c>
      <c r="T291" s="55">
        <f>+IF(YEAR(T$129)&lt;=YEAR(Assumptions!$F$35),'Phase 1 Pro Forma'!T289+'Phase 1 Pro Forma'!T283,0)</f>
        <v>0</v>
      </c>
      <c r="U291" s="55">
        <f>+IF(YEAR(U$129)&lt;=YEAR(Assumptions!$F$35),'Phase 1 Pro Forma'!U289+'Phase 1 Pro Forma'!U283,0)</f>
        <v>0</v>
      </c>
      <c r="V291" s="55">
        <f>+IF(YEAR(V$129)&lt;=YEAR(Assumptions!$F$35),'Phase 1 Pro Forma'!V289+'Phase 1 Pro Forma'!V283,0)</f>
        <v>0</v>
      </c>
      <c r="W291" s="55">
        <f>+IF(YEAR(W$129)&lt;=YEAR(Assumptions!$F$35),'Phase 1 Pro Forma'!W289+'Phase 1 Pro Forma'!W283,0)</f>
        <v>0</v>
      </c>
      <c r="X291" s="55">
        <f>+IF(YEAR(X$129)&lt;=YEAR(Assumptions!$F$35),'Phase 1 Pro Forma'!X289+'Phase 1 Pro Forma'!X283,0)</f>
        <v>0</v>
      </c>
      <c r="Y291" s="55">
        <f>+IF(YEAR(Y$129)&lt;=YEAR(Assumptions!$F$35),'Phase 1 Pro Forma'!Y289+'Phase 1 Pro Forma'!Y283,0)</f>
        <v>0</v>
      </c>
      <c r="Z291" s="55">
        <f>+IF(YEAR(Z$129)&lt;=YEAR(Assumptions!$F$35),'Phase 1 Pro Forma'!Z289+'Phase 1 Pro Forma'!Z283,0)</f>
        <v>0</v>
      </c>
      <c r="AA291" s="699"/>
      <c r="AB291" s="699"/>
      <c r="AC291" s="699"/>
      <c r="AD291" s="69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BA291" s="49"/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</row>
    <row r="292" spans="2:66">
      <c r="B292" s="49"/>
      <c r="C292" s="49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699"/>
      <c r="AB292" s="699"/>
      <c r="AC292" s="699"/>
      <c r="AD292" s="69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BA292" s="49"/>
      <c r="BB292" s="49"/>
      <c r="BC292" s="49"/>
      <c r="BD292" s="49"/>
      <c r="BE292" s="49"/>
      <c r="BF292" s="49"/>
      <c r="BG292" s="49"/>
      <c r="BH292" s="49"/>
      <c r="BI292" s="49"/>
      <c r="BJ292" s="49"/>
      <c r="BK292" s="49"/>
      <c r="BL292" s="49"/>
      <c r="BM292" s="49"/>
      <c r="BN292" s="49"/>
    </row>
    <row r="293" spans="2:66" ht="15.75">
      <c r="B293" s="50" t="s">
        <v>1187</v>
      </c>
      <c r="C293" s="50"/>
      <c r="D293" s="171"/>
      <c r="E293" s="50"/>
      <c r="F293" s="55">
        <f t="shared" ref="F293:Z293" ca="1" si="626">+AQ184+F219+F150+F291</f>
        <v>0</v>
      </c>
      <c r="G293" s="55">
        <f t="shared" ca="1" si="626"/>
        <v>0</v>
      </c>
      <c r="H293" s="55">
        <f t="shared" ca="1" si="626"/>
        <v>0</v>
      </c>
      <c r="I293" s="55">
        <f t="shared" ca="1" si="626"/>
        <v>0</v>
      </c>
      <c r="J293" s="55">
        <f t="shared" ca="1" si="626"/>
        <v>30895361.550549112</v>
      </c>
      <c r="K293" s="55">
        <f t="shared" ca="1" si="626"/>
        <v>-3994093.2095648702</v>
      </c>
      <c r="L293" s="55">
        <f t="shared" ca="1" si="626"/>
        <v>4224030.0426707231</v>
      </c>
      <c r="M293" s="55">
        <f t="shared" ca="1" si="626"/>
        <v>5756580.6697915234</v>
      </c>
      <c r="N293" s="55">
        <f t="shared" ca="1" si="626"/>
        <v>6274115.0239319913</v>
      </c>
      <c r="O293" s="55">
        <f t="shared" ca="1" si="626"/>
        <v>6807175.4086966775</v>
      </c>
      <c r="P293" s="55">
        <f t="shared" ca="1" si="626"/>
        <v>288952548.95542586</v>
      </c>
      <c r="Q293" s="55">
        <f t="shared" si="626"/>
        <v>0</v>
      </c>
      <c r="R293" s="55">
        <f t="shared" si="626"/>
        <v>0</v>
      </c>
      <c r="S293" s="55">
        <f t="shared" si="626"/>
        <v>0</v>
      </c>
      <c r="T293" s="55">
        <f t="shared" si="626"/>
        <v>0</v>
      </c>
      <c r="U293" s="55">
        <f t="shared" si="626"/>
        <v>0</v>
      </c>
      <c r="V293" s="55">
        <f t="shared" si="626"/>
        <v>0</v>
      </c>
      <c r="W293" s="55">
        <f t="shared" si="626"/>
        <v>0</v>
      </c>
      <c r="X293" s="55">
        <f t="shared" si="626"/>
        <v>0</v>
      </c>
      <c r="Y293" s="55">
        <f t="shared" si="626"/>
        <v>0</v>
      </c>
      <c r="Z293" s="55">
        <f t="shared" si="626"/>
        <v>0</v>
      </c>
      <c r="AA293" s="699"/>
      <c r="AB293" s="699"/>
      <c r="AC293" s="699"/>
      <c r="AD293" s="69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BA293" s="49"/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</row>
    <row r="294" spans="2:66">
      <c r="B294" s="49"/>
      <c r="C294" s="49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699"/>
      <c r="AB294" s="699"/>
      <c r="AC294" s="699"/>
      <c r="AD294" s="69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BA294" s="49"/>
      <c r="BB294" s="49"/>
      <c r="BC294" s="49"/>
      <c r="BD294" s="49"/>
      <c r="BE294" s="49"/>
      <c r="BF294" s="49"/>
      <c r="BG294" s="49"/>
      <c r="BH294" s="49"/>
      <c r="BI294" s="49"/>
      <c r="BJ294" s="49"/>
      <c r="BK294" s="49"/>
      <c r="BL294" s="49"/>
      <c r="BM294" s="49"/>
      <c r="BN294" s="49"/>
    </row>
    <row r="295" spans="2:66">
      <c r="B295" s="49" t="s">
        <v>1188</v>
      </c>
      <c r="C295" s="49"/>
      <c r="D295" s="49"/>
      <c r="E295" s="49"/>
      <c r="F295" s="83">
        <f t="shared" ref="F295:Z295" ca="1" si="627">+F316+F145</f>
        <v>0</v>
      </c>
      <c r="G295" s="83">
        <f t="shared" ca="1" si="627"/>
        <v>87767163.402247146</v>
      </c>
      <c r="H295" s="83">
        <f t="shared" ca="1" si="627"/>
        <v>117670951.27245837</v>
      </c>
      <c r="I295" s="83">
        <f t="shared" ca="1" si="627"/>
        <v>69780903.616457283</v>
      </c>
      <c r="J295" s="83">
        <f t="shared" ca="1" si="627"/>
        <v>0</v>
      </c>
      <c r="K295" s="83">
        <f t="shared" ca="1" si="627"/>
        <v>0</v>
      </c>
      <c r="L295" s="83">
        <f t="shared" ca="1" si="627"/>
        <v>0</v>
      </c>
      <c r="M295" s="83">
        <f t="shared" ca="1" si="627"/>
        <v>0</v>
      </c>
      <c r="N295" s="83">
        <f t="shared" ca="1" si="627"/>
        <v>0</v>
      </c>
      <c r="O295" s="83">
        <f t="shared" ca="1" si="627"/>
        <v>0</v>
      </c>
      <c r="P295" s="83">
        <f t="shared" ca="1" si="627"/>
        <v>0</v>
      </c>
      <c r="Q295" s="83">
        <f t="shared" ca="1" si="627"/>
        <v>0</v>
      </c>
      <c r="R295" s="83">
        <f t="shared" ca="1" si="627"/>
        <v>0</v>
      </c>
      <c r="S295" s="83">
        <f t="shared" ca="1" si="627"/>
        <v>0</v>
      </c>
      <c r="T295" s="83">
        <f t="shared" ca="1" si="627"/>
        <v>0</v>
      </c>
      <c r="U295" s="83">
        <f t="shared" ca="1" si="627"/>
        <v>0</v>
      </c>
      <c r="V295" s="83">
        <f t="shared" ca="1" si="627"/>
        <v>0</v>
      </c>
      <c r="W295" s="83">
        <f t="shared" ca="1" si="627"/>
        <v>0</v>
      </c>
      <c r="X295" s="83">
        <f t="shared" ca="1" si="627"/>
        <v>0</v>
      </c>
      <c r="Y295" s="83">
        <f t="shared" ca="1" si="627"/>
        <v>0</v>
      </c>
      <c r="Z295" s="83">
        <f t="shared" ca="1" si="627"/>
        <v>0</v>
      </c>
      <c r="AA295" s="699"/>
      <c r="AB295" s="699"/>
      <c r="AC295" s="699"/>
      <c r="AD295" s="69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BA295" s="49"/>
      <c r="BB295" s="49"/>
      <c r="BC295" s="49"/>
      <c r="BD295" s="49"/>
      <c r="BE295" s="49"/>
      <c r="BF295" s="49"/>
      <c r="BG295" s="49"/>
      <c r="BH295" s="49"/>
      <c r="BI295" s="49"/>
      <c r="BJ295" s="49"/>
      <c r="BK295" s="49"/>
      <c r="BL295" s="49"/>
      <c r="BM295" s="49"/>
      <c r="BN295" s="49"/>
    </row>
    <row r="296" spans="2:66">
      <c r="B296" s="49" t="s">
        <v>1189</v>
      </c>
      <c r="C296" s="49"/>
      <c r="D296" s="49"/>
      <c r="E296" s="49"/>
      <c r="F296" s="83">
        <f t="shared" ref="F296:Z296" ca="1" si="628">-AQ181+AQ171-F215+F205-F147+F136+AQ174+F208+F139</f>
        <v>0</v>
      </c>
      <c r="G296" s="83">
        <f t="shared" ca="1" si="628"/>
        <v>0</v>
      </c>
      <c r="H296" s="83">
        <f t="shared" ca="1" si="628"/>
        <v>0</v>
      </c>
      <c r="I296" s="83">
        <f t="shared" ca="1" si="628"/>
        <v>0</v>
      </c>
      <c r="J296" s="83">
        <f t="shared" ca="1" si="628"/>
        <v>19648310.353594441</v>
      </c>
      <c r="K296" s="83">
        <f t="shared" ca="1" si="628"/>
        <v>16896120.170682814</v>
      </c>
      <c r="L296" s="83">
        <f t="shared" ca="1" si="628"/>
        <v>16896120.17068281</v>
      </c>
      <c r="M296" s="83">
        <f t="shared" ca="1" si="628"/>
        <v>16896120.17068281</v>
      </c>
      <c r="N296" s="83">
        <f t="shared" ca="1" si="628"/>
        <v>16896120.17068281</v>
      </c>
      <c r="O296" s="83">
        <f t="shared" ca="1" si="628"/>
        <v>16896120.17068281</v>
      </c>
      <c r="P296" s="83">
        <f t="shared" ca="1" si="628"/>
        <v>255938624.90223825</v>
      </c>
      <c r="Q296" s="83">
        <f t="shared" ca="1" si="628"/>
        <v>16896120.17068281</v>
      </c>
      <c r="R296" s="83">
        <f t="shared" ca="1" si="628"/>
        <v>16896120.17068281</v>
      </c>
      <c r="S296" s="83">
        <f t="shared" ca="1" si="628"/>
        <v>16896120.17068281</v>
      </c>
      <c r="T296" s="83">
        <f t="shared" ca="1" si="628"/>
        <v>16896120.17068281</v>
      </c>
      <c r="U296" s="83">
        <f t="shared" ca="1" si="628"/>
        <v>16896120.17068281</v>
      </c>
      <c r="V296" s="83">
        <f t="shared" ca="1" si="628"/>
        <v>16896120.17068281</v>
      </c>
      <c r="W296" s="83">
        <f t="shared" ca="1" si="628"/>
        <v>16896120.17068281</v>
      </c>
      <c r="X296" s="83">
        <f t="shared" ca="1" si="628"/>
        <v>16896120.17068281</v>
      </c>
      <c r="Y296" s="83">
        <f t="shared" ca="1" si="628"/>
        <v>16896120.17068281</v>
      </c>
      <c r="Z296" s="83">
        <f t="shared" ca="1" si="628"/>
        <v>16896120.17068281</v>
      </c>
      <c r="AA296" s="699"/>
      <c r="AB296" s="699"/>
      <c r="AC296" s="699"/>
      <c r="AD296" s="69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BA296" s="49"/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</row>
    <row r="297" spans="2:66" ht="5.25" customHeight="1">
      <c r="B297" s="970"/>
      <c r="C297" s="970"/>
      <c r="D297" s="970"/>
      <c r="E297" s="970"/>
      <c r="F297" s="970"/>
      <c r="G297" s="970"/>
      <c r="H297" s="970"/>
      <c r="I297" s="970"/>
      <c r="J297" s="970"/>
      <c r="K297" s="970"/>
      <c r="L297" s="970"/>
      <c r="M297" s="970"/>
      <c r="N297" s="970"/>
      <c r="O297" s="970"/>
      <c r="P297" s="970"/>
      <c r="Q297" s="970"/>
      <c r="R297" s="970"/>
      <c r="S297" s="970"/>
      <c r="T297" s="970"/>
      <c r="U297" s="970"/>
      <c r="V297" s="970"/>
      <c r="W297" s="970"/>
      <c r="X297" s="970"/>
      <c r="Y297" s="970"/>
      <c r="Z297" s="970"/>
      <c r="AA297" s="699"/>
      <c r="AB297" s="699"/>
      <c r="AC297" s="699"/>
      <c r="AD297" s="69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BA297" s="49"/>
      <c r="BB297" s="49"/>
      <c r="BC297" s="49"/>
      <c r="BD297" s="49"/>
      <c r="BE297" s="49"/>
      <c r="BF297" s="49"/>
      <c r="BG297" s="49"/>
      <c r="BH297" s="49"/>
      <c r="BI297" s="49"/>
      <c r="BJ297" s="49"/>
      <c r="BK297" s="49"/>
      <c r="BL297" s="49"/>
      <c r="BM297" s="49"/>
      <c r="BN297" s="49"/>
    </row>
    <row r="298" spans="2:66" ht="15.75">
      <c r="B298" s="468" t="s">
        <v>1190</v>
      </c>
      <c r="C298" s="540"/>
      <c r="D298" s="540"/>
      <c r="E298" s="540"/>
      <c r="F298" s="759"/>
      <c r="G298" s="759"/>
      <c r="H298" s="759"/>
      <c r="I298" s="759"/>
      <c r="J298" s="759"/>
      <c r="K298" s="759"/>
      <c r="L298" s="759"/>
      <c r="M298" s="759"/>
      <c r="N298" s="759"/>
      <c r="O298" s="759"/>
      <c r="P298" s="759"/>
      <c r="Q298" s="759"/>
      <c r="R298" s="759"/>
      <c r="S298" s="759"/>
      <c r="T298" s="759"/>
      <c r="U298" s="759"/>
      <c r="V298" s="759"/>
      <c r="W298" s="759"/>
      <c r="X298" s="759"/>
      <c r="Y298" s="759"/>
      <c r="Z298" s="759"/>
      <c r="AA298" s="699"/>
      <c r="AB298" s="699"/>
      <c r="AC298" s="699"/>
      <c r="AD298" s="69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BA298" s="49"/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</row>
    <row r="299" spans="2:66">
      <c r="B299" s="49"/>
      <c r="C299" s="49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699"/>
      <c r="AB299" s="699"/>
      <c r="AC299" s="699"/>
      <c r="AD299" s="69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BA299" s="49"/>
      <c r="BB299" s="49"/>
      <c r="BC299" s="49"/>
      <c r="BD299" s="49"/>
      <c r="BE299" s="49"/>
      <c r="BF299" s="49"/>
      <c r="BG299" s="49"/>
      <c r="BH299" s="49"/>
      <c r="BI299" s="49"/>
      <c r="BJ299" s="49"/>
      <c r="BK299" s="49"/>
      <c r="BL299" s="49"/>
      <c r="BM299" s="49"/>
      <c r="BN299" s="49"/>
    </row>
    <row r="300" spans="2:66" ht="15.75">
      <c r="B300" s="112" t="s">
        <v>1191</v>
      </c>
      <c r="C300" s="49"/>
      <c r="D300" s="49"/>
      <c r="E300" s="49"/>
      <c r="F300" s="148">
        <f>+Assumptions!$F$27</f>
        <v>45291</v>
      </c>
      <c r="G300" s="148">
        <f>+EOMONTH(F300,12)</f>
        <v>45657</v>
      </c>
      <c r="H300" s="148">
        <f t="shared" ref="H300" si="629">+EOMONTH(G300,12)</f>
        <v>46022</v>
      </c>
      <c r="I300" s="148">
        <f t="shared" ref="I300" si="630">+EOMONTH(H300,12)</f>
        <v>46387</v>
      </c>
      <c r="J300" s="148">
        <f t="shared" ref="J300" si="631">+EOMONTH(I300,12)</f>
        <v>46752</v>
      </c>
      <c r="K300" s="148">
        <f t="shared" ref="K300" si="632">+EOMONTH(J300,12)</f>
        <v>47118</v>
      </c>
      <c r="L300" s="148">
        <f t="shared" ref="L300" si="633">+EOMONTH(K300,12)</f>
        <v>47483</v>
      </c>
      <c r="M300" s="148">
        <f t="shared" ref="M300" si="634">+EOMONTH(L300,12)</f>
        <v>47848</v>
      </c>
      <c r="N300" s="148">
        <f t="shared" ref="N300" si="635">+EOMONTH(M300,12)</f>
        <v>48213</v>
      </c>
      <c r="O300" s="148">
        <f t="shared" ref="O300" si="636">+EOMONTH(N300,12)</f>
        <v>48579</v>
      </c>
      <c r="P300" s="148">
        <f t="shared" ref="P300" si="637">+EOMONTH(O300,12)</f>
        <v>48944</v>
      </c>
      <c r="Q300" s="148">
        <f t="shared" ref="Q300" si="638">+EOMONTH(P300,12)</f>
        <v>49309</v>
      </c>
      <c r="R300" s="148">
        <f t="shared" ref="R300" si="639">+EOMONTH(Q300,12)</f>
        <v>49674</v>
      </c>
      <c r="S300" s="148">
        <f t="shared" ref="S300" si="640">+EOMONTH(R300,12)</f>
        <v>50040</v>
      </c>
      <c r="T300" s="148">
        <f t="shared" ref="T300" si="641">+EOMONTH(S300,12)</f>
        <v>50405</v>
      </c>
      <c r="U300" s="148">
        <f t="shared" ref="U300" si="642">+EOMONTH(T300,12)</f>
        <v>50770</v>
      </c>
      <c r="V300" s="148">
        <f t="shared" ref="V300" si="643">+EOMONTH(U300,12)</f>
        <v>51135</v>
      </c>
      <c r="W300" s="148">
        <f t="shared" ref="W300" si="644">+EOMONTH(V300,12)</f>
        <v>51501</v>
      </c>
      <c r="X300" s="148">
        <f t="shared" ref="X300" si="645">+EOMONTH(W300,12)</f>
        <v>51866</v>
      </c>
      <c r="Y300" s="148">
        <f t="shared" ref="Y300" si="646">+EOMONTH(X300,12)</f>
        <v>52231</v>
      </c>
      <c r="Z300" s="148">
        <f t="shared" ref="Z300" si="647">+EOMONTH(Y300,12)</f>
        <v>52596</v>
      </c>
      <c r="AA300" s="699"/>
      <c r="AB300" s="699"/>
      <c r="AC300" s="699"/>
      <c r="AD300" s="69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BA300" s="49"/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</row>
    <row r="301" spans="2:66" ht="15.75">
      <c r="B301" s="699" t="s">
        <v>341</v>
      </c>
      <c r="C301" s="49"/>
      <c r="D301" s="94">
        <f>+SUM(F301:Z301)</f>
        <v>57533874.841383234</v>
      </c>
      <c r="E301" s="94"/>
      <c r="F301" s="83">
        <f>+IF(AND(F$300&gt;=Assumptions!$F$27,F$300&lt;Assumptions!$F$29),'S&amp;U'!$H7/ROUNDUP(Assumptions!$F$28/12,0),IF(AND(F$300&gt;=Assumptions!$F$29,F$300&lt;Assumptions!$F$31),'S&amp;U'!$H39/ROUNDUP(Assumptions!$F$30/12,0),0))</f>
        <v>57533874.841383234</v>
      </c>
      <c r="G301" s="83">
        <f>+IF(AND(G$300&gt;=Assumptions!$F$27,G$300&lt;Assumptions!$F$29),'S&amp;U'!$H7/ROUNDUP(Assumptions!$F$28/12,0),IF(AND(G$300&gt;=Assumptions!$F$29,G$300&lt;Assumptions!$F$31),'S&amp;U'!$H39/ROUNDUP(Assumptions!$F$30/12,0),0))</f>
        <v>0</v>
      </c>
      <c r="H301" s="83">
        <f>+IF(AND(H$300&gt;=Assumptions!$F$27,H$300&lt;Assumptions!$F$29),'S&amp;U'!$H7/ROUNDUP(Assumptions!$F$28/12,0),IF(AND(H$300&gt;=Assumptions!$F$29,H$300&lt;Assumptions!$F$31),'S&amp;U'!$H39/ROUNDUP(Assumptions!$F$30/12,0),0))</f>
        <v>0</v>
      </c>
      <c r="I301" s="83">
        <f>+IF(AND(I$300&gt;=Assumptions!$F$27,I$300&lt;Assumptions!$F$29),'S&amp;U'!$H7/ROUNDUP(Assumptions!$F$28/12,0),IF(AND(I$300&gt;=Assumptions!$F$29,I$300&lt;Assumptions!$F$31),'S&amp;U'!$H39/ROUNDUP(Assumptions!$F$30/12,0),0))</f>
        <v>0</v>
      </c>
      <c r="J301" s="83">
        <f>+IF(AND(J$300&gt;=Assumptions!$F$27,J$300&lt;Assumptions!$F$29),'S&amp;U'!$H7/ROUNDUP(Assumptions!$F$28/12,0),IF(AND(J$300&gt;=Assumptions!$F$29,J$300&lt;Assumptions!$F$31),'S&amp;U'!$H39/ROUNDUP(Assumptions!$F$30/12,0),0))</f>
        <v>0</v>
      </c>
      <c r="K301" s="83">
        <f>+IF(AND(K$300&gt;=Assumptions!$F$27,K$300&lt;Assumptions!$F$29),'S&amp;U'!$H7/ROUNDUP(Assumptions!$F$28/12,0),IF(AND(K$300&gt;=Assumptions!$F$29,K$300&lt;Assumptions!$F$31),'S&amp;U'!$H39/ROUNDUP(Assumptions!$F$30/12,0),0))</f>
        <v>0</v>
      </c>
      <c r="L301" s="83">
        <f>+IF(AND(L$300&gt;=Assumptions!$F$27,L$300&lt;Assumptions!$F$29),'S&amp;U'!$H7/ROUNDUP(Assumptions!$F$28/12,0),IF(AND(L$300&gt;=Assumptions!$F$29,L$300&lt;Assumptions!$F$31),'S&amp;U'!$H39/ROUNDUP(Assumptions!$F$30/12,0),0))</f>
        <v>0</v>
      </c>
      <c r="M301" s="83">
        <f>+IF(AND(M$300&gt;=Assumptions!$F$27,M$300&lt;Assumptions!$F$29),'S&amp;U'!$H7/ROUNDUP(Assumptions!$F$28/12,0),IF(AND(M$300&gt;=Assumptions!$F$29,M$300&lt;Assumptions!$F$31),'S&amp;U'!$H39/ROUNDUP(Assumptions!$F$30/12,0),0))</f>
        <v>0</v>
      </c>
      <c r="N301" s="83">
        <f>+IF(AND(N$300&gt;=Assumptions!$F$27,N$300&lt;Assumptions!$F$29),'S&amp;U'!$H7/ROUNDUP(Assumptions!$F$28/12,0),IF(AND(N$300&gt;=Assumptions!$F$29,N$300&lt;Assumptions!$F$31),'S&amp;U'!$H39/ROUNDUP(Assumptions!$F$30/12,0),0))</f>
        <v>0</v>
      </c>
      <c r="O301" s="83">
        <f>+IF(AND(O$300&gt;=Assumptions!$F$27,O$300&lt;Assumptions!$F$29),'S&amp;U'!$H7/ROUNDUP(Assumptions!$F$28/12,0),IF(AND(O$300&gt;=Assumptions!$F$29,O$300&lt;Assumptions!$F$31),'S&amp;U'!$H39/ROUNDUP(Assumptions!$F$30/12,0),0))</f>
        <v>0</v>
      </c>
      <c r="P301" s="83">
        <f>+IF(AND(P$300&gt;=Assumptions!$F$27,P$300&lt;Assumptions!$F$29),'S&amp;U'!$H7/ROUNDUP(Assumptions!$F$28/12,0),IF(AND(P$300&gt;=Assumptions!$F$29,P$300&lt;Assumptions!$F$31),'S&amp;U'!$H39/ROUNDUP(Assumptions!$F$30/12,0),0))</f>
        <v>0</v>
      </c>
      <c r="Q301" s="83">
        <f>+IF(AND(Q$300&gt;=Assumptions!$F$27,Q$300&lt;Assumptions!$F$29),'S&amp;U'!$H7/ROUNDUP(Assumptions!$F$28/12,0),IF(AND(Q$300&gt;=Assumptions!$F$29,Q$300&lt;Assumptions!$F$31),'S&amp;U'!$H39/ROUNDUP(Assumptions!$F$30/12,0),0))</f>
        <v>0</v>
      </c>
      <c r="R301" s="83">
        <f>+IF(AND(R$300&gt;=Assumptions!$F$27,R$300&lt;Assumptions!$F$29),'S&amp;U'!$H7/ROUNDUP(Assumptions!$F$28/12,0),IF(AND(R$300&gt;=Assumptions!$F$29,R$300&lt;Assumptions!$F$31),'S&amp;U'!$H39/ROUNDUP(Assumptions!$F$30/12,0),0))</f>
        <v>0</v>
      </c>
      <c r="S301" s="83">
        <f>+IF(AND(S$300&gt;=Assumptions!$F$27,S$300&lt;Assumptions!$F$29),'S&amp;U'!$H7/ROUNDUP(Assumptions!$F$28/12,0),IF(AND(S$300&gt;=Assumptions!$F$29,S$300&lt;Assumptions!$F$31),'S&amp;U'!$H39/ROUNDUP(Assumptions!$F$30/12,0),0))</f>
        <v>0</v>
      </c>
      <c r="T301" s="83">
        <f>+IF(AND(T$300&gt;=Assumptions!$F$27,T$300&lt;Assumptions!$F$29),'S&amp;U'!$H7/ROUNDUP(Assumptions!$F$28/12,0),IF(AND(T$300&gt;=Assumptions!$F$29,T$300&lt;Assumptions!$F$31),'S&amp;U'!$H39/ROUNDUP(Assumptions!$F$30/12,0),0))</f>
        <v>0</v>
      </c>
      <c r="U301" s="83">
        <f>+IF(AND(U$300&gt;=Assumptions!$F$27,U$300&lt;Assumptions!$F$29),'S&amp;U'!$H7/ROUNDUP(Assumptions!$F$28/12,0),IF(AND(U$300&gt;=Assumptions!$F$29,U$300&lt;Assumptions!$F$31),'S&amp;U'!$H39/ROUNDUP(Assumptions!$F$30/12,0),0))</f>
        <v>0</v>
      </c>
      <c r="V301" s="83">
        <f>+IF(AND(V$300&gt;=Assumptions!$F$27,V$300&lt;Assumptions!$F$29),'S&amp;U'!$H7/ROUNDUP(Assumptions!$F$28/12,0),IF(AND(V$300&gt;=Assumptions!$F$29,V$300&lt;Assumptions!$F$31),'S&amp;U'!$H39/ROUNDUP(Assumptions!$F$30/12,0),0))</f>
        <v>0</v>
      </c>
      <c r="W301" s="83">
        <f>+IF(AND(W$300&gt;=Assumptions!$F$27,W$300&lt;Assumptions!$F$29),'S&amp;U'!$H7/ROUNDUP(Assumptions!$F$28/12,0),IF(AND(W$300&gt;=Assumptions!$F$29,W$300&lt;Assumptions!$F$31),'S&amp;U'!$H39/ROUNDUP(Assumptions!$F$30/12,0),0))</f>
        <v>0</v>
      </c>
      <c r="X301" s="83">
        <f>+IF(AND(X$300&gt;=Assumptions!$F$27,X$300&lt;Assumptions!$F$29),'S&amp;U'!$H7/ROUNDUP(Assumptions!$F$28/12,0),IF(AND(X$300&gt;=Assumptions!$F$29,X$300&lt;Assumptions!$F$31),'S&amp;U'!$H39/ROUNDUP(Assumptions!$F$30/12,0),0))</f>
        <v>0</v>
      </c>
      <c r="Y301" s="83">
        <f>+IF(AND(Y$300&gt;=Assumptions!$F$27,Y$300&lt;Assumptions!$F$29),'S&amp;U'!$H7/ROUNDUP(Assumptions!$F$28/12,0),IF(AND(Y$300&gt;=Assumptions!$F$29,Y$300&lt;Assumptions!$F$31),'S&amp;U'!$H39/ROUNDUP(Assumptions!$F$30/12,0),0))</f>
        <v>0</v>
      </c>
      <c r="Z301" s="83">
        <f>+IF(AND(Z$300&gt;=Assumptions!$F$27,Z$300&lt;Assumptions!$F$29),'S&amp;U'!$H7/ROUNDUP(Assumptions!$F$28/12,0),IF(AND(Z$300&gt;=Assumptions!$F$29,Z$300&lt;Assumptions!$F$31),'S&amp;U'!$H39/ROUNDUP(Assumptions!$F$30/12,0),0))</f>
        <v>0</v>
      </c>
      <c r="AA301" s="699"/>
      <c r="AB301" s="699"/>
      <c r="AC301" s="699"/>
      <c r="AD301" s="69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BA301" s="49"/>
      <c r="BB301" s="49"/>
      <c r="BC301" s="49"/>
      <c r="BD301" s="49"/>
      <c r="BE301" s="49"/>
      <c r="BF301" s="49"/>
      <c r="BG301" s="49"/>
      <c r="BH301" s="49"/>
      <c r="BI301" s="49"/>
      <c r="BJ301" s="49"/>
      <c r="BK301" s="49"/>
      <c r="BL301" s="49"/>
      <c r="BM301" s="49"/>
      <c r="BN301" s="49"/>
    </row>
    <row r="302" spans="2:66" ht="15.75">
      <c r="B302" s="699" t="s">
        <v>236</v>
      </c>
      <c r="C302" s="49"/>
      <c r="D302" s="94">
        <f t="shared" ref="D302:D308" si="648">+SUM(F302:Z302)</f>
        <v>20194435</v>
      </c>
      <c r="E302" s="94"/>
      <c r="F302" s="83">
        <f>+IF(AND(F$300&gt;=Assumptions!$F$27,F$300&lt;Assumptions!$F$29),'S&amp;U'!$H8/ROUNDUP(Assumptions!$F$28/12,0),IF(AND(F$300&gt;=Assumptions!$F$29,F$300&lt;Assumptions!$F$31),'S&amp;U'!$H40/ROUNDUP(Assumptions!$F$30/12,0),0))</f>
        <v>20194435</v>
      </c>
      <c r="G302" s="83">
        <f>+IF(AND(G$300&gt;=Assumptions!$F$27,G$300&lt;Assumptions!$F$29),'S&amp;U'!$H8/ROUNDUP(Assumptions!$F$28/12,0),IF(AND(G$300&gt;=Assumptions!$F$29,G$300&lt;Assumptions!$F$31),'S&amp;U'!$H40/ROUNDUP(Assumptions!$F$30/12,0),0))</f>
        <v>0</v>
      </c>
      <c r="H302" s="83">
        <f>+IF(AND(H$300&gt;=Assumptions!$F$27,H$300&lt;Assumptions!$F$29),'S&amp;U'!$H8/ROUNDUP(Assumptions!$F$28/12,0),IF(AND(H$300&gt;=Assumptions!$F$29,H$300&lt;Assumptions!$F$31),'S&amp;U'!$H40/ROUNDUP(Assumptions!$F$30/12,0),0))</f>
        <v>0</v>
      </c>
      <c r="I302" s="83">
        <f>+IF(AND(I$300&gt;=Assumptions!$F$27,I$300&lt;Assumptions!$F$29),'S&amp;U'!$H8/ROUNDUP(Assumptions!$F$28/12,0),IF(AND(I$300&gt;=Assumptions!$F$29,I$300&lt;Assumptions!$F$31),'S&amp;U'!$H40/ROUNDUP(Assumptions!$F$30/12,0),0))</f>
        <v>0</v>
      </c>
      <c r="J302" s="83">
        <f>+IF(AND(J$300&gt;=Assumptions!$F$27,J$300&lt;Assumptions!$F$29),'S&amp;U'!$H8/ROUNDUP(Assumptions!$F$28/12,0),IF(AND(J$300&gt;=Assumptions!$F$29,J$300&lt;Assumptions!$F$31),'S&amp;U'!$H40/ROUNDUP(Assumptions!$F$30/12,0),0))</f>
        <v>0</v>
      </c>
      <c r="K302" s="83">
        <f>+IF(AND(K$300&gt;=Assumptions!$F$27,K$300&lt;Assumptions!$F$29),'S&amp;U'!$H8/ROUNDUP(Assumptions!$F$28/12,0),IF(AND(K$300&gt;=Assumptions!$F$29,K$300&lt;Assumptions!$F$31),'S&amp;U'!$H40/ROUNDUP(Assumptions!$F$30/12,0),0))</f>
        <v>0</v>
      </c>
      <c r="L302" s="83">
        <f>+IF(AND(L$300&gt;=Assumptions!$F$27,L$300&lt;Assumptions!$F$29),'S&amp;U'!$H8/ROUNDUP(Assumptions!$F$28/12,0),IF(AND(L$300&gt;=Assumptions!$F$29,L$300&lt;Assumptions!$F$31),'S&amp;U'!$H40/ROUNDUP(Assumptions!$F$30/12,0),0))</f>
        <v>0</v>
      </c>
      <c r="M302" s="83">
        <f>+IF(AND(M$300&gt;=Assumptions!$F$27,M$300&lt;Assumptions!$F$29),'S&amp;U'!$H8/ROUNDUP(Assumptions!$F$28/12,0),IF(AND(M$300&gt;=Assumptions!$F$29,M$300&lt;Assumptions!$F$31),'S&amp;U'!$H40/ROUNDUP(Assumptions!$F$30/12,0),0))</f>
        <v>0</v>
      </c>
      <c r="N302" s="83">
        <f>+IF(AND(N$300&gt;=Assumptions!$F$27,N$300&lt;Assumptions!$F$29),'S&amp;U'!$H8/ROUNDUP(Assumptions!$F$28/12,0),IF(AND(N$300&gt;=Assumptions!$F$29,N$300&lt;Assumptions!$F$31),'S&amp;U'!$H40/ROUNDUP(Assumptions!$F$30/12,0),0))</f>
        <v>0</v>
      </c>
      <c r="O302" s="83">
        <f>+IF(AND(O$300&gt;=Assumptions!$F$27,O$300&lt;Assumptions!$F$29),'S&amp;U'!$H8/ROUNDUP(Assumptions!$F$28/12,0),IF(AND(O$300&gt;=Assumptions!$F$29,O$300&lt;Assumptions!$F$31),'S&amp;U'!$H40/ROUNDUP(Assumptions!$F$30/12,0),0))</f>
        <v>0</v>
      </c>
      <c r="P302" s="83">
        <f>+IF(AND(P$300&gt;=Assumptions!$F$27,P$300&lt;Assumptions!$F$29),'S&amp;U'!$H8/ROUNDUP(Assumptions!$F$28/12,0),IF(AND(P$300&gt;=Assumptions!$F$29,P$300&lt;Assumptions!$F$31),'S&amp;U'!$H40/ROUNDUP(Assumptions!$F$30/12,0),0))</f>
        <v>0</v>
      </c>
      <c r="Q302" s="83">
        <f>+IF(AND(Q$300&gt;=Assumptions!$F$27,Q$300&lt;Assumptions!$F$29),'S&amp;U'!$H8/ROUNDUP(Assumptions!$F$28/12,0),IF(AND(Q$300&gt;=Assumptions!$F$29,Q$300&lt;Assumptions!$F$31),'S&amp;U'!$H40/ROUNDUP(Assumptions!$F$30/12,0),0))</f>
        <v>0</v>
      </c>
      <c r="R302" s="83">
        <f>+IF(AND(R$300&gt;=Assumptions!$F$27,R$300&lt;Assumptions!$F$29),'S&amp;U'!$H8/ROUNDUP(Assumptions!$F$28/12,0),IF(AND(R$300&gt;=Assumptions!$F$29,R$300&lt;Assumptions!$F$31),'S&amp;U'!$H40/ROUNDUP(Assumptions!$F$30/12,0),0))</f>
        <v>0</v>
      </c>
      <c r="S302" s="83">
        <f>+IF(AND(S$300&gt;=Assumptions!$F$27,S$300&lt;Assumptions!$F$29),'S&amp;U'!$H8/ROUNDUP(Assumptions!$F$28/12,0),IF(AND(S$300&gt;=Assumptions!$F$29,S$300&lt;Assumptions!$F$31),'S&amp;U'!$H40/ROUNDUP(Assumptions!$F$30/12,0),0))</f>
        <v>0</v>
      </c>
      <c r="T302" s="83">
        <f>+IF(AND(T$300&gt;=Assumptions!$F$27,T$300&lt;Assumptions!$F$29),'S&amp;U'!$H8/ROUNDUP(Assumptions!$F$28/12,0),IF(AND(T$300&gt;=Assumptions!$F$29,T$300&lt;Assumptions!$F$31),'S&amp;U'!$H40/ROUNDUP(Assumptions!$F$30/12,0),0))</f>
        <v>0</v>
      </c>
      <c r="U302" s="83">
        <f>+IF(AND(U$300&gt;=Assumptions!$F$27,U$300&lt;Assumptions!$F$29),'S&amp;U'!$H8/ROUNDUP(Assumptions!$F$28/12,0),IF(AND(U$300&gt;=Assumptions!$F$29,U$300&lt;Assumptions!$F$31),'S&amp;U'!$H40/ROUNDUP(Assumptions!$F$30/12,0),0))</f>
        <v>0</v>
      </c>
      <c r="V302" s="83">
        <f>+IF(AND(V$300&gt;=Assumptions!$F$27,V$300&lt;Assumptions!$F$29),'S&amp;U'!$H8/ROUNDUP(Assumptions!$F$28/12,0),IF(AND(V$300&gt;=Assumptions!$F$29,V$300&lt;Assumptions!$F$31),'S&amp;U'!$H40/ROUNDUP(Assumptions!$F$30/12,0),0))</f>
        <v>0</v>
      </c>
      <c r="W302" s="83">
        <f>+IF(AND(W$300&gt;=Assumptions!$F$27,W$300&lt;Assumptions!$F$29),'S&amp;U'!$H8/ROUNDUP(Assumptions!$F$28/12,0),IF(AND(W$300&gt;=Assumptions!$F$29,W$300&lt;Assumptions!$F$31),'S&amp;U'!$H40/ROUNDUP(Assumptions!$F$30/12,0),0))</f>
        <v>0</v>
      </c>
      <c r="X302" s="83">
        <f>+IF(AND(X$300&gt;=Assumptions!$F$27,X$300&lt;Assumptions!$F$29),'S&amp;U'!$H8/ROUNDUP(Assumptions!$F$28/12,0),IF(AND(X$300&gt;=Assumptions!$F$29,X$300&lt;Assumptions!$F$31),'S&amp;U'!$H40/ROUNDUP(Assumptions!$F$30/12,0),0))</f>
        <v>0</v>
      </c>
      <c r="Y302" s="83">
        <f>+IF(AND(Y$300&gt;=Assumptions!$F$27,Y$300&lt;Assumptions!$F$29),'S&amp;U'!$H8/ROUNDUP(Assumptions!$F$28/12,0),IF(AND(Y$300&gt;=Assumptions!$F$29,Y$300&lt;Assumptions!$F$31),'S&amp;U'!$H40/ROUNDUP(Assumptions!$F$30/12,0),0))</f>
        <v>0</v>
      </c>
      <c r="Z302" s="83">
        <f>+IF(AND(Z$300&gt;=Assumptions!$F$27,Z$300&lt;Assumptions!$F$29),'S&amp;U'!$H8/ROUNDUP(Assumptions!$F$28/12,0),IF(AND(Z$300&gt;=Assumptions!$F$29,Z$300&lt;Assumptions!$F$31),'S&amp;U'!$H40/ROUNDUP(Assumptions!$F$30/12,0),0))</f>
        <v>0</v>
      </c>
      <c r="AA302" s="699"/>
      <c r="AB302" s="699"/>
      <c r="AC302" s="699"/>
      <c r="AD302" s="69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BA302" s="49"/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</row>
    <row r="303" spans="2:66" ht="15.75">
      <c r="B303" s="699" t="s">
        <v>344</v>
      </c>
      <c r="C303" s="49"/>
      <c r="D303" s="94">
        <f t="shared" ca="1" si="648"/>
        <v>302119898.65899998</v>
      </c>
      <c r="E303" s="94"/>
      <c r="F303" s="83">
        <f>+IF(AND(F$300&gt;=Assumptions!$F$27,F$300&lt;Assumptions!$F$29),'S&amp;U'!$H9/ROUNDUP(Assumptions!$F$28/12,0),IF(AND(F$300&gt;=Assumptions!$F$29,F$300&lt;Assumptions!$F$31),'S&amp;U'!$H41/ROUNDUP(Assumptions!$F$30/12,0),0))</f>
        <v>3970696</v>
      </c>
      <c r="G303" s="83">
        <f ca="1">+IF(AND(G$300&gt;=Assumptions!$F$27,G$300&lt;Assumptions!$F$29),'S&amp;U'!$H9/ROUNDUP(Assumptions!$F$28/12,0),IF(AND(G$300&gt;=Assumptions!$F$29,G$300&lt;Assumptions!$F$31),'S&amp;U'!$H41/ROUNDUP(Assumptions!$F$30/12,0),0))</f>
        <v>99383067.552999988</v>
      </c>
      <c r="H303" s="83">
        <f ca="1">+IF(AND(H$300&gt;=Assumptions!$F$27,H$300&lt;Assumptions!$F$29),'S&amp;U'!$H9/ROUNDUP(Assumptions!$F$28/12,0),IF(AND(H$300&gt;=Assumptions!$F$29,H$300&lt;Assumptions!$F$31),'S&amp;U'!$H41/ROUNDUP(Assumptions!$F$30/12,0),0))</f>
        <v>99383067.552999988</v>
      </c>
      <c r="I303" s="83">
        <f ca="1">+IF(AND(I$300&gt;=Assumptions!$F$27,I$300&lt;Assumptions!$F$29),'S&amp;U'!$H9/ROUNDUP(Assumptions!$F$28/12,0),IF(AND(I$300&gt;=Assumptions!$F$29,I$300&lt;Assumptions!$F$31),'S&amp;U'!$H41/ROUNDUP(Assumptions!$F$30/12,0),0))</f>
        <v>99383067.552999988</v>
      </c>
      <c r="J303" s="83">
        <f>+IF(AND(J$300&gt;=Assumptions!$F$27,J$300&lt;Assumptions!$F$29),'S&amp;U'!$H9/ROUNDUP(Assumptions!$F$28/12,0),IF(AND(J$300&gt;=Assumptions!$F$29,J$300&lt;Assumptions!$F$31),'S&amp;U'!$H41/ROUNDUP(Assumptions!$F$30/12,0),0))</f>
        <v>0</v>
      </c>
      <c r="K303" s="83">
        <f>+IF(AND(K$300&gt;=Assumptions!$F$27,K$300&lt;Assumptions!$F$29),'S&amp;U'!$H9/ROUNDUP(Assumptions!$F$28/12,0),IF(AND(K$300&gt;=Assumptions!$F$29,K$300&lt;Assumptions!$F$31),'S&amp;U'!$H41/ROUNDUP(Assumptions!$F$30/12,0),0))</f>
        <v>0</v>
      </c>
      <c r="L303" s="83">
        <f>+IF(AND(L$300&gt;=Assumptions!$F$27,L$300&lt;Assumptions!$F$29),'S&amp;U'!$H9/ROUNDUP(Assumptions!$F$28/12,0),IF(AND(L$300&gt;=Assumptions!$F$29,L$300&lt;Assumptions!$F$31),'S&amp;U'!$H41/ROUNDUP(Assumptions!$F$30/12,0),0))</f>
        <v>0</v>
      </c>
      <c r="M303" s="83">
        <f>+IF(AND(M$300&gt;=Assumptions!$F$27,M$300&lt;Assumptions!$F$29),'S&amp;U'!$H9/ROUNDUP(Assumptions!$F$28/12,0),IF(AND(M$300&gt;=Assumptions!$F$29,M$300&lt;Assumptions!$F$31),'S&amp;U'!$H41/ROUNDUP(Assumptions!$F$30/12,0),0))</f>
        <v>0</v>
      </c>
      <c r="N303" s="83">
        <f>+IF(AND(N$300&gt;=Assumptions!$F$27,N$300&lt;Assumptions!$F$29),'S&amp;U'!$H9/ROUNDUP(Assumptions!$F$28/12,0),IF(AND(N$300&gt;=Assumptions!$F$29,N$300&lt;Assumptions!$F$31),'S&amp;U'!$H41/ROUNDUP(Assumptions!$F$30/12,0),0))</f>
        <v>0</v>
      </c>
      <c r="O303" s="83">
        <f>+IF(AND(O$300&gt;=Assumptions!$F$27,O$300&lt;Assumptions!$F$29),'S&amp;U'!$H9/ROUNDUP(Assumptions!$F$28/12,0),IF(AND(O$300&gt;=Assumptions!$F$29,O$300&lt;Assumptions!$F$31),'S&amp;U'!$H41/ROUNDUP(Assumptions!$F$30/12,0),0))</f>
        <v>0</v>
      </c>
      <c r="P303" s="83">
        <f>+IF(AND(P$300&gt;=Assumptions!$F$27,P$300&lt;Assumptions!$F$29),'S&amp;U'!$H9/ROUNDUP(Assumptions!$F$28/12,0),IF(AND(P$300&gt;=Assumptions!$F$29,P$300&lt;Assumptions!$F$31),'S&amp;U'!$H41/ROUNDUP(Assumptions!$F$30/12,0),0))</f>
        <v>0</v>
      </c>
      <c r="Q303" s="83">
        <f>+IF(AND(Q$300&gt;=Assumptions!$F$27,Q$300&lt;Assumptions!$F$29),'S&amp;U'!$H9/ROUNDUP(Assumptions!$F$28/12,0),IF(AND(Q$300&gt;=Assumptions!$F$29,Q$300&lt;Assumptions!$F$31),'S&amp;U'!$H41/ROUNDUP(Assumptions!$F$30/12,0),0))</f>
        <v>0</v>
      </c>
      <c r="R303" s="83">
        <f>+IF(AND(R$300&gt;=Assumptions!$F$27,R$300&lt;Assumptions!$F$29),'S&amp;U'!$H9/ROUNDUP(Assumptions!$F$28/12,0),IF(AND(R$300&gt;=Assumptions!$F$29,R$300&lt;Assumptions!$F$31),'S&amp;U'!$H41/ROUNDUP(Assumptions!$F$30/12,0),0))</f>
        <v>0</v>
      </c>
      <c r="S303" s="83">
        <f>+IF(AND(S$300&gt;=Assumptions!$F$27,S$300&lt;Assumptions!$F$29),'S&amp;U'!$H9/ROUNDUP(Assumptions!$F$28/12,0),IF(AND(S$300&gt;=Assumptions!$F$29,S$300&lt;Assumptions!$F$31),'S&amp;U'!$H41/ROUNDUP(Assumptions!$F$30/12,0),0))</f>
        <v>0</v>
      </c>
      <c r="T303" s="83">
        <f>+IF(AND(T$300&gt;=Assumptions!$F$27,T$300&lt;Assumptions!$F$29),'S&amp;U'!$H9/ROUNDUP(Assumptions!$F$28/12,0),IF(AND(T$300&gt;=Assumptions!$F$29,T$300&lt;Assumptions!$F$31),'S&amp;U'!$H41/ROUNDUP(Assumptions!$F$30/12,0),0))</f>
        <v>0</v>
      </c>
      <c r="U303" s="83">
        <f>+IF(AND(U$300&gt;=Assumptions!$F$27,U$300&lt;Assumptions!$F$29),'S&amp;U'!$H9/ROUNDUP(Assumptions!$F$28/12,0),IF(AND(U$300&gt;=Assumptions!$F$29,U$300&lt;Assumptions!$F$31),'S&amp;U'!$H41/ROUNDUP(Assumptions!$F$30/12,0),0))</f>
        <v>0</v>
      </c>
      <c r="V303" s="83">
        <f>+IF(AND(V$300&gt;=Assumptions!$F$27,V$300&lt;Assumptions!$F$29),'S&amp;U'!$H9/ROUNDUP(Assumptions!$F$28/12,0),IF(AND(V$300&gt;=Assumptions!$F$29,V$300&lt;Assumptions!$F$31),'S&amp;U'!$H41/ROUNDUP(Assumptions!$F$30/12,0),0))</f>
        <v>0</v>
      </c>
      <c r="W303" s="83">
        <f>+IF(AND(W$300&gt;=Assumptions!$F$27,W$300&lt;Assumptions!$F$29),'S&amp;U'!$H9/ROUNDUP(Assumptions!$F$28/12,0),IF(AND(W$300&gt;=Assumptions!$F$29,W$300&lt;Assumptions!$F$31),'S&amp;U'!$H41/ROUNDUP(Assumptions!$F$30/12,0),0))</f>
        <v>0</v>
      </c>
      <c r="X303" s="83">
        <f>+IF(AND(X$300&gt;=Assumptions!$F$27,X$300&lt;Assumptions!$F$29),'S&amp;U'!$H9/ROUNDUP(Assumptions!$F$28/12,0),IF(AND(X$300&gt;=Assumptions!$F$29,X$300&lt;Assumptions!$F$31),'S&amp;U'!$H41/ROUNDUP(Assumptions!$F$30/12,0),0))</f>
        <v>0</v>
      </c>
      <c r="Y303" s="83">
        <f>+IF(AND(Y$300&gt;=Assumptions!$F$27,Y$300&lt;Assumptions!$F$29),'S&amp;U'!$H9/ROUNDUP(Assumptions!$F$28/12,0),IF(AND(Y$300&gt;=Assumptions!$F$29,Y$300&lt;Assumptions!$F$31),'S&amp;U'!$H41/ROUNDUP(Assumptions!$F$30/12,0),0))</f>
        <v>0</v>
      </c>
      <c r="Z303" s="83">
        <f>+IF(AND(Z$300&gt;=Assumptions!$F$27,Z$300&lt;Assumptions!$F$29),'S&amp;U'!$H9/ROUNDUP(Assumptions!$F$28/12,0),IF(AND(Z$300&gt;=Assumptions!$F$29,Z$300&lt;Assumptions!$F$31),'S&amp;U'!$H41/ROUNDUP(Assumptions!$F$30/12,0),0))</f>
        <v>0</v>
      </c>
      <c r="AA303" s="699"/>
      <c r="AB303" s="699"/>
      <c r="AC303" s="699"/>
      <c r="AD303" s="69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BA303" s="49"/>
      <c r="BB303" s="49"/>
      <c r="BC303" s="49"/>
      <c r="BD303" s="49"/>
      <c r="BE303" s="49"/>
      <c r="BF303" s="49"/>
      <c r="BG303" s="49"/>
      <c r="BH303" s="49"/>
      <c r="BI303" s="49"/>
      <c r="BJ303" s="49"/>
      <c r="BK303" s="49"/>
      <c r="BL303" s="49"/>
      <c r="BM303" s="49"/>
      <c r="BN303" s="49"/>
    </row>
    <row r="304" spans="2:66" ht="15.75">
      <c r="B304" s="699" t="s">
        <v>345</v>
      </c>
      <c r="C304" s="49"/>
      <c r="D304" s="94">
        <f t="shared" ca="1" si="648"/>
        <v>81624624.794803187</v>
      </c>
      <c r="E304" s="94"/>
      <c r="F304" s="83">
        <f ca="1">+IF(AND(F$300&gt;=Assumptions!$F$27,F$300&lt;Assumptions!$F$29),'S&amp;U'!$H10/ROUNDUP(Assumptions!$F$28/12,0),IF(AND(F$300&gt;=Assumptions!$F$29,F$300&lt;Assumptions!$F$31),'S&amp;U'!$H42/ROUNDUP(Assumptions!$F$30/12,0),0))</f>
        <v>81624624.794803187</v>
      </c>
      <c r="G304" s="83">
        <f ca="1">+IF(AND(G$300&gt;=Assumptions!$F$27,G$300&lt;Assumptions!$F$29),'S&amp;U'!$H10/ROUNDUP(Assumptions!$F$28/12,0),IF(AND(G$300&gt;=Assumptions!$F$29,G$300&lt;Assumptions!$F$31),'S&amp;U'!$H42/ROUNDUP(Assumptions!$F$30/12,0),0))</f>
        <v>0</v>
      </c>
      <c r="H304" s="83">
        <f ca="1">+IF(AND(H$300&gt;=Assumptions!$F$27,H$300&lt;Assumptions!$F$29),'S&amp;U'!$H10/ROUNDUP(Assumptions!$F$28/12,0),IF(AND(H$300&gt;=Assumptions!$F$29,H$300&lt;Assumptions!$F$31),'S&amp;U'!$H42/ROUNDUP(Assumptions!$F$30/12,0),0))</f>
        <v>0</v>
      </c>
      <c r="I304" s="83">
        <f ca="1">+IF(AND(I$300&gt;=Assumptions!$F$27,I$300&lt;Assumptions!$F$29),'S&amp;U'!$H10/ROUNDUP(Assumptions!$F$28/12,0),IF(AND(I$300&gt;=Assumptions!$F$29,I$300&lt;Assumptions!$F$31),'S&amp;U'!$H42/ROUNDUP(Assumptions!$F$30/12,0),0))</f>
        <v>0</v>
      </c>
      <c r="J304" s="83">
        <f>+IF(AND(J$300&gt;=Assumptions!$F$27,J$300&lt;Assumptions!$F$29),'S&amp;U'!$H10/ROUNDUP(Assumptions!$F$28/12,0),IF(AND(J$300&gt;=Assumptions!$F$29,J$300&lt;Assumptions!$F$31),'S&amp;U'!$H42/ROUNDUP(Assumptions!$F$30/12,0),0))</f>
        <v>0</v>
      </c>
      <c r="K304" s="83">
        <f>+IF(AND(K$300&gt;=Assumptions!$F$27,K$300&lt;Assumptions!$F$29),'S&amp;U'!$H10/ROUNDUP(Assumptions!$F$28/12,0),IF(AND(K$300&gt;=Assumptions!$F$29,K$300&lt;Assumptions!$F$31),'S&amp;U'!$H42/ROUNDUP(Assumptions!$F$30/12,0),0))</f>
        <v>0</v>
      </c>
      <c r="L304" s="83">
        <f>+IF(AND(L$300&gt;=Assumptions!$F$27,L$300&lt;Assumptions!$F$29),'S&amp;U'!$H10/ROUNDUP(Assumptions!$F$28/12,0),IF(AND(L$300&gt;=Assumptions!$F$29,L$300&lt;Assumptions!$F$31),'S&amp;U'!$H42/ROUNDUP(Assumptions!$F$30/12,0),0))</f>
        <v>0</v>
      </c>
      <c r="M304" s="83">
        <f>+IF(AND(M$300&gt;=Assumptions!$F$27,M$300&lt;Assumptions!$F$29),'S&amp;U'!$H10/ROUNDUP(Assumptions!$F$28/12,0),IF(AND(M$300&gt;=Assumptions!$F$29,M$300&lt;Assumptions!$F$31),'S&amp;U'!$H42/ROUNDUP(Assumptions!$F$30/12,0),0))</f>
        <v>0</v>
      </c>
      <c r="N304" s="83">
        <f>+IF(AND(N$300&gt;=Assumptions!$F$27,N$300&lt;Assumptions!$F$29),'S&amp;U'!$H10/ROUNDUP(Assumptions!$F$28/12,0),IF(AND(N$300&gt;=Assumptions!$F$29,N$300&lt;Assumptions!$F$31),'S&amp;U'!$H42/ROUNDUP(Assumptions!$F$30/12,0),0))</f>
        <v>0</v>
      </c>
      <c r="O304" s="83">
        <f>+IF(AND(O$300&gt;=Assumptions!$F$27,O$300&lt;Assumptions!$F$29),'S&amp;U'!$H10/ROUNDUP(Assumptions!$F$28/12,0),IF(AND(O$300&gt;=Assumptions!$F$29,O$300&lt;Assumptions!$F$31),'S&amp;U'!$H42/ROUNDUP(Assumptions!$F$30/12,0),0))</f>
        <v>0</v>
      </c>
      <c r="P304" s="83">
        <f>+IF(AND(P$300&gt;=Assumptions!$F$27,P$300&lt;Assumptions!$F$29),'S&amp;U'!$H10/ROUNDUP(Assumptions!$F$28/12,0),IF(AND(P$300&gt;=Assumptions!$F$29,P$300&lt;Assumptions!$F$31),'S&amp;U'!$H42/ROUNDUP(Assumptions!$F$30/12,0),0))</f>
        <v>0</v>
      </c>
      <c r="Q304" s="83">
        <f>+IF(AND(Q$300&gt;=Assumptions!$F$27,Q$300&lt;Assumptions!$F$29),'S&amp;U'!$H10/ROUNDUP(Assumptions!$F$28/12,0),IF(AND(Q$300&gt;=Assumptions!$F$29,Q$300&lt;Assumptions!$F$31),'S&amp;U'!$H42/ROUNDUP(Assumptions!$F$30/12,0),0))</f>
        <v>0</v>
      </c>
      <c r="R304" s="83">
        <f>+IF(AND(R$300&gt;=Assumptions!$F$27,R$300&lt;Assumptions!$F$29),'S&amp;U'!$H10/ROUNDUP(Assumptions!$F$28/12,0),IF(AND(R$300&gt;=Assumptions!$F$29,R$300&lt;Assumptions!$F$31),'S&amp;U'!$H42/ROUNDUP(Assumptions!$F$30/12,0),0))</f>
        <v>0</v>
      </c>
      <c r="S304" s="83">
        <f>+IF(AND(S$300&gt;=Assumptions!$F$27,S$300&lt;Assumptions!$F$29),'S&amp;U'!$H10/ROUNDUP(Assumptions!$F$28/12,0),IF(AND(S$300&gt;=Assumptions!$F$29,S$300&lt;Assumptions!$F$31),'S&amp;U'!$H42/ROUNDUP(Assumptions!$F$30/12,0),0))</f>
        <v>0</v>
      </c>
      <c r="T304" s="83">
        <f>+IF(AND(T$300&gt;=Assumptions!$F$27,T$300&lt;Assumptions!$F$29),'S&amp;U'!$H10/ROUNDUP(Assumptions!$F$28/12,0),IF(AND(T$300&gt;=Assumptions!$F$29,T$300&lt;Assumptions!$F$31),'S&amp;U'!$H42/ROUNDUP(Assumptions!$F$30/12,0),0))</f>
        <v>0</v>
      </c>
      <c r="U304" s="83">
        <f>+IF(AND(U$300&gt;=Assumptions!$F$27,U$300&lt;Assumptions!$F$29),'S&amp;U'!$H10/ROUNDUP(Assumptions!$F$28/12,0),IF(AND(U$300&gt;=Assumptions!$F$29,U$300&lt;Assumptions!$F$31),'S&amp;U'!$H42/ROUNDUP(Assumptions!$F$30/12,0),0))</f>
        <v>0</v>
      </c>
      <c r="V304" s="83">
        <f>+IF(AND(V$300&gt;=Assumptions!$F$27,V$300&lt;Assumptions!$F$29),'S&amp;U'!$H10/ROUNDUP(Assumptions!$F$28/12,0),IF(AND(V$300&gt;=Assumptions!$F$29,V$300&lt;Assumptions!$F$31),'S&amp;U'!$H42/ROUNDUP(Assumptions!$F$30/12,0),0))</f>
        <v>0</v>
      </c>
      <c r="W304" s="83">
        <f>+IF(AND(W$300&gt;=Assumptions!$F$27,W$300&lt;Assumptions!$F$29),'S&amp;U'!$H10/ROUNDUP(Assumptions!$F$28/12,0),IF(AND(W$300&gt;=Assumptions!$F$29,W$300&lt;Assumptions!$F$31),'S&amp;U'!$H42/ROUNDUP(Assumptions!$F$30/12,0),0))</f>
        <v>0</v>
      </c>
      <c r="X304" s="83">
        <f>+IF(AND(X$300&gt;=Assumptions!$F$27,X$300&lt;Assumptions!$F$29),'S&amp;U'!$H10/ROUNDUP(Assumptions!$F$28/12,0),IF(AND(X$300&gt;=Assumptions!$F$29,X$300&lt;Assumptions!$F$31),'S&amp;U'!$H42/ROUNDUP(Assumptions!$F$30/12,0),0))</f>
        <v>0</v>
      </c>
      <c r="Y304" s="83">
        <f>+IF(AND(Y$300&gt;=Assumptions!$F$27,Y$300&lt;Assumptions!$F$29),'S&amp;U'!$H10/ROUNDUP(Assumptions!$F$28/12,0),IF(AND(Y$300&gt;=Assumptions!$F$29,Y$300&lt;Assumptions!$F$31),'S&amp;U'!$H42/ROUNDUP(Assumptions!$F$30/12,0),0))</f>
        <v>0</v>
      </c>
      <c r="Z304" s="83">
        <f>+IF(AND(Z$300&gt;=Assumptions!$F$27,Z$300&lt;Assumptions!$F$29),'S&amp;U'!$H10/ROUNDUP(Assumptions!$F$28/12,0),IF(AND(Z$300&gt;=Assumptions!$F$29,Z$300&lt;Assumptions!$F$31),'S&amp;U'!$H42/ROUNDUP(Assumptions!$F$30/12,0),0))</f>
        <v>0</v>
      </c>
      <c r="AA304" s="699"/>
      <c r="AB304" s="699"/>
      <c r="AC304" s="699"/>
      <c r="AD304" s="69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BA304" s="49"/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</row>
    <row r="305" spans="1:66" ht="15.75">
      <c r="A305" s="699"/>
      <c r="B305" s="699" t="s">
        <v>347</v>
      </c>
      <c r="C305" s="49"/>
      <c r="D305" s="94">
        <f t="shared" ca="1" si="648"/>
        <v>33225688.088156097</v>
      </c>
      <c r="E305" s="94"/>
      <c r="F305" s="83">
        <f>+IF(AND(F$300&gt;=Assumptions!$F$27,F$300&lt;Assumptions!$F$29),'S&amp;U'!$H11/ROUNDUP(Assumptions!$F$28/12,0),IF(AND(F$300&gt;=Assumptions!$F$29,F$300&lt;Assumptions!$F$31),'S&amp;U'!$H43/ROUNDUP(Assumptions!$F$30/12,0),0))</f>
        <v>0</v>
      </c>
      <c r="G305" s="83">
        <f ca="1">+IF(AND(G$300&gt;=Assumptions!$F$27,G$300&lt;Assumptions!$F$29),'S&amp;U'!$H11/ROUNDUP(Assumptions!$F$28/12,0),IF(AND(G$300&gt;=Assumptions!$F$29,G$300&lt;Assumptions!$F$31),'S&amp;U'!$H43/ROUNDUP(Assumptions!$F$30/12,0),0))</f>
        <v>11075229.362718696</v>
      </c>
      <c r="H305" s="83">
        <f ca="1">+IF(AND(H$300&gt;=Assumptions!$F$27,H$300&lt;Assumptions!$F$29),'S&amp;U'!$H11/ROUNDUP(Assumptions!$F$28/12,0),IF(AND(H$300&gt;=Assumptions!$F$29,H$300&lt;Assumptions!$F$31),'S&amp;U'!$H43/ROUNDUP(Assumptions!$F$30/12,0),0))</f>
        <v>11075229.362718696</v>
      </c>
      <c r="I305" s="83">
        <f ca="1">+IF(AND(I$300&gt;=Assumptions!$F$27,I$300&lt;Assumptions!$F$29),'S&amp;U'!$H11/ROUNDUP(Assumptions!$F$28/12,0),IF(AND(I$300&gt;=Assumptions!$F$29,I$300&lt;Assumptions!$F$31),'S&amp;U'!$H43/ROUNDUP(Assumptions!$F$30/12,0),0))</f>
        <v>11075229.362718696</v>
      </c>
      <c r="J305" s="83">
        <f>+IF(AND(J$300&gt;=Assumptions!$F$27,J$300&lt;Assumptions!$F$29),'S&amp;U'!$H11/ROUNDUP(Assumptions!$F$28/12,0),IF(AND(J$300&gt;=Assumptions!$F$29,J$300&lt;Assumptions!$F$31),'S&amp;U'!$H43/ROUNDUP(Assumptions!$F$30/12,0),0))</f>
        <v>0</v>
      </c>
      <c r="K305" s="83">
        <f>+IF(AND(K$300&gt;=Assumptions!$F$27,K$300&lt;Assumptions!$F$29),'S&amp;U'!$H11/ROUNDUP(Assumptions!$F$28/12,0),IF(AND(K$300&gt;=Assumptions!$F$29,K$300&lt;Assumptions!$F$31),'S&amp;U'!$H43/ROUNDUP(Assumptions!$F$30/12,0),0))</f>
        <v>0</v>
      </c>
      <c r="L305" s="83">
        <f>+IF(AND(L$300&gt;=Assumptions!$F$27,L$300&lt;Assumptions!$F$29),'S&amp;U'!$H11/ROUNDUP(Assumptions!$F$28/12,0),IF(AND(L$300&gt;=Assumptions!$F$29,L$300&lt;Assumptions!$F$31),'S&amp;U'!$H43/ROUNDUP(Assumptions!$F$30/12,0),0))</f>
        <v>0</v>
      </c>
      <c r="M305" s="83">
        <f>+IF(AND(M$300&gt;=Assumptions!$F$27,M$300&lt;Assumptions!$F$29),'S&amp;U'!$H11/ROUNDUP(Assumptions!$F$28/12,0),IF(AND(M$300&gt;=Assumptions!$F$29,M$300&lt;Assumptions!$F$31),'S&amp;U'!$H43/ROUNDUP(Assumptions!$F$30/12,0),0))</f>
        <v>0</v>
      </c>
      <c r="N305" s="83">
        <f>+IF(AND(N$300&gt;=Assumptions!$F$27,N$300&lt;Assumptions!$F$29),'S&amp;U'!$H11/ROUNDUP(Assumptions!$F$28/12,0),IF(AND(N$300&gt;=Assumptions!$F$29,N$300&lt;Assumptions!$F$31),'S&amp;U'!$H43/ROUNDUP(Assumptions!$F$30/12,0),0))</f>
        <v>0</v>
      </c>
      <c r="O305" s="83">
        <f>+IF(AND(O$300&gt;=Assumptions!$F$27,O$300&lt;Assumptions!$F$29),'S&amp;U'!$H11/ROUNDUP(Assumptions!$F$28/12,0),IF(AND(O$300&gt;=Assumptions!$F$29,O$300&lt;Assumptions!$F$31),'S&amp;U'!$H43/ROUNDUP(Assumptions!$F$30/12,0),0))</f>
        <v>0</v>
      </c>
      <c r="P305" s="83">
        <f>+IF(AND(P$300&gt;=Assumptions!$F$27,P$300&lt;Assumptions!$F$29),'S&amp;U'!$H11/ROUNDUP(Assumptions!$F$28/12,0),IF(AND(P$300&gt;=Assumptions!$F$29,P$300&lt;Assumptions!$F$31),'S&amp;U'!$H43/ROUNDUP(Assumptions!$F$30/12,0),0))</f>
        <v>0</v>
      </c>
      <c r="Q305" s="83">
        <f>+IF(AND(Q$300&gt;=Assumptions!$F$27,Q$300&lt;Assumptions!$F$29),'S&amp;U'!$H11/ROUNDUP(Assumptions!$F$28/12,0),IF(AND(Q$300&gt;=Assumptions!$F$29,Q$300&lt;Assumptions!$F$31),'S&amp;U'!$H43/ROUNDUP(Assumptions!$F$30/12,0),0))</f>
        <v>0</v>
      </c>
      <c r="R305" s="83">
        <f>+IF(AND(R$300&gt;=Assumptions!$F$27,R$300&lt;Assumptions!$F$29),'S&amp;U'!$H11/ROUNDUP(Assumptions!$F$28/12,0),IF(AND(R$300&gt;=Assumptions!$F$29,R$300&lt;Assumptions!$F$31),'S&amp;U'!$H43/ROUNDUP(Assumptions!$F$30/12,0),0))</f>
        <v>0</v>
      </c>
      <c r="S305" s="83">
        <f>+IF(AND(S$300&gt;=Assumptions!$F$27,S$300&lt;Assumptions!$F$29),'S&amp;U'!$H11/ROUNDUP(Assumptions!$F$28/12,0),IF(AND(S$300&gt;=Assumptions!$F$29,S$300&lt;Assumptions!$F$31),'S&amp;U'!$H43/ROUNDUP(Assumptions!$F$30/12,0),0))</f>
        <v>0</v>
      </c>
      <c r="T305" s="83">
        <f>+IF(AND(T$300&gt;=Assumptions!$F$27,T$300&lt;Assumptions!$F$29),'S&amp;U'!$H11/ROUNDUP(Assumptions!$F$28/12,0),IF(AND(T$300&gt;=Assumptions!$F$29,T$300&lt;Assumptions!$F$31),'S&amp;U'!$H43/ROUNDUP(Assumptions!$F$30/12,0),0))</f>
        <v>0</v>
      </c>
      <c r="U305" s="83">
        <f>+IF(AND(U$300&gt;=Assumptions!$F$27,U$300&lt;Assumptions!$F$29),'S&amp;U'!$H11/ROUNDUP(Assumptions!$F$28/12,0),IF(AND(U$300&gt;=Assumptions!$F$29,U$300&lt;Assumptions!$F$31),'S&amp;U'!$H43/ROUNDUP(Assumptions!$F$30/12,0),0))</f>
        <v>0</v>
      </c>
      <c r="V305" s="83">
        <f>+IF(AND(V$300&gt;=Assumptions!$F$27,V$300&lt;Assumptions!$F$29),'S&amp;U'!$H11/ROUNDUP(Assumptions!$F$28/12,0),IF(AND(V$300&gt;=Assumptions!$F$29,V$300&lt;Assumptions!$F$31),'S&amp;U'!$H43/ROUNDUP(Assumptions!$F$30/12,0),0))</f>
        <v>0</v>
      </c>
      <c r="W305" s="83">
        <f>+IF(AND(W$300&gt;=Assumptions!$F$27,W$300&lt;Assumptions!$F$29),'S&amp;U'!$H11/ROUNDUP(Assumptions!$F$28/12,0),IF(AND(W$300&gt;=Assumptions!$F$29,W$300&lt;Assumptions!$F$31),'S&amp;U'!$H43/ROUNDUP(Assumptions!$F$30/12,0),0))</f>
        <v>0</v>
      </c>
      <c r="X305" s="83">
        <f>+IF(AND(X$300&gt;=Assumptions!$F$27,X$300&lt;Assumptions!$F$29),'S&amp;U'!$H11/ROUNDUP(Assumptions!$F$28/12,0),IF(AND(X$300&gt;=Assumptions!$F$29,X$300&lt;Assumptions!$F$31),'S&amp;U'!$H43/ROUNDUP(Assumptions!$F$30/12,0),0))</f>
        <v>0</v>
      </c>
      <c r="Y305" s="83">
        <f>+IF(AND(Y$300&gt;=Assumptions!$F$27,Y$300&lt;Assumptions!$F$29),'S&amp;U'!$H11/ROUNDUP(Assumptions!$F$28/12,0),IF(AND(Y$300&gt;=Assumptions!$F$29,Y$300&lt;Assumptions!$F$31),'S&amp;U'!$H43/ROUNDUP(Assumptions!$F$30/12,0),0))</f>
        <v>0</v>
      </c>
      <c r="Z305" s="83">
        <f>+IF(AND(Z$300&gt;=Assumptions!$F$27,Z$300&lt;Assumptions!$F$29),'S&amp;U'!$H11/ROUNDUP(Assumptions!$F$28/12,0),IF(AND(Z$300&gt;=Assumptions!$F$29,Z$300&lt;Assumptions!$F$31),'S&amp;U'!$H43/ROUNDUP(Assumptions!$F$30/12,0),0))</f>
        <v>0</v>
      </c>
      <c r="AA305" s="699"/>
      <c r="AB305" s="699"/>
      <c r="AC305" s="699"/>
      <c r="AD305" s="69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BA305" s="49"/>
      <c r="BB305" s="49"/>
      <c r="BC305" s="49"/>
      <c r="BD305" s="49"/>
      <c r="BE305" s="49"/>
      <c r="BF305" s="49"/>
      <c r="BG305" s="49"/>
      <c r="BH305" s="49"/>
      <c r="BI305" s="49"/>
      <c r="BJ305" s="49"/>
      <c r="BK305" s="49"/>
      <c r="BL305" s="49"/>
      <c r="BM305" s="49"/>
      <c r="BN305" s="49"/>
    </row>
    <row r="306" spans="1:66" ht="15.75">
      <c r="A306" s="699"/>
      <c r="B306" s="699" t="s">
        <v>348</v>
      </c>
      <c r="C306" s="49"/>
      <c r="D306" s="94">
        <f t="shared" ca="1" si="648"/>
        <v>21637963.070219036</v>
      </c>
      <c r="E306" s="94"/>
      <c r="F306" s="83">
        <f>+IF(AND(F$300&gt;=Assumptions!$F$27,F$300&lt;Assumptions!$F$29),'S&amp;U'!$H12/ROUNDUP(Assumptions!$F$28/12,0),IF(AND(F$300&gt;=Assumptions!$F$29,F$300&lt;Assumptions!$F$31),'S&amp;U'!$H44/ROUNDUP(Assumptions!$F$30/12,0),0))</f>
        <v>0</v>
      </c>
      <c r="G306" s="83">
        <f ca="1">+IF(AND(G$300&gt;=Assumptions!$F$27,G$300&lt;Assumptions!$F$29),'S&amp;U'!$H12/ROUNDUP(Assumptions!$F$28/12,0),IF(AND(G$300&gt;=Assumptions!$F$29,G$300&lt;Assumptions!$F$31),'S&amp;U'!$H44/ROUNDUP(Assumptions!$F$30/12,0),0))</f>
        <v>7212654.3567396784</v>
      </c>
      <c r="H306" s="83">
        <f ca="1">+IF(AND(H$300&gt;=Assumptions!$F$27,H$300&lt;Assumptions!$F$29),'S&amp;U'!$H12/ROUNDUP(Assumptions!$F$28/12,0),IF(AND(H$300&gt;=Assumptions!$F$29,H$300&lt;Assumptions!$F$31),'S&amp;U'!$H44/ROUNDUP(Assumptions!$F$30/12,0),0))</f>
        <v>7212654.3567396784</v>
      </c>
      <c r="I306" s="83">
        <f ca="1">+IF(AND(I$300&gt;=Assumptions!$F$27,I$300&lt;Assumptions!$F$29),'S&amp;U'!$H12/ROUNDUP(Assumptions!$F$28/12,0),IF(AND(I$300&gt;=Assumptions!$F$29,I$300&lt;Assumptions!$F$31),'S&amp;U'!$H44/ROUNDUP(Assumptions!$F$30/12,0),0))</f>
        <v>7212654.3567396784</v>
      </c>
      <c r="J306" s="83">
        <f>+IF(AND(J$300&gt;=Assumptions!$F$27,J$300&lt;Assumptions!$F$29),'S&amp;U'!$H12/ROUNDUP(Assumptions!$F$28/12,0),IF(AND(J$300&gt;=Assumptions!$F$29,J$300&lt;Assumptions!$F$31),'S&amp;U'!$H44/ROUNDUP(Assumptions!$F$30/12,0),0))</f>
        <v>0</v>
      </c>
      <c r="K306" s="83">
        <f>+IF(AND(K$300&gt;=Assumptions!$F$27,K$300&lt;Assumptions!$F$29),'S&amp;U'!$H12/ROUNDUP(Assumptions!$F$28/12,0),IF(AND(K$300&gt;=Assumptions!$F$29,K$300&lt;Assumptions!$F$31),'S&amp;U'!$H44/ROUNDUP(Assumptions!$F$30/12,0),0))</f>
        <v>0</v>
      </c>
      <c r="L306" s="83">
        <f>+IF(AND(L$300&gt;=Assumptions!$F$27,L$300&lt;Assumptions!$F$29),'S&amp;U'!$H12/ROUNDUP(Assumptions!$F$28/12,0),IF(AND(L$300&gt;=Assumptions!$F$29,L$300&lt;Assumptions!$F$31),'S&amp;U'!$H44/ROUNDUP(Assumptions!$F$30/12,0),0))</f>
        <v>0</v>
      </c>
      <c r="M306" s="83">
        <f>+IF(AND(M$300&gt;=Assumptions!$F$27,M$300&lt;Assumptions!$F$29),'S&amp;U'!$H12/ROUNDUP(Assumptions!$F$28/12,0),IF(AND(M$300&gt;=Assumptions!$F$29,M$300&lt;Assumptions!$F$31),'S&amp;U'!$H44/ROUNDUP(Assumptions!$F$30/12,0),0))</f>
        <v>0</v>
      </c>
      <c r="N306" s="83">
        <f>+IF(AND(N$300&gt;=Assumptions!$F$27,N$300&lt;Assumptions!$F$29),'S&amp;U'!$H12/ROUNDUP(Assumptions!$F$28/12,0),IF(AND(N$300&gt;=Assumptions!$F$29,N$300&lt;Assumptions!$F$31),'S&amp;U'!$H44/ROUNDUP(Assumptions!$F$30/12,0),0))</f>
        <v>0</v>
      </c>
      <c r="O306" s="83">
        <f>+IF(AND(O$300&gt;=Assumptions!$F$27,O$300&lt;Assumptions!$F$29),'S&amp;U'!$H12/ROUNDUP(Assumptions!$F$28/12,0),IF(AND(O$300&gt;=Assumptions!$F$29,O$300&lt;Assumptions!$F$31),'S&amp;U'!$H44/ROUNDUP(Assumptions!$F$30/12,0),0))</f>
        <v>0</v>
      </c>
      <c r="P306" s="83">
        <f>+IF(AND(P$300&gt;=Assumptions!$F$27,P$300&lt;Assumptions!$F$29),'S&amp;U'!$H12/ROUNDUP(Assumptions!$F$28/12,0),IF(AND(P$300&gt;=Assumptions!$F$29,P$300&lt;Assumptions!$F$31),'S&amp;U'!$H44/ROUNDUP(Assumptions!$F$30/12,0),0))</f>
        <v>0</v>
      </c>
      <c r="Q306" s="83">
        <f>+IF(AND(Q$300&gt;=Assumptions!$F$27,Q$300&lt;Assumptions!$F$29),'S&amp;U'!$H12/ROUNDUP(Assumptions!$F$28/12,0),IF(AND(Q$300&gt;=Assumptions!$F$29,Q$300&lt;Assumptions!$F$31),'S&amp;U'!$H44/ROUNDUP(Assumptions!$F$30/12,0),0))</f>
        <v>0</v>
      </c>
      <c r="R306" s="83">
        <f>+IF(AND(R$300&gt;=Assumptions!$F$27,R$300&lt;Assumptions!$F$29),'S&amp;U'!$H12/ROUNDUP(Assumptions!$F$28/12,0),IF(AND(R$300&gt;=Assumptions!$F$29,R$300&lt;Assumptions!$F$31),'S&amp;U'!$H44/ROUNDUP(Assumptions!$F$30/12,0),0))</f>
        <v>0</v>
      </c>
      <c r="S306" s="83">
        <f>+IF(AND(S$300&gt;=Assumptions!$F$27,S$300&lt;Assumptions!$F$29),'S&amp;U'!$H12/ROUNDUP(Assumptions!$F$28/12,0),IF(AND(S$300&gt;=Assumptions!$F$29,S$300&lt;Assumptions!$F$31),'S&amp;U'!$H44/ROUNDUP(Assumptions!$F$30/12,0),0))</f>
        <v>0</v>
      </c>
      <c r="T306" s="83">
        <f>+IF(AND(T$300&gt;=Assumptions!$F$27,T$300&lt;Assumptions!$F$29),'S&amp;U'!$H12/ROUNDUP(Assumptions!$F$28/12,0),IF(AND(T$300&gt;=Assumptions!$F$29,T$300&lt;Assumptions!$F$31),'S&amp;U'!$H44/ROUNDUP(Assumptions!$F$30/12,0),0))</f>
        <v>0</v>
      </c>
      <c r="U306" s="83">
        <f>+IF(AND(U$300&gt;=Assumptions!$F$27,U$300&lt;Assumptions!$F$29),'S&amp;U'!$H12/ROUNDUP(Assumptions!$F$28/12,0),IF(AND(U$300&gt;=Assumptions!$F$29,U$300&lt;Assumptions!$F$31),'S&amp;U'!$H44/ROUNDUP(Assumptions!$F$30/12,0),0))</f>
        <v>0</v>
      </c>
      <c r="V306" s="83">
        <f>+IF(AND(V$300&gt;=Assumptions!$F$27,V$300&lt;Assumptions!$F$29),'S&amp;U'!$H12/ROUNDUP(Assumptions!$F$28/12,0),IF(AND(V$300&gt;=Assumptions!$F$29,V$300&lt;Assumptions!$F$31),'S&amp;U'!$H44/ROUNDUP(Assumptions!$F$30/12,0),0))</f>
        <v>0</v>
      </c>
      <c r="W306" s="83">
        <f>+IF(AND(W$300&gt;=Assumptions!$F$27,W$300&lt;Assumptions!$F$29),'S&amp;U'!$H12/ROUNDUP(Assumptions!$F$28/12,0),IF(AND(W$300&gt;=Assumptions!$F$29,W$300&lt;Assumptions!$F$31),'S&amp;U'!$H44/ROUNDUP(Assumptions!$F$30/12,0),0))</f>
        <v>0</v>
      </c>
      <c r="X306" s="83">
        <f>+IF(AND(X$300&gt;=Assumptions!$F$27,X$300&lt;Assumptions!$F$29),'S&amp;U'!$H12/ROUNDUP(Assumptions!$F$28/12,0),IF(AND(X$300&gt;=Assumptions!$F$29,X$300&lt;Assumptions!$F$31),'S&amp;U'!$H44/ROUNDUP(Assumptions!$F$30/12,0),0))</f>
        <v>0</v>
      </c>
      <c r="Y306" s="83">
        <f>+IF(AND(Y$300&gt;=Assumptions!$F$27,Y$300&lt;Assumptions!$F$29),'S&amp;U'!$H12/ROUNDUP(Assumptions!$F$28/12,0),IF(AND(Y$300&gt;=Assumptions!$F$29,Y$300&lt;Assumptions!$F$31),'S&amp;U'!$H44/ROUNDUP(Assumptions!$F$30/12,0),0))</f>
        <v>0</v>
      </c>
      <c r="Z306" s="83">
        <f>+IF(AND(Z$300&gt;=Assumptions!$F$27,Z$300&lt;Assumptions!$F$29),'S&amp;U'!$H12/ROUNDUP(Assumptions!$F$28/12,0),IF(AND(Z$300&gt;=Assumptions!$F$29,Z$300&lt;Assumptions!$F$31),'S&amp;U'!$H44/ROUNDUP(Assumptions!$F$30/12,0),0))</f>
        <v>0</v>
      </c>
      <c r="AA306" s="699"/>
      <c r="AB306" s="699"/>
      <c r="AC306" s="699"/>
      <c r="AD306" s="69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BA306" s="49"/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</row>
    <row r="307" spans="1:66" ht="15.75">
      <c r="A307" s="699"/>
      <c r="B307" s="699" t="s">
        <v>349</v>
      </c>
      <c r="C307" s="49"/>
      <c r="D307" s="94">
        <f t="shared" ca="1" si="648"/>
        <v>18352104.384487133</v>
      </c>
      <c r="E307" s="94"/>
      <c r="F307" s="83">
        <f ca="1">+IF(AND(F$300&gt;=Assumptions!$F$27,F$300&lt;Assumptions!$F$29),'S&amp;U'!$H13/ROUNDUP(Assumptions!$F$28/12,0),IF(AND(F$300&gt;=Assumptions!$F$29,F$300&lt;Assumptions!$F$33),'S&amp;U'!$H45/ROUNDUP((Assumptions!$F$30+Assumptions!$F$32)/12,0),0))</f>
        <v>18352104.384487133</v>
      </c>
      <c r="G307" s="83">
        <f ca="1">+IF(AND(G$300&gt;=Assumptions!$F$27,G$300&lt;Assumptions!$F$29),'S&amp;U'!$H13/ROUNDUP(Assumptions!$F$28/12,0),IF(AND(G$300&gt;=Assumptions!$F$29,G$300&lt;Assumptions!$F$33),'S&amp;U'!$H45/ROUNDUP((Assumptions!$F$30+Assumptions!$F$32)/12,0),0))</f>
        <v>0</v>
      </c>
      <c r="H307" s="83">
        <f ca="1">+IF(AND(H$300&gt;=Assumptions!$F$27,H$300&lt;Assumptions!$F$29),'S&amp;U'!$H13/ROUNDUP(Assumptions!$F$28/12,0),IF(AND(H$300&gt;=Assumptions!$F$29,H$300&lt;Assumptions!$F$33),'S&amp;U'!$H45/ROUNDUP((Assumptions!$F$30+Assumptions!$F$32)/12,0),0))</f>
        <v>0</v>
      </c>
      <c r="I307" s="83">
        <f ca="1">+IF(AND(I$300&gt;=Assumptions!$F$27,I$300&lt;Assumptions!$F$29),'S&amp;U'!$H13/ROUNDUP(Assumptions!$F$28/12,0),IF(AND(I$300&gt;=Assumptions!$F$29,I$300&lt;Assumptions!$F$33),'S&amp;U'!$H45/ROUNDUP((Assumptions!$F$30+Assumptions!$F$32)/12,0),0))</f>
        <v>0</v>
      </c>
      <c r="J307" s="83">
        <f ca="1">+IF(AND(J$300&gt;=Assumptions!$F$27,J$300&lt;Assumptions!$F$29),'S&amp;U'!$H13/ROUNDUP(Assumptions!$F$28/12,0),IF(AND(J$300&gt;=Assumptions!$F$29,J$300&lt;Assumptions!$F$33),'S&amp;U'!$H45/ROUNDUP((Assumptions!$F$30+Assumptions!$F$32)/12,0),0))</f>
        <v>0</v>
      </c>
      <c r="K307" s="83">
        <f ca="1">+IF(AND(K$300&gt;=Assumptions!$F$27,K$300&lt;Assumptions!$F$29),'S&amp;U'!$H13/ROUNDUP(Assumptions!$F$28/12,0),IF(AND(K$300&gt;=Assumptions!$F$29,K$300&lt;Assumptions!$F$33),'S&amp;U'!$H45/ROUNDUP((Assumptions!$F$30+Assumptions!$F$32)/12,0),0))</f>
        <v>0</v>
      </c>
      <c r="L307" s="83">
        <f>+IF(AND(L$300&gt;=Assumptions!$F$27,L$300&lt;Assumptions!$F$29),'S&amp;U'!$H13/ROUNDUP(Assumptions!$F$28/12,0),IF(AND(L$300&gt;=Assumptions!$F$29,L$300&lt;Assumptions!$F$33),'S&amp;U'!$H45/ROUNDUP((Assumptions!$F$30+Assumptions!$F$32)/12,0),0))</f>
        <v>0</v>
      </c>
      <c r="M307" s="83">
        <f>+IF(AND(M$300&gt;=Assumptions!$F$27,M$300&lt;Assumptions!$F$29),'S&amp;U'!$H13/ROUNDUP(Assumptions!$F$28/12,0),IF(AND(M$300&gt;=Assumptions!$F$29,M$300&lt;Assumptions!$F$33),'S&amp;U'!$H45/ROUNDUP((Assumptions!$F$30+Assumptions!$F$32)/12,0),0))</f>
        <v>0</v>
      </c>
      <c r="N307" s="83">
        <f>+IF(AND(N$300&gt;=Assumptions!$F$27,N$300&lt;Assumptions!$F$29),'S&amp;U'!$H13/ROUNDUP(Assumptions!$F$28/12,0),IF(AND(N$300&gt;=Assumptions!$F$29,N$300&lt;Assumptions!$F$33),'S&amp;U'!$H45/ROUNDUP((Assumptions!$F$30+Assumptions!$F$32)/12,0),0))</f>
        <v>0</v>
      </c>
      <c r="O307" s="83">
        <f>+IF(AND(O$300&gt;=Assumptions!$F$27,O$300&lt;Assumptions!$F$29),'S&amp;U'!$H13/ROUNDUP(Assumptions!$F$28/12,0),IF(AND(O$300&gt;=Assumptions!$F$29,O$300&lt;Assumptions!$F$33),'S&amp;U'!$H45/ROUNDUP((Assumptions!$F$30+Assumptions!$F$32)/12,0),0))</f>
        <v>0</v>
      </c>
      <c r="P307" s="83">
        <f>+IF(AND(P$300&gt;=Assumptions!$F$27,P$300&lt;Assumptions!$F$29),'S&amp;U'!$H13/ROUNDUP(Assumptions!$F$28/12,0),IF(AND(P$300&gt;=Assumptions!$F$29,P$300&lt;Assumptions!$F$33),'S&amp;U'!$H45/ROUNDUP((Assumptions!$F$30+Assumptions!$F$32)/12,0),0))</f>
        <v>0</v>
      </c>
      <c r="Q307" s="83">
        <f>+IF(AND(Q$300&gt;=Assumptions!$F$27,Q$300&lt;Assumptions!$F$29),'S&amp;U'!$H13/ROUNDUP(Assumptions!$F$28/12,0),IF(AND(Q$300&gt;=Assumptions!$F$29,Q$300&lt;Assumptions!$F$33),'S&amp;U'!$H45/ROUNDUP((Assumptions!$F$30+Assumptions!$F$32)/12,0),0))</f>
        <v>0</v>
      </c>
      <c r="R307" s="83">
        <f>+IF(AND(R$300&gt;=Assumptions!$F$27,R$300&lt;Assumptions!$F$29),'S&amp;U'!$H13/ROUNDUP(Assumptions!$F$28/12,0),IF(AND(R$300&gt;=Assumptions!$F$29,R$300&lt;Assumptions!$F$33),'S&amp;U'!$H45/ROUNDUP((Assumptions!$F$30+Assumptions!$F$32)/12,0),0))</f>
        <v>0</v>
      </c>
      <c r="S307" s="83">
        <f>+IF(AND(S$300&gt;=Assumptions!$F$27,S$300&lt;Assumptions!$F$29),'S&amp;U'!$H13/ROUNDUP(Assumptions!$F$28/12,0),IF(AND(S$300&gt;=Assumptions!$F$29,S$300&lt;Assumptions!$F$33),'S&amp;U'!$H45/ROUNDUP((Assumptions!$F$30+Assumptions!$F$32)/12,0),0))</f>
        <v>0</v>
      </c>
      <c r="T307" s="83">
        <f>+IF(AND(T$300&gt;=Assumptions!$F$27,T$300&lt;Assumptions!$F$29),'S&amp;U'!$H13/ROUNDUP(Assumptions!$F$28/12,0),IF(AND(T$300&gt;=Assumptions!$F$29,T$300&lt;Assumptions!$F$33),'S&amp;U'!$H45/ROUNDUP((Assumptions!$F$30+Assumptions!$F$32)/12,0),0))</f>
        <v>0</v>
      </c>
      <c r="U307" s="83">
        <f>+IF(AND(U$300&gt;=Assumptions!$F$27,U$300&lt;Assumptions!$F$29),'S&amp;U'!$H13/ROUNDUP(Assumptions!$F$28/12,0),IF(AND(U$300&gt;=Assumptions!$F$29,U$300&lt;Assumptions!$F$33),'S&amp;U'!$H45/ROUNDUP((Assumptions!$F$30+Assumptions!$F$32)/12,0),0))</f>
        <v>0</v>
      </c>
      <c r="V307" s="83">
        <f>+IF(AND(V$300&gt;=Assumptions!$F$27,V$300&lt;Assumptions!$F$29),'S&amp;U'!$H13/ROUNDUP(Assumptions!$F$28/12,0),IF(AND(V$300&gt;=Assumptions!$F$29,V$300&lt;Assumptions!$F$33),'S&amp;U'!$H45/ROUNDUP((Assumptions!$F$30+Assumptions!$F$32)/12,0),0))</f>
        <v>0</v>
      </c>
      <c r="W307" s="83">
        <f>+IF(AND(W$300&gt;=Assumptions!$F$27,W$300&lt;Assumptions!$F$29),'S&amp;U'!$H13/ROUNDUP(Assumptions!$F$28/12,0),IF(AND(W$300&gt;=Assumptions!$F$29,W$300&lt;Assumptions!$F$33),'S&amp;U'!$H45/ROUNDUP((Assumptions!$F$30+Assumptions!$F$32)/12,0),0))</f>
        <v>0</v>
      </c>
      <c r="X307" s="83">
        <f>+IF(AND(X$300&gt;=Assumptions!$F$27,X$300&lt;Assumptions!$F$29),'S&amp;U'!$H13/ROUNDUP(Assumptions!$F$28/12,0),IF(AND(X$300&gt;=Assumptions!$F$29,X$300&lt;Assumptions!$F$33),'S&amp;U'!$H45/ROUNDUP((Assumptions!$F$30+Assumptions!$F$32)/12,0),0))</f>
        <v>0</v>
      </c>
      <c r="Y307" s="83">
        <f>+IF(AND(Y$300&gt;=Assumptions!$F$27,Y$300&lt;Assumptions!$F$29),'S&amp;U'!$H13/ROUNDUP(Assumptions!$F$28/12,0),IF(AND(Y$300&gt;=Assumptions!$F$29,Y$300&lt;Assumptions!$F$33),'S&amp;U'!$H45/ROUNDUP((Assumptions!$F$30+Assumptions!$F$32)/12,0),0))</f>
        <v>0</v>
      </c>
      <c r="Z307" s="83">
        <f>+IF(AND(Z$300&gt;=Assumptions!$F$27,Z$300&lt;Assumptions!$F$29),'S&amp;U'!$H13/ROUNDUP(Assumptions!$F$28/12,0),IF(AND(Z$300&gt;=Assumptions!$F$29,Z$300&lt;Assumptions!$F$33),'S&amp;U'!$H45/ROUNDUP((Assumptions!$F$30+Assumptions!$F$32)/12,0),0))</f>
        <v>0</v>
      </c>
      <c r="AA307" s="699"/>
      <c r="AB307" s="699"/>
      <c r="AC307" s="699"/>
      <c r="AD307" s="69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BA307" s="49"/>
      <c r="BB307" s="49"/>
      <c r="BC307" s="49"/>
      <c r="BD307" s="49"/>
      <c r="BE307" s="49"/>
      <c r="BF307" s="49"/>
      <c r="BG307" s="49"/>
      <c r="BH307" s="49"/>
      <c r="BI307" s="49"/>
      <c r="BJ307" s="49"/>
      <c r="BK307" s="49"/>
      <c r="BL307" s="49"/>
      <c r="BM307" s="49"/>
      <c r="BN307" s="49"/>
    </row>
    <row r="308" spans="1:66" ht="15" customHeight="1">
      <c r="A308" s="699"/>
      <c r="B308" s="50" t="s">
        <v>1192</v>
      </c>
      <c r="C308" s="50"/>
      <c r="D308" s="55">
        <f t="shared" ca="1" si="648"/>
        <v>534688588.8380487</v>
      </c>
      <c r="E308" s="55"/>
      <c r="F308" s="55">
        <f ca="1">+SUM(F301:F307)</f>
        <v>181675735.02067354</v>
      </c>
      <c r="G308" s="55">
        <f t="shared" ref="G308:Z308" ca="1" si="649">+SUM(G301:G307)</f>
        <v>117670951.27245837</v>
      </c>
      <c r="H308" s="55">
        <f t="shared" ca="1" si="649"/>
        <v>117670951.27245837</v>
      </c>
      <c r="I308" s="55">
        <f t="shared" ca="1" si="649"/>
        <v>117670951.27245837</v>
      </c>
      <c r="J308" s="55">
        <f t="shared" ca="1" si="649"/>
        <v>0</v>
      </c>
      <c r="K308" s="55">
        <f t="shared" ca="1" si="649"/>
        <v>0</v>
      </c>
      <c r="L308" s="55">
        <f t="shared" si="649"/>
        <v>0</v>
      </c>
      <c r="M308" s="55">
        <f t="shared" si="649"/>
        <v>0</v>
      </c>
      <c r="N308" s="55">
        <f t="shared" si="649"/>
        <v>0</v>
      </c>
      <c r="O308" s="55">
        <f t="shared" si="649"/>
        <v>0</v>
      </c>
      <c r="P308" s="55">
        <f t="shared" si="649"/>
        <v>0</v>
      </c>
      <c r="Q308" s="55">
        <f t="shared" si="649"/>
        <v>0</v>
      </c>
      <c r="R308" s="55">
        <f t="shared" si="649"/>
        <v>0</v>
      </c>
      <c r="S308" s="55">
        <f t="shared" si="649"/>
        <v>0</v>
      </c>
      <c r="T308" s="55">
        <f t="shared" si="649"/>
        <v>0</v>
      </c>
      <c r="U308" s="55">
        <f t="shared" si="649"/>
        <v>0</v>
      </c>
      <c r="V308" s="55">
        <f t="shared" si="649"/>
        <v>0</v>
      </c>
      <c r="W308" s="55">
        <f t="shared" si="649"/>
        <v>0</v>
      </c>
      <c r="X308" s="55">
        <f t="shared" si="649"/>
        <v>0</v>
      </c>
      <c r="Y308" s="55">
        <f t="shared" si="649"/>
        <v>0</v>
      </c>
      <c r="Z308" s="55">
        <f t="shared" si="649"/>
        <v>0</v>
      </c>
      <c r="AA308" s="699"/>
      <c r="AB308" s="699"/>
      <c r="AC308" s="699"/>
      <c r="AD308" s="69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BA308" s="49"/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</row>
    <row r="309" spans="1:66">
      <c r="A309" s="699"/>
      <c r="B309" s="49"/>
      <c r="C309" s="49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699"/>
      <c r="AB309" s="699"/>
      <c r="AC309" s="699"/>
      <c r="AD309" s="69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BA309" s="49"/>
      <c r="BB309" s="49"/>
      <c r="BC309" s="49"/>
      <c r="BD309" s="49"/>
      <c r="BE309" s="49"/>
      <c r="BF309" s="49"/>
      <c r="BG309" s="49"/>
      <c r="BH309" s="49"/>
      <c r="BI309" s="49"/>
      <c r="BJ309" s="49"/>
      <c r="BK309" s="49"/>
      <c r="BL309" s="49"/>
      <c r="BM309" s="49"/>
      <c r="BN309" s="49"/>
    </row>
    <row r="310" spans="1:66" ht="15.75">
      <c r="A310" s="699"/>
      <c r="B310" s="112" t="s">
        <v>1193</v>
      </c>
      <c r="C310" s="49"/>
      <c r="D310" s="49"/>
      <c r="E310" s="49"/>
      <c r="F310" s="148">
        <f>+Assumptions!$F$27</f>
        <v>45291</v>
      </c>
      <c r="G310" s="148">
        <f>+EOMONTH(F310,12)</f>
        <v>45657</v>
      </c>
      <c r="H310" s="148">
        <f t="shared" ref="H310" si="650">+EOMONTH(G310,12)</f>
        <v>46022</v>
      </c>
      <c r="I310" s="148">
        <f t="shared" ref="I310" si="651">+EOMONTH(H310,12)</f>
        <v>46387</v>
      </c>
      <c r="J310" s="148">
        <f t="shared" ref="J310" si="652">+EOMONTH(I310,12)</f>
        <v>46752</v>
      </c>
      <c r="K310" s="148">
        <f t="shared" ref="K310" si="653">+EOMONTH(J310,12)</f>
        <v>47118</v>
      </c>
      <c r="L310" s="148">
        <f t="shared" ref="L310" si="654">+EOMONTH(K310,12)</f>
        <v>47483</v>
      </c>
      <c r="M310" s="148">
        <f t="shared" ref="M310" si="655">+EOMONTH(L310,12)</f>
        <v>47848</v>
      </c>
      <c r="N310" s="148">
        <f t="shared" ref="N310" si="656">+EOMONTH(M310,12)</f>
        <v>48213</v>
      </c>
      <c r="O310" s="148">
        <f t="shared" ref="O310" si="657">+EOMONTH(N310,12)</f>
        <v>48579</v>
      </c>
      <c r="P310" s="148">
        <f t="shared" ref="P310" si="658">+EOMONTH(O310,12)</f>
        <v>48944</v>
      </c>
      <c r="Q310" s="148">
        <f t="shared" ref="Q310" si="659">+EOMONTH(P310,12)</f>
        <v>49309</v>
      </c>
      <c r="R310" s="148">
        <f t="shared" ref="R310" si="660">+EOMONTH(Q310,12)</f>
        <v>49674</v>
      </c>
      <c r="S310" s="148">
        <f t="shared" ref="S310" si="661">+EOMONTH(R310,12)</f>
        <v>50040</v>
      </c>
      <c r="T310" s="148">
        <f t="shared" ref="T310" si="662">+EOMONTH(S310,12)</f>
        <v>50405</v>
      </c>
      <c r="U310" s="148">
        <f t="shared" ref="U310" si="663">+EOMONTH(T310,12)</f>
        <v>50770</v>
      </c>
      <c r="V310" s="148">
        <f t="shared" ref="V310" si="664">+EOMONTH(U310,12)</f>
        <v>51135</v>
      </c>
      <c r="W310" s="148">
        <f t="shared" ref="W310" si="665">+EOMONTH(V310,12)</f>
        <v>51501</v>
      </c>
      <c r="X310" s="148">
        <f t="shared" ref="X310" si="666">+EOMONTH(W310,12)</f>
        <v>51866</v>
      </c>
      <c r="Y310" s="148">
        <f t="shared" ref="Y310" si="667">+EOMONTH(X310,12)</f>
        <v>52231</v>
      </c>
      <c r="Z310" s="148">
        <f t="shared" ref="Z310" si="668">+EOMONTH(Y310,12)</f>
        <v>52596</v>
      </c>
      <c r="AA310" s="699"/>
      <c r="AB310" s="699"/>
      <c r="AC310" s="699"/>
      <c r="AD310" s="69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BA310" s="49"/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</row>
    <row r="311" spans="1:66" ht="15.75">
      <c r="A311" s="699" t="s">
        <v>511</v>
      </c>
      <c r="B311" s="699" t="s">
        <v>1194</v>
      </c>
      <c r="C311" s="49"/>
      <c r="D311" s="94">
        <f ca="1">+SUM(F311:Z311)</f>
        <v>115496090.7446782</v>
      </c>
      <c r="E311" s="94"/>
      <c r="F311" s="83">
        <f ca="1">+MIN('S&amp;U'!$H23-SUM($E311:E311),F$308)</f>
        <v>115496090.74467814</v>
      </c>
      <c r="G311" s="83">
        <f ca="1">+MIN('S&amp;U'!$H23-SUM($E311:F311),G$308)</f>
        <v>0</v>
      </c>
      <c r="H311" s="83">
        <f ca="1">+MIN('S&amp;U'!$H23-SUM($E311:G311),H$308)</f>
        <v>0</v>
      </c>
      <c r="I311" s="83">
        <f ca="1">+MIN('S&amp;U'!$H23-SUM($E311:H311),I$308)</f>
        <v>0</v>
      </c>
      <c r="J311" s="83">
        <f ca="1">+MIN('S&amp;U'!$H23-SUM($E311:I311),J$308)</f>
        <v>0</v>
      </c>
      <c r="K311" s="83">
        <f ca="1">+MIN('S&amp;U'!$H23-SUM($E311:J311),K$308)</f>
        <v>0</v>
      </c>
      <c r="L311" s="83">
        <f ca="1">+MIN('S&amp;U'!$H23-SUM($E311:K311),L$308)</f>
        <v>0</v>
      </c>
      <c r="M311" s="83">
        <f ca="1">+MIN('S&amp;U'!$H23-SUM($E311:L311),M$308)</f>
        <v>0</v>
      </c>
      <c r="N311" s="83">
        <f ca="1">+MIN('S&amp;U'!$H23-SUM($E311:M311),N$308)</f>
        <v>0</v>
      </c>
      <c r="O311" s="83">
        <f ca="1">+MIN('S&amp;U'!$H23-SUM($E311:N311),O$308)</f>
        <v>0</v>
      </c>
      <c r="P311" s="83">
        <f ca="1">+MIN('S&amp;U'!$H23-SUM($E311:O311),P$308)</f>
        <v>0</v>
      </c>
      <c r="Q311" s="83">
        <f ca="1">+MIN('S&amp;U'!$H23-SUM($E311:P311),Q$308)</f>
        <v>0</v>
      </c>
      <c r="R311" s="83">
        <f ca="1">+MIN('S&amp;U'!$H23-SUM($E311:Q311),R$308)</f>
        <v>0</v>
      </c>
      <c r="S311" s="83">
        <f ca="1">+MIN('S&amp;U'!$H23-SUM($E311:R311),S$308)</f>
        <v>0</v>
      </c>
      <c r="T311" s="83">
        <f ca="1">+MIN('S&amp;U'!$H23-SUM($E311:S311),T$308)</f>
        <v>0</v>
      </c>
      <c r="U311" s="83">
        <f ca="1">+MIN('S&amp;U'!$H23-SUM($E311:T311),U$308)</f>
        <v>0</v>
      </c>
      <c r="V311" s="83">
        <f ca="1">+MIN('S&amp;U'!$H23-SUM($E311:U311),V$308)</f>
        <v>0</v>
      </c>
      <c r="W311" s="83">
        <f ca="1">+MIN('S&amp;U'!$H23-SUM($E311:V311),W$308)</f>
        <v>0</v>
      </c>
      <c r="X311" s="83">
        <f ca="1">+MIN('S&amp;U'!$H23-SUM($E311:W311),X$308)</f>
        <v>0</v>
      </c>
      <c r="Y311" s="83">
        <f ca="1">+MIN('S&amp;U'!$H23-SUM($E311:X311),Y$308)</f>
        <v>0</v>
      </c>
      <c r="Z311" s="83">
        <f ca="1">+MIN('S&amp;U'!$H23-SUM($E311:Y311),Z$308)</f>
        <v>0</v>
      </c>
      <c r="AA311" s="699"/>
      <c r="AB311" s="699"/>
      <c r="AC311" s="699"/>
      <c r="AD311" s="69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BA311" s="49"/>
      <c r="BB311" s="49"/>
      <c r="BC311" s="49"/>
      <c r="BD311" s="49"/>
      <c r="BE311" s="49"/>
      <c r="BF311" s="49"/>
      <c r="BG311" s="49"/>
      <c r="BH311" s="49"/>
      <c r="BI311" s="49"/>
      <c r="BJ311" s="49"/>
      <c r="BK311" s="49"/>
      <c r="BL311" s="49"/>
      <c r="BM311" s="49"/>
      <c r="BN311" s="49"/>
    </row>
    <row r="312" spans="1:66" ht="15.75">
      <c r="A312" s="699"/>
      <c r="B312" s="699"/>
      <c r="C312" s="49"/>
      <c r="D312" s="94">
        <f t="shared" ref="D312:D317" ca="1" si="669">+SUM(F312:Z312)</f>
        <v>0</v>
      </c>
      <c r="E312" s="94"/>
      <c r="F312" s="83">
        <f ca="1">+MIN('S&amp;U'!$H19-SUM($E312:E312),F$308-SUM(F$311:F311))</f>
        <v>0</v>
      </c>
      <c r="G312" s="83">
        <f ca="1">+MIN('S&amp;U'!$H19-SUM($E312:F312),G$308-SUM(G$311:G311))</f>
        <v>0</v>
      </c>
      <c r="H312" s="83">
        <f ca="1">+MIN('S&amp;U'!$H19-SUM($E312:G312),H$308-SUM(H$311:H311))</f>
        <v>0</v>
      </c>
      <c r="I312" s="83">
        <f ca="1">+MIN('S&amp;U'!$H19-SUM($E312:H312),I$308-SUM(I$311:I311))</f>
        <v>0</v>
      </c>
      <c r="J312" s="83">
        <f ca="1">+MIN('S&amp;U'!$H19-SUM($E312:I312),J$308-SUM(J$311:J311))</f>
        <v>0</v>
      </c>
      <c r="K312" s="83">
        <f ca="1">+MIN('S&amp;U'!$H19-SUM($E312:J312),K$308-SUM(K$311:K311))</f>
        <v>0</v>
      </c>
      <c r="L312" s="83">
        <f ca="1">+MIN('S&amp;U'!$H19-SUM($E312:K312),L$308-SUM(L$311:L311))</f>
        <v>0</v>
      </c>
      <c r="M312" s="83">
        <f ca="1">+MIN('S&amp;U'!$H19-SUM($E312:L312),M$308-SUM(M$311:M311))</f>
        <v>0</v>
      </c>
      <c r="N312" s="83">
        <f ca="1">+MIN('S&amp;U'!$H19-SUM($E312:M312),N$308-SUM(N$311:N311))</f>
        <v>0</v>
      </c>
      <c r="O312" s="83">
        <f ca="1">+MIN('S&amp;U'!$H19-SUM($E312:N312),O$308-SUM(O$311:O311))</f>
        <v>0</v>
      </c>
      <c r="P312" s="83">
        <f ca="1">+MIN('S&amp;U'!$H19-SUM($E312:O312),P$308-SUM(P$311:P311))</f>
        <v>0</v>
      </c>
      <c r="Q312" s="83">
        <f ca="1">+MIN('S&amp;U'!$H19-SUM($E312:P312),Q$308-SUM(Q$311:Q311))</f>
        <v>0</v>
      </c>
      <c r="R312" s="83">
        <f ca="1">+MIN('S&amp;U'!$H19-SUM($E312:Q312),R$308-SUM(R$311:R311))</f>
        <v>0</v>
      </c>
      <c r="S312" s="83">
        <f ca="1">+MIN('S&amp;U'!$H19-SUM($E312:R312),S$308-SUM(S$311:S311))</f>
        <v>0</v>
      </c>
      <c r="T312" s="83">
        <f ca="1">+MIN('S&amp;U'!$H19-SUM($E312:S312),T$308-SUM(T$311:T311))</f>
        <v>0</v>
      </c>
      <c r="U312" s="83">
        <f ca="1">+MIN('S&amp;U'!$H19-SUM($E312:T312),U$308-SUM(U$311:U311))</f>
        <v>0</v>
      </c>
      <c r="V312" s="83">
        <f ca="1">+MIN('S&amp;U'!$H19-SUM($E312:U312),V$308-SUM(V$311:V311))</f>
        <v>0</v>
      </c>
      <c r="W312" s="83">
        <f ca="1">+MIN('S&amp;U'!$H19-SUM($E312:V312),W$308-SUM(W$311:W311))</f>
        <v>0</v>
      </c>
      <c r="X312" s="83">
        <f ca="1">+MIN('S&amp;U'!$H19-SUM($E312:W312),X$308-SUM(X$311:X311))</f>
        <v>0</v>
      </c>
      <c r="Y312" s="83">
        <f ca="1">+MIN('S&amp;U'!$H19-SUM($E312:X312),Y$308-SUM(Y$311:Y311))</f>
        <v>0</v>
      </c>
      <c r="Z312" s="83">
        <f ca="1">+MIN('S&amp;U'!$H19-SUM($E312:Y312),Z$308-SUM(Z$311:Z311))</f>
        <v>0</v>
      </c>
      <c r="AA312" s="699"/>
      <c r="AB312" s="699"/>
      <c r="AC312" s="699"/>
      <c r="AD312" s="69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BA312" s="49"/>
      <c r="BB312" s="49"/>
      <c r="BC312" s="49"/>
      <c r="BD312" s="49"/>
      <c r="BE312" s="49"/>
      <c r="BF312" s="49"/>
      <c r="BG312" s="49"/>
      <c r="BH312" s="49"/>
      <c r="BI312" s="49"/>
      <c r="BJ312" s="49"/>
      <c r="BK312" s="49"/>
      <c r="BL312" s="49"/>
      <c r="BM312" s="49"/>
      <c r="BN312" s="49"/>
    </row>
    <row r="313" spans="1:66" ht="15.75">
      <c r="A313" s="699"/>
      <c r="B313" s="699" t="s">
        <v>1195</v>
      </c>
      <c r="C313" s="49"/>
      <c r="D313" s="94">
        <f t="shared" ca="1" si="669"/>
        <v>96083432.146206573</v>
      </c>
      <c r="E313" s="94"/>
      <c r="F313" s="83">
        <f ca="1">+MIN('S&amp;U'!$H20-SUM($E313:E313),F$308-SUM(F$311:F312))</f>
        <v>66179644.275995404</v>
      </c>
      <c r="G313" s="83">
        <f ca="1">+MIN('S&amp;U'!$H20-SUM($E313:F313),G$308-SUM(G$311:G312))</f>
        <v>29903787.870211169</v>
      </c>
      <c r="H313" s="83">
        <f ca="1">+MIN('S&amp;U'!$H20-SUM($E313:G313),H$308-SUM(H$311:H312))</f>
        <v>0</v>
      </c>
      <c r="I313" s="83">
        <f ca="1">+MIN('S&amp;U'!$H20-SUM($E313:H313),I$308-SUM(I$311:I312))</f>
        <v>0</v>
      </c>
      <c r="J313" s="83">
        <f ca="1">+MIN('S&amp;U'!$H20-SUM($E313:I313),J$308-SUM(J$311:J312))</f>
        <v>0</v>
      </c>
      <c r="K313" s="83">
        <f ca="1">+MIN('S&amp;U'!$H20-SUM($E313:J313),K$308-SUM(K$311:K312))</f>
        <v>0</v>
      </c>
      <c r="L313" s="83">
        <f ca="1">+MIN('S&amp;U'!$H20-SUM($E313:K313),L$308-SUM(L$311:L312))</f>
        <v>0</v>
      </c>
      <c r="M313" s="83">
        <f ca="1">+MIN('S&amp;U'!$H20-SUM($E313:L313),M$308-SUM(M$311:M312))</f>
        <v>0</v>
      </c>
      <c r="N313" s="83">
        <f ca="1">+MIN('S&amp;U'!$H20-SUM($E313:M313),N$308-SUM(N$311:N312))</f>
        <v>0</v>
      </c>
      <c r="O313" s="83">
        <f ca="1">+MIN('S&amp;U'!$H20-SUM($E313:N313),O$308-SUM(O$311:O312))</f>
        <v>0</v>
      </c>
      <c r="P313" s="83">
        <f ca="1">+MIN('S&amp;U'!$H20-SUM($E313:O313),P$308-SUM(P$311:P312))</f>
        <v>0</v>
      </c>
      <c r="Q313" s="83">
        <f ca="1">+MIN('S&amp;U'!$H20-SUM($E313:P313),Q$308-SUM(Q$311:Q312))</f>
        <v>0</v>
      </c>
      <c r="R313" s="83">
        <f ca="1">+MIN('S&amp;U'!$H20-SUM($E313:Q313),R$308-SUM(R$311:R312))</f>
        <v>0</v>
      </c>
      <c r="S313" s="83">
        <f ca="1">+MIN('S&amp;U'!$H20-SUM($E313:R313),S$308-SUM(S$311:S312))</f>
        <v>0</v>
      </c>
      <c r="T313" s="83">
        <f ca="1">+MIN('S&amp;U'!$H20-SUM($E313:S313),T$308-SUM(T$311:T312))</f>
        <v>0</v>
      </c>
      <c r="U313" s="83">
        <f ca="1">+MIN('S&amp;U'!$H20-SUM($E313:T313),U$308-SUM(U$311:U312))</f>
        <v>0</v>
      </c>
      <c r="V313" s="83">
        <f ca="1">+MIN('S&amp;U'!$H20-SUM($E313:U313),V$308-SUM(V$311:V312))</f>
        <v>0</v>
      </c>
      <c r="W313" s="83">
        <f ca="1">+MIN('S&amp;U'!$H20-SUM($E313:V313),W$308-SUM(W$311:W312))</f>
        <v>0</v>
      </c>
      <c r="X313" s="83">
        <f ca="1">+MIN('S&amp;U'!$H20-SUM($E313:W313),X$308-SUM(X$311:X312))</f>
        <v>0</v>
      </c>
      <c r="Y313" s="83">
        <f ca="1">+MIN('S&amp;U'!$H20-SUM($E313:X313),Y$308-SUM(Y$311:Y312))</f>
        <v>0</v>
      </c>
      <c r="Z313" s="83">
        <f ca="1">+MIN('S&amp;U'!$H20-SUM($E313:Y313),Z$308-SUM(Z$311:Z312))</f>
        <v>0</v>
      </c>
      <c r="AA313" s="699"/>
      <c r="AB313" s="699"/>
      <c r="AC313" s="699"/>
      <c r="AD313" s="69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BA313" s="49"/>
      <c r="BB313" s="49"/>
      <c r="BC313" s="49"/>
      <c r="BD313" s="49"/>
      <c r="BE313" s="49"/>
      <c r="BF313" s="49"/>
      <c r="BG313" s="49"/>
      <c r="BH313" s="49"/>
      <c r="BI313" s="49"/>
      <c r="BJ313" s="49"/>
      <c r="BK313" s="49"/>
      <c r="BL313" s="49"/>
      <c r="BM313" s="49"/>
      <c r="BN313" s="49"/>
    </row>
    <row r="314" spans="1:66" ht="15.75">
      <c r="A314" s="699"/>
      <c r="B314" s="699" t="s">
        <v>1196</v>
      </c>
      <c r="C314" s="49"/>
      <c r="D314" s="94">
        <f t="shared" ca="1" si="669"/>
        <v>0</v>
      </c>
      <c r="E314" s="94"/>
      <c r="F314" s="83">
        <f ca="1">+MIN('S&amp;U'!$H21-SUM($E314:E314),F$308-SUM(F$311:F313))</f>
        <v>0</v>
      </c>
      <c r="G314" s="83">
        <f ca="1">+MIN('S&amp;U'!$H21-SUM($E314:F314),G$308-SUM(G$311:G313))</f>
        <v>0</v>
      </c>
      <c r="H314" s="83">
        <f ca="1">+MIN('S&amp;U'!$H21-SUM($E314:G314),H$308-SUM(H$311:H313))</f>
        <v>0</v>
      </c>
      <c r="I314" s="83">
        <f ca="1">+MIN('S&amp;U'!$H21-SUM($E314:H314),I$308-SUM(I$311:I313))</f>
        <v>0</v>
      </c>
      <c r="J314" s="83">
        <f ca="1">+MIN('S&amp;U'!$H21-SUM($E314:I314),J$308-SUM(J$311:J313))</f>
        <v>0</v>
      </c>
      <c r="K314" s="83">
        <f ca="1">+MIN('S&amp;U'!$H21-SUM($E314:J314),K$308-SUM(K$311:K313))</f>
        <v>0</v>
      </c>
      <c r="L314" s="83">
        <f ca="1">+MIN('S&amp;U'!$H21-SUM($E314:K314),L$308-SUM(L$311:L313))</f>
        <v>0</v>
      </c>
      <c r="M314" s="83">
        <f ca="1">+MIN('S&amp;U'!$H21-SUM($E314:L314),M$308-SUM(M$311:M313))</f>
        <v>0</v>
      </c>
      <c r="N314" s="83">
        <f ca="1">+MIN('S&amp;U'!$H21-SUM($E314:M314),N$308-SUM(N$311:N313))</f>
        <v>0</v>
      </c>
      <c r="O314" s="83">
        <f ca="1">+MIN('S&amp;U'!$H21-SUM($E314:N314),O$308-SUM(O$311:O313))</f>
        <v>0</v>
      </c>
      <c r="P314" s="83">
        <f ca="1">+MIN('S&amp;U'!$H21-SUM($E314:O314),P$308-SUM(P$311:P313))</f>
        <v>0</v>
      </c>
      <c r="Q314" s="83">
        <f ca="1">+MIN('S&amp;U'!$H21-SUM($E314:P314),Q$308-SUM(Q$311:Q313))</f>
        <v>0</v>
      </c>
      <c r="R314" s="83">
        <f ca="1">+MIN('S&amp;U'!$H21-SUM($E314:Q314),R$308-SUM(R$311:R313))</f>
        <v>0</v>
      </c>
      <c r="S314" s="83">
        <f ca="1">+MIN('S&amp;U'!$H21-SUM($E314:R314),S$308-SUM(S$311:S313))</f>
        <v>0</v>
      </c>
      <c r="T314" s="83">
        <f ca="1">+MIN('S&amp;U'!$H21-SUM($E314:S314),T$308-SUM(T$311:T313))</f>
        <v>0</v>
      </c>
      <c r="U314" s="83">
        <f ca="1">+MIN('S&amp;U'!$H21-SUM($E314:T314),U$308-SUM(U$311:U313))</f>
        <v>0</v>
      </c>
      <c r="V314" s="83">
        <f ca="1">+MIN('S&amp;U'!$H21-SUM($E314:U314),V$308-SUM(V$311:V313))</f>
        <v>0</v>
      </c>
      <c r="W314" s="83">
        <f ca="1">+MIN('S&amp;U'!$H21-SUM($E314:V314),W$308-SUM(W$311:W313))</f>
        <v>0</v>
      </c>
      <c r="X314" s="83">
        <f ca="1">+MIN('S&amp;U'!$H21-SUM($E314:W314),X$308-SUM(X$311:X313))</f>
        <v>0</v>
      </c>
      <c r="Y314" s="83">
        <f ca="1">+MIN('S&amp;U'!$H21-SUM($E314:X314),Y$308-SUM(Y$311:Y313))</f>
        <v>0</v>
      </c>
      <c r="Z314" s="83">
        <f ca="1">+MIN('S&amp;U'!$H21-SUM($E314:Y314),Z$308-SUM(Z$311:Z313))</f>
        <v>0</v>
      </c>
      <c r="AA314" s="699"/>
      <c r="AB314" s="699"/>
      <c r="AC314" s="699"/>
      <c r="AD314" s="69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BA314" s="49"/>
      <c r="BB314" s="49"/>
      <c r="BC314" s="49"/>
      <c r="BD314" s="49"/>
      <c r="BE314" s="49"/>
      <c r="BF314" s="49"/>
      <c r="BG314" s="49"/>
      <c r="BH314" s="49"/>
      <c r="BI314" s="49"/>
      <c r="BJ314" s="49"/>
      <c r="BK314" s="49"/>
      <c r="BL314" s="49"/>
      <c r="BM314" s="49"/>
      <c r="BN314" s="49"/>
    </row>
    <row r="315" spans="1:66" ht="15.75">
      <c r="A315" s="699"/>
      <c r="B315" s="699" t="s">
        <v>1197</v>
      </c>
      <c r="C315" s="49"/>
      <c r="D315" s="94">
        <f t="shared" ca="1" si="669"/>
        <v>0</v>
      </c>
      <c r="E315" s="94"/>
      <c r="F315" s="83">
        <f ca="1">+MIN('S&amp;U'!$H22-SUM($E315:E315),F$308-SUM(F$311:F314))</f>
        <v>0</v>
      </c>
      <c r="G315" s="83">
        <f ca="1">+MIN('S&amp;U'!$H22-SUM($E315:F315),G$308-SUM(G$311:G314))</f>
        <v>0</v>
      </c>
      <c r="H315" s="83">
        <f ca="1">+MIN('S&amp;U'!$H22-SUM($E315:G315),H$308-SUM(H$311:H314))</f>
        <v>0</v>
      </c>
      <c r="I315" s="83">
        <f ca="1">+MIN('S&amp;U'!$H22-SUM($E315:H315),I$308-SUM(I$311:I314))</f>
        <v>0</v>
      </c>
      <c r="J315" s="83">
        <f ca="1">+MIN('S&amp;U'!$H22-SUM($E315:I315),J$308-SUM(J$311:J314))</f>
        <v>0</v>
      </c>
      <c r="K315" s="83">
        <f ca="1">+MIN('S&amp;U'!$H22-SUM($E315:J315),K$308-SUM(K$311:K314))</f>
        <v>0</v>
      </c>
      <c r="L315" s="83">
        <f ca="1">+MIN('S&amp;U'!$H22-SUM($E315:K315),L$308-SUM(L$311:L314))</f>
        <v>0</v>
      </c>
      <c r="M315" s="83">
        <f ca="1">+MIN('S&amp;U'!$H22-SUM($E315:L315),M$308-SUM(M$311:M314))</f>
        <v>0</v>
      </c>
      <c r="N315" s="83">
        <f ca="1">+MIN('S&amp;U'!$H22-SUM($E315:M315),N$308-SUM(N$311:N314))</f>
        <v>0</v>
      </c>
      <c r="O315" s="83">
        <f ca="1">+MIN('S&amp;U'!$H22-SUM($E315:N315),O$308-SUM(O$311:O314))</f>
        <v>0</v>
      </c>
      <c r="P315" s="83">
        <f ca="1">+MIN('S&amp;U'!$H22-SUM($E315:O315),P$308-SUM(P$311:P314))</f>
        <v>0</v>
      </c>
      <c r="Q315" s="83">
        <f ca="1">+MIN('S&amp;U'!$H22-SUM($E315:P315),Q$308-SUM(Q$311:Q314))</f>
        <v>0</v>
      </c>
      <c r="R315" s="83">
        <f ca="1">+MIN('S&amp;U'!$H22-SUM($E315:Q315),R$308-SUM(R$311:R314))</f>
        <v>0</v>
      </c>
      <c r="S315" s="83">
        <f ca="1">+MIN('S&amp;U'!$H22-SUM($E315:R315),S$308-SUM(S$311:S314))</f>
        <v>0</v>
      </c>
      <c r="T315" s="83">
        <f ca="1">+MIN('S&amp;U'!$H22-SUM($E315:S315),T$308-SUM(T$311:T314))</f>
        <v>0</v>
      </c>
      <c r="U315" s="83">
        <f ca="1">+MIN('S&amp;U'!$H22-SUM($E315:T315),U$308-SUM(U$311:U314))</f>
        <v>0</v>
      </c>
      <c r="V315" s="83">
        <f ca="1">+MIN('S&amp;U'!$H22-SUM($E315:U315),V$308-SUM(V$311:V314))</f>
        <v>0</v>
      </c>
      <c r="W315" s="83">
        <f ca="1">+MIN('S&amp;U'!$H22-SUM($E315:V315),W$308-SUM(W$311:W314))</f>
        <v>0</v>
      </c>
      <c r="X315" s="83">
        <f ca="1">+MIN('S&amp;U'!$H22-SUM($E315:W315),X$308-SUM(X$311:X314))</f>
        <v>0</v>
      </c>
      <c r="Y315" s="83">
        <f ca="1">+MIN('S&amp;U'!$H22-SUM($E315:X315),Y$308-SUM(Y$311:Y314))</f>
        <v>0</v>
      </c>
      <c r="Z315" s="83">
        <f ca="1">+MIN('S&amp;U'!$H22-SUM($E315:Y315),Z$308-SUM(Z$311:Z314))</f>
        <v>0</v>
      </c>
      <c r="AA315" s="699"/>
      <c r="AB315" s="699"/>
      <c r="AC315" s="699"/>
      <c r="AD315" s="69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BA315" s="49"/>
      <c r="BB315" s="49"/>
      <c r="BC315" s="49"/>
      <c r="BD315" s="49"/>
      <c r="BE315" s="49"/>
      <c r="BF315" s="49"/>
      <c r="BG315" s="49"/>
      <c r="BH315" s="49"/>
      <c r="BI315" s="49"/>
      <c r="BJ315" s="49"/>
      <c r="BK315" s="49"/>
      <c r="BL315" s="49"/>
      <c r="BM315" s="49"/>
      <c r="BN315" s="49"/>
    </row>
    <row r="316" spans="1:66" ht="15.75">
      <c r="A316" s="699"/>
      <c r="B316" s="699" t="s">
        <v>323</v>
      </c>
      <c r="C316" s="49"/>
      <c r="D316" s="94">
        <f t="shared" ca="1" si="669"/>
        <v>275219018.29116279</v>
      </c>
      <c r="E316" s="94"/>
      <c r="F316" s="83">
        <f ca="1">+MIN('S&amp;U'!$H17-SUM($E316:E316),F$308-SUM(F$311:F315))</f>
        <v>0</v>
      </c>
      <c r="G316" s="83">
        <f ca="1">+MIN('S&amp;U'!$H17-SUM($E316:F316),G$308-SUM(G$311:G315))</f>
        <v>87767163.402247205</v>
      </c>
      <c r="H316" s="83">
        <f ca="1">+MIN('S&amp;U'!$H17-SUM($E316:G316),H$308-SUM(H$311:H315))</f>
        <v>117670951.27245837</v>
      </c>
      <c r="I316" s="83">
        <f ca="1">+MIN('S&amp;U'!$H17-SUM($E316:H316),I$308-SUM(I$311:I315))</f>
        <v>69780903.616457343</v>
      </c>
      <c r="J316" s="83">
        <f ca="1">+MIN('S&amp;U'!$H17-SUM($E316:I316),J$308-SUM(J$311:J315))</f>
        <v>0</v>
      </c>
      <c r="K316" s="83">
        <f ca="1">+MIN('S&amp;U'!$H17-SUM($E316:J316),K$308-SUM(K$311:K315))</f>
        <v>0</v>
      </c>
      <c r="L316" s="83">
        <f ca="1">+MIN('S&amp;U'!$H17-SUM($E316:K316),L$308-SUM(L$311:L315))</f>
        <v>0</v>
      </c>
      <c r="M316" s="83">
        <f ca="1">+MIN('S&amp;U'!$H17-SUM($E316:L316),M$308-SUM(M$311:M315))</f>
        <v>0</v>
      </c>
      <c r="N316" s="83">
        <f ca="1">+MIN('S&amp;U'!$H17-SUM($E316:M316),N$308-SUM(N$311:N315))</f>
        <v>0</v>
      </c>
      <c r="O316" s="83">
        <f ca="1">+MIN('S&amp;U'!$H17-SUM($E316:N316),O$308-SUM(O$311:O315))</f>
        <v>0</v>
      </c>
      <c r="P316" s="83">
        <f ca="1">+MIN('S&amp;U'!$H17-SUM($E316:O316),P$308-SUM(P$311:P315))</f>
        <v>0</v>
      </c>
      <c r="Q316" s="83">
        <f ca="1">+MIN('S&amp;U'!$H17-SUM($E316:P316),Q$308-SUM(Q$311:Q315))</f>
        <v>0</v>
      </c>
      <c r="R316" s="83">
        <f ca="1">+MIN('S&amp;U'!$H17-SUM($E316:Q316),R$308-SUM(R$311:R315))</f>
        <v>0</v>
      </c>
      <c r="S316" s="83">
        <f ca="1">+MIN('S&amp;U'!$H17-SUM($E316:R316),S$308-SUM(S$311:S315))</f>
        <v>0</v>
      </c>
      <c r="T316" s="83">
        <f ca="1">+MIN('S&amp;U'!$H17-SUM($E316:S316),T$308-SUM(T$311:T315))</f>
        <v>0</v>
      </c>
      <c r="U316" s="83">
        <f ca="1">+MIN('S&amp;U'!$H17-SUM($E316:T316),U$308-SUM(U$311:U315))</f>
        <v>0</v>
      </c>
      <c r="V316" s="83">
        <f ca="1">+MIN('S&amp;U'!$H17-SUM($E316:U316),V$308-SUM(V$311:V315))</f>
        <v>0</v>
      </c>
      <c r="W316" s="83">
        <f ca="1">+MIN('S&amp;U'!$H17-SUM($E316:V316),W$308-SUM(W$311:W315))</f>
        <v>0</v>
      </c>
      <c r="X316" s="83">
        <f ca="1">+MIN('S&amp;U'!$H17-SUM($E316:W316),X$308-SUM(X$311:X315))</f>
        <v>0</v>
      </c>
      <c r="Y316" s="83">
        <f ca="1">+MIN('S&amp;U'!$H17-SUM($E316:X316),Y$308-SUM(Y$311:Y315))</f>
        <v>0</v>
      </c>
      <c r="Z316" s="83">
        <f ca="1">+MIN('S&amp;U'!$H17-SUM($E316:Y316),Z$308-SUM(Z$311:Z315))</f>
        <v>0</v>
      </c>
      <c r="AA316" s="699"/>
      <c r="AB316" s="699"/>
      <c r="AC316" s="699"/>
      <c r="AD316" s="69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BA316" s="49"/>
      <c r="BB316" s="49"/>
      <c r="BC316" s="49"/>
      <c r="BD316" s="49"/>
      <c r="BE316" s="49"/>
      <c r="BF316" s="49"/>
      <c r="BG316" s="49"/>
      <c r="BH316" s="49"/>
      <c r="BI316" s="49"/>
      <c r="BJ316" s="49"/>
      <c r="BK316" s="49"/>
      <c r="BL316" s="49"/>
      <c r="BM316" s="49"/>
      <c r="BN316" s="49"/>
    </row>
    <row r="317" spans="1:66" ht="15.75">
      <c r="A317" s="699"/>
      <c r="B317" s="699" t="s">
        <v>326</v>
      </c>
      <c r="C317" s="49"/>
      <c r="D317" s="94">
        <f t="shared" ca="1" si="669"/>
        <v>47890047.656001091</v>
      </c>
      <c r="E317" s="94"/>
      <c r="F317" s="83">
        <f ca="1">+MIN('S&amp;U'!$H18-SUM($E317:E317),F$308-SUM(F$311:F316))</f>
        <v>0</v>
      </c>
      <c r="G317" s="83">
        <f ca="1">+MIN('S&amp;U'!$H18-SUM($E317:F317),G$308-SUM(G$311:G316))</f>
        <v>0</v>
      </c>
      <c r="H317" s="83">
        <f ca="1">+MIN('S&amp;U'!$H18-SUM($E317:G317),H$308-SUM(H$311:H316))</f>
        <v>0</v>
      </c>
      <c r="I317" s="83">
        <f ca="1">+MIN('S&amp;U'!$H18-SUM($E317:H317),I$308-SUM(I$311:I316))</f>
        <v>47890047.656001031</v>
      </c>
      <c r="J317" s="83">
        <f ca="1">+MIN('S&amp;U'!$H18-SUM($E317:I317),J$308-SUM(J$311:J316))</f>
        <v>0</v>
      </c>
      <c r="K317" s="83">
        <f ca="1">+MIN('S&amp;U'!$H18-SUM($E317:J317),K$308-SUM(K$311:K316))</f>
        <v>0</v>
      </c>
      <c r="L317" s="83">
        <f ca="1">+MIN('S&amp;U'!$H18-SUM($E317:K317),L$308-SUM(L$311:L316))</f>
        <v>0</v>
      </c>
      <c r="M317" s="83">
        <f ca="1">+MIN('S&amp;U'!$H18-SUM($E317:L317),M$308-SUM(M$311:M316))</f>
        <v>0</v>
      </c>
      <c r="N317" s="83">
        <f ca="1">+MIN('S&amp;U'!$H18-SUM($E317:M317),N$308-SUM(N$311:N316))</f>
        <v>0</v>
      </c>
      <c r="O317" s="83">
        <f ca="1">+MIN('S&amp;U'!$H18-SUM($E317:N317),O$308-SUM(O$311:O316))</f>
        <v>0</v>
      </c>
      <c r="P317" s="83">
        <f ca="1">+MIN('S&amp;U'!$H18-SUM($E317:O317),P$308-SUM(P$311:P316))</f>
        <v>0</v>
      </c>
      <c r="Q317" s="83">
        <f ca="1">+MIN('S&amp;U'!$H18-SUM($E317:P317),Q$308-SUM(Q$311:Q316))</f>
        <v>0</v>
      </c>
      <c r="R317" s="83">
        <f ca="1">+MIN('S&amp;U'!$H18-SUM($E317:Q317),R$308-SUM(R$311:R316))</f>
        <v>0</v>
      </c>
      <c r="S317" s="83">
        <f ca="1">+MIN('S&amp;U'!$H18-SUM($E317:R317),S$308-SUM(S$311:S316))</f>
        <v>0</v>
      </c>
      <c r="T317" s="83">
        <f ca="1">+MIN('S&amp;U'!$H18-SUM($E317:S317),T$308-SUM(T$311:T316))</f>
        <v>0</v>
      </c>
      <c r="U317" s="83">
        <f ca="1">+MIN('S&amp;U'!$H18-SUM($E317:T317),U$308-SUM(U$311:U316))</f>
        <v>0</v>
      </c>
      <c r="V317" s="83">
        <f ca="1">+MIN('S&amp;U'!$H18-SUM($E317:U317),V$308-SUM(V$311:V316))</f>
        <v>0</v>
      </c>
      <c r="W317" s="83">
        <f ca="1">+MIN('S&amp;U'!$H18-SUM($E317:V317),W$308-SUM(W$311:W316))</f>
        <v>0</v>
      </c>
      <c r="X317" s="83">
        <f ca="1">+MIN('S&amp;U'!$H18-SUM($E317:W317),X$308-SUM(X$311:X316))</f>
        <v>0</v>
      </c>
      <c r="Y317" s="83">
        <f ca="1">+MIN('S&amp;U'!$H18-SUM($E317:X317),Y$308-SUM(Y$311:Y316))</f>
        <v>0</v>
      </c>
      <c r="Z317" s="83">
        <f ca="1">+MIN('S&amp;U'!$H18-SUM($E317:Y317),Z$308-SUM(Z$311:Z316))</f>
        <v>0</v>
      </c>
      <c r="AA317" s="699"/>
      <c r="AB317" s="699"/>
      <c r="AC317" s="699"/>
      <c r="AD317" s="69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BA317" s="49"/>
      <c r="BB317" s="49"/>
      <c r="BC317" s="49"/>
      <c r="BD317" s="49"/>
      <c r="BE317" s="49"/>
      <c r="BF317" s="49"/>
      <c r="BG317" s="49"/>
      <c r="BH317" s="49"/>
      <c r="BI317" s="49"/>
      <c r="BJ317" s="49"/>
      <c r="BK317" s="49"/>
      <c r="BL317" s="49"/>
      <c r="BM317" s="49"/>
      <c r="BN317" s="49"/>
    </row>
    <row r="318" spans="1:66" ht="15.75">
      <c r="A318" s="699"/>
      <c r="B318" s="50" t="s">
        <v>1198</v>
      </c>
      <c r="C318" s="50"/>
      <c r="D318" s="55">
        <f ca="1">+SUM(F318:Z318)</f>
        <v>534688588.8380487</v>
      </c>
      <c r="E318" s="55"/>
      <c r="F318" s="55">
        <f ca="1">+SUM(F311:F317)</f>
        <v>181675735.02067354</v>
      </c>
      <c r="G318" s="55">
        <f t="shared" ref="G318:Z318" ca="1" si="670">+SUM(G311:G317)</f>
        <v>117670951.27245837</v>
      </c>
      <c r="H318" s="55">
        <f t="shared" ca="1" si="670"/>
        <v>117670951.27245837</v>
      </c>
      <c r="I318" s="55">
        <f t="shared" ca="1" si="670"/>
        <v>117670951.27245837</v>
      </c>
      <c r="J318" s="55">
        <f t="shared" ca="1" si="670"/>
        <v>0</v>
      </c>
      <c r="K318" s="55">
        <f t="shared" ca="1" si="670"/>
        <v>0</v>
      </c>
      <c r="L318" s="55">
        <f t="shared" ca="1" si="670"/>
        <v>0</v>
      </c>
      <c r="M318" s="55">
        <f t="shared" ca="1" si="670"/>
        <v>0</v>
      </c>
      <c r="N318" s="55">
        <f t="shared" ca="1" si="670"/>
        <v>0</v>
      </c>
      <c r="O318" s="55">
        <f t="shared" ca="1" si="670"/>
        <v>0</v>
      </c>
      <c r="P318" s="55">
        <f t="shared" ca="1" si="670"/>
        <v>0</v>
      </c>
      <c r="Q318" s="55">
        <f t="shared" ca="1" si="670"/>
        <v>0</v>
      </c>
      <c r="R318" s="55">
        <f t="shared" ca="1" si="670"/>
        <v>0</v>
      </c>
      <c r="S318" s="55">
        <f t="shared" ca="1" si="670"/>
        <v>0</v>
      </c>
      <c r="T318" s="55">
        <f t="shared" ca="1" si="670"/>
        <v>0</v>
      </c>
      <c r="U318" s="55">
        <f t="shared" ca="1" si="670"/>
        <v>0</v>
      </c>
      <c r="V318" s="55">
        <f t="shared" ca="1" si="670"/>
        <v>0</v>
      </c>
      <c r="W318" s="55">
        <f t="shared" ca="1" si="670"/>
        <v>0</v>
      </c>
      <c r="X318" s="55">
        <f t="shared" ca="1" si="670"/>
        <v>0</v>
      </c>
      <c r="Y318" s="55">
        <f t="shared" ca="1" si="670"/>
        <v>0</v>
      </c>
      <c r="Z318" s="55">
        <f t="shared" ca="1" si="670"/>
        <v>0</v>
      </c>
      <c r="AA318" s="699"/>
      <c r="AB318" s="699"/>
      <c r="AC318" s="699"/>
      <c r="AD318" s="69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BA318" s="49"/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</row>
    <row r="319" spans="1:66">
      <c r="A319" s="699"/>
      <c r="B319" s="49"/>
      <c r="C319" s="49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699"/>
      <c r="AB319" s="699"/>
      <c r="AC319" s="699"/>
      <c r="AD319" s="69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BA319" s="49"/>
      <c r="BB319" s="49"/>
      <c r="BC319" s="49"/>
      <c r="BD319" s="49"/>
      <c r="BE319" s="49"/>
      <c r="BF319" s="49"/>
      <c r="BG319" s="49"/>
      <c r="BH319" s="49"/>
      <c r="BI319" s="49"/>
      <c r="BJ319" s="49"/>
      <c r="BK319" s="49"/>
      <c r="BL319" s="49"/>
      <c r="BM319" s="49"/>
      <c r="BN319" s="49"/>
    </row>
    <row r="320" spans="1:66" ht="15.75">
      <c r="A320" s="699"/>
      <c r="B320" s="699" t="s">
        <v>1199</v>
      </c>
      <c r="C320" s="49"/>
      <c r="D320" s="94">
        <f ca="1">+SUM(F320:Z320)</f>
        <v>143973479.80220765</v>
      </c>
      <c r="E320" s="49"/>
      <c r="F320" s="90">
        <f ca="1">+SUM(F312:F315,F317)</f>
        <v>66179644.275995404</v>
      </c>
      <c r="G320" s="90">
        <f t="shared" ref="G320:Z320" ca="1" si="671">+SUM(G312:G315,G317)</f>
        <v>29903787.870211169</v>
      </c>
      <c r="H320" s="90">
        <f t="shared" ca="1" si="671"/>
        <v>0</v>
      </c>
      <c r="I320" s="90">
        <f t="shared" ca="1" si="671"/>
        <v>47890047.656001031</v>
      </c>
      <c r="J320" s="90">
        <f t="shared" ca="1" si="671"/>
        <v>0</v>
      </c>
      <c r="K320" s="90">
        <f t="shared" ca="1" si="671"/>
        <v>0</v>
      </c>
      <c r="L320" s="90">
        <f t="shared" ca="1" si="671"/>
        <v>0</v>
      </c>
      <c r="M320" s="90">
        <f t="shared" ca="1" si="671"/>
        <v>0</v>
      </c>
      <c r="N320" s="90">
        <f t="shared" ca="1" si="671"/>
        <v>0</v>
      </c>
      <c r="O320" s="90">
        <f t="shared" ca="1" si="671"/>
        <v>0</v>
      </c>
      <c r="P320" s="90">
        <f t="shared" ca="1" si="671"/>
        <v>0</v>
      </c>
      <c r="Q320" s="90">
        <f t="shared" ca="1" si="671"/>
        <v>0</v>
      </c>
      <c r="R320" s="90">
        <f t="shared" ca="1" si="671"/>
        <v>0</v>
      </c>
      <c r="S320" s="90">
        <f t="shared" ca="1" si="671"/>
        <v>0</v>
      </c>
      <c r="T320" s="90">
        <f t="shared" ca="1" si="671"/>
        <v>0</v>
      </c>
      <c r="U320" s="90">
        <f t="shared" ca="1" si="671"/>
        <v>0</v>
      </c>
      <c r="V320" s="90">
        <f t="shared" ca="1" si="671"/>
        <v>0</v>
      </c>
      <c r="W320" s="90">
        <f t="shared" ca="1" si="671"/>
        <v>0</v>
      </c>
      <c r="X320" s="90">
        <f t="shared" ca="1" si="671"/>
        <v>0</v>
      </c>
      <c r="Y320" s="90">
        <f t="shared" ca="1" si="671"/>
        <v>0</v>
      </c>
      <c r="Z320" s="90">
        <f t="shared" ca="1" si="671"/>
        <v>0</v>
      </c>
      <c r="AA320" s="699"/>
      <c r="AB320" s="699"/>
      <c r="AC320" s="699"/>
      <c r="AD320" s="69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BA320" s="49"/>
      <c r="BB320" s="49"/>
      <c r="BC320" s="49"/>
      <c r="BD320" s="49"/>
      <c r="BE320" s="49"/>
      <c r="BF320" s="49"/>
      <c r="BG320" s="49"/>
      <c r="BH320" s="49"/>
      <c r="BI320" s="49"/>
      <c r="BJ320" s="49"/>
      <c r="BK320" s="49"/>
      <c r="BL320" s="49"/>
      <c r="BM320" s="49"/>
      <c r="BN320" s="49"/>
    </row>
    <row r="321" spans="1:66">
      <c r="A321" s="699"/>
      <c r="B321" s="49"/>
      <c r="C321" s="49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699"/>
      <c r="AB321" s="699"/>
      <c r="AC321" s="699"/>
      <c r="AD321" s="69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BA321" s="49"/>
      <c r="BB321" s="49"/>
      <c r="BC321" s="49"/>
      <c r="BD321" s="49"/>
      <c r="BE321" s="49"/>
      <c r="BF321" s="49"/>
      <c r="BG321" s="49"/>
      <c r="BH321" s="49"/>
      <c r="BI321" s="49"/>
      <c r="BJ321" s="49"/>
      <c r="BK321" s="49"/>
      <c r="BL321" s="49"/>
      <c r="BM321" s="49"/>
      <c r="BN321" s="49"/>
    </row>
    <row r="322" spans="1:66" ht="15.75">
      <c r="A322" s="699"/>
      <c r="B322" s="112" t="s">
        <v>1200</v>
      </c>
      <c r="C322" s="49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699"/>
      <c r="AB322" s="699"/>
      <c r="AC322" s="699"/>
      <c r="AD322" s="69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BA322" s="49"/>
      <c r="BB322" s="49"/>
      <c r="BC322" s="49"/>
      <c r="BD322" s="49"/>
      <c r="BE322" s="49"/>
      <c r="BF322" s="49"/>
      <c r="BG322" s="49"/>
      <c r="BH322" s="49"/>
      <c r="BI322" s="49"/>
      <c r="BJ322" s="49"/>
      <c r="BK322" s="49"/>
      <c r="BL322" s="49"/>
      <c r="BM322" s="49"/>
      <c r="BN322" s="49"/>
    </row>
    <row r="323" spans="1:66" ht="15.75">
      <c r="A323" s="699"/>
      <c r="B323" s="699" t="s">
        <v>1201</v>
      </c>
      <c r="C323" s="49"/>
      <c r="D323" s="94">
        <f t="shared" ref="D323:D325" ca="1" si="672">+SUM(F323:Z323)</f>
        <v>-115496090.7446782</v>
      </c>
      <c r="E323" s="94"/>
      <c r="F323" s="83">
        <f ca="1">-F311</f>
        <v>-115496090.74467814</v>
      </c>
      <c r="G323" s="83">
        <f t="shared" ref="G323:Z323" ca="1" si="673">-G311</f>
        <v>0</v>
      </c>
      <c r="H323" s="83">
        <f t="shared" ca="1" si="673"/>
        <v>0</v>
      </c>
      <c r="I323" s="83">
        <f t="shared" ca="1" si="673"/>
        <v>0</v>
      </c>
      <c r="J323" s="83">
        <f t="shared" ca="1" si="673"/>
        <v>0</v>
      </c>
      <c r="K323" s="83">
        <f t="shared" ca="1" si="673"/>
        <v>0</v>
      </c>
      <c r="L323" s="83">
        <f t="shared" ca="1" si="673"/>
        <v>0</v>
      </c>
      <c r="M323" s="83">
        <f t="shared" ca="1" si="673"/>
        <v>0</v>
      </c>
      <c r="N323" s="83">
        <f t="shared" ca="1" si="673"/>
        <v>0</v>
      </c>
      <c r="O323" s="83">
        <f t="shared" ca="1" si="673"/>
        <v>0</v>
      </c>
      <c r="P323" s="83">
        <f t="shared" ca="1" si="673"/>
        <v>0</v>
      </c>
      <c r="Q323" s="83">
        <f t="shared" ca="1" si="673"/>
        <v>0</v>
      </c>
      <c r="R323" s="83">
        <f t="shared" ca="1" si="673"/>
        <v>0</v>
      </c>
      <c r="S323" s="83">
        <f t="shared" ca="1" si="673"/>
        <v>0</v>
      </c>
      <c r="T323" s="83">
        <f t="shared" ca="1" si="673"/>
        <v>0</v>
      </c>
      <c r="U323" s="83">
        <f t="shared" ca="1" si="673"/>
        <v>0</v>
      </c>
      <c r="V323" s="83">
        <f t="shared" ca="1" si="673"/>
        <v>0</v>
      </c>
      <c r="W323" s="83">
        <f t="shared" ca="1" si="673"/>
        <v>0</v>
      </c>
      <c r="X323" s="83">
        <f t="shared" ca="1" si="673"/>
        <v>0</v>
      </c>
      <c r="Y323" s="83">
        <f t="shared" ca="1" si="673"/>
        <v>0</v>
      </c>
      <c r="Z323" s="83">
        <f t="shared" ca="1" si="673"/>
        <v>0</v>
      </c>
      <c r="AA323" s="699"/>
      <c r="AB323" s="699"/>
      <c r="AC323" s="699"/>
      <c r="AD323" s="69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AY323" s="49"/>
      <c r="AZ323" s="49"/>
      <c r="BA323" s="49"/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</row>
    <row r="324" spans="1:66" ht="15.75">
      <c r="A324" s="699"/>
      <c r="B324" s="699" t="s">
        <v>1202</v>
      </c>
      <c r="C324" s="49"/>
      <c r="D324" s="94">
        <f t="shared" ca="1" si="672"/>
        <v>338915718.4415012</v>
      </c>
      <c r="E324" s="94"/>
      <c r="F324" s="90">
        <f t="shared" ref="F324:Z324" ca="1" si="674">+F293</f>
        <v>0</v>
      </c>
      <c r="G324" s="90">
        <f t="shared" ca="1" si="674"/>
        <v>0</v>
      </c>
      <c r="H324" s="90">
        <f t="shared" ca="1" si="674"/>
        <v>0</v>
      </c>
      <c r="I324" s="90">
        <f t="shared" ca="1" si="674"/>
        <v>0</v>
      </c>
      <c r="J324" s="90">
        <f t="shared" ca="1" si="674"/>
        <v>30895361.550549112</v>
      </c>
      <c r="K324" s="90">
        <f t="shared" ca="1" si="674"/>
        <v>-3994093.2095648702</v>
      </c>
      <c r="L324" s="90">
        <f t="shared" ca="1" si="674"/>
        <v>4224030.0426707231</v>
      </c>
      <c r="M324" s="90">
        <f t="shared" ca="1" si="674"/>
        <v>5756580.6697915234</v>
      </c>
      <c r="N324" s="90">
        <f t="shared" ca="1" si="674"/>
        <v>6274115.0239319913</v>
      </c>
      <c r="O324" s="90">
        <f t="shared" ca="1" si="674"/>
        <v>6807175.4086966775</v>
      </c>
      <c r="P324" s="90">
        <f t="shared" ca="1" si="674"/>
        <v>288952548.95542586</v>
      </c>
      <c r="Q324" s="90">
        <f t="shared" si="674"/>
        <v>0</v>
      </c>
      <c r="R324" s="90">
        <f t="shared" si="674"/>
        <v>0</v>
      </c>
      <c r="S324" s="90">
        <f t="shared" si="674"/>
        <v>0</v>
      </c>
      <c r="T324" s="90">
        <f t="shared" si="674"/>
        <v>0</v>
      </c>
      <c r="U324" s="90">
        <f t="shared" si="674"/>
        <v>0</v>
      </c>
      <c r="V324" s="90">
        <f t="shared" si="674"/>
        <v>0</v>
      </c>
      <c r="W324" s="90">
        <f t="shared" si="674"/>
        <v>0</v>
      </c>
      <c r="X324" s="90">
        <f t="shared" si="674"/>
        <v>0</v>
      </c>
      <c r="Y324" s="90">
        <f t="shared" si="674"/>
        <v>0</v>
      </c>
      <c r="Z324" s="90">
        <f t="shared" si="674"/>
        <v>0</v>
      </c>
      <c r="AA324" s="699"/>
      <c r="AB324" s="699"/>
      <c r="AC324" s="699"/>
      <c r="AD324" s="69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AY324" s="49"/>
      <c r="AZ324" s="49"/>
      <c r="BA324" s="49"/>
      <c r="BB324" s="49"/>
      <c r="BC324" s="49"/>
      <c r="BD324" s="49"/>
      <c r="BE324" s="49"/>
      <c r="BF324" s="49"/>
      <c r="BG324" s="49"/>
      <c r="BH324" s="49"/>
      <c r="BI324" s="49"/>
      <c r="BJ324" s="49"/>
      <c r="BK324" s="49"/>
      <c r="BL324" s="49"/>
      <c r="BM324" s="49"/>
      <c r="BN324" s="49"/>
    </row>
    <row r="325" spans="1:66" ht="15.75">
      <c r="A325" s="699"/>
      <c r="B325" s="50" t="s">
        <v>1203</v>
      </c>
      <c r="C325" s="50"/>
      <c r="D325" s="55">
        <f t="shared" ca="1" si="672"/>
        <v>223419627.696823</v>
      </c>
      <c r="E325" s="55"/>
      <c r="F325" s="55">
        <f ca="1">+SUM(F323:F324)</f>
        <v>-115496090.74467814</v>
      </c>
      <c r="G325" s="55">
        <f t="shared" ref="G325:Z325" ca="1" si="675">+SUM(G323:G324)</f>
        <v>0</v>
      </c>
      <c r="H325" s="55">
        <f t="shared" ca="1" si="675"/>
        <v>0</v>
      </c>
      <c r="I325" s="55">
        <f t="shared" ca="1" si="675"/>
        <v>0</v>
      </c>
      <c r="J325" s="55">
        <f t="shared" ca="1" si="675"/>
        <v>30895361.550549112</v>
      </c>
      <c r="K325" s="55">
        <f t="shared" ca="1" si="675"/>
        <v>-3994093.2095648702</v>
      </c>
      <c r="L325" s="55">
        <f t="shared" ca="1" si="675"/>
        <v>4224030.0426707231</v>
      </c>
      <c r="M325" s="55">
        <f t="shared" ca="1" si="675"/>
        <v>5756580.6697915234</v>
      </c>
      <c r="N325" s="55">
        <f t="shared" ca="1" si="675"/>
        <v>6274115.0239319913</v>
      </c>
      <c r="O325" s="55">
        <f t="shared" ca="1" si="675"/>
        <v>6807175.4086966775</v>
      </c>
      <c r="P325" s="55">
        <f t="shared" ca="1" si="675"/>
        <v>288952548.95542586</v>
      </c>
      <c r="Q325" s="55">
        <f t="shared" ca="1" si="675"/>
        <v>0</v>
      </c>
      <c r="R325" s="55">
        <f t="shared" ca="1" si="675"/>
        <v>0</v>
      </c>
      <c r="S325" s="55">
        <f t="shared" ca="1" si="675"/>
        <v>0</v>
      </c>
      <c r="T325" s="55">
        <f t="shared" ca="1" si="675"/>
        <v>0</v>
      </c>
      <c r="U325" s="55">
        <f t="shared" ca="1" si="675"/>
        <v>0</v>
      </c>
      <c r="V325" s="55">
        <f t="shared" ca="1" si="675"/>
        <v>0</v>
      </c>
      <c r="W325" s="55">
        <f t="shared" ca="1" si="675"/>
        <v>0</v>
      </c>
      <c r="X325" s="55">
        <f t="shared" ca="1" si="675"/>
        <v>0</v>
      </c>
      <c r="Y325" s="55">
        <f t="shared" ca="1" si="675"/>
        <v>0</v>
      </c>
      <c r="Z325" s="55">
        <f t="shared" ca="1" si="675"/>
        <v>0</v>
      </c>
      <c r="AA325" s="699"/>
      <c r="AB325" s="699"/>
      <c r="AC325" s="699"/>
      <c r="AD325" s="699"/>
      <c r="AE325" s="49"/>
      <c r="AF325" s="49"/>
      <c r="AG325" s="49"/>
      <c r="AH325" s="49"/>
      <c r="AI325" s="49"/>
      <c r="AJ325" s="49"/>
      <c r="AK325" s="49"/>
      <c r="AL325" s="49"/>
      <c r="AM325" s="49"/>
      <c r="AN325" s="49"/>
      <c r="AO325" s="49"/>
      <c r="AP325" s="49"/>
      <c r="AQ325" s="49"/>
      <c r="AR325" s="49"/>
      <c r="AS325" s="49"/>
      <c r="AT325" s="49"/>
      <c r="AU325" s="49"/>
      <c r="AV325" s="49"/>
      <c r="AW325" s="49"/>
      <c r="AX325" s="49"/>
      <c r="AY325" s="49"/>
      <c r="AZ325" s="49"/>
      <c r="BA325" s="49"/>
      <c r="BB325" s="49"/>
      <c r="BC325" s="49"/>
      <c r="BD325" s="49"/>
      <c r="BE325" s="49"/>
      <c r="BF325" s="49"/>
      <c r="BG325" s="49"/>
      <c r="BH325" s="49"/>
      <c r="BI325" s="49"/>
      <c r="BJ325" s="49"/>
      <c r="BK325" s="49"/>
      <c r="BL325" s="49"/>
      <c r="BM325" s="49"/>
      <c r="BN325" s="49"/>
    </row>
    <row r="326" spans="1:66">
      <c r="A326" s="699"/>
      <c r="B326" s="49"/>
      <c r="C326" s="49"/>
      <c r="D326" s="49"/>
      <c r="E326" s="49"/>
      <c r="F326" s="49"/>
      <c r="G326" s="49"/>
      <c r="H326" s="49"/>
      <c r="I326" s="49"/>
      <c r="J326" s="49"/>
      <c r="K326" s="49"/>
      <c r="L326" s="49"/>
      <c r="M326" s="49"/>
      <c r="N326" s="49"/>
      <c r="O326" s="49"/>
      <c r="P326" s="49"/>
      <c r="Q326" s="49"/>
      <c r="R326" s="49"/>
      <c r="S326" s="49"/>
      <c r="T326" s="49"/>
      <c r="U326" s="49"/>
      <c r="V326" s="49"/>
      <c r="W326" s="49"/>
      <c r="X326" s="49"/>
      <c r="Y326" s="49"/>
      <c r="Z326" s="49"/>
      <c r="AA326" s="699"/>
      <c r="AB326" s="699"/>
      <c r="AC326" s="699"/>
      <c r="AD326" s="699"/>
      <c r="AE326" s="49"/>
      <c r="AF326" s="49"/>
      <c r="AG326" s="49"/>
      <c r="AH326" s="49"/>
      <c r="AI326" s="49"/>
      <c r="AJ326" s="49"/>
      <c r="AK326" s="49"/>
      <c r="AL326" s="49"/>
      <c r="AM326" s="49"/>
      <c r="AN326" s="49"/>
      <c r="AO326" s="49"/>
      <c r="AP326" s="49"/>
      <c r="AQ326" s="49"/>
      <c r="AR326" s="49"/>
      <c r="AS326" s="49"/>
      <c r="AT326" s="49"/>
      <c r="AU326" s="49"/>
      <c r="AV326" s="49"/>
      <c r="AW326" s="49"/>
      <c r="AX326" s="49"/>
      <c r="AY326" s="49"/>
      <c r="AZ326" s="49"/>
      <c r="BA326" s="49"/>
      <c r="BB326" s="49"/>
      <c r="BC326" s="49"/>
      <c r="BD326" s="49"/>
      <c r="BE326" s="49"/>
      <c r="BF326" s="49"/>
      <c r="BG326" s="49"/>
      <c r="BH326" s="49"/>
      <c r="BI326" s="49"/>
      <c r="BJ326" s="49"/>
      <c r="BK326" s="49"/>
      <c r="BL326" s="49"/>
      <c r="BM326" s="49"/>
      <c r="BN326" s="49"/>
    </row>
    <row r="327" spans="1:66" ht="15.75">
      <c r="A327" s="699"/>
      <c r="B327" s="154" t="s">
        <v>378</v>
      </c>
      <c r="C327" s="154"/>
      <c r="D327" s="155">
        <f ca="1">+IRR(F325:P325)</f>
        <v>0.12496530232341252</v>
      </c>
      <c r="E327" s="49"/>
      <c r="F327" s="49"/>
      <c r="G327" s="49"/>
      <c r="H327" s="49"/>
      <c r="I327" s="90"/>
      <c r="J327" s="49"/>
      <c r="K327" s="49"/>
      <c r="L327" s="49"/>
      <c r="M327" s="49"/>
      <c r="N327" s="49"/>
      <c r="O327" s="49"/>
      <c r="P327" s="49"/>
      <c r="Q327" s="49"/>
      <c r="R327" s="49"/>
      <c r="S327" s="49"/>
      <c r="T327" s="49"/>
      <c r="U327" s="49"/>
      <c r="V327" s="49"/>
      <c r="W327" s="49"/>
      <c r="X327" s="49"/>
      <c r="Y327" s="49"/>
      <c r="Z327" s="49"/>
      <c r="AA327" s="699"/>
      <c r="AB327" s="699"/>
      <c r="AC327" s="699"/>
      <c r="AD327" s="699"/>
      <c r="AE327" s="49"/>
      <c r="AF327" s="49"/>
      <c r="AG327" s="49"/>
      <c r="AH327" s="49"/>
      <c r="AI327" s="49"/>
      <c r="AJ327" s="49"/>
      <c r="AK327" s="49"/>
      <c r="AL327" s="49"/>
      <c r="AM327" s="49"/>
      <c r="AN327" s="49"/>
      <c r="AO327" s="49"/>
      <c r="AP327" s="49"/>
      <c r="AQ327" s="49"/>
      <c r="AR327" s="49"/>
      <c r="AS327" s="49"/>
      <c r="AT327" s="49"/>
      <c r="AU327" s="49"/>
      <c r="AV327" s="49"/>
      <c r="AW327" s="49"/>
      <c r="AX327" s="49"/>
      <c r="AY327" s="49"/>
      <c r="AZ327" s="49"/>
      <c r="BA327" s="49"/>
      <c r="BB327" s="49"/>
      <c r="BC327" s="49"/>
      <c r="BD327" s="49"/>
      <c r="BE327" s="49"/>
      <c r="BF327" s="49"/>
      <c r="BG327" s="49"/>
      <c r="BH327" s="49"/>
      <c r="BI327" s="49"/>
      <c r="BJ327" s="49"/>
      <c r="BK327" s="49"/>
      <c r="BL327" s="49"/>
      <c r="BM327" s="49"/>
      <c r="BN327" s="49"/>
    </row>
    <row r="328" spans="1:66" ht="15.75">
      <c r="A328" s="699"/>
      <c r="B328" s="113" t="s">
        <v>1204</v>
      </c>
      <c r="C328" s="156"/>
      <c r="D328" s="150">
        <f ca="1">+SUM(F325:Z325)</f>
        <v>223419627.69682288</v>
      </c>
      <c r="E328" s="49"/>
      <c r="F328" s="49"/>
      <c r="G328" s="49"/>
      <c r="H328" s="49"/>
      <c r="I328" s="49"/>
      <c r="J328" s="49"/>
      <c r="K328" s="49"/>
      <c r="L328" s="49"/>
      <c r="M328" s="49"/>
      <c r="N328" s="49"/>
      <c r="O328" s="49"/>
      <c r="P328" s="49"/>
      <c r="Q328" s="49"/>
      <c r="R328" s="49"/>
      <c r="S328" s="49"/>
      <c r="T328" s="49"/>
      <c r="U328" s="49"/>
      <c r="V328" s="49"/>
      <c r="W328" s="49"/>
      <c r="X328" s="49"/>
      <c r="Y328" s="49"/>
      <c r="Z328" s="49"/>
      <c r="AA328" s="699"/>
      <c r="AB328" s="699"/>
      <c r="AC328" s="699"/>
      <c r="AD328" s="699"/>
      <c r="AE328" s="49"/>
      <c r="AF328" s="49"/>
      <c r="AG328" s="49"/>
      <c r="AH328" s="49"/>
      <c r="AI328" s="49"/>
      <c r="AJ328" s="49"/>
      <c r="AK328" s="49"/>
      <c r="AL328" s="49"/>
      <c r="AM328" s="49"/>
      <c r="AN328" s="49"/>
      <c r="AO328" s="49"/>
      <c r="AP328" s="49"/>
      <c r="AQ328" s="49"/>
      <c r="AR328" s="49"/>
      <c r="AS328" s="49"/>
      <c r="AT328" s="49"/>
      <c r="AU328" s="49"/>
      <c r="AV328" s="49"/>
      <c r="AW328" s="49"/>
      <c r="AX328" s="49"/>
      <c r="AY328" s="49"/>
      <c r="AZ328" s="49"/>
      <c r="BA328" s="49"/>
      <c r="BB328" s="49"/>
      <c r="BC328" s="49"/>
      <c r="BD328" s="49"/>
      <c r="BE328" s="49"/>
      <c r="BF328" s="49"/>
      <c r="BG328" s="49"/>
      <c r="BH328" s="49"/>
      <c r="BI328" s="49"/>
      <c r="BJ328" s="49"/>
      <c r="BK328" s="49"/>
      <c r="BL328" s="49"/>
      <c r="BM328" s="49"/>
      <c r="BN328" s="49"/>
    </row>
    <row r="329" spans="1:66" ht="15.75">
      <c r="A329" s="699"/>
      <c r="B329" s="157" t="s">
        <v>382</v>
      </c>
      <c r="C329" s="158"/>
      <c r="D329" s="159">
        <f ca="1">+D328/-D323</f>
        <v>1.9344345445485787</v>
      </c>
      <c r="E329" s="49"/>
      <c r="F329" s="49"/>
      <c r="G329" s="49"/>
      <c r="H329" s="49"/>
      <c r="I329" s="49"/>
      <c r="J329" s="49"/>
      <c r="K329" s="49"/>
      <c r="L329" s="49"/>
      <c r="M329" s="49"/>
      <c r="N329" s="49"/>
      <c r="O329" s="49"/>
      <c r="P329" s="49"/>
      <c r="Q329" s="49"/>
      <c r="R329" s="49"/>
      <c r="S329" s="49"/>
      <c r="T329" s="49"/>
      <c r="U329" s="49"/>
      <c r="V329" s="49"/>
      <c r="W329" s="49"/>
      <c r="X329" s="49"/>
      <c r="Y329" s="49"/>
      <c r="Z329" s="49"/>
      <c r="AA329" s="699"/>
      <c r="AB329" s="699"/>
      <c r="AC329" s="699"/>
      <c r="AD329" s="699"/>
      <c r="AE329" s="49"/>
      <c r="AF329" s="49"/>
      <c r="AG329" s="49"/>
      <c r="AH329" s="49"/>
      <c r="AI329" s="49"/>
      <c r="AJ329" s="49"/>
      <c r="AK329" s="49"/>
      <c r="AL329" s="49"/>
      <c r="AM329" s="49"/>
      <c r="AN329" s="49"/>
      <c r="AO329" s="49"/>
      <c r="AP329" s="49"/>
      <c r="AQ329" s="49"/>
      <c r="AR329" s="49"/>
      <c r="AS329" s="49"/>
      <c r="AT329" s="49"/>
      <c r="AU329" s="49"/>
      <c r="AV329" s="49"/>
      <c r="AW329" s="49"/>
      <c r="AX329" s="49"/>
      <c r="AY329" s="49"/>
      <c r="AZ329" s="49"/>
      <c r="BA329" s="49"/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</row>
    <row r="330" spans="1:66">
      <c r="A330" s="699"/>
      <c r="B330" s="49"/>
      <c r="C330" s="49"/>
      <c r="D330" s="49"/>
      <c r="E330" s="49"/>
      <c r="F330" s="4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  <c r="AA330" s="699"/>
      <c r="AB330" s="699"/>
      <c r="AC330" s="699"/>
      <c r="AD330" s="699"/>
      <c r="AE330" s="49"/>
      <c r="AF330" s="49"/>
      <c r="AG330" s="49"/>
      <c r="AH330" s="49"/>
      <c r="AI330" s="49"/>
      <c r="AJ330" s="49"/>
      <c r="AK330" s="49"/>
      <c r="AL330" s="49"/>
      <c r="AM330" s="49"/>
      <c r="AN330" s="49"/>
      <c r="AO330" s="49"/>
      <c r="AP330" s="49"/>
      <c r="AQ330" s="49"/>
      <c r="AR330" s="49"/>
      <c r="AS330" s="49"/>
      <c r="AT330" s="49"/>
      <c r="AU330" s="49"/>
      <c r="AV330" s="49"/>
      <c r="AW330" s="49"/>
      <c r="AX330" s="49"/>
      <c r="AY330" s="49"/>
      <c r="AZ330" s="49"/>
      <c r="BA330" s="49"/>
      <c r="BB330" s="49"/>
      <c r="BC330" s="49"/>
      <c r="BD330" s="49"/>
      <c r="BE330" s="49"/>
      <c r="BF330" s="49"/>
      <c r="BG330" s="49"/>
      <c r="BH330" s="49"/>
      <c r="BI330" s="49"/>
      <c r="BJ330" s="49"/>
      <c r="BK330" s="49"/>
      <c r="BL330" s="49"/>
      <c r="BM330" s="49"/>
      <c r="BN330" s="49"/>
    </row>
    <row r="331" spans="1:66" ht="15.75">
      <c r="A331" s="699"/>
      <c r="B331" s="468" t="s">
        <v>1205</v>
      </c>
      <c r="C331" s="540"/>
      <c r="D331" s="540"/>
      <c r="E331" s="540"/>
      <c r="F331" s="759"/>
      <c r="G331" s="759"/>
      <c r="H331" s="759"/>
      <c r="I331" s="759"/>
      <c r="J331" s="759"/>
      <c r="K331" s="759"/>
      <c r="L331" s="759"/>
      <c r="M331" s="759"/>
      <c r="N331" s="759"/>
      <c r="O331" s="759"/>
      <c r="P331" s="759"/>
      <c r="Q331" s="759"/>
      <c r="R331" s="759"/>
      <c r="S331" s="759"/>
      <c r="T331" s="759"/>
      <c r="U331" s="759"/>
      <c r="V331" s="759"/>
      <c r="W331" s="759"/>
      <c r="X331" s="759"/>
      <c r="Y331" s="759"/>
      <c r="Z331" s="759"/>
      <c r="AA331" s="699"/>
      <c r="AB331" s="699"/>
      <c r="AC331" s="699"/>
      <c r="AD331" s="699"/>
      <c r="AE331" s="49"/>
      <c r="AF331" s="49"/>
      <c r="AG331" s="49"/>
      <c r="AH331" s="49"/>
      <c r="AI331" s="49"/>
      <c r="AJ331" s="49"/>
      <c r="AK331" s="49"/>
      <c r="AL331" s="49"/>
      <c r="AM331" s="49"/>
      <c r="AN331" s="49"/>
      <c r="AO331" s="49"/>
      <c r="AP331" s="49"/>
      <c r="AQ331" s="49"/>
      <c r="AR331" s="49"/>
      <c r="AS331" s="49"/>
      <c r="AT331" s="49"/>
      <c r="AU331" s="49"/>
      <c r="AV331" s="49"/>
      <c r="AW331" s="49"/>
      <c r="AX331" s="49"/>
      <c r="AY331" s="49"/>
      <c r="AZ331" s="49"/>
      <c r="BA331" s="49"/>
      <c r="BB331" s="49"/>
      <c r="BC331" s="49"/>
      <c r="BD331" s="49"/>
      <c r="BE331" s="49"/>
      <c r="BF331" s="49"/>
      <c r="BG331" s="49"/>
      <c r="BH331" s="49"/>
      <c r="BI331" s="49"/>
      <c r="BJ331" s="49"/>
      <c r="BK331" s="49"/>
      <c r="BL331" s="49"/>
      <c r="BM331" s="49"/>
      <c r="BN331" s="49"/>
    </row>
    <row r="332" spans="1:66">
      <c r="A332" s="699"/>
      <c r="B332" s="49"/>
      <c r="C332" s="49"/>
      <c r="D332" s="49"/>
      <c r="E332" s="49"/>
      <c r="F332" s="49"/>
      <c r="G332" s="49"/>
      <c r="H332" s="49"/>
      <c r="I332" s="49"/>
      <c r="J332" s="49"/>
      <c r="K332" s="49"/>
      <c r="L332" s="49"/>
      <c r="M332" s="49"/>
      <c r="N332" s="49"/>
      <c r="O332" s="49"/>
      <c r="P332" s="49"/>
      <c r="Q332" s="49"/>
      <c r="R332" s="49"/>
      <c r="S332" s="49"/>
      <c r="T332" s="49"/>
      <c r="U332" s="49"/>
      <c r="V332" s="49"/>
      <c r="W332" s="49"/>
      <c r="X332" s="49"/>
      <c r="Y332" s="49"/>
      <c r="Z332" s="49"/>
      <c r="AA332" s="699"/>
      <c r="AB332" s="699"/>
      <c r="AC332" s="699"/>
      <c r="AD332" s="699"/>
      <c r="AE332" s="49"/>
      <c r="AF332" s="49"/>
      <c r="AG332" s="49"/>
      <c r="AH332" s="49"/>
      <c r="AI332" s="49"/>
      <c r="AJ332" s="49"/>
      <c r="AK332" s="49"/>
      <c r="AL332" s="49"/>
      <c r="AM332" s="49"/>
      <c r="AN332" s="49"/>
      <c r="AO332" s="49"/>
      <c r="AP332" s="49"/>
      <c r="AQ332" s="49"/>
      <c r="AR332" s="49"/>
      <c r="AS332" s="49"/>
      <c r="AT332" s="49"/>
      <c r="AU332" s="49"/>
      <c r="AV332" s="49"/>
      <c r="AW332" s="49"/>
      <c r="AX332" s="49"/>
      <c r="AY332" s="49"/>
      <c r="AZ332" s="49"/>
      <c r="BA332" s="49"/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</row>
    <row r="333" spans="1:66" ht="15.75">
      <c r="A333" s="699"/>
      <c r="B333" s="112" t="s">
        <v>1135</v>
      </c>
      <c r="C333" s="49"/>
      <c r="D333" s="49"/>
      <c r="E333" s="49"/>
      <c r="F333" s="148">
        <f>+Assumptions!$F$27</f>
        <v>45291</v>
      </c>
      <c r="G333" s="148">
        <f>+EOMONTH(F333,12)</f>
        <v>45657</v>
      </c>
      <c r="H333" s="148">
        <f t="shared" ref="H333" si="676">+EOMONTH(G333,12)</f>
        <v>46022</v>
      </c>
      <c r="I333" s="148">
        <f t="shared" ref="I333" si="677">+EOMONTH(H333,12)</f>
        <v>46387</v>
      </c>
      <c r="J333" s="148">
        <f t="shared" ref="J333" si="678">+EOMONTH(I333,12)</f>
        <v>46752</v>
      </c>
      <c r="K333" s="148">
        <f t="shared" ref="K333" si="679">+EOMONTH(J333,12)</f>
        <v>47118</v>
      </c>
      <c r="L333" s="148">
        <f t="shared" ref="L333" si="680">+EOMONTH(K333,12)</f>
        <v>47483</v>
      </c>
      <c r="M333" s="148">
        <f t="shared" ref="M333" si="681">+EOMONTH(L333,12)</f>
        <v>47848</v>
      </c>
      <c r="N333" s="148">
        <f t="shared" ref="N333" si="682">+EOMONTH(M333,12)</f>
        <v>48213</v>
      </c>
      <c r="O333" s="148">
        <f t="shared" ref="O333" si="683">+EOMONTH(N333,12)</f>
        <v>48579</v>
      </c>
      <c r="P333" s="148">
        <f t="shared" ref="P333" si="684">+EOMONTH(O333,12)</f>
        <v>48944</v>
      </c>
      <c r="Q333" s="148">
        <f t="shared" ref="Q333" si="685">+EOMONTH(P333,12)</f>
        <v>49309</v>
      </c>
      <c r="R333" s="148">
        <f t="shared" ref="R333" si="686">+EOMONTH(Q333,12)</f>
        <v>49674</v>
      </c>
      <c r="S333" s="148">
        <f t="shared" ref="S333" si="687">+EOMONTH(R333,12)</f>
        <v>50040</v>
      </c>
      <c r="T333" s="148">
        <f t="shared" ref="T333" si="688">+EOMONTH(S333,12)</f>
        <v>50405</v>
      </c>
      <c r="U333" s="148">
        <f t="shared" ref="U333" si="689">+EOMONTH(T333,12)</f>
        <v>50770</v>
      </c>
      <c r="V333" s="148">
        <f t="shared" ref="V333" si="690">+EOMONTH(U333,12)</f>
        <v>51135</v>
      </c>
      <c r="W333" s="148">
        <f t="shared" ref="W333" si="691">+EOMONTH(V333,12)</f>
        <v>51501</v>
      </c>
      <c r="X333" s="148">
        <f t="shared" ref="X333" si="692">+EOMONTH(W333,12)</f>
        <v>51866</v>
      </c>
      <c r="Y333" s="148">
        <f t="shared" ref="Y333" si="693">+EOMONTH(X333,12)</f>
        <v>52231</v>
      </c>
      <c r="Z333" s="148">
        <f t="shared" ref="Z333" si="694">+EOMONTH(Y333,12)</f>
        <v>52596</v>
      </c>
      <c r="AA333" s="699"/>
      <c r="AB333" s="699"/>
      <c r="AC333" s="699"/>
      <c r="AD333" s="699"/>
      <c r="AE333" s="49"/>
      <c r="AF333" s="49"/>
      <c r="AG333" s="49"/>
      <c r="AH333" s="49"/>
      <c r="AI333" s="49"/>
      <c r="AJ333" s="49"/>
      <c r="AK333" s="49"/>
      <c r="AL333" s="49"/>
      <c r="AM333" s="49"/>
      <c r="AN333" s="49"/>
      <c r="AO333" s="49"/>
      <c r="AP333" s="49"/>
      <c r="AQ333" s="49"/>
      <c r="AR333" s="49"/>
      <c r="AS333" s="49"/>
      <c r="AT333" s="49"/>
      <c r="AU333" s="49"/>
      <c r="AV333" s="49"/>
      <c r="AW333" s="49"/>
      <c r="AX333" s="49"/>
      <c r="AY333" s="49"/>
      <c r="AZ333" s="49"/>
      <c r="BA333" s="49"/>
      <c r="BB333" s="49"/>
      <c r="BC333" s="49"/>
      <c r="BD333" s="49"/>
      <c r="BE333" s="49"/>
      <c r="BF333" s="49"/>
      <c r="BG333" s="49"/>
      <c r="BH333" s="49"/>
      <c r="BI333" s="49"/>
      <c r="BJ333" s="49"/>
      <c r="BK333" s="49"/>
      <c r="BL333" s="49"/>
      <c r="BM333" s="49"/>
      <c r="BN333" s="49"/>
    </row>
    <row r="334" spans="1:66" ht="15.75">
      <c r="A334" s="699"/>
      <c r="B334" s="699" t="s">
        <v>1206</v>
      </c>
      <c r="C334" s="5"/>
      <c r="D334" s="5"/>
      <c r="E334" s="5"/>
      <c r="F334" s="83">
        <f t="shared" ref="F334:Z334" ca="1" si="695">+F$127</f>
        <v>0</v>
      </c>
      <c r="G334" s="83">
        <f t="shared" ca="1" si="695"/>
        <v>0</v>
      </c>
      <c r="H334" s="83">
        <f t="shared" ca="1" si="695"/>
        <v>0</v>
      </c>
      <c r="I334" s="83">
        <f t="shared" ca="1" si="695"/>
        <v>0</v>
      </c>
      <c r="J334" s="83">
        <f t="shared" ca="1" si="695"/>
        <v>2986992.3072690596</v>
      </c>
      <c r="K334" s="83">
        <f t="shared" ca="1" si="695"/>
        <v>12902026.961117944</v>
      </c>
      <c r="L334" s="83">
        <f t="shared" ca="1" si="695"/>
        <v>21120150.213353533</v>
      </c>
      <c r="M334" s="83">
        <f t="shared" ca="1" si="695"/>
        <v>22652700.840474334</v>
      </c>
      <c r="N334" s="83">
        <f t="shared" ca="1" si="695"/>
        <v>23170235.194614802</v>
      </c>
      <c r="O334" s="83">
        <f t="shared" ca="1" si="695"/>
        <v>23703295.579379488</v>
      </c>
      <c r="P334" s="83">
        <f t="shared" ca="1" si="695"/>
        <v>24155947.437053818</v>
      </c>
      <c r="Q334" s="83">
        <f t="shared" ca="1" si="695"/>
        <v>24721471.199250668</v>
      </c>
      <c r="R334" s="83">
        <f t="shared" ca="1" si="695"/>
        <v>26596195.722848691</v>
      </c>
      <c r="S334" s="83">
        <f t="shared" ca="1" si="695"/>
        <v>27096867.533371042</v>
      </c>
      <c r="T334" s="83">
        <f t="shared" ca="1" si="695"/>
        <v>27714830.61746512</v>
      </c>
      <c r="U334" s="83">
        <f t="shared" ca="1" si="695"/>
        <v>28351332.594082024</v>
      </c>
      <c r="V334" s="83">
        <f t="shared" ca="1" si="695"/>
        <v>28904658.510741375</v>
      </c>
      <c r="W334" s="83">
        <f t="shared" ca="1" si="695"/>
        <v>31065993.763549808</v>
      </c>
      <c r="X334" s="83">
        <f t="shared" ca="1" si="695"/>
        <v>31761516.658952467</v>
      </c>
      <c r="Y334" s="83">
        <f t="shared" ca="1" si="695"/>
        <v>32372565.988383457</v>
      </c>
      <c r="Z334" s="83">
        <f t="shared" ca="1" si="695"/>
        <v>33110446.228116151</v>
      </c>
      <c r="AA334" s="699"/>
      <c r="AB334" s="699"/>
      <c r="AC334" s="699"/>
      <c r="AD334" s="699"/>
      <c r="AE334" s="49"/>
      <c r="AF334" s="49"/>
      <c r="AG334" s="49"/>
      <c r="AH334" s="49"/>
      <c r="AI334" s="49"/>
      <c r="AJ334" s="49"/>
      <c r="AK334" s="49"/>
      <c r="AL334" s="49"/>
      <c r="AM334" s="49"/>
      <c r="AN334" s="49"/>
      <c r="AO334" s="49"/>
      <c r="AP334" s="49"/>
      <c r="AQ334" s="49"/>
      <c r="AR334" s="49"/>
      <c r="AS334" s="49"/>
      <c r="AT334" s="49"/>
      <c r="AU334" s="49"/>
      <c r="AV334" s="49"/>
      <c r="AW334" s="49"/>
      <c r="AX334" s="49"/>
      <c r="AY334" s="49"/>
      <c r="AZ334" s="49"/>
      <c r="BA334" s="49"/>
      <c r="BB334" s="49"/>
      <c r="BC334" s="49"/>
      <c r="BD334" s="49"/>
      <c r="BE334" s="49"/>
      <c r="BF334" s="49"/>
      <c r="BG334" s="49"/>
      <c r="BH334" s="49"/>
      <c r="BI334" s="49"/>
      <c r="BJ334" s="49"/>
      <c r="BK334" s="49"/>
      <c r="BL334" s="49"/>
      <c r="BM334" s="49"/>
      <c r="BN334" s="49"/>
    </row>
    <row r="335" spans="1:66" ht="15.75">
      <c r="A335" s="699" t="s">
        <v>511</v>
      </c>
      <c r="B335" s="699" t="s">
        <v>1162</v>
      </c>
      <c r="C335" s="5"/>
      <c r="D335" s="5"/>
      <c r="E335" s="5"/>
      <c r="F335" s="90">
        <f t="shared" ref="F335:Z335" ca="1" si="696">+F$194</f>
        <v>0</v>
      </c>
      <c r="G335" s="90">
        <f t="shared" ca="1" si="696"/>
        <v>0</v>
      </c>
      <c r="H335" s="90">
        <f t="shared" ca="1" si="696"/>
        <v>0</v>
      </c>
      <c r="I335" s="90">
        <f t="shared" ca="1" si="696"/>
        <v>0</v>
      </c>
      <c r="J335" s="90">
        <f t="shared" ca="1" si="696"/>
        <v>0</v>
      </c>
      <c r="K335" s="90">
        <f t="shared" ca="1" si="696"/>
        <v>0</v>
      </c>
      <c r="L335" s="90">
        <f t="shared" ca="1" si="696"/>
        <v>0</v>
      </c>
      <c r="M335" s="90">
        <f t="shared" ca="1" si="696"/>
        <v>0</v>
      </c>
      <c r="N335" s="90">
        <f t="shared" ca="1" si="696"/>
        <v>0</v>
      </c>
      <c r="O335" s="90">
        <f t="shared" ca="1" si="696"/>
        <v>0</v>
      </c>
      <c r="P335" s="90">
        <f t="shared" ca="1" si="696"/>
        <v>0</v>
      </c>
      <c r="Q335" s="90">
        <f t="shared" ca="1" si="696"/>
        <v>0</v>
      </c>
      <c r="R335" s="90">
        <f t="shared" ca="1" si="696"/>
        <v>0</v>
      </c>
      <c r="S335" s="90">
        <f t="shared" ca="1" si="696"/>
        <v>0</v>
      </c>
      <c r="T335" s="90">
        <f t="shared" ca="1" si="696"/>
        <v>0</v>
      </c>
      <c r="U335" s="90">
        <f t="shared" ca="1" si="696"/>
        <v>0</v>
      </c>
      <c r="V335" s="90">
        <f t="shared" ca="1" si="696"/>
        <v>0</v>
      </c>
      <c r="W335" s="90">
        <f t="shared" ca="1" si="696"/>
        <v>0</v>
      </c>
      <c r="X335" s="90">
        <f t="shared" ca="1" si="696"/>
        <v>0</v>
      </c>
      <c r="Y335" s="90">
        <f t="shared" ca="1" si="696"/>
        <v>0</v>
      </c>
      <c r="Z335" s="90">
        <f t="shared" ca="1" si="696"/>
        <v>0</v>
      </c>
      <c r="AA335" s="699"/>
      <c r="AB335" s="699"/>
      <c r="AC335" s="699"/>
      <c r="AD335" s="699"/>
      <c r="AE335" s="49"/>
      <c r="AF335" s="49"/>
      <c r="AG335" s="49"/>
      <c r="AH335" s="49"/>
      <c r="AI335" s="49"/>
      <c r="AJ335" s="49"/>
      <c r="AK335" s="49"/>
      <c r="AL335" s="49"/>
      <c r="AM335" s="49"/>
      <c r="AN335" s="49"/>
      <c r="AO335" s="49"/>
      <c r="AP335" s="49"/>
      <c r="AQ335" s="49"/>
      <c r="AR335" s="49"/>
      <c r="AS335" s="49"/>
      <c r="AT335" s="49"/>
      <c r="AU335" s="49"/>
      <c r="AV335" s="49"/>
      <c r="AW335" s="49"/>
      <c r="AX335" s="49"/>
      <c r="AY335" s="49"/>
      <c r="AZ335" s="49"/>
      <c r="BA335" s="49"/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</row>
    <row r="336" spans="1:66" ht="15.75">
      <c r="A336" s="699"/>
      <c r="B336" s="699" t="s">
        <v>1154</v>
      </c>
      <c r="C336" s="5"/>
      <c r="D336" s="5"/>
      <c r="E336" s="5"/>
      <c r="F336" s="90">
        <f t="shared" ref="F336:Z336" si="697">+AQ160</f>
        <v>0</v>
      </c>
      <c r="G336" s="90">
        <f t="shared" si="697"/>
        <v>0</v>
      </c>
      <c r="H336" s="90">
        <f t="shared" si="697"/>
        <v>0</v>
      </c>
      <c r="I336" s="90">
        <f t="shared" si="697"/>
        <v>0</v>
      </c>
      <c r="J336" s="90">
        <f t="shared" si="697"/>
        <v>0</v>
      </c>
      <c r="K336" s="90">
        <f t="shared" si="697"/>
        <v>0</v>
      </c>
      <c r="L336" s="90">
        <f t="shared" si="697"/>
        <v>0</v>
      </c>
      <c r="M336" s="90">
        <f t="shared" si="697"/>
        <v>0</v>
      </c>
      <c r="N336" s="90">
        <f t="shared" si="697"/>
        <v>0</v>
      </c>
      <c r="O336" s="90">
        <f t="shared" si="697"/>
        <v>0</v>
      </c>
      <c r="P336" s="90">
        <f t="shared" si="697"/>
        <v>0</v>
      </c>
      <c r="Q336" s="90">
        <f t="shared" si="697"/>
        <v>0</v>
      </c>
      <c r="R336" s="90">
        <f t="shared" si="697"/>
        <v>0</v>
      </c>
      <c r="S336" s="90">
        <f t="shared" si="697"/>
        <v>0</v>
      </c>
      <c r="T336" s="90">
        <f t="shared" si="697"/>
        <v>0</v>
      </c>
      <c r="U336" s="90">
        <f t="shared" si="697"/>
        <v>0</v>
      </c>
      <c r="V336" s="90">
        <f t="shared" si="697"/>
        <v>0</v>
      </c>
      <c r="W336" s="90">
        <f t="shared" si="697"/>
        <v>0</v>
      </c>
      <c r="X336" s="90">
        <f t="shared" si="697"/>
        <v>0</v>
      </c>
      <c r="Y336" s="90">
        <f t="shared" si="697"/>
        <v>0</v>
      </c>
      <c r="Z336" s="90">
        <f t="shared" si="697"/>
        <v>0</v>
      </c>
      <c r="AA336" s="699"/>
      <c r="AB336" s="699"/>
      <c r="AC336" s="699"/>
      <c r="AD336" s="699"/>
      <c r="AE336" s="49"/>
      <c r="AF336" s="49"/>
      <c r="AG336" s="49"/>
      <c r="AH336" s="49"/>
      <c r="AI336" s="49"/>
      <c r="AJ336" s="49"/>
      <c r="AK336" s="49"/>
      <c r="AL336" s="49"/>
      <c r="AM336" s="49"/>
      <c r="AN336" s="49"/>
      <c r="AO336" s="49"/>
      <c r="AP336" s="49"/>
      <c r="AQ336" s="49"/>
      <c r="AR336" s="49"/>
      <c r="AS336" s="49"/>
      <c r="AT336" s="49"/>
      <c r="AU336" s="49"/>
      <c r="AV336" s="49"/>
      <c r="AW336" s="49"/>
      <c r="AX336" s="49"/>
      <c r="AY336" s="49"/>
      <c r="AZ336" s="49"/>
      <c r="BA336" s="49"/>
      <c r="BB336" s="49"/>
      <c r="BC336" s="49"/>
      <c r="BD336" s="49"/>
      <c r="BE336" s="49"/>
      <c r="BF336" s="49"/>
      <c r="BG336" s="49"/>
      <c r="BH336" s="49"/>
      <c r="BI336" s="49"/>
      <c r="BJ336" s="49"/>
      <c r="BK336" s="49"/>
      <c r="BL336" s="49"/>
      <c r="BM336" s="49"/>
      <c r="BN336" s="49"/>
    </row>
    <row r="337" spans="2:66" ht="15.75">
      <c r="B337" s="50" t="s">
        <v>1135</v>
      </c>
      <c r="C337" s="50"/>
      <c r="D337" s="55"/>
      <c r="E337" s="55"/>
      <c r="F337" s="55">
        <f ca="1">+SUM(F334:F336)</f>
        <v>0</v>
      </c>
      <c r="G337" s="55">
        <f t="shared" ref="G337:Z337" ca="1" si="698">+SUM(G334:G336)</f>
        <v>0</v>
      </c>
      <c r="H337" s="55">
        <f t="shared" ca="1" si="698"/>
        <v>0</v>
      </c>
      <c r="I337" s="55">
        <f t="shared" ca="1" si="698"/>
        <v>0</v>
      </c>
      <c r="J337" s="55">
        <f t="shared" ca="1" si="698"/>
        <v>2986992.3072690596</v>
      </c>
      <c r="K337" s="55">
        <f t="shared" ca="1" si="698"/>
        <v>12902026.961117944</v>
      </c>
      <c r="L337" s="55">
        <f t="shared" ca="1" si="698"/>
        <v>21120150.213353533</v>
      </c>
      <c r="M337" s="55">
        <f t="shared" ca="1" si="698"/>
        <v>22652700.840474334</v>
      </c>
      <c r="N337" s="55">
        <f t="shared" ca="1" si="698"/>
        <v>23170235.194614802</v>
      </c>
      <c r="O337" s="55">
        <f t="shared" ca="1" si="698"/>
        <v>23703295.579379488</v>
      </c>
      <c r="P337" s="55">
        <f t="shared" ca="1" si="698"/>
        <v>24155947.437053818</v>
      </c>
      <c r="Q337" s="55">
        <f t="shared" ca="1" si="698"/>
        <v>24721471.199250668</v>
      </c>
      <c r="R337" s="55">
        <f t="shared" ca="1" si="698"/>
        <v>26596195.722848691</v>
      </c>
      <c r="S337" s="55">
        <f t="shared" ca="1" si="698"/>
        <v>27096867.533371042</v>
      </c>
      <c r="T337" s="55">
        <f t="shared" ca="1" si="698"/>
        <v>27714830.61746512</v>
      </c>
      <c r="U337" s="55">
        <f t="shared" ca="1" si="698"/>
        <v>28351332.594082024</v>
      </c>
      <c r="V337" s="55">
        <f t="shared" ca="1" si="698"/>
        <v>28904658.510741375</v>
      </c>
      <c r="W337" s="55">
        <f t="shared" ca="1" si="698"/>
        <v>31065993.763549808</v>
      </c>
      <c r="X337" s="55">
        <f t="shared" ca="1" si="698"/>
        <v>31761516.658952467</v>
      </c>
      <c r="Y337" s="55">
        <f t="shared" ca="1" si="698"/>
        <v>32372565.988383457</v>
      </c>
      <c r="Z337" s="55">
        <f t="shared" ca="1" si="698"/>
        <v>33110446.228116151</v>
      </c>
      <c r="AA337" s="699"/>
      <c r="AB337" s="699"/>
      <c r="AC337" s="699"/>
      <c r="AD337" s="699"/>
      <c r="AE337" s="49"/>
      <c r="AF337" s="49"/>
      <c r="AG337" s="49"/>
      <c r="AH337" s="49"/>
      <c r="AI337" s="49"/>
      <c r="AJ337" s="49"/>
      <c r="AK337" s="49"/>
      <c r="AL337" s="49"/>
      <c r="AM337" s="49"/>
      <c r="AN337" s="49"/>
      <c r="AO337" s="49"/>
      <c r="AP337" s="49"/>
      <c r="AQ337" s="49"/>
      <c r="AR337" s="49"/>
      <c r="AS337" s="49"/>
      <c r="AT337" s="49"/>
      <c r="AU337" s="49"/>
      <c r="AV337" s="49"/>
      <c r="AW337" s="49"/>
      <c r="AX337" s="49"/>
      <c r="AY337" s="49"/>
      <c r="AZ337" s="49"/>
      <c r="BA337" s="49"/>
      <c r="BB337" s="49"/>
      <c r="BC337" s="49"/>
      <c r="BD337" s="49"/>
      <c r="BE337" s="49"/>
      <c r="BF337" s="49"/>
      <c r="BG337" s="49"/>
      <c r="BH337" s="49"/>
      <c r="BI337" s="49"/>
      <c r="BJ337" s="49"/>
      <c r="BK337" s="49"/>
      <c r="BL337" s="49"/>
      <c r="BM337" s="49"/>
      <c r="BN337" s="49"/>
    </row>
    <row r="338" spans="2:66">
      <c r="B338" s="49"/>
      <c r="C338" s="49"/>
      <c r="D338" s="49"/>
      <c r="E338" s="49"/>
      <c r="F338" s="49"/>
      <c r="G338" s="49"/>
      <c r="H338" s="49"/>
      <c r="I338" s="49"/>
      <c r="J338" s="49"/>
      <c r="K338" s="49"/>
      <c r="L338" s="49"/>
      <c r="M338" s="49"/>
      <c r="N338" s="49"/>
      <c r="O338" s="49"/>
      <c r="P338" s="49"/>
      <c r="Q338" s="49"/>
      <c r="R338" s="49"/>
      <c r="S338" s="49"/>
      <c r="T338" s="49"/>
      <c r="U338" s="49"/>
      <c r="V338" s="49"/>
      <c r="W338" s="49"/>
      <c r="X338" s="49"/>
      <c r="Y338" s="49"/>
      <c r="Z338" s="49"/>
      <c r="AA338" s="699"/>
      <c r="AB338" s="699"/>
      <c r="AC338" s="699"/>
      <c r="AD338" s="699"/>
      <c r="AE338" s="49"/>
      <c r="AF338" s="49"/>
      <c r="AG338" s="49"/>
      <c r="AH338" s="49"/>
      <c r="AI338" s="49"/>
      <c r="AJ338" s="49"/>
      <c r="AK338" s="49"/>
      <c r="AL338" s="49"/>
      <c r="AM338" s="49"/>
      <c r="AN338" s="49"/>
      <c r="AO338" s="49"/>
      <c r="AP338" s="49"/>
      <c r="AQ338" s="49"/>
      <c r="AR338" s="49"/>
      <c r="AS338" s="49"/>
      <c r="AT338" s="49"/>
      <c r="AU338" s="49"/>
      <c r="AV338" s="49"/>
      <c r="AW338" s="49"/>
      <c r="AX338" s="49"/>
      <c r="AY338" s="49"/>
      <c r="AZ338" s="49"/>
      <c r="BA338" s="49"/>
      <c r="BB338" s="49"/>
      <c r="BC338" s="49"/>
      <c r="BD338" s="49"/>
      <c r="BE338" s="49"/>
      <c r="BF338" s="49"/>
      <c r="BG338" s="49"/>
      <c r="BH338" s="49"/>
      <c r="BI338" s="49"/>
      <c r="BJ338" s="49"/>
      <c r="BK338" s="49"/>
      <c r="BL338" s="49"/>
      <c r="BM338" s="49"/>
      <c r="BN338" s="49"/>
    </row>
    <row r="339" spans="2:66" ht="15.75">
      <c r="B339" s="112" t="s">
        <v>1207</v>
      </c>
      <c r="C339" s="49"/>
      <c r="D339" s="49"/>
      <c r="E339" s="49"/>
      <c r="F339" s="148">
        <f>+Assumptions!$F$27</f>
        <v>45291</v>
      </c>
      <c r="G339" s="148">
        <f>+EOMONTH(F339,12)</f>
        <v>45657</v>
      </c>
      <c r="H339" s="148">
        <f t="shared" ref="H339" si="699">+EOMONTH(G339,12)</f>
        <v>46022</v>
      </c>
      <c r="I339" s="148">
        <f t="shared" ref="I339" si="700">+EOMONTH(H339,12)</f>
        <v>46387</v>
      </c>
      <c r="J339" s="148">
        <f t="shared" ref="J339" si="701">+EOMONTH(I339,12)</f>
        <v>46752</v>
      </c>
      <c r="K339" s="148">
        <f t="shared" ref="K339" si="702">+EOMONTH(J339,12)</f>
        <v>47118</v>
      </c>
      <c r="L339" s="148">
        <f t="shared" ref="L339" si="703">+EOMONTH(K339,12)</f>
        <v>47483</v>
      </c>
      <c r="M339" s="148">
        <f t="shared" ref="M339" si="704">+EOMONTH(L339,12)</f>
        <v>47848</v>
      </c>
      <c r="N339" s="148">
        <f t="shared" ref="N339" si="705">+EOMONTH(M339,12)</f>
        <v>48213</v>
      </c>
      <c r="O339" s="148">
        <f t="shared" ref="O339" si="706">+EOMONTH(N339,12)</f>
        <v>48579</v>
      </c>
      <c r="P339" s="148">
        <f t="shared" ref="P339" si="707">+EOMONTH(O339,12)</f>
        <v>48944</v>
      </c>
      <c r="Q339" s="148">
        <f t="shared" ref="Q339" si="708">+EOMONTH(P339,12)</f>
        <v>49309</v>
      </c>
      <c r="R339" s="148">
        <f t="shared" ref="R339" si="709">+EOMONTH(Q339,12)</f>
        <v>49674</v>
      </c>
      <c r="S339" s="148">
        <f t="shared" ref="S339" si="710">+EOMONTH(R339,12)</f>
        <v>50040</v>
      </c>
      <c r="T339" s="148">
        <f t="shared" ref="T339" si="711">+EOMONTH(S339,12)</f>
        <v>50405</v>
      </c>
      <c r="U339" s="148">
        <f t="shared" ref="U339" si="712">+EOMONTH(T339,12)</f>
        <v>50770</v>
      </c>
      <c r="V339" s="148">
        <f t="shared" ref="V339" si="713">+EOMONTH(U339,12)</f>
        <v>51135</v>
      </c>
      <c r="W339" s="148">
        <f t="shared" ref="W339" si="714">+EOMONTH(V339,12)</f>
        <v>51501</v>
      </c>
      <c r="X339" s="148">
        <f t="shared" ref="X339" si="715">+EOMONTH(W339,12)</f>
        <v>51866</v>
      </c>
      <c r="Y339" s="148">
        <f t="shared" ref="Y339" si="716">+EOMONTH(X339,12)</f>
        <v>52231</v>
      </c>
      <c r="Z339" s="148">
        <f t="shared" ref="Z339" si="717">+EOMONTH(Y339,12)</f>
        <v>52596</v>
      </c>
      <c r="AA339" s="699"/>
      <c r="AB339" s="699"/>
      <c r="AC339" s="699"/>
      <c r="AD339" s="699"/>
      <c r="AE339" s="49"/>
      <c r="AF339" s="49"/>
      <c r="AG339" s="49"/>
      <c r="AH339" s="49"/>
      <c r="AI339" s="49"/>
      <c r="AJ339" s="49"/>
      <c r="AK339" s="49"/>
      <c r="AL339" s="49"/>
      <c r="AM339" s="49"/>
      <c r="AN339" s="49"/>
      <c r="AO339" s="49"/>
      <c r="AP339" s="49"/>
      <c r="AQ339" s="49"/>
      <c r="AR339" s="49"/>
      <c r="AS339" s="49"/>
      <c r="AT339" s="49"/>
      <c r="AU339" s="49"/>
      <c r="AV339" s="49"/>
      <c r="AW339" s="49"/>
      <c r="AX339" s="49"/>
      <c r="AY339" s="49"/>
      <c r="AZ339" s="49"/>
      <c r="BA339" s="49"/>
      <c r="BB339" s="49"/>
      <c r="BC339" s="49"/>
      <c r="BD339" s="49"/>
      <c r="BE339" s="49"/>
      <c r="BF339" s="49"/>
      <c r="BG339" s="49"/>
      <c r="BH339" s="49"/>
      <c r="BI339" s="49"/>
      <c r="BJ339" s="49"/>
      <c r="BK339" s="49"/>
      <c r="BL339" s="49"/>
      <c r="BM339" s="49"/>
      <c r="BN339" s="49"/>
    </row>
    <row r="340" spans="2:66" ht="15.75">
      <c r="B340" s="699" t="s">
        <v>1156</v>
      </c>
      <c r="C340" s="5"/>
      <c r="D340" s="5"/>
      <c r="E340" s="5"/>
      <c r="F340" s="83">
        <f t="shared" ref="F340:Z340" si="718">+F144+F213+AQ179+F286</f>
        <v>0</v>
      </c>
      <c r="G340" s="83">
        <f t="shared" si="718"/>
        <v>0</v>
      </c>
      <c r="H340" s="83">
        <f t="shared" si="718"/>
        <v>0</v>
      </c>
      <c r="I340" s="83">
        <f t="shared" si="718"/>
        <v>0</v>
      </c>
      <c r="J340" s="83">
        <f t="shared" si="718"/>
        <v>48037050.09785302</v>
      </c>
      <c r="K340" s="83">
        <f t="shared" si="718"/>
        <v>0</v>
      </c>
      <c r="L340" s="83">
        <f t="shared" si="718"/>
        <v>0</v>
      </c>
      <c r="M340" s="83">
        <f t="shared" si="718"/>
        <v>0</v>
      </c>
      <c r="N340" s="83">
        <f t="shared" si="718"/>
        <v>0</v>
      </c>
      <c r="O340" s="83">
        <f t="shared" si="718"/>
        <v>0</v>
      </c>
      <c r="P340" s="83">
        <f t="shared" ca="1" si="718"/>
        <v>525995178.20263666</v>
      </c>
      <c r="Q340" s="83">
        <f t="shared" si="718"/>
        <v>0</v>
      </c>
      <c r="R340" s="83">
        <f t="shared" si="718"/>
        <v>0</v>
      </c>
      <c r="S340" s="83">
        <f t="shared" si="718"/>
        <v>0</v>
      </c>
      <c r="T340" s="83">
        <f t="shared" si="718"/>
        <v>0</v>
      </c>
      <c r="U340" s="83">
        <f t="shared" si="718"/>
        <v>0</v>
      </c>
      <c r="V340" s="83">
        <f t="shared" si="718"/>
        <v>0</v>
      </c>
      <c r="W340" s="83">
        <f t="shared" si="718"/>
        <v>0</v>
      </c>
      <c r="X340" s="83">
        <f t="shared" si="718"/>
        <v>0</v>
      </c>
      <c r="Y340" s="83">
        <f t="shared" si="718"/>
        <v>0</v>
      </c>
      <c r="Z340" s="83">
        <f t="shared" si="718"/>
        <v>0</v>
      </c>
      <c r="AA340" s="699"/>
      <c r="AB340" s="699"/>
      <c r="AC340" s="699"/>
      <c r="AD340" s="699"/>
      <c r="AE340" s="49"/>
      <c r="AF340" s="49"/>
      <c r="AG340" s="49"/>
      <c r="AH340" s="49"/>
      <c r="AI340" s="49"/>
      <c r="AJ340" s="49"/>
      <c r="AK340" s="49"/>
      <c r="AL340" s="49"/>
      <c r="AM340" s="49"/>
      <c r="AN340" s="49"/>
      <c r="AO340" s="49"/>
      <c r="AP340" s="49"/>
      <c r="AQ340" s="49"/>
      <c r="AR340" s="49"/>
      <c r="AS340" s="49"/>
      <c r="AT340" s="49"/>
      <c r="AU340" s="49"/>
      <c r="AV340" s="49"/>
      <c r="AW340" s="49"/>
      <c r="AX340" s="49"/>
      <c r="AY340" s="49"/>
      <c r="AZ340" s="49"/>
      <c r="BA340" s="49"/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</row>
    <row r="341" spans="2:66">
      <c r="B341" s="699" t="s">
        <v>1158</v>
      </c>
      <c r="C341" s="49"/>
      <c r="D341" s="49"/>
      <c r="E341" s="49"/>
      <c r="F341" s="83">
        <f t="shared" ref="F341:Z341" si="719">+F146+F214+AQ180+F287</f>
        <v>0</v>
      </c>
      <c r="G341" s="83">
        <f t="shared" si="719"/>
        <v>0</v>
      </c>
      <c r="H341" s="83">
        <f t="shared" si="719"/>
        <v>0</v>
      </c>
      <c r="I341" s="83">
        <f t="shared" si="719"/>
        <v>0</v>
      </c>
      <c r="J341" s="83">
        <f t="shared" si="719"/>
        <v>-480370.50097853021</v>
      </c>
      <c r="K341" s="83">
        <f t="shared" si="719"/>
        <v>0</v>
      </c>
      <c r="L341" s="83">
        <f t="shared" si="719"/>
        <v>0</v>
      </c>
      <c r="M341" s="83">
        <f t="shared" si="719"/>
        <v>0</v>
      </c>
      <c r="N341" s="83">
        <f t="shared" si="719"/>
        <v>0</v>
      </c>
      <c r="O341" s="83">
        <f t="shared" si="719"/>
        <v>0</v>
      </c>
      <c r="P341" s="83">
        <f t="shared" ca="1" si="719"/>
        <v>-5259951.7820263663</v>
      </c>
      <c r="Q341" s="83">
        <f t="shared" si="719"/>
        <v>0</v>
      </c>
      <c r="R341" s="83">
        <f t="shared" si="719"/>
        <v>0</v>
      </c>
      <c r="S341" s="83">
        <f t="shared" si="719"/>
        <v>0</v>
      </c>
      <c r="T341" s="83">
        <f t="shared" si="719"/>
        <v>0</v>
      </c>
      <c r="U341" s="83">
        <f t="shared" si="719"/>
        <v>0</v>
      </c>
      <c r="V341" s="83">
        <f t="shared" si="719"/>
        <v>0</v>
      </c>
      <c r="W341" s="83">
        <f t="shared" si="719"/>
        <v>0</v>
      </c>
      <c r="X341" s="83">
        <f t="shared" si="719"/>
        <v>0</v>
      </c>
      <c r="Y341" s="83">
        <f t="shared" si="719"/>
        <v>0</v>
      </c>
      <c r="Z341" s="83">
        <f t="shared" si="719"/>
        <v>0</v>
      </c>
      <c r="AA341" s="699"/>
      <c r="AB341" s="699"/>
      <c r="AC341" s="699"/>
      <c r="AD341" s="699"/>
      <c r="AE341" s="49"/>
      <c r="AF341" s="49"/>
      <c r="AG341" s="49"/>
      <c r="AH341" s="49"/>
      <c r="AI341" s="49"/>
      <c r="AJ341" s="49"/>
      <c r="AK341" s="49"/>
      <c r="AL341" s="49"/>
      <c r="AM341" s="49"/>
      <c r="AN341" s="49"/>
      <c r="AO341" s="49"/>
      <c r="AP341" s="49"/>
      <c r="AQ341" s="49"/>
      <c r="AR341" s="49"/>
      <c r="AS341" s="49"/>
      <c r="AT341" s="49"/>
      <c r="AU341" s="49"/>
      <c r="AV341" s="49"/>
      <c r="AW341" s="49"/>
      <c r="AX341" s="49"/>
      <c r="AY341" s="49"/>
      <c r="AZ341" s="49"/>
      <c r="BA341" s="49"/>
      <c r="BB341" s="49"/>
      <c r="BC341" s="49"/>
      <c r="BD341" s="49"/>
      <c r="BE341" s="49"/>
      <c r="BF341" s="49"/>
      <c r="BG341" s="49"/>
      <c r="BH341" s="49"/>
      <c r="BI341" s="49"/>
      <c r="BJ341" s="49"/>
      <c r="BK341" s="49"/>
      <c r="BL341" s="49"/>
      <c r="BM341" s="49"/>
      <c r="BN341" s="49"/>
    </row>
    <row r="342" spans="2:66" ht="15.75">
      <c r="B342" s="50" t="s">
        <v>1160</v>
      </c>
      <c r="C342" s="50"/>
      <c r="D342" s="55"/>
      <c r="E342" s="55"/>
      <c r="F342" s="55">
        <f>+SUM(F340:F341)</f>
        <v>0</v>
      </c>
      <c r="G342" s="55">
        <f t="shared" ref="G342:Z342" si="720">+SUM(G340:G341)</f>
        <v>0</v>
      </c>
      <c r="H342" s="55">
        <f t="shared" si="720"/>
        <v>0</v>
      </c>
      <c r="I342" s="55">
        <f t="shared" si="720"/>
        <v>0</v>
      </c>
      <c r="J342" s="55">
        <f t="shared" si="720"/>
        <v>47556679.59687449</v>
      </c>
      <c r="K342" s="55">
        <f t="shared" si="720"/>
        <v>0</v>
      </c>
      <c r="L342" s="55">
        <f t="shared" si="720"/>
        <v>0</v>
      </c>
      <c r="M342" s="55">
        <f t="shared" si="720"/>
        <v>0</v>
      </c>
      <c r="N342" s="55">
        <f t="shared" si="720"/>
        <v>0</v>
      </c>
      <c r="O342" s="55">
        <f t="shared" si="720"/>
        <v>0</v>
      </c>
      <c r="P342" s="55">
        <f t="shared" ca="1" si="720"/>
        <v>520735226.42061031</v>
      </c>
      <c r="Q342" s="55">
        <f t="shared" si="720"/>
        <v>0</v>
      </c>
      <c r="R342" s="55">
        <f t="shared" si="720"/>
        <v>0</v>
      </c>
      <c r="S342" s="55">
        <f t="shared" si="720"/>
        <v>0</v>
      </c>
      <c r="T342" s="55">
        <f t="shared" si="720"/>
        <v>0</v>
      </c>
      <c r="U342" s="55">
        <f t="shared" si="720"/>
        <v>0</v>
      </c>
      <c r="V342" s="55">
        <f t="shared" si="720"/>
        <v>0</v>
      </c>
      <c r="W342" s="55">
        <f t="shared" si="720"/>
        <v>0</v>
      </c>
      <c r="X342" s="55">
        <f t="shared" si="720"/>
        <v>0</v>
      </c>
      <c r="Y342" s="55">
        <f t="shared" si="720"/>
        <v>0</v>
      </c>
      <c r="Z342" s="55">
        <f t="shared" si="720"/>
        <v>0</v>
      </c>
      <c r="AA342" s="699"/>
      <c r="AB342" s="699"/>
      <c r="AC342" s="699"/>
      <c r="AD342" s="699"/>
      <c r="AE342" s="49"/>
      <c r="AF342" s="49"/>
      <c r="AG342" s="49"/>
      <c r="AH342" s="49"/>
      <c r="AI342" s="49"/>
      <c r="AJ342" s="49"/>
      <c r="AK342" s="49"/>
      <c r="AL342" s="49"/>
      <c r="AM342" s="49"/>
      <c r="AN342" s="49"/>
      <c r="AO342" s="49"/>
      <c r="AP342" s="49"/>
      <c r="AQ342" s="49"/>
      <c r="AR342" s="49"/>
      <c r="AS342" s="49"/>
      <c r="AT342" s="49"/>
      <c r="AU342" s="49"/>
      <c r="AV342" s="49"/>
      <c r="AW342" s="49"/>
      <c r="AX342" s="49"/>
      <c r="AY342" s="49"/>
      <c r="AZ342" s="49"/>
      <c r="BA342" s="49"/>
      <c r="BB342" s="49"/>
      <c r="BC342" s="49"/>
      <c r="BD342" s="49"/>
      <c r="BE342" s="49"/>
      <c r="BF342" s="49"/>
      <c r="BG342" s="49"/>
      <c r="BH342" s="49"/>
      <c r="BI342" s="49"/>
      <c r="BJ342" s="49"/>
      <c r="BK342" s="49"/>
      <c r="BL342" s="49"/>
      <c r="BM342" s="49"/>
      <c r="BN342" s="49"/>
    </row>
    <row r="343" spans="2:66">
      <c r="B343" s="49"/>
      <c r="C343" s="49"/>
      <c r="D343" s="49"/>
      <c r="E343" s="49"/>
      <c r="F343" s="49"/>
      <c r="G343" s="49"/>
      <c r="H343" s="49"/>
      <c r="I343" s="49"/>
      <c r="J343" s="49"/>
      <c r="K343" s="49"/>
      <c r="L343" s="49"/>
      <c r="M343" s="49"/>
      <c r="N343" s="49"/>
      <c r="O343" s="49"/>
      <c r="P343" s="49"/>
      <c r="Q343" s="49"/>
      <c r="R343" s="49"/>
      <c r="S343" s="49"/>
      <c r="T343" s="49"/>
      <c r="U343" s="49"/>
      <c r="V343" s="49"/>
      <c r="W343" s="49"/>
      <c r="X343" s="49"/>
      <c r="Y343" s="49"/>
      <c r="Z343" s="49"/>
      <c r="AA343" s="699"/>
      <c r="AB343" s="699"/>
      <c r="AC343" s="699"/>
      <c r="AD343" s="699"/>
      <c r="AE343" s="49"/>
      <c r="AF343" s="49"/>
      <c r="AG343" s="49"/>
      <c r="AH343" s="49"/>
      <c r="AI343" s="49"/>
      <c r="AJ343" s="49"/>
      <c r="AK343" s="49"/>
      <c r="AL343" s="49"/>
      <c r="AM343" s="49"/>
      <c r="AN343" s="49"/>
      <c r="AO343" s="49"/>
      <c r="AP343" s="49"/>
      <c r="AQ343" s="49"/>
      <c r="AR343" s="49"/>
      <c r="AS343" s="49"/>
      <c r="AT343" s="49"/>
      <c r="AU343" s="49"/>
      <c r="AV343" s="49"/>
      <c r="AW343" s="49"/>
      <c r="AX343" s="49"/>
      <c r="AY343" s="49"/>
      <c r="AZ343" s="49"/>
      <c r="BA343" s="49"/>
      <c r="BB343" s="49"/>
      <c r="BC343" s="49"/>
      <c r="BD343" s="49"/>
      <c r="BE343" s="49"/>
      <c r="BF343" s="49"/>
      <c r="BG343" s="49"/>
      <c r="BH343" s="49"/>
      <c r="BI343" s="49"/>
      <c r="BJ343" s="49"/>
      <c r="BK343" s="49"/>
      <c r="BL343" s="49"/>
      <c r="BM343" s="49"/>
      <c r="BN343" s="49"/>
    </row>
    <row r="344" spans="2:66" ht="15.75">
      <c r="B344" s="112" t="s">
        <v>1208</v>
      </c>
      <c r="C344" s="49"/>
      <c r="D344" s="49"/>
      <c r="E344" s="49"/>
      <c r="F344" s="148">
        <f>+Assumptions!$F$27</f>
        <v>45291</v>
      </c>
      <c r="G344" s="148">
        <f>+EOMONTH(F344,12)</f>
        <v>45657</v>
      </c>
      <c r="H344" s="148">
        <f t="shared" ref="H344" si="721">+EOMONTH(G344,12)</f>
        <v>46022</v>
      </c>
      <c r="I344" s="148">
        <f t="shared" ref="I344" si="722">+EOMONTH(H344,12)</f>
        <v>46387</v>
      </c>
      <c r="J344" s="148">
        <f t="shared" ref="J344" si="723">+EOMONTH(I344,12)</f>
        <v>46752</v>
      </c>
      <c r="K344" s="148">
        <f t="shared" ref="K344" si="724">+EOMONTH(J344,12)</f>
        <v>47118</v>
      </c>
      <c r="L344" s="148">
        <f t="shared" ref="L344" si="725">+EOMONTH(K344,12)</f>
        <v>47483</v>
      </c>
      <c r="M344" s="148">
        <f t="shared" ref="M344" si="726">+EOMONTH(L344,12)</f>
        <v>47848</v>
      </c>
      <c r="N344" s="148">
        <f t="shared" ref="N344" si="727">+EOMONTH(M344,12)</f>
        <v>48213</v>
      </c>
      <c r="O344" s="148">
        <f t="shared" ref="O344" si="728">+EOMONTH(N344,12)</f>
        <v>48579</v>
      </c>
      <c r="P344" s="148">
        <f t="shared" ref="P344" si="729">+EOMONTH(O344,12)</f>
        <v>48944</v>
      </c>
      <c r="Q344" s="148">
        <f t="shared" ref="Q344" si="730">+EOMONTH(P344,12)</f>
        <v>49309</v>
      </c>
      <c r="R344" s="148">
        <f t="shared" ref="R344" si="731">+EOMONTH(Q344,12)</f>
        <v>49674</v>
      </c>
      <c r="S344" s="148">
        <f t="shared" ref="S344" si="732">+EOMONTH(R344,12)</f>
        <v>50040</v>
      </c>
      <c r="T344" s="148">
        <f t="shared" ref="T344" si="733">+EOMONTH(S344,12)</f>
        <v>50405</v>
      </c>
      <c r="U344" s="148">
        <f t="shared" ref="U344" si="734">+EOMONTH(T344,12)</f>
        <v>50770</v>
      </c>
      <c r="V344" s="148">
        <f t="shared" ref="V344" si="735">+EOMONTH(U344,12)</f>
        <v>51135</v>
      </c>
      <c r="W344" s="148">
        <f t="shared" ref="W344" si="736">+EOMONTH(V344,12)</f>
        <v>51501</v>
      </c>
      <c r="X344" s="148">
        <f t="shared" ref="X344" si="737">+EOMONTH(W344,12)</f>
        <v>51866</v>
      </c>
      <c r="Y344" s="148">
        <f t="shared" ref="Y344" si="738">+EOMONTH(X344,12)</f>
        <v>52231</v>
      </c>
      <c r="Z344" s="148">
        <f t="shared" ref="Z344" si="739">+EOMONTH(Y344,12)</f>
        <v>52596</v>
      </c>
      <c r="AA344" s="699"/>
      <c r="AB344" s="699"/>
      <c r="AC344" s="699"/>
      <c r="AD344" s="699"/>
      <c r="AE344" s="49"/>
      <c r="AF344" s="49"/>
      <c r="AG344" s="49"/>
      <c r="AH344" s="49"/>
      <c r="AI344" s="49"/>
      <c r="AJ344" s="49"/>
      <c r="AK344" s="49"/>
      <c r="AL344" s="49"/>
      <c r="AM344" s="49"/>
      <c r="AN344" s="49"/>
      <c r="AO344" s="49"/>
      <c r="AP344" s="49"/>
      <c r="AQ344" s="49"/>
      <c r="AR344" s="49"/>
      <c r="AS344" s="49"/>
      <c r="AT344" s="49"/>
      <c r="AU344" s="49"/>
      <c r="AV344" s="49"/>
      <c r="AW344" s="49"/>
      <c r="AX344" s="49"/>
      <c r="AY344" s="49"/>
      <c r="AZ344" s="49"/>
      <c r="BA344" s="49"/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</row>
    <row r="345" spans="2:66" ht="15.75">
      <c r="B345" s="699" t="s">
        <v>341</v>
      </c>
      <c r="C345" s="49"/>
      <c r="D345" s="94">
        <f>+SUM(F345:Z345)</f>
        <v>57533874.841383234</v>
      </c>
      <c r="E345" s="94"/>
      <c r="F345" s="83">
        <f>+F301</f>
        <v>57533874.841383234</v>
      </c>
      <c r="G345" s="83">
        <f t="shared" ref="G345:Z351" si="740">+G301</f>
        <v>0</v>
      </c>
      <c r="H345" s="83">
        <f t="shared" si="740"/>
        <v>0</v>
      </c>
      <c r="I345" s="83">
        <f t="shared" si="740"/>
        <v>0</v>
      </c>
      <c r="J345" s="83">
        <f t="shared" si="740"/>
        <v>0</v>
      </c>
      <c r="K345" s="83">
        <f t="shared" si="740"/>
        <v>0</v>
      </c>
      <c r="L345" s="83">
        <f t="shared" si="740"/>
        <v>0</v>
      </c>
      <c r="M345" s="83">
        <f t="shared" si="740"/>
        <v>0</v>
      </c>
      <c r="N345" s="83">
        <f t="shared" si="740"/>
        <v>0</v>
      </c>
      <c r="O345" s="83">
        <f t="shared" si="740"/>
        <v>0</v>
      </c>
      <c r="P345" s="83">
        <f t="shared" si="740"/>
        <v>0</v>
      </c>
      <c r="Q345" s="83">
        <f t="shared" si="740"/>
        <v>0</v>
      </c>
      <c r="R345" s="83">
        <f t="shared" si="740"/>
        <v>0</v>
      </c>
      <c r="S345" s="83">
        <f t="shared" si="740"/>
        <v>0</v>
      </c>
      <c r="T345" s="83">
        <f t="shared" si="740"/>
        <v>0</v>
      </c>
      <c r="U345" s="83">
        <f t="shared" si="740"/>
        <v>0</v>
      </c>
      <c r="V345" s="83">
        <f t="shared" si="740"/>
        <v>0</v>
      </c>
      <c r="W345" s="83">
        <f t="shared" si="740"/>
        <v>0</v>
      </c>
      <c r="X345" s="83">
        <f t="shared" si="740"/>
        <v>0</v>
      </c>
      <c r="Y345" s="83">
        <f t="shared" si="740"/>
        <v>0</v>
      </c>
      <c r="Z345" s="83">
        <f t="shared" si="740"/>
        <v>0</v>
      </c>
      <c r="AA345" s="699"/>
      <c r="AB345" s="699"/>
      <c r="AC345" s="699"/>
      <c r="AD345" s="699"/>
      <c r="AE345" s="49"/>
      <c r="AF345" s="49"/>
      <c r="AG345" s="49"/>
      <c r="AH345" s="49"/>
      <c r="AI345" s="49"/>
      <c r="AJ345" s="49"/>
      <c r="AK345" s="49"/>
      <c r="AL345" s="49"/>
      <c r="AM345" s="49"/>
      <c r="AN345" s="49"/>
      <c r="AO345" s="49"/>
      <c r="AP345" s="49"/>
      <c r="AQ345" s="49"/>
      <c r="AR345" s="49"/>
      <c r="AS345" s="49"/>
      <c r="AT345" s="49"/>
      <c r="AU345" s="49"/>
      <c r="AV345" s="49"/>
      <c r="AW345" s="49"/>
      <c r="AX345" s="49"/>
      <c r="AY345" s="49"/>
      <c r="AZ345" s="49"/>
      <c r="BA345" s="49"/>
      <c r="BB345" s="49"/>
      <c r="BC345" s="49"/>
      <c r="BD345" s="49"/>
      <c r="BE345" s="49"/>
      <c r="BF345" s="49"/>
      <c r="BG345" s="49"/>
      <c r="BH345" s="49"/>
      <c r="BI345" s="49"/>
      <c r="BJ345" s="49"/>
      <c r="BK345" s="49"/>
      <c r="BL345" s="49"/>
      <c r="BM345" s="49"/>
      <c r="BN345" s="49"/>
    </row>
    <row r="346" spans="2:66" ht="15.75">
      <c r="B346" s="699" t="s">
        <v>236</v>
      </c>
      <c r="C346" s="49"/>
      <c r="D346" s="94">
        <f t="shared" ref="D346:D352" si="741">+SUM(F346:Z346)</f>
        <v>20194435</v>
      </c>
      <c r="E346" s="94"/>
      <c r="F346" s="83">
        <f t="shared" ref="F346:U351" si="742">+F302</f>
        <v>20194435</v>
      </c>
      <c r="G346" s="83">
        <f t="shared" si="742"/>
        <v>0</v>
      </c>
      <c r="H346" s="83">
        <f t="shared" si="742"/>
        <v>0</v>
      </c>
      <c r="I346" s="83">
        <f t="shared" si="742"/>
        <v>0</v>
      </c>
      <c r="J346" s="83">
        <f t="shared" si="742"/>
        <v>0</v>
      </c>
      <c r="K346" s="83">
        <f t="shared" si="742"/>
        <v>0</v>
      </c>
      <c r="L346" s="83">
        <f t="shared" si="742"/>
        <v>0</v>
      </c>
      <c r="M346" s="83">
        <f t="shared" si="742"/>
        <v>0</v>
      </c>
      <c r="N346" s="83">
        <f t="shared" si="742"/>
        <v>0</v>
      </c>
      <c r="O346" s="83">
        <f t="shared" si="742"/>
        <v>0</v>
      </c>
      <c r="P346" s="83">
        <f t="shared" si="742"/>
        <v>0</v>
      </c>
      <c r="Q346" s="83">
        <f t="shared" si="742"/>
        <v>0</v>
      </c>
      <c r="R346" s="83">
        <f t="shared" si="742"/>
        <v>0</v>
      </c>
      <c r="S346" s="83">
        <f t="shared" si="742"/>
        <v>0</v>
      </c>
      <c r="T346" s="83">
        <f t="shared" si="742"/>
        <v>0</v>
      </c>
      <c r="U346" s="83">
        <f t="shared" si="742"/>
        <v>0</v>
      </c>
      <c r="V346" s="83">
        <f t="shared" si="740"/>
        <v>0</v>
      </c>
      <c r="W346" s="83">
        <f t="shared" si="740"/>
        <v>0</v>
      </c>
      <c r="X346" s="83">
        <f t="shared" si="740"/>
        <v>0</v>
      </c>
      <c r="Y346" s="83">
        <f t="shared" si="740"/>
        <v>0</v>
      </c>
      <c r="Z346" s="83">
        <f t="shared" si="740"/>
        <v>0</v>
      </c>
      <c r="AA346" s="699"/>
      <c r="AB346" s="699"/>
      <c r="AC346" s="699"/>
      <c r="AD346" s="699"/>
      <c r="AE346" s="49"/>
      <c r="AF346" s="49"/>
      <c r="AG346" s="49"/>
      <c r="AH346" s="49"/>
      <c r="AI346" s="49"/>
      <c r="AJ346" s="49"/>
      <c r="AK346" s="49"/>
      <c r="AL346" s="49"/>
      <c r="AM346" s="49"/>
      <c r="AN346" s="49"/>
      <c r="AO346" s="49"/>
      <c r="AP346" s="49"/>
      <c r="AQ346" s="49"/>
      <c r="AR346" s="49"/>
      <c r="AS346" s="49"/>
      <c r="AT346" s="49"/>
      <c r="AU346" s="49"/>
      <c r="AV346" s="49"/>
      <c r="AW346" s="49"/>
      <c r="AX346" s="49"/>
      <c r="AY346" s="49"/>
      <c r="AZ346" s="49"/>
      <c r="BA346" s="49"/>
      <c r="BB346" s="49"/>
      <c r="BC346" s="49"/>
      <c r="BD346" s="49"/>
      <c r="BE346" s="49"/>
      <c r="BF346" s="49"/>
      <c r="BG346" s="49"/>
      <c r="BH346" s="49"/>
      <c r="BI346" s="49"/>
      <c r="BJ346" s="49"/>
      <c r="BK346" s="49"/>
      <c r="BL346" s="49"/>
      <c r="BM346" s="49"/>
      <c r="BN346" s="49"/>
    </row>
    <row r="347" spans="2:66" ht="15.75">
      <c r="B347" s="699" t="s">
        <v>344</v>
      </c>
      <c r="C347" s="49"/>
      <c r="D347" s="94">
        <f t="shared" ca="1" si="741"/>
        <v>302119898.65899998</v>
      </c>
      <c r="E347" s="94"/>
      <c r="F347" s="83">
        <f t="shared" si="742"/>
        <v>3970696</v>
      </c>
      <c r="G347" s="83">
        <f t="shared" ca="1" si="740"/>
        <v>99383067.552999988</v>
      </c>
      <c r="H347" s="83">
        <f t="shared" ca="1" si="740"/>
        <v>99383067.552999988</v>
      </c>
      <c r="I347" s="83">
        <f t="shared" ca="1" si="740"/>
        <v>99383067.552999988</v>
      </c>
      <c r="J347" s="83">
        <f t="shared" si="740"/>
        <v>0</v>
      </c>
      <c r="K347" s="83">
        <f t="shared" si="740"/>
        <v>0</v>
      </c>
      <c r="L347" s="83">
        <f t="shared" si="740"/>
        <v>0</v>
      </c>
      <c r="M347" s="83">
        <f t="shared" si="740"/>
        <v>0</v>
      </c>
      <c r="N347" s="83">
        <f t="shared" si="740"/>
        <v>0</v>
      </c>
      <c r="O347" s="83">
        <f t="shared" si="740"/>
        <v>0</v>
      </c>
      <c r="P347" s="83">
        <f t="shared" si="740"/>
        <v>0</v>
      </c>
      <c r="Q347" s="83">
        <f t="shared" si="740"/>
        <v>0</v>
      </c>
      <c r="R347" s="83">
        <f t="shared" si="740"/>
        <v>0</v>
      </c>
      <c r="S347" s="83">
        <f t="shared" si="740"/>
        <v>0</v>
      </c>
      <c r="T347" s="83">
        <f t="shared" si="740"/>
        <v>0</v>
      </c>
      <c r="U347" s="83">
        <f t="shared" si="740"/>
        <v>0</v>
      </c>
      <c r="V347" s="83">
        <f t="shared" si="740"/>
        <v>0</v>
      </c>
      <c r="W347" s="83">
        <f t="shared" si="740"/>
        <v>0</v>
      </c>
      <c r="X347" s="83">
        <f t="shared" si="740"/>
        <v>0</v>
      </c>
      <c r="Y347" s="83">
        <f t="shared" si="740"/>
        <v>0</v>
      </c>
      <c r="Z347" s="83">
        <f t="shared" si="740"/>
        <v>0</v>
      </c>
      <c r="AA347" s="699"/>
      <c r="AB347" s="699"/>
      <c r="AC347" s="699"/>
      <c r="AD347" s="699"/>
      <c r="AE347" s="49"/>
      <c r="AF347" s="49"/>
      <c r="AG347" s="49"/>
      <c r="AH347" s="49"/>
      <c r="AI347" s="49"/>
      <c r="AJ347" s="49"/>
      <c r="AK347" s="49"/>
      <c r="AL347" s="49"/>
      <c r="AM347" s="49"/>
      <c r="AN347" s="49"/>
      <c r="AO347" s="49"/>
      <c r="AP347" s="49"/>
      <c r="AQ347" s="49"/>
      <c r="AR347" s="49"/>
      <c r="AS347" s="49"/>
      <c r="AT347" s="49"/>
      <c r="AU347" s="49"/>
      <c r="AV347" s="49"/>
      <c r="AW347" s="49"/>
      <c r="AX347" s="49"/>
      <c r="AY347" s="49"/>
      <c r="AZ347" s="49"/>
      <c r="BA347" s="49"/>
      <c r="BB347" s="49"/>
      <c r="BC347" s="49"/>
      <c r="BD347" s="49"/>
      <c r="BE347" s="49"/>
      <c r="BF347" s="49"/>
      <c r="BG347" s="49"/>
      <c r="BH347" s="49"/>
      <c r="BI347" s="49"/>
      <c r="BJ347" s="49"/>
      <c r="BK347" s="49"/>
      <c r="BL347" s="49"/>
      <c r="BM347" s="49"/>
      <c r="BN347" s="49"/>
    </row>
    <row r="348" spans="2:66" ht="15.75">
      <c r="B348" s="699" t="s">
        <v>345</v>
      </c>
      <c r="C348" s="49"/>
      <c r="D348" s="94">
        <f t="shared" ca="1" si="741"/>
        <v>81624624.794803187</v>
      </c>
      <c r="E348" s="94"/>
      <c r="F348" s="83">
        <f t="shared" ca="1" si="742"/>
        <v>81624624.794803187</v>
      </c>
      <c r="G348" s="83">
        <f t="shared" ca="1" si="740"/>
        <v>0</v>
      </c>
      <c r="H348" s="83">
        <f t="shared" ca="1" si="740"/>
        <v>0</v>
      </c>
      <c r="I348" s="83">
        <f t="shared" ca="1" si="740"/>
        <v>0</v>
      </c>
      <c r="J348" s="83">
        <f t="shared" si="740"/>
        <v>0</v>
      </c>
      <c r="K348" s="83">
        <f t="shared" si="740"/>
        <v>0</v>
      </c>
      <c r="L348" s="83">
        <f t="shared" si="740"/>
        <v>0</v>
      </c>
      <c r="M348" s="83">
        <f t="shared" si="740"/>
        <v>0</v>
      </c>
      <c r="N348" s="83">
        <f t="shared" si="740"/>
        <v>0</v>
      </c>
      <c r="O348" s="83">
        <f t="shared" si="740"/>
        <v>0</v>
      </c>
      <c r="P348" s="83">
        <f t="shared" si="740"/>
        <v>0</v>
      </c>
      <c r="Q348" s="83">
        <f t="shared" si="740"/>
        <v>0</v>
      </c>
      <c r="R348" s="83">
        <f t="shared" si="740"/>
        <v>0</v>
      </c>
      <c r="S348" s="83">
        <f t="shared" si="740"/>
        <v>0</v>
      </c>
      <c r="T348" s="83">
        <f t="shared" si="740"/>
        <v>0</v>
      </c>
      <c r="U348" s="83">
        <f t="shared" si="740"/>
        <v>0</v>
      </c>
      <c r="V348" s="83">
        <f t="shared" si="740"/>
        <v>0</v>
      </c>
      <c r="W348" s="83">
        <f t="shared" si="740"/>
        <v>0</v>
      </c>
      <c r="X348" s="83">
        <f t="shared" si="740"/>
        <v>0</v>
      </c>
      <c r="Y348" s="83">
        <f t="shared" si="740"/>
        <v>0</v>
      </c>
      <c r="Z348" s="83">
        <f t="shared" si="740"/>
        <v>0</v>
      </c>
      <c r="AA348" s="699"/>
      <c r="AB348" s="699"/>
      <c r="AC348" s="699"/>
      <c r="AD348" s="699"/>
      <c r="AE348" s="49"/>
      <c r="AF348" s="49"/>
      <c r="AG348" s="49"/>
      <c r="AH348" s="49"/>
      <c r="AI348" s="49"/>
      <c r="AJ348" s="49"/>
      <c r="AK348" s="49"/>
      <c r="AL348" s="49"/>
      <c r="AM348" s="49"/>
      <c r="AN348" s="49"/>
      <c r="AO348" s="49"/>
      <c r="AP348" s="49"/>
      <c r="AQ348" s="49"/>
      <c r="AR348" s="49"/>
      <c r="AS348" s="49"/>
      <c r="AT348" s="49"/>
      <c r="AU348" s="49"/>
      <c r="AV348" s="49"/>
      <c r="AW348" s="49"/>
      <c r="AX348" s="49"/>
      <c r="AY348" s="49"/>
      <c r="AZ348" s="49"/>
      <c r="BA348" s="49"/>
      <c r="BB348" s="49"/>
      <c r="BC348" s="49"/>
      <c r="BD348" s="49"/>
      <c r="BE348" s="49"/>
      <c r="BF348" s="49"/>
      <c r="BG348" s="49"/>
      <c r="BH348" s="49"/>
      <c r="BI348" s="49"/>
      <c r="BJ348" s="49"/>
      <c r="BK348" s="49"/>
      <c r="BL348" s="49"/>
      <c r="BM348" s="49"/>
      <c r="BN348" s="49"/>
    </row>
    <row r="349" spans="2:66" ht="15.75">
      <c r="B349" s="699" t="s">
        <v>347</v>
      </c>
      <c r="C349" s="49"/>
      <c r="D349" s="94">
        <f t="shared" si="741"/>
        <v>0</v>
      </c>
      <c r="E349" s="94"/>
      <c r="F349" s="83">
        <v>0</v>
      </c>
      <c r="G349" s="83">
        <v>0</v>
      </c>
      <c r="H349" s="83">
        <v>0</v>
      </c>
      <c r="I349" s="83">
        <v>0</v>
      </c>
      <c r="J349" s="83">
        <v>0</v>
      </c>
      <c r="K349" s="83">
        <v>0</v>
      </c>
      <c r="L349" s="83">
        <v>0</v>
      </c>
      <c r="M349" s="83">
        <v>0</v>
      </c>
      <c r="N349" s="83">
        <v>0</v>
      </c>
      <c r="O349" s="83">
        <v>0</v>
      </c>
      <c r="P349" s="83">
        <v>0</v>
      </c>
      <c r="Q349" s="83">
        <v>0</v>
      </c>
      <c r="R349" s="83">
        <v>0</v>
      </c>
      <c r="S349" s="83">
        <v>0</v>
      </c>
      <c r="T349" s="83">
        <v>0</v>
      </c>
      <c r="U349" s="83">
        <v>0</v>
      </c>
      <c r="V349" s="83">
        <v>0</v>
      </c>
      <c r="W349" s="83">
        <v>0</v>
      </c>
      <c r="X349" s="83">
        <v>0</v>
      </c>
      <c r="Y349" s="83">
        <v>0</v>
      </c>
      <c r="Z349" s="83">
        <v>0</v>
      </c>
      <c r="AA349" s="699"/>
      <c r="AB349" s="699"/>
      <c r="AC349" s="699"/>
      <c r="AD349" s="699"/>
      <c r="AE349" s="49"/>
      <c r="AF349" s="49"/>
      <c r="AG349" s="49"/>
      <c r="AH349" s="49"/>
      <c r="AI349" s="49"/>
      <c r="AJ349" s="49"/>
      <c r="AK349" s="49"/>
      <c r="AL349" s="49"/>
      <c r="AM349" s="49"/>
      <c r="AN349" s="49"/>
      <c r="AO349" s="49"/>
      <c r="AP349" s="49"/>
      <c r="AQ349" s="49"/>
      <c r="AR349" s="49"/>
      <c r="AS349" s="49"/>
      <c r="AT349" s="49"/>
      <c r="AU349" s="49"/>
      <c r="AV349" s="49"/>
      <c r="AW349" s="49"/>
      <c r="AX349" s="49"/>
      <c r="AY349" s="49"/>
      <c r="AZ349" s="49"/>
      <c r="BA349" s="49"/>
      <c r="BB349" s="49"/>
      <c r="BC349" s="49"/>
      <c r="BD349" s="49"/>
      <c r="BE349" s="49"/>
      <c r="BF349" s="49"/>
      <c r="BG349" s="49"/>
      <c r="BH349" s="49"/>
      <c r="BI349" s="49"/>
      <c r="BJ349" s="49"/>
      <c r="BK349" s="49"/>
      <c r="BL349" s="49"/>
      <c r="BM349" s="49"/>
      <c r="BN349" s="49"/>
    </row>
    <row r="350" spans="2:66" ht="15.75">
      <c r="B350" s="699" t="s">
        <v>348</v>
      </c>
      <c r="C350" s="49"/>
      <c r="D350" s="94">
        <f t="shared" ca="1" si="741"/>
        <v>21637963.070219036</v>
      </c>
      <c r="E350" s="94"/>
      <c r="F350" s="83">
        <f t="shared" si="742"/>
        <v>0</v>
      </c>
      <c r="G350" s="83">
        <f t="shared" ca="1" si="740"/>
        <v>7212654.3567396784</v>
      </c>
      <c r="H350" s="83">
        <f t="shared" ca="1" si="740"/>
        <v>7212654.3567396784</v>
      </c>
      <c r="I350" s="83">
        <f t="shared" ca="1" si="740"/>
        <v>7212654.3567396784</v>
      </c>
      <c r="J350" s="83">
        <f t="shared" si="740"/>
        <v>0</v>
      </c>
      <c r="K350" s="83">
        <f t="shared" si="740"/>
        <v>0</v>
      </c>
      <c r="L350" s="83">
        <f t="shared" si="740"/>
        <v>0</v>
      </c>
      <c r="M350" s="83">
        <f t="shared" si="740"/>
        <v>0</v>
      </c>
      <c r="N350" s="83">
        <f t="shared" si="740"/>
        <v>0</v>
      </c>
      <c r="O350" s="83">
        <f t="shared" si="740"/>
        <v>0</v>
      </c>
      <c r="P350" s="83">
        <f t="shared" si="740"/>
        <v>0</v>
      </c>
      <c r="Q350" s="83">
        <f t="shared" si="740"/>
        <v>0</v>
      </c>
      <c r="R350" s="83">
        <f t="shared" si="740"/>
        <v>0</v>
      </c>
      <c r="S350" s="83">
        <f t="shared" si="740"/>
        <v>0</v>
      </c>
      <c r="T350" s="83">
        <f t="shared" si="740"/>
        <v>0</v>
      </c>
      <c r="U350" s="83">
        <f t="shared" si="740"/>
        <v>0</v>
      </c>
      <c r="V350" s="83">
        <f t="shared" si="740"/>
        <v>0</v>
      </c>
      <c r="W350" s="83">
        <f t="shared" si="740"/>
        <v>0</v>
      </c>
      <c r="X350" s="83">
        <f t="shared" si="740"/>
        <v>0</v>
      </c>
      <c r="Y350" s="83">
        <f t="shared" si="740"/>
        <v>0</v>
      </c>
      <c r="Z350" s="83">
        <f t="shared" si="740"/>
        <v>0</v>
      </c>
      <c r="AA350" s="699"/>
      <c r="AB350" s="699"/>
      <c r="AC350" s="699"/>
      <c r="AD350" s="699"/>
      <c r="AE350" s="49"/>
      <c r="AF350" s="49"/>
      <c r="AG350" s="49"/>
      <c r="AH350" s="49"/>
      <c r="AI350" s="49"/>
      <c r="AJ350" s="49"/>
      <c r="AK350" s="49"/>
      <c r="AL350" s="49"/>
      <c r="AM350" s="49"/>
      <c r="AN350" s="49"/>
      <c r="AO350" s="49"/>
      <c r="AP350" s="49"/>
      <c r="AQ350" s="49"/>
      <c r="AR350" s="49"/>
      <c r="AS350" s="49"/>
      <c r="AT350" s="49"/>
      <c r="AU350" s="49"/>
      <c r="AV350" s="49"/>
      <c r="AW350" s="49"/>
      <c r="AX350" s="49"/>
      <c r="AY350" s="49"/>
      <c r="AZ350" s="49"/>
      <c r="BA350" s="49"/>
      <c r="BB350" s="49"/>
      <c r="BC350" s="49"/>
      <c r="BD350" s="49"/>
      <c r="BE350" s="49"/>
      <c r="BF350" s="49"/>
      <c r="BG350" s="49"/>
      <c r="BH350" s="49"/>
      <c r="BI350" s="49"/>
      <c r="BJ350" s="49"/>
      <c r="BK350" s="49"/>
      <c r="BL350" s="49"/>
      <c r="BM350" s="49"/>
      <c r="BN350" s="49"/>
    </row>
    <row r="351" spans="2:66" ht="15.75">
      <c r="B351" s="699" t="s">
        <v>349</v>
      </c>
      <c r="C351" s="49"/>
      <c r="D351" s="94">
        <f t="shared" ca="1" si="741"/>
        <v>18352104.384487133</v>
      </c>
      <c r="E351" s="94"/>
      <c r="F351" s="83">
        <f t="shared" ca="1" si="742"/>
        <v>18352104.384487133</v>
      </c>
      <c r="G351" s="83">
        <f t="shared" ca="1" si="740"/>
        <v>0</v>
      </c>
      <c r="H351" s="83">
        <f t="shared" ca="1" si="740"/>
        <v>0</v>
      </c>
      <c r="I351" s="83">
        <f t="shared" ca="1" si="740"/>
        <v>0</v>
      </c>
      <c r="J351" s="83">
        <f t="shared" ca="1" si="740"/>
        <v>0</v>
      </c>
      <c r="K351" s="83">
        <f t="shared" ca="1" si="740"/>
        <v>0</v>
      </c>
      <c r="L351" s="83">
        <f t="shared" si="740"/>
        <v>0</v>
      </c>
      <c r="M351" s="83">
        <f t="shared" si="740"/>
        <v>0</v>
      </c>
      <c r="N351" s="83">
        <f t="shared" si="740"/>
        <v>0</v>
      </c>
      <c r="O351" s="83">
        <f t="shared" si="740"/>
        <v>0</v>
      </c>
      <c r="P351" s="83">
        <f t="shared" si="740"/>
        <v>0</v>
      </c>
      <c r="Q351" s="83">
        <f t="shared" si="740"/>
        <v>0</v>
      </c>
      <c r="R351" s="83">
        <f t="shared" si="740"/>
        <v>0</v>
      </c>
      <c r="S351" s="83">
        <f t="shared" si="740"/>
        <v>0</v>
      </c>
      <c r="T351" s="83">
        <f t="shared" si="740"/>
        <v>0</v>
      </c>
      <c r="U351" s="83">
        <f t="shared" si="740"/>
        <v>0</v>
      </c>
      <c r="V351" s="83">
        <f t="shared" si="740"/>
        <v>0</v>
      </c>
      <c r="W351" s="83">
        <f t="shared" si="740"/>
        <v>0</v>
      </c>
      <c r="X351" s="83">
        <f t="shared" si="740"/>
        <v>0</v>
      </c>
      <c r="Y351" s="83">
        <f t="shared" si="740"/>
        <v>0</v>
      </c>
      <c r="Z351" s="83">
        <f t="shared" si="740"/>
        <v>0</v>
      </c>
      <c r="AA351" s="699"/>
      <c r="AB351" s="699"/>
      <c r="AC351" s="699"/>
      <c r="AD351" s="699"/>
      <c r="AE351" s="49"/>
      <c r="AF351" s="49"/>
      <c r="AG351" s="49"/>
      <c r="AH351" s="49"/>
      <c r="AI351" s="49"/>
      <c r="AJ351" s="49"/>
      <c r="AK351" s="49"/>
      <c r="AL351" s="49"/>
      <c r="AM351" s="49"/>
      <c r="AN351" s="49"/>
      <c r="AO351" s="49"/>
      <c r="AP351" s="49"/>
      <c r="AQ351" s="49"/>
      <c r="AR351" s="49"/>
      <c r="AS351" s="49"/>
      <c r="AT351" s="49"/>
      <c r="AU351" s="49"/>
      <c r="AV351" s="49"/>
      <c r="AW351" s="49"/>
      <c r="AX351" s="49"/>
      <c r="AY351" s="49"/>
      <c r="AZ351" s="49"/>
      <c r="BA351" s="49"/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</row>
    <row r="352" spans="2:66" ht="15.75">
      <c r="B352" s="50" t="s">
        <v>1192</v>
      </c>
      <c r="C352" s="50"/>
      <c r="D352" s="55">
        <f t="shared" ca="1" si="741"/>
        <v>501462900.74989259</v>
      </c>
      <c r="E352" s="55"/>
      <c r="F352" s="55">
        <f ca="1">+SUM(F345:F351)</f>
        <v>181675735.02067354</v>
      </c>
      <c r="G352" s="55">
        <f t="shared" ref="G352:Z352" ca="1" si="743">+SUM(G345:G351)</f>
        <v>106595721.90973967</v>
      </c>
      <c r="H352" s="55">
        <f t="shared" ca="1" si="743"/>
        <v>106595721.90973967</v>
      </c>
      <c r="I352" s="55">
        <f t="shared" ca="1" si="743"/>
        <v>106595721.90973967</v>
      </c>
      <c r="J352" s="55">
        <f t="shared" ca="1" si="743"/>
        <v>0</v>
      </c>
      <c r="K352" s="55">
        <f t="shared" ca="1" si="743"/>
        <v>0</v>
      </c>
      <c r="L352" s="55">
        <f t="shared" si="743"/>
        <v>0</v>
      </c>
      <c r="M352" s="55">
        <f t="shared" si="743"/>
        <v>0</v>
      </c>
      <c r="N352" s="55">
        <f t="shared" si="743"/>
        <v>0</v>
      </c>
      <c r="O352" s="55">
        <f t="shared" si="743"/>
        <v>0</v>
      </c>
      <c r="P352" s="55">
        <f t="shared" si="743"/>
        <v>0</v>
      </c>
      <c r="Q352" s="55">
        <f t="shared" si="743"/>
        <v>0</v>
      </c>
      <c r="R352" s="55">
        <f t="shared" si="743"/>
        <v>0</v>
      </c>
      <c r="S352" s="55">
        <f t="shared" si="743"/>
        <v>0</v>
      </c>
      <c r="T352" s="55">
        <f t="shared" si="743"/>
        <v>0</v>
      </c>
      <c r="U352" s="55">
        <f t="shared" si="743"/>
        <v>0</v>
      </c>
      <c r="V352" s="55">
        <f t="shared" si="743"/>
        <v>0</v>
      </c>
      <c r="W352" s="55">
        <f t="shared" si="743"/>
        <v>0</v>
      </c>
      <c r="X352" s="55">
        <f t="shared" si="743"/>
        <v>0</v>
      </c>
      <c r="Y352" s="55">
        <f t="shared" si="743"/>
        <v>0</v>
      </c>
      <c r="Z352" s="55">
        <f t="shared" si="743"/>
        <v>0</v>
      </c>
      <c r="AA352" s="699"/>
      <c r="AB352" s="699"/>
      <c r="AC352" s="699"/>
      <c r="AD352" s="699"/>
      <c r="AE352" s="49"/>
      <c r="AF352" s="49"/>
      <c r="AG352" s="49"/>
      <c r="AH352" s="49"/>
      <c r="AI352" s="49"/>
      <c r="AJ352" s="49"/>
      <c r="AK352" s="49"/>
      <c r="AL352" s="49"/>
      <c r="AM352" s="49"/>
      <c r="AN352" s="49"/>
      <c r="AO352" s="49"/>
      <c r="AP352" s="49"/>
      <c r="AQ352" s="49"/>
      <c r="AR352" s="49"/>
      <c r="AS352" s="49"/>
      <c r="AT352" s="49"/>
      <c r="AU352" s="49"/>
      <c r="AV352" s="49"/>
      <c r="AW352" s="49"/>
      <c r="AX352" s="49"/>
      <c r="AY352" s="49"/>
      <c r="AZ352" s="49"/>
      <c r="BA352" s="49"/>
      <c r="BB352" s="49"/>
      <c r="BC352" s="49"/>
      <c r="BD352" s="49"/>
      <c r="BE352" s="49"/>
      <c r="BF352" s="49"/>
      <c r="BG352" s="49"/>
      <c r="BH352" s="49"/>
      <c r="BI352" s="49"/>
      <c r="BJ352" s="49"/>
      <c r="BK352" s="49"/>
      <c r="BL352" s="49"/>
      <c r="BM352" s="49"/>
      <c r="BN352" s="49"/>
    </row>
    <row r="353" spans="1:66">
      <c r="A353" s="69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  <c r="AA353" s="699"/>
      <c r="AB353" s="699"/>
      <c r="AC353" s="699"/>
      <c r="AD353" s="699"/>
      <c r="AE353" s="49"/>
      <c r="AF353" s="49"/>
      <c r="AG353" s="49"/>
      <c r="AH353" s="49"/>
      <c r="AI353" s="49"/>
      <c r="AJ353" s="49"/>
      <c r="AK353" s="49"/>
      <c r="AL353" s="49"/>
      <c r="AM353" s="49"/>
      <c r="AN353" s="49"/>
      <c r="AO353" s="49"/>
      <c r="AP353" s="49"/>
      <c r="AQ353" s="49"/>
      <c r="AR353" s="49"/>
      <c r="AS353" s="49"/>
      <c r="AT353" s="49"/>
      <c r="AU353" s="49"/>
      <c r="AV353" s="49"/>
      <c r="AW353" s="49"/>
      <c r="AX353" s="49"/>
      <c r="AY353" s="49"/>
      <c r="AZ353" s="49"/>
      <c r="BA353" s="49"/>
      <c r="BB353" s="49"/>
      <c r="BC353" s="49"/>
      <c r="BD353" s="49"/>
      <c r="BE353" s="49"/>
      <c r="BF353" s="49"/>
      <c r="BG353" s="49"/>
      <c r="BH353" s="49"/>
      <c r="BI353" s="49"/>
      <c r="BJ353" s="49"/>
      <c r="BK353" s="49"/>
      <c r="BL353" s="49"/>
      <c r="BM353" s="49"/>
      <c r="BN353" s="49"/>
    </row>
    <row r="354" spans="1:66" ht="15.75">
      <c r="A354" s="699"/>
      <c r="B354" s="112" t="s">
        <v>1193</v>
      </c>
      <c r="C354" s="49"/>
      <c r="D354" s="49"/>
      <c r="E354" s="49"/>
      <c r="F354" s="148">
        <f>+Assumptions!$F$27</f>
        <v>45291</v>
      </c>
      <c r="G354" s="148">
        <f>+EOMONTH(F354,12)</f>
        <v>45657</v>
      </c>
      <c r="H354" s="148">
        <f t="shared" ref="H354" si="744">+EOMONTH(G354,12)</f>
        <v>46022</v>
      </c>
      <c r="I354" s="148">
        <f t="shared" ref="I354" si="745">+EOMONTH(H354,12)</f>
        <v>46387</v>
      </c>
      <c r="J354" s="148">
        <f t="shared" ref="J354" si="746">+EOMONTH(I354,12)</f>
        <v>46752</v>
      </c>
      <c r="K354" s="148">
        <f t="shared" ref="K354" si="747">+EOMONTH(J354,12)</f>
        <v>47118</v>
      </c>
      <c r="L354" s="148">
        <f t="shared" ref="L354" si="748">+EOMONTH(K354,12)</f>
        <v>47483</v>
      </c>
      <c r="M354" s="148">
        <f t="shared" ref="M354" si="749">+EOMONTH(L354,12)</f>
        <v>47848</v>
      </c>
      <c r="N354" s="148">
        <f t="shared" ref="N354" si="750">+EOMONTH(M354,12)</f>
        <v>48213</v>
      </c>
      <c r="O354" s="148">
        <f t="shared" ref="O354" si="751">+EOMONTH(N354,12)</f>
        <v>48579</v>
      </c>
      <c r="P354" s="148">
        <f t="shared" ref="P354" si="752">+EOMONTH(O354,12)</f>
        <v>48944</v>
      </c>
      <c r="Q354" s="148">
        <f t="shared" ref="Q354" si="753">+EOMONTH(P354,12)</f>
        <v>49309</v>
      </c>
      <c r="R354" s="148">
        <f t="shared" ref="R354" si="754">+EOMONTH(Q354,12)</f>
        <v>49674</v>
      </c>
      <c r="S354" s="148">
        <f t="shared" ref="S354" si="755">+EOMONTH(R354,12)</f>
        <v>50040</v>
      </c>
      <c r="T354" s="148">
        <f t="shared" ref="T354" si="756">+EOMONTH(S354,12)</f>
        <v>50405</v>
      </c>
      <c r="U354" s="148">
        <f t="shared" ref="U354" si="757">+EOMONTH(T354,12)</f>
        <v>50770</v>
      </c>
      <c r="V354" s="148">
        <f t="shared" ref="V354" si="758">+EOMONTH(U354,12)</f>
        <v>51135</v>
      </c>
      <c r="W354" s="148">
        <f t="shared" ref="W354" si="759">+EOMONTH(V354,12)</f>
        <v>51501</v>
      </c>
      <c r="X354" s="148">
        <f t="shared" ref="X354" si="760">+EOMONTH(W354,12)</f>
        <v>51866</v>
      </c>
      <c r="Y354" s="148">
        <f t="shared" ref="Y354" si="761">+EOMONTH(X354,12)</f>
        <v>52231</v>
      </c>
      <c r="Z354" s="148">
        <f t="shared" ref="Z354" si="762">+EOMONTH(Y354,12)</f>
        <v>52596</v>
      </c>
      <c r="AA354" s="699"/>
      <c r="AB354" s="699"/>
      <c r="AC354" s="699"/>
      <c r="AD354" s="699"/>
      <c r="AE354" s="49"/>
      <c r="AF354" s="49"/>
      <c r="AG354" s="49"/>
      <c r="AH354" s="49"/>
      <c r="AI354" s="49"/>
      <c r="AJ354" s="49"/>
      <c r="AK354" s="49"/>
      <c r="AL354" s="49"/>
      <c r="AM354" s="49"/>
      <c r="AN354" s="49"/>
      <c r="AO354" s="49"/>
      <c r="AP354" s="49"/>
      <c r="AQ354" s="49"/>
      <c r="AR354" s="49"/>
      <c r="AS354" s="49"/>
      <c r="AT354" s="49"/>
      <c r="AU354" s="49"/>
      <c r="AV354" s="49"/>
      <c r="AW354" s="49"/>
      <c r="AX354" s="49"/>
      <c r="AY354" s="49"/>
      <c r="AZ354" s="49"/>
      <c r="BA354" s="49"/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</row>
    <row r="355" spans="1:66" ht="15.75">
      <c r="A355" s="699"/>
      <c r="B355" s="699" t="s">
        <v>1194</v>
      </c>
      <c r="C355" s="49"/>
      <c r="D355" s="94">
        <f ca="1">+D352-SUM(D312:D315,D317)</f>
        <v>357489420.94768494</v>
      </c>
      <c r="E355" s="94"/>
      <c r="F355" s="83">
        <f ca="1">+MIN($D$355-SUM($E355:E355),F$352)</f>
        <v>181675735.02067354</v>
      </c>
      <c r="G355" s="83">
        <f ca="1">+MIN($D$355-SUM($E355:F355),G$352)</f>
        <v>106595721.90973967</v>
      </c>
      <c r="H355" s="83">
        <f ca="1">+MIN($D$355-SUM($E355:G355),H$352)</f>
        <v>69217964.017271698</v>
      </c>
      <c r="I355" s="83">
        <f ca="1">+MIN($D$355-SUM($E355:H355),I$352)</f>
        <v>0</v>
      </c>
      <c r="J355" s="83">
        <f ca="1">+MIN($D$355-SUM($E355:I355),J$352)</f>
        <v>0</v>
      </c>
      <c r="K355" s="83">
        <f ca="1">+MIN($D$355-SUM($E355:J355),K$352)</f>
        <v>0</v>
      </c>
      <c r="L355" s="83">
        <f ca="1">+MIN($D$355-SUM($E355:K355),L$352)</f>
        <v>0</v>
      </c>
      <c r="M355" s="83">
        <f ca="1">+MIN($D$355-SUM($E355:L355),M$352)</f>
        <v>0</v>
      </c>
      <c r="N355" s="83">
        <f ca="1">+MIN($D$355-SUM($E355:M355),N$352)</f>
        <v>0</v>
      </c>
      <c r="O355" s="83">
        <f ca="1">+MIN($D$355-SUM($E355:N355),O$352)</f>
        <v>0</v>
      </c>
      <c r="P355" s="83">
        <f ca="1">+MIN($D$355-SUM($E355:O355),P$352)</f>
        <v>0</v>
      </c>
      <c r="Q355" s="83">
        <f ca="1">+MIN($D$355-SUM($E355:P355),Q$352)</f>
        <v>0</v>
      </c>
      <c r="R355" s="83">
        <f ca="1">+MIN($D$355-SUM($E355:Q355),R$352)</f>
        <v>0</v>
      </c>
      <c r="S355" s="83">
        <f ca="1">+MIN($D$355-SUM($E355:R355),S$352)</f>
        <v>0</v>
      </c>
      <c r="T355" s="83">
        <f ca="1">+MIN($D$355-SUM($E355:S355),T$352)</f>
        <v>0</v>
      </c>
      <c r="U355" s="83">
        <f ca="1">+MIN($D$355-SUM($E355:T355),U$352)</f>
        <v>0</v>
      </c>
      <c r="V355" s="83">
        <f ca="1">+MIN($D$355-SUM($E355:U355),V$352)</f>
        <v>0</v>
      </c>
      <c r="W355" s="83">
        <f ca="1">+MIN($D$355-SUM($E355:V355),W$352)</f>
        <v>0</v>
      </c>
      <c r="X355" s="83">
        <f ca="1">+MIN($D$355-SUM($E355:W355),X$352)</f>
        <v>0</v>
      </c>
      <c r="Y355" s="83">
        <f ca="1">+MIN($D$355-SUM($E355:X355),Y$352)</f>
        <v>0</v>
      </c>
      <c r="Z355" s="83">
        <f ca="1">+MIN($D$355-SUM($E355:Y355),Z$352)</f>
        <v>0</v>
      </c>
      <c r="AA355" s="699"/>
      <c r="AB355" s="699"/>
      <c r="AC355" s="699"/>
      <c r="AD355" s="699"/>
      <c r="AE355" s="49"/>
      <c r="AF355" s="49"/>
      <c r="AG355" s="49"/>
      <c r="AH355" s="49"/>
      <c r="AI355" s="49"/>
      <c r="AJ355" s="49"/>
      <c r="AK355" s="49"/>
      <c r="AL355" s="49"/>
      <c r="AM355" s="49"/>
      <c r="AN355" s="49"/>
      <c r="AO355" s="49"/>
      <c r="AP355" s="49"/>
      <c r="AQ355" s="49"/>
      <c r="AR355" s="49"/>
      <c r="AS355" s="49"/>
      <c r="AT355" s="49"/>
      <c r="AU355" s="49"/>
      <c r="AV355" s="49"/>
      <c r="AW355" s="49"/>
      <c r="AX355" s="49"/>
      <c r="AY355" s="49"/>
      <c r="AZ355" s="49"/>
      <c r="BA355" s="49"/>
      <c r="BB355" s="49"/>
      <c r="BC355" s="49"/>
      <c r="BD355" s="49"/>
      <c r="BE355" s="49"/>
      <c r="BF355" s="49"/>
      <c r="BG355" s="49"/>
      <c r="BH355" s="49"/>
      <c r="BI355" s="49"/>
      <c r="BJ355" s="49"/>
      <c r="BK355" s="49"/>
      <c r="BL355" s="49"/>
      <c r="BM355" s="49"/>
      <c r="BN355" s="49"/>
    </row>
    <row r="356" spans="1:66" ht="15.75">
      <c r="A356" s="699"/>
      <c r="B356" s="699" t="s">
        <v>1209</v>
      </c>
      <c r="C356" s="49"/>
      <c r="D356" s="94">
        <f t="shared" ref="D356:D361" ca="1" si="763">+SUM(F356:Z356)</f>
        <v>0</v>
      </c>
      <c r="E356" s="94"/>
      <c r="F356" s="83">
        <f ca="1">+MIN('S&amp;U'!$H19-SUM($E356:E356),F$352-SUM(F$355:F355))</f>
        <v>0</v>
      </c>
      <c r="G356" s="83">
        <f ca="1">+MIN('S&amp;U'!$H19-SUM($E356:F356),G$352-SUM(G$355:G355))</f>
        <v>0</v>
      </c>
      <c r="H356" s="83">
        <f ca="1">+MIN('S&amp;U'!$H19-SUM($E356:G356),H$352-SUM(H$355:H355))</f>
        <v>0</v>
      </c>
      <c r="I356" s="83">
        <f ca="1">+MIN('S&amp;U'!$H19-SUM($E356:H356),I$352-SUM(I$355:I355))</f>
        <v>0</v>
      </c>
      <c r="J356" s="83">
        <f ca="1">+MIN('S&amp;U'!$H19-SUM($E356:I356),J$352-SUM(J$355:J355))</f>
        <v>0</v>
      </c>
      <c r="K356" s="83">
        <f ca="1">+MIN('S&amp;U'!$H19-SUM($E356:J356),K$352-SUM(K$355:K355))</f>
        <v>0</v>
      </c>
      <c r="L356" s="83">
        <f ca="1">+MIN('S&amp;U'!$H19-SUM($E356:K356),L$352-SUM(L$355:L355))</f>
        <v>0</v>
      </c>
      <c r="M356" s="83">
        <f ca="1">+MIN('S&amp;U'!$H19-SUM($E356:L356),M$352-SUM(M$355:M355))</f>
        <v>0</v>
      </c>
      <c r="N356" s="83">
        <f ca="1">+MIN('S&amp;U'!$H19-SUM($E356:M356),N$352-SUM(N$355:N355))</f>
        <v>0</v>
      </c>
      <c r="O356" s="83">
        <f ca="1">+MIN('S&amp;U'!$H19-SUM($E356:N356),O$352-SUM(O$355:O355))</f>
        <v>0</v>
      </c>
      <c r="P356" s="83">
        <f ca="1">+MIN('S&amp;U'!$H19-SUM($E356:O356),P$352-SUM(P$355:P355))</f>
        <v>0</v>
      </c>
      <c r="Q356" s="83">
        <f ca="1">+MIN('S&amp;U'!$H19-SUM($E356:P356),Q$352-SUM(Q$355:Q355))</f>
        <v>0</v>
      </c>
      <c r="R356" s="83">
        <f ca="1">+MIN('S&amp;U'!$H19-SUM($E356:Q356),R$352-SUM(R$355:R355))</f>
        <v>0</v>
      </c>
      <c r="S356" s="83">
        <f ca="1">+MIN('S&amp;U'!$H19-SUM($E356:R356),S$352-SUM(S$355:S355))</f>
        <v>0</v>
      </c>
      <c r="T356" s="83">
        <f ca="1">+MIN('S&amp;U'!$H19-SUM($E356:S356),T$352-SUM(T$355:T355))</f>
        <v>0</v>
      </c>
      <c r="U356" s="83">
        <f ca="1">+MIN('S&amp;U'!$H19-SUM($E356:T356),U$352-SUM(U$355:U355))</f>
        <v>0</v>
      </c>
      <c r="V356" s="83">
        <f ca="1">+MIN('S&amp;U'!$H19-SUM($E356:U356),V$352-SUM(V$355:V355))</f>
        <v>0</v>
      </c>
      <c r="W356" s="83">
        <f ca="1">+MIN('S&amp;U'!$H19-SUM($E356:V356),W$352-SUM(W$355:W355))</f>
        <v>0</v>
      </c>
      <c r="X356" s="83">
        <f ca="1">+MIN('S&amp;U'!$H19-SUM($E356:W356),X$352-SUM(X$355:X355))</f>
        <v>0</v>
      </c>
      <c r="Y356" s="83">
        <f ca="1">+MIN('S&amp;U'!$H19-SUM($E356:X356),Y$352-SUM(Y$355:Y355))</f>
        <v>0</v>
      </c>
      <c r="Z356" s="83">
        <f ca="1">+MIN('S&amp;U'!$H19-SUM($E356:Y356),Z$352-SUM(Z$355:Z355))</f>
        <v>0</v>
      </c>
      <c r="AA356" s="699"/>
      <c r="AB356" s="699"/>
      <c r="AC356" s="699"/>
      <c r="AD356" s="699"/>
      <c r="AE356" s="49"/>
      <c r="AF356" s="49"/>
      <c r="AG356" s="49"/>
      <c r="AH356" s="49"/>
      <c r="AI356" s="49"/>
      <c r="AJ356" s="49"/>
      <c r="AK356" s="49"/>
      <c r="AL356" s="49"/>
      <c r="AM356" s="49"/>
      <c r="AN356" s="49"/>
      <c r="AO356" s="49"/>
      <c r="AP356" s="49"/>
      <c r="AQ356" s="49"/>
      <c r="AR356" s="49"/>
      <c r="AS356" s="49"/>
      <c r="AT356" s="49"/>
      <c r="AU356" s="49"/>
      <c r="AV356" s="49"/>
      <c r="AW356" s="49"/>
      <c r="AX356" s="49"/>
      <c r="AY356" s="49"/>
      <c r="AZ356" s="49"/>
      <c r="BA356" s="49"/>
      <c r="BB356" s="49"/>
      <c r="BC356" s="49"/>
      <c r="BD356" s="49"/>
      <c r="BE356" s="49"/>
      <c r="BF356" s="49"/>
      <c r="BG356" s="49"/>
      <c r="BH356" s="49"/>
      <c r="BI356" s="49"/>
      <c r="BJ356" s="49"/>
      <c r="BK356" s="49"/>
      <c r="BL356" s="49"/>
      <c r="BM356" s="49"/>
      <c r="BN356" s="49"/>
    </row>
    <row r="357" spans="1:66" ht="15.75">
      <c r="A357" s="699"/>
      <c r="B357" s="699" t="s">
        <v>1195</v>
      </c>
      <c r="C357" s="49"/>
      <c r="D357" s="94">
        <f t="shared" ca="1" si="763"/>
        <v>96083432.146206573</v>
      </c>
      <c r="E357" s="94"/>
      <c r="F357" s="83">
        <f ca="1">+MIN('S&amp;U'!$H20-SUM($E357:E357),F$352-SUM(F$355:F356))</f>
        <v>0</v>
      </c>
      <c r="G357" s="83">
        <f ca="1">+MIN('S&amp;U'!$H20-SUM($E357:F357),G$352-SUM(G$355:G356))</f>
        <v>0</v>
      </c>
      <c r="H357" s="83">
        <f ca="1">+MIN('S&amp;U'!$H20-SUM($E357:G357),H$352-SUM(H$355:H356))</f>
        <v>37377757.892467976</v>
      </c>
      <c r="I357" s="83">
        <f ca="1">+MIN('S&amp;U'!$H20-SUM($E357:H357),I$352-SUM(I$355:I356))</f>
        <v>58705674.253738597</v>
      </c>
      <c r="J357" s="83">
        <f ca="1">+MIN('S&amp;U'!$H20-SUM($E357:I357),J$352-SUM(J$355:J356))</f>
        <v>0</v>
      </c>
      <c r="K357" s="83">
        <f ca="1">+MIN('S&amp;U'!$H20-SUM($E357:J357),K$352-SUM(K$355:K356))</f>
        <v>0</v>
      </c>
      <c r="L357" s="83">
        <f ca="1">+MIN('S&amp;U'!$H20-SUM($E357:K357),L$352-SUM(L$355:L356))</f>
        <v>0</v>
      </c>
      <c r="M357" s="83">
        <f ca="1">+MIN('S&amp;U'!$H20-SUM($E357:L357),M$352-SUM(M$355:M356))</f>
        <v>0</v>
      </c>
      <c r="N357" s="83">
        <f ca="1">+MIN('S&amp;U'!$H20-SUM($E357:M357),N$352-SUM(N$355:N356))</f>
        <v>0</v>
      </c>
      <c r="O357" s="83">
        <f ca="1">+MIN('S&amp;U'!$H20-SUM($E357:N357),O$352-SUM(O$355:O356))</f>
        <v>0</v>
      </c>
      <c r="P357" s="83">
        <f ca="1">+MIN('S&amp;U'!$H20-SUM($E357:O357),P$352-SUM(P$355:P356))</f>
        <v>0</v>
      </c>
      <c r="Q357" s="83">
        <f ca="1">+MIN('S&amp;U'!$H20-SUM($E357:P357),Q$352-SUM(Q$355:Q356))</f>
        <v>0</v>
      </c>
      <c r="R357" s="83">
        <f ca="1">+MIN('S&amp;U'!$H20-SUM($E357:Q357),R$352-SUM(R$355:R356))</f>
        <v>0</v>
      </c>
      <c r="S357" s="83">
        <f ca="1">+MIN('S&amp;U'!$H20-SUM($E357:R357),S$352-SUM(S$355:S356))</f>
        <v>0</v>
      </c>
      <c r="T357" s="83">
        <f ca="1">+MIN('S&amp;U'!$H20-SUM($E357:S357),T$352-SUM(T$355:T356))</f>
        <v>0</v>
      </c>
      <c r="U357" s="83">
        <f ca="1">+MIN('S&amp;U'!$H20-SUM($E357:T357),U$352-SUM(U$355:U356))</f>
        <v>0</v>
      </c>
      <c r="V357" s="83">
        <f ca="1">+MIN('S&amp;U'!$H20-SUM($E357:U357),V$352-SUM(V$355:V356))</f>
        <v>0</v>
      </c>
      <c r="W357" s="83">
        <f ca="1">+MIN('S&amp;U'!$H20-SUM($E357:V357),W$352-SUM(W$355:W356))</f>
        <v>0</v>
      </c>
      <c r="X357" s="83">
        <f ca="1">+MIN('S&amp;U'!$H20-SUM($E357:W357),X$352-SUM(X$355:X356))</f>
        <v>0</v>
      </c>
      <c r="Y357" s="83">
        <f ca="1">+MIN('S&amp;U'!$H20-SUM($E357:X357),Y$352-SUM(Y$355:Y356))</f>
        <v>0</v>
      </c>
      <c r="Z357" s="83">
        <f ca="1">+MIN('S&amp;U'!$H20-SUM($E357:Y357),Z$352-SUM(Z$355:Z356))</f>
        <v>0</v>
      </c>
      <c r="AA357" s="699"/>
      <c r="AB357" s="699"/>
      <c r="AC357" s="699"/>
      <c r="AD357" s="699"/>
      <c r="AE357" s="49"/>
      <c r="AF357" s="49"/>
      <c r="AG357" s="49"/>
      <c r="AH357" s="49"/>
      <c r="AI357" s="49"/>
      <c r="AJ357" s="49"/>
      <c r="AK357" s="49"/>
      <c r="AL357" s="49"/>
      <c r="AM357" s="49"/>
      <c r="AN357" s="49"/>
      <c r="AO357" s="49"/>
      <c r="AP357" s="49"/>
      <c r="AQ357" s="49"/>
      <c r="AR357" s="49"/>
      <c r="AS357" s="49"/>
      <c r="AT357" s="49"/>
      <c r="AU357" s="49"/>
      <c r="AV357" s="49"/>
      <c r="AW357" s="49"/>
      <c r="AX357" s="49"/>
      <c r="AY357" s="49"/>
      <c r="AZ357" s="49"/>
      <c r="BA357" s="49"/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</row>
    <row r="358" spans="1:66" ht="15.75">
      <c r="A358" s="699"/>
      <c r="B358" s="699" t="s">
        <v>1196</v>
      </c>
      <c r="C358" s="49"/>
      <c r="D358" s="94">
        <f t="shared" ca="1" si="763"/>
        <v>0</v>
      </c>
      <c r="E358" s="94"/>
      <c r="F358" s="83">
        <f ca="1">+MIN('S&amp;U'!$H21-SUM($E358:E358),F$352-SUM(F$355:F357))</f>
        <v>0</v>
      </c>
      <c r="G358" s="83">
        <f ca="1">+MIN('S&amp;U'!$H21-SUM($E358:F358),G$352-SUM(G$355:G357))</f>
        <v>0</v>
      </c>
      <c r="H358" s="83">
        <f ca="1">+MIN('S&amp;U'!$H21-SUM($E358:G358),H$352-SUM(H$355:H357))</f>
        <v>0</v>
      </c>
      <c r="I358" s="83">
        <f ca="1">+MIN('S&amp;U'!$H21-SUM($E358:H358),I$352-SUM(I$355:I357))</f>
        <v>0</v>
      </c>
      <c r="J358" s="83">
        <f ca="1">+MIN('S&amp;U'!$H21-SUM($E358:I358),J$352-SUM(J$355:J357))</f>
        <v>0</v>
      </c>
      <c r="K358" s="83">
        <f ca="1">+MIN('S&amp;U'!$H21-SUM($E358:J358),K$352-SUM(K$355:K357))</f>
        <v>0</v>
      </c>
      <c r="L358" s="83">
        <f ca="1">+MIN('S&amp;U'!$H21-SUM($E358:K358),L$352-SUM(L$355:L357))</f>
        <v>0</v>
      </c>
      <c r="M358" s="83">
        <f ca="1">+MIN('S&amp;U'!$H21-SUM($E358:L358),M$352-SUM(M$355:M357))</f>
        <v>0</v>
      </c>
      <c r="N358" s="83">
        <f ca="1">+MIN('S&amp;U'!$H21-SUM($E358:M358),N$352-SUM(N$355:N357))</f>
        <v>0</v>
      </c>
      <c r="O358" s="83">
        <f ca="1">+MIN('S&amp;U'!$H21-SUM($E358:N358),O$352-SUM(O$355:O357))</f>
        <v>0</v>
      </c>
      <c r="P358" s="83">
        <f ca="1">+MIN('S&amp;U'!$H21-SUM($E358:O358),P$352-SUM(P$355:P357))</f>
        <v>0</v>
      </c>
      <c r="Q358" s="83">
        <f ca="1">+MIN('S&amp;U'!$H21-SUM($E358:P358),Q$352-SUM(Q$355:Q357))</f>
        <v>0</v>
      </c>
      <c r="R358" s="83">
        <f ca="1">+MIN('S&amp;U'!$H21-SUM($E358:Q358),R$352-SUM(R$355:R357))</f>
        <v>0</v>
      </c>
      <c r="S358" s="83">
        <f ca="1">+MIN('S&amp;U'!$H21-SUM($E358:R358),S$352-SUM(S$355:S357))</f>
        <v>0</v>
      </c>
      <c r="T358" s="83">
        <f ca="1">+MIN('S&amp;U'!$H21-SUM($E358:S358),T$352-SUM(T$355:T357))</f>
        <v>0</v>
      </c>
      <c r="U358" s="83">
        <f ca="1">+MIN('S&amp;U'!$H21-SUM($E358:T358),U$352-SUM(U$355:U357))</f>
        <v>0</v>
      </c>
      <c r="V358" s="83">
        <f ca="1">+MIN('S&amp;U'!$H21-SUM($E358:U358),V$352-SUM(V$355:V357))</f>
        <v>0</v>
      </c>
      <c r="W358" s="83">
        <f ca="1">+MIN('S&amp;U'!$H21-SUM($E358:V358),W$352-SUM(W$355:W357))</f>
        <v>0</v>
      </c>
      <c r="X358" s="83">
        <f ca="1">+MIN('S&amp;U'!$H21-SUM($E358:W358),X$352-SUM(X$355:X357))</f>
        <v>0</v>
      </c>
      <c r="Y358" s="83">
        <f ca="1">+MIN('S&amp;U'!$H21-SUM($E358:X358),Y$352-SUM(Y$355:Y357))</f>
        <v>0</v>
      </c>
      <c r="Z358" s="83">
        <f ca="1">+MIN('S&amp;U'!$H21-SUM($E358:Y358),Z$352-SUM(Z$355:Z357))</f>
        <v>0</v>
      </c>
      <c r="AA358" s="699"/>
      <c r="AB358" s="699"/>
      <c r="AC358" s="699"/>
      <c r="AD358" s="699"/>
      <c r="AE358" s="49"/>
      <c r="AF358" s="49"/>
      <c r="AG358" s="49"/>
      <c r="AH358" s="49"/>
      <c r="AI358" s="49"/>
      <c r="AJ358" s="49"/>
      <c r="AK358" s="49"/>
      <c r="AL358" s="49"/>
      <c r="AM358" s="49"/>
      <c r="AN358" s="49"/>
      <c r="AO358" s="49"/>
      <c r="AP358" s="49"/>
      <c r="AQ358" s="49"/>
      <c r="AR358" s="49"/>
      <c r="AS358" s="49"/>
      <c r="AT358" s="49"/>
      <c r="AU358" s="49"/>
      <c r="AV358" s="49"/>
      <c r="AW358" s="49"/>
      <c r="AX358" s="49"/>
      <c r="AY358" s="49"/>
      <c r="AZ358" s="49"/>
      <c r="BA358" s="49"/>
      <c r="BB358" s="49"/>
      <c r="BC358" s="49"/>
      <c r="BD358" s="49"/>
      <c r="BE358" s="49"/>
      <c r="BF358" s="49"/>
      <c r="BG358" s="49"/>
      <c r="BH358" s="49"/>
      <c r="BI358" s="49"/>
      <c r="BJ358" s="49"/>
      <c r="BK358" s="49"/>
      <c r="BL358" s="49"/>
      <c r="BM358" s="49"/>
      <c r="BN358" s="49"/>
    </row>
    <row r="359" spans="1:66" ht="15.75">
      <c r="A359" s="699" t="s">
        <v>511</v>
      </c>
      <c r="B359" s="699" t="s">
        <v>1197</v>
      </c>
      <c r="C359" s="49"/>
      <c r="D359" s="94">
        <f t="shared" ca="1" si="763"/>
        <v>0</v>
      </c>
      <c r="E359" s="94"/>
      <c r="F359" s="83">
        <f ca="1">+MIN('S&amp;U'!$H22-SUM($E359:E359),F$352-SUM(F$355:F358))</f>
        <v>0</v>
      </c>
      <c r="G359" s="83">
        <f ca="1">+MIN('S&amp;U'!$H22-SUM($E359:F359),G$352-SUM(G$355:G358))</f>
        <v>0</v>
      </c>
      <c r="H359" s="83">
        <f ca="1">+MIN('S&amp;U'!$H22-SUM($E359:G359),H$352-SUM(H$355:H358))</f>
        <v>0</v>
      </c>
      <c r="I359" s="83">
        <f ca="1">+MIN('S&amp;U'!$H22-SUM($E359:H359),I$352-SUM(I$355:I358))</f>
        <v>0</v>
      </c>
      <c r="J359" s="83">
        <f ca="1">+MIN('S&amp;U'!$H22-SUM($E359:I359),J$352-SUM(J$355:J358))</f>
        <v>0</v>
      </c>
      <c r="K359" s="83">
        <f ca="1">+MIN('S&amp;U'!$H22-SUM($E359:J359),K$352-SUM(K$355:K358))</f>
        <v>0</v>
      </c>
      <c r="L359" s="83">
        <f ca="1">+MIN('S&amp;U'!$H22-SUM($E359:K359),L$352-SUM(L$355:L358))</f>
        <v>0</v>
      </c>
      <c r="M359" s="83">
        <f ca="1">+MIN('S&amp;U'!$H22-SUM($E359:L359),M$352-SUM(M$355:M358))</f>
        <v>0</v>
      </c>
      <c r="N359" s="83">
        <f ca="1">+MIN('S&amp;U'!$H22-SUM($E359:M359),N$352-SUM(N$355:N358))</f>
        <v>0</v>
      </c>
      <c r="O359" s="83">
        <f ca="1">+MIN('S&amp;U'!$H22-SUM($E359:N359),O$352-SUM(O$355:O358))</f>
        <v>0</v>
      </c>
      <c r="P359" s="83">
        <f ca="1">+MIN('S&amp;U'!$H22-SUM($E359:O359),P$352-SUM(P$355:P358))</f>
        <v>0</v>
      </c>
      <c r="Q359" s="83">
        <f ca="1">+MIN('S&amp;U'!$H22-SUM($E359:P359),Q$352-SUM(Q$355:Q358))</f>
        <v>0</v>
      </c>
      <c r="R359" s="83">
        <f ca="1">+MIN('S&amp;U'!$H22-SUM($E359:Q359),R$352-SUM(R$355:R358))</f>
        <v>0</v>
      </c>
      <c r="S359" s="83">
        <f ca="1">+MIN('S&amp;U'!$H22-SUM($E359:R359),S$352-SUM(S$355:S358))</f>
        <v>0</v>
      </c>
      <c r="T359" s="83">
        <f ca="1">+MIN('S&amp;U'!$H22-SUM($E359:S359),T$352-SUM(T$355:T358))</f>
        <v>0</v>
      </c>
      <c r="U359" s="83">
        <f ca="1">+MIN('S&amp;U'!$H22-SUM($E359:T359),U$352-SUM(U$355:U358))</f>
        <v>0</v>
      </c>
      <c r="V359" s="83">
        <f ca="1">+MIN('S&amp;U'!$H22-SUM($E359:U359),V$352-SUM(V$355:V358))</f>
        <v>0</v>
      </c>
      <c r="W359" s="83">
        <f ca="1">+MIN('S&amp;U'!$H22-SUM($E359:V359),W$352-SUM(W$355:W358))</f>
        <v>0</v>
      </c>
      <c r="X359" s="83">
        <f ca="1">+MIN('S&amp;U'!$H22-SUM($E359:W359),X$352-SUM(X$355:X358))</f>
        <v>0</v>
      </c>
      <c r="Y359" s="83">
        <f ca="1">+MIN('S&amp;U'!$H22-SUM($E359:X359),Y$352-SUM(Y$355:Y358))</f>
        <v>0</v>
      </c>
      <c r="Z359" s="83">
        <f ca="1">+MIN('S&amp;U'!$H22-SUM($E359:Y359),Z$352-SUM(Z$355:Z358))</f>
        <v>0</v>
      </c>
      <c r="AA359" s="699"/>
      <c r="AB359" s="699"/>
      <c r="AC359" s="699"/>
      <c r="AD359" s="699"/>
      <c r="AE359" s="49"/>
      <c r="AF359" s="49"/>
      <c r="AG359" s="49"/>
      <c r="AH359" s="49"/>
      <c r="AI359" s="49"/>
      <c r="AJ359" s="49"/>
      <c r="AK359" s="49"/>
      <c r="AL359" s="49"/>
      <c r="AM359" s="49"/>
      <c r="AN359" s="49"/>
      <c r="AO359" s="49"/>
      <c r="AP359" s="49"/>
      <c r="AQ359" s="49"/>
      <c r="AR359" s="49"/>
      <c r="AS359" s="49"/>
      <c r="AT359" s="49"/>
      <c r="AU359" s="49"/>
      <c r="AV359" s="49"/>
      <c r="AW359" s="49"/>
      <c r="AX359" s="49"/>
      <c r="AY359" s="49"/>
      <c r="AZ359" s="49"/>
      <c r="BA359" s="49"/>
      <c r="BB359" s="49"/>
      <c r="BC359" s="49"/>
      <c r="BD359" s="49"/>
      <c r="BE359" s="49"/>
      <c r="BF359" s="49"/>
      <c r="BG359" s="49"/>
      <c r="BH359" s="49"/>
      <c r="BI359" s="49"/>
      <c r="BJ359" s="49"/>
      <c r="BK359" s="49"/>
      <c r="BL359" s="49"/>
      <c r="BM359" s="49"/>
      <c r="BN359" s="49"/>
    </row>
    <row r="360" spans="1:66" ht="15.75">
      <c r="A360" s="699"/>
      <c r="B360" s="699" t="s">
        <v>323</v>
      </c>
      <c r="C360" s="49"/>
      <c r="D360" s="94">
        <f t="shared" si="763"/>
        <v>0</v>
      </c>
      <c r="E360" s="94"/>
      <c r="F360" s="83">
        <v>0</v>
      </c>
      <c r="G360" s="83">
        <v>0</v>
      </c>
      <c r="H360" s="83">
        <v>0</v>
      </c>
      <c r="I360" s="83">
        <v>0</v>
      </c>
      <c r="J360" s="83">
        <v>0</v>
      </c>
      <c r="K360" s="83">
        <v>0</v>
      </c>
      <c r="L360" s="83">
        <v>0</v>
      </c>
      <c r="M360" s="83">
        <v>0</v>
      </c>
      <c r="N360" s="83">
        <v>0</v>
      </c>
      <c r="O360" s="83">
        <v>0</v>
      </c>
      <c r="P360" s="83">
        <v>0</v>
      </c>
      <c r="Q360" s="83">
        <v>0</v>
      </c>
      <c r="R360" s="83">
        <v>0</v>
      </c>
      <c r="S360" s="83">
        <v>0</v>
      </c>
      <c r="T360" s="83">
        <v>0</v>
      </c>
      <c r="U360" s="83">
        <v>0</v>
      </c>
      <c r="V360" s="83">
        <v>0</v>
      </c>
      <c r="W360" s="83">
        <v>0</v>
      </c>
      <c r="X360" s="83">
        <v>0</v>
      </c>
      <c r="Y360" s="83">
        <v>0</v>
      </c>
      <c r="Z360" s="83">
        <v>0</v>
      </c>
      <c r="AA360" s="699"/>
      <c r="AB360" s="699"/>
      <c r="AC360" s="699"/>
      <c r="AD360" s="699"/>
      <c r="AE360" s="49"/>
      <c r="AF360" s="49"/>
      <c r="AG360" s="49"/>
      <c r="AH360" s="49"/>
      <c r="AI360" s="49"/>
      <c r="AJ360" s="49"/>
      <c r="AK360" s="49"/>
      <c r="AL360" s="49"/>
      <c r="AM360" s="49"/>
      <c r="AN360" s="49"/>
      <c r="AO360" s="49"/>
      <c r="AP360" s="49"/>
      <c r="AQ360" s="49"/>
      <c r="AR360" s="49"/>
      <c r="AS360" s="49"/>
      <c r="AT360" s="49"/>
      <c r="AU360" s="49"/>
      <c r="AV360" s="49"/>
      <c r="AW360" s="49"/>
      <c r="AX360" s="49"/>
      <c r="AY360" s="49"/>
      <c r="AZ360" s="49"/>
      <c r="BA360" s="49"/>
      <c r="BB360" s="49"/>
      <c r="BC360" s="49"/>
      <c r="BD360" s="49"/>
      <c r="BE360" s="49"/>
      <c r="BF360" s="49"/>
      <c r="BG360" s="49"/>
      <c r="BH360" s="49"/>
      <c r="BI360" s="49"/>
      <c r="BJ360" s="49"/>
      <c r="BK360" s="49"/>
      <c r="BL360" s="49"/>
      <c r="BM360" s="49"/>
      <c r="BN360" s="49"/>
    </row>
    <row r="361" spans="1:66" ht="15.75">
      <c r="A361" s="699"/>
      <c r="B361" s="699" t="s">
        <v>326</v>
      </c>
      <c r="C361" s="49"/>
      <c r="D361" s="94">
        <f t="shared" ca="1" si="763"/>
        <v>47890047.656001076</v>
      </c>
      <c r="E361" s="94"/>
      <c r="F361" s="83">
        <f ca="1">+MIN('S&amp;U'!$H26-SUM($E361:E361),F$352-SUM(F$355:F360))</f>
        <v>0</v>
      </c>
      <c r="G361" s="83">
        <f ca="1">+MIN('S&amp;U'!$H26-SUM($E361:F361),G$352-SUM(G$355:G360))</f>
        <v>0</v>
      </c>
      <c r="H361" s="83">
        <f ca="1">+MIN('S&amp;U'!$H26-SUM($E361:G361),H$352-SUM(H$355:H360))</f>
        <v>0</v>
      </c>
      <c r="I361" s="83">
        <f ca="1">+MIN('S&amp;U'!$H26-SUM($E361:H361),I$352-SUM(I$355:I360))</f>
        <v>47890047.656001076</v>
      </c>
      <c r="J361" s="83">
        <f ca="1">+MIN('S&amp;U'!$H26-SUM($E361:I361),J$352-SUM(J$355:J360))</f>
        <v>0</v>
      </c>
      <c r="K361" s="83">
        <f ca="1">+MIN('S&amp;U'!$H26-SUM($E361:J361),K$352-SUM(K$355:K360))</f>
        <v>0</v>
      </c>
      <c r="L361" s="83">
        <f ca="1">+MIN('S&amp;U'!$H26-SUM($E361:K361),L$352-SUM(L$355:L360))</f>
        <v>0</v>
      </c>
      <c r="M361" s="83">
        <f ca="1">+MIN('S&amp;U'!$H26-SUM($E361:L361),M$352-SUM(M$355:M360))</f>
        <v>0</v>
      </c>
      <c r="N361" s="83">
        <f ca="1">+MIN('S&amp;U'!$H26-SUM($E361:M361),N$352-SUM(N$355:N360))</f>
        <v>0</v>
      </c>
      <c r="O361" s="83">
        <f ca="1">+MIN('S&amp;U'!$H26-SUM($E361:N361),O$352-SUM(O$355:O360))</f>
        <v>0</v>
      </c>
      <c r="P361" s="83">
        <f ca="1">+MIN('S&amp;U'!$H26-SUM($E361:O361),P$352-SUM(P$355:P360))</f>
        <v>0</v>
      </c>
      <c r="Q361" s="83">
        <f ca="1">+MIN('S&amp;U'!$H26-SUM($E361:P361),Q$352-SUM(Q$355:Q360))</f>
        <v>0</v>
      </c>
      <c r="R361" s="83">
        <f ca="1">+MIN('S&amp;U'!$H26-SUM($E361:Q361),R$352-SUM(R$355:R360))</f>
        <v>0</v>
      </c>
      <c r="S361" s="83">
        <f ca="1">+MIN('S&amp;U'!$H26-SUM($E361:R361),S$352-SUM(S$355:S360))</f>
        <v>0</v>
      </c>
      <c r="T361" s="83">
        <f ca="1">+MIN('S&amp;U'!$H26-SUM($E361:S361),T$352-SUM(T$355:T360))</f>
        <v>0</v>
      </c>
      <c r="U361" s="83">
        <f ca="1">+MIN('S&amp;U'!$H26-SUM($E361:T361),U$352-SUM(U$355:U360))</f>
        <v>0</v>
      </c>
      <c r="V361" s="83">
        <f ca="1">+MIN('S&amp;U'!$H26-SUM($E361:U361),V$352-SUM(V$355:V360))</f>
        <v>0</v>
      </c>
      <c r="W361" s="83">
        <f ca="1">+MIN('S&amp;U'!$H26-SUM($E361:V361),W$352-SUM(W$355:W360))</f>
        <v>0</v>
      </c>
      <c r="X361" s="83">
        <f ca="1">+MIN('S&amp;U'!$H26-SUM($E361:W361),X$352-SUM(X$355:X360))</f>
        <v>0</v>
      </c>
      <c r="Y361" s="83">
        <f ca="1">+MIN('S&amp;U'!$H26-SUM($E361:X361),Y$352-SUM(Y$355:Y360))</f>
        <v>0</v>
      </c>
      <c r="Z361" s="83">
        <f ca="1">+MIN('S&amp;U'!$H26-SUM($E361:Y361),Z$352-SUM(Z$355:Z360))</f>
        <v>0</v>
      </c>
      <c r="AA361" s="699"/>
      <c r="AB361" s="699"/>
      <c r="AC361" s="699"/>
      <c r="AD361" s="699"/>
      <c r="AE361" s="49"/>
      <c r="AF361" s="49"/>
      <c r="AG361" s="49"/>
      <c r="AH361" s="49"/>
      <c r="AI361" s="49"/>
      <c r="AJ361" s="49"/>
      <c r="AK361" s="49"/>
      <c r="AL361" s="49"/>
      <c r="AM361" s="49"/>
      <c r="AN361" s="49"/>
      <c r="AO361" s="49"/>
      <c r="AP361" s="49"/>
      <c r="AQ361" s="49"/>
      <c r="AR361" s="49"/>
      <c r="AS361" s="49"/>
      <c r="AT361" s="49"/>
      <c r="AU361" s="49"/>
      <c r="AV361" s="49"/>
      <c r="AW361" s="49"/>
      <c r="AX361" s="49"/>
      <c r="AY361" s="49"/>
      <c r="AZ361" s="49"/>
      <c r="BA361" s="49"/>
      <c r="BB361" s="49"/>
      <c r="BC361" s="49"/>
      <c r="BD361" s="49"/>
      <c r="BE361" s="49"/>
      <c r="BF361" s="49"/>
      <c r="BG361" s="49"/>
      <c r="BH361" s="49"/>
      <c r="BI361" s="49"/>
      <c r="BJ361" s="49"/>
      <c r="BK361" s="49"/>
      <c r="BL361" s="49"/>
      <c r="BM361" s="49"/>
      <c r="BN361" s="49"/>
    </row>
    <row r="362" spans="1:66" ht="15.75">
      <c r="A362" s="699"/>
      <c r="B362" s="50" t="s">
        <v>1198</v>
      </c>
      <c r="C362" s="50"/>
      <c r="D362" s="55">
        <f ca="1">+SUM(F362:Z362)</f>
        <v>501462900.74989259</v>
      </c>
      <c r="E362" s="55"/>
      <c r="F362" s="55">
        <f ca="1">+SUM(F355:F361)</f>
        <v>181675735.02067354</v>
      </c>
      <c r="G362" s="55">
        <f t="shared" ref="G362:Z362" ca="1" si="764">+SUM(G355:G361)</f>
        <v>106595721.90973967</v>
      </c>
      <c r="H362" s="55">
        <f t="shared" ca="1" si="764"/>
        <v>106595721.90973967</v>
      </c>
      <c r="I362" s="55">
        <f t="shared" ca="1" si="764"/>
        <v>106595721.90973967</v>
      </c>
      <c r="J362" s="55">
        <f t="shared" ca="1" si="764"/>
        <v>0</v>
      </c>
      <c r="K362" s="55">
        <f t="shared" ca="1" si="764"/>
        <v>0</v>
      </c>
      <c r="L362" s="55">
        <f t="shared" ca="1" si="764"/>
        <v>0</v>
      </c>
      <c r="M362" s="55">
        <f t="shared" ca="1" si="764"/>
        <v>0</v>
      </c>
      <c r="N362" s="55">
        <f t="shared" ca="1" si="764"/>
        <v>0</v>
      </c>
      <c r="O362" s="55">
        <f t="shared" ca="1" si="764"/>
        <v>0</v>
      </c>
      <c r="P362" s="55">
        <f t="shared" ca="1" si="764"/>
        <v>0</v>
      </c>
      <c r="Q362" s="55">
        <f t="shared" ca="1" si="764"/>
        <v>0</v>
      </c>
      <c r="R362" s="55">
        <f t="shared" ca="1" si="764"/>
        <v>0</v>
      </c>
      <c r="S362" s="55">
        <f t="shared" ca="1" si="764"/>
        <v>0</v>
      </c>
      <c r="T362" s="55">
        <f t="shared" ca="1" si="764"/>
        <v>0</v>
      </c>
      <c r="U362" s="55">
        <f t="shared" ca="1" si="764"/>
        <v>0</v>
      </c>
      <c r="V362" s="55">
        <f t="shared" ca="1" si="764"/>
        <v>0</v>
      </c>
      <c r="W362" s="55">
        <f t="shared" ca="1" si="764"/>
        <v>0</v>
      </c>
      <c r="X362" s="55">
        <f t="shared" ca="1" si="764"/>
        <v>0</v>
      </c>
      <c r="Y362" s="55">
        <f t="shared" ca="1" si="764"/>
        <v>0</v>
      </c>
      <c r="Z362" s="55">
        <f t="shared" ca="1" si="764"/>
        <v>0</v>
      </c>
      <c r="AA362" s="699"/>
      <c r="AB362" s="699"/>
      <c r="AC362" s="699"/>
      <c r="AD362" s="699"/>
      <c r="AE362" s="49"/>
      <c r="AF362" s="49"/>
      <c r="AG362" s="49"/>
      <c r="AH362" s="49"/>
      <c r="AI362" s="49"/>
      <c r="AJ362" s="49"/>
      <c r="AK362" s="49"/>
      <c r="AL362" s="49"/>
      <c r="AM362" s="49"/>
      <c r="AN362" s="49"/>
      <c r="AO362" s="49"/>
      <c r="AP362" s="49"/>
      <c r="AQ362" s="49"/>
      <c r="AR362" s="49"/>
      <c r="AS362" s="49"/>
      <c r="AT362" s="49"/>
      <c r="AU362" s="49"/>
      <c r="AV362" s="49"/>
      <c r="AW362" s="49"/>
      <c r="AX362" s="49"/>
      <c r="AY362" s="49"/>
      <c r="AZ362" s="49"/>
      <c r="BA362" s="49"/>
      <c r="BB362" s="49"/>
      <c r="BC362" s="49"/>
      <c r="BD362" s="49"/>
      <c r="BE362" s="49"/>
      <c r="BF362" s="49"/>
      <c r="BG362" s="49"/>
      <c r="BH362" s="49"/>
      <c r="BI362" s="49"/>
      <c r="BJ362" s="49"/>
      <c r="BK362" s="49"/>
      <c r="BL362" s="49"/>
      <c r="BM362" s="49"/>
      <c r="BN362" s="49"/>
    </row>
    <row r="363" spans="1:66">
      <c r="A363" s="69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  <c r="AA363" s="699"/>
      <c r="AB363" s="699"/>
      <c r="AC363" s="699"/>
      <c r="AD363" s="699"/>
      <c r="AE363" s="49"/>
      <c r="AF363" s="49"/>
      <c r="AG363" s="49"/>
      <c r="AH363" s="49"/>
      <c r="AI363" s="49"/>
      <c r="AJ363" s="49"/>
      <c r="AK363" s="49"/>
      <c r="AL363" s="49"/>
      <c r="AM363" s="49"/>
      <c r="AN363" s="49"/>
      <c r="AO363" s="49"/>
      <c r="AP363" s="49"/>
      <c r="AQ363" s="49"/>
      <c r="AR363" s="49"/>
      <c r="AS363" s="49"/>
      <c r="AT363" s="49"/>
      <c r="AU363" s="49"/>
      <c r="AV363" s="49"/>
      <c r="AW363" s="49"/>
      <c r="AX363" s="49"/>
      <c r="AY363" s="49"/>
      <c r="AZ363" s="49"/>
      <c r="BA363" s="49"/>
      <c r="BB363" s="49"/>
      <c r="BC363" s="49"/>
      <c r="BD363" s="49"/>
      <c r="BE363" s="49"/>
      <c r="BF363" s="49"/>
      <c r="BG363" s="49"/>
      <c r="BH363" s="49"/>
      <c r="BI363" s="49"/>
      <c r="BJ363" s="49"/>
      <c r="BK363" s="49"/>
      <c r="BL363" s="49"/>
      <c r="BM363" s="49"/>
      <c r="BN363" s="49"/>
    </row>
    <row r="364" spans="1:66" ht="15.75">
      <c r="A364" s="699"/>
      <c r="B364" s="112" t="s">
        <v>1200</v>
      </c>
      <c r="C364" s="49"/>
      <c r="D364" s="49"/>
      <c r="E364" s="49"/>
      <c r="F364" s="148"/>
      <c r="G364" s="148"/>
      <c r="H364" s="148"/>
      <c r="I364" s="148"/>
      <c r="J364" s="148"/>
      <c r="K364" s="148"/>
      <c r="L364" s="148"/>
      <c r="M364" s="148"/>
      <c r="N364" s="148"/>
      <c r="O364" s="148"/>
      <c r="P364" s="148"/>
      <c r="Q364" s="148"/>
      <c r="R364" s="148"/>
      <c r="S364" s="148"/>
      <c r="T364" s="148"/>
      <c r="U364" s="148"/>
      <c r="V364" s="148"/>
      <c r="W364" s="148"/>
      <c r="X364" s="148"/>
      <c r="Y364" s="148"/>
      <c r="Z364" s="148"/>
      <c r="AA364" s="699"/>
      <c r="AB364" s="699"/>
      <c r="AC364" s="699"/>
      <c r="AD364" s="699"/>
      <c r="AE364" s="49"/>
      <c r="AF364" s="49"/>
      <c r="AG364" s="49"/>
      <c r="AH364" s="49"/>
      <c r="AI364" s="49"/>
      <c r="AJ364" s="49"/>
      <c r="AK364" s="49"/>
      <c r="AL364" s="49"/>
      <c r="AM364" s="49"/>
      <c r="AN364" s="49"/>
      <c r="AO364" s="49"/>
      <c r="AP364" s="49"/>
      <c r="AQ364" s="49"/>
      <c r="AR364" s="49"/>
      <c r="AS364" s="49"/>
      <c r="AT364" s="49"/>
      <c r="AU364" s="49"/>
      <c r="AV364" s="49"/>
      <c r="AW364" s="49"/>
      <c r="AX364" s="49"/>
      <c r="AY364" s="49"/>
      <c r="AZ364" s="49"/>
      <c r="BA364" s="49"/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</row>
    <row r="365" spans="1:66" ht="15.75">
      <c r="A365" s="699"/>
      <c r="B365" s="699" t="s">
        <v>1201</v>
      </c>
      <c r="C365" s="49"/>
      <c r="D365" s="94">
        <f t="shared" ref="D365:D367" ca="1" si="765">+SUM(F365:Z365)</f>
        <v>-357489420.94768494</v>
      </c>
      <c r="E365" s="94"/>
      <c r="F365" s="83">
        <f ca="1">-F355</f>
        <v>-181675735.02067354</v>
      </c>
      <c r="G365" s="83">
        <f t="shared" ref="G365:Z365" ca="1" si="766">-G355</f>
        <v>-106595721.90973967</v>
      </c>
      <c r="H365" s="83">
        <f t="shared" ca="1" si="766"/>
        <v>-69217964.017271698</v>
      </c>
      <c r="I365" s="83">
        <f t="shared" ca="1" si="766"/>
        <v>0</v>
      </c>
      <c r="J365" s="83">
        <f t="shared" ca="1" si="766"/>
        <v>0</v>
      </c>
      <c r="K365" s="83">
        <f t="shared" ca="1" si="766"/>
        <v>0</v>
      </c>
      <c r="L365" s="83">
        <f t="shared" ca="1" si="766"/>
        <v>0</v>
      </c>
      <c r="M365" s="83">
        <f t="shared" ca="1" si="766"/>
        <v>0</v>
      </c>
      <c r="N365" s="83">
        <f t="shared" ca="1" si="766"/>
        <v>0</v>
      </c>
      <c r="O365" s="83">
        <f t="shared" ca="1" si="766"/>
        <v>0</v>
      </c>
      <c r="P365" s="83">
        <f t="shared" ca="1" si="766"/>
        <v>0</v>
      </c>
      <c r="Q365" s="83">
        <f t="shared" ca="1" si="766"/>
        <v>0</v>
      </c>
      <c r="R365" s="83">
        <f t="shared" ca="1" si="766"/>
        <v>0</v>
      </c>
      <c r="S365" s="83">
        <f t="shared" ca="1" si="766"/>
        <v>0</v>
      </c>
      <c r="T365" s="83">
        <f t="shared" ca="1" si="766"/>
        <v>0</v>
      </c>
      <c r="U365" s="83">
        <f t="shared" ca="1" si="766"/>
        <v>0</v>
      </c>
      <c r="V365" s="83">
        <f t="shared" ca="1" si="766"/>
        <v>0</v>
      </c>
      <c r="W365" s="83">
        <f t="shared" ca="1" si="766"/>
        <v>0</v>
      </c>
      <c r="X365" s="83">
        <f t="shared" ca="1" si="766"/>
        <v>0</v>
      </c>
      <c r="Y365" s="83">
        <f t="shared" ca="1" si="766"/>
        <v>0</v>
      </c>
      <c r="Z365" s="83">
        <f t="shared" ca="1" si="766"/>
        <v>0</v>
      </c>
      <c r="AA365" s="699"/>
      <c r="AB365" s="699"/>
      <c r="AC365" s="699"/>
      <c r="AD365" s="699"/>
      <c r="AE365" s="49"/>
      <c r="AF365" s="49"/>
      <c r="AG365" s="49"/>
      <c r="AH365" s="49"/>
      <c r="AI365" s="49"/>
      <c r="AJ365" s="49"/>
      <c r="AK365" s="49"/>
      <c r="AL365" s="49"/>
      <c r="AM365" s="49"/>
      <c r="AN365" s="49"/>
      <c r="AO365" s="49"/>
      <c r="AP365" s="49"/>
      <c r="AQ365" s="49"/>
      <c r="AR365" s="49"/>
      <c r="AS365" s="49"/>
      <c r="AT365" s="49"/>
      <c r="AU365" s="49"/>
      <c r="AV365" s="49"/>
      <c r="AW365" s="49"/>
      <c r="AX365" s="49"/>
      <c r="AY365" s="49"/>
      <c r="AZ365" s="49"/>
      <c r="BA365" s="49"/>
      <c r="BB365" s="49"/>
      <c r="BC365" s="49"/>
      <c r="BD365" s="49"/>
      <c r="BE365" s="49"/>
      <c r="BF365" s="49"/>
      <c r="BG365" s="49"/>
      <c r="BH365" s="49"/>
      <c r="BI365" s="49"/>
      <c r="BJ365" s="49"/>
      <c r="BK365" s="49"/>
      <c r="BL365" s="49"/>
      <c r="BM365" s="49"/>
      <c r="BN365" s="49"/>
    </row>
    <row r="366" spans="1:66" ht="15.75">
      <c r="A366" s="699"/>
      <c r="B366" s="699" t="s">
        <v>1202</v>
      </c>
      <c r="C366" s="49"/>
      <c r="D366" s="94">
        <f t="shared" ca="1" si="765"/>
        <v>698983254.55074775</v>
      </c>
      <c r="E366" s="94"/>
      <c r="F366" s="90">
        <f ca="1">+IF(YEAR(F$354)&lt;=YEAR(Assumptions!$F$35),'Phase 1 Pro Forma'!F337+'Phase 1 Pro Forma'!F342,0)</f>
        <v>0</v>
      </c>
      <c r="G366" s="90">
        <f ca="1">+IF(YEAR(G$354)&lt;=YEAR(Assumptions!$F$35),'Phase 1 Pro Forma'!G337+'Phase 1 Pro Forma'!G342,0)</f>
        <v>0</v>
      </c>
      <c r="H366" s="90">
        <f ca="1">+IF(YEAR(H$354)&lt;=YEAR(Assumptions!$F$35),'Phase 1 Pro Forma'!H337+'Phase 1 Pro Forma'!H342,0)</f>
        <v>0</v>
      </c>
      <c r="I366" s="90">
        <f ca="1">+IF(YEAR(I$354)&lt;=YEAR(Assumptions!$F$35),'Phase 1 Pro Forma'!I337+'Phase 1 Pro Forma'!I342,0)</f>
        <v>0</v>
      </c>
      <c r="J366" s="90">
        <f ca="1">+IF(YEAR(J$354)&lt;=YEAR(Assumptions!$F$35),'Phase 1 Pro Forma'!J337+'Phase 1 Pro Forma'!J342,0)</f>
        <v>50543671.90414355</v>
      </c>
      <c r="K366" s="90">
        <f ca="1">+IF(YEAR(K$354)&lt;=YEAR(Assumptions!$F$35),'Phase 1 Pro Forma'!K337+'Phase 1 Pro Forma'!K342,0)</f>
        <v>12902026.961117944</v>
      </c>
      <c r="L366" s="90">
        <f ca="1">+IF(YEAR(L$354)&lt;=YEAR(Assumptions!$F$35),'Phase 1 Pro Forma'!L337+'Phase 1 Pro Forma'!L342,0)</f>
        <v>21120150.213353533</v>
      </c>
      <c r="M366" s="90">
        <f ca="1">+IF(YEAR(M$354)&lt;=YEAR(Assumptions!$F$35),'Phase 1 Pro Forma'!M337+'Phase 1 Pro Forma'!M342,0)</f>
        <v>22652700.840474334</v>
      </c>
      <c r="N366" s="90">
        <f ca="1">+IF(YEAR(N$354)&lt;=YEAR(Assumptions!$F$35),'Phase 1 Pro Forma'!N337+'Phase 1 Pro Forma'!N342,0)</f>
        <v>23170235.194614802</v>
      </c>
      <c r="O366" s="90">
        <f ca="1">+IF(YEAR(O$354)&lt;=YEAR(Assumptions!$F$35),'Phase 1 Pro Forma'!O337+'Phase 1 Pro Forma'!O342,0)</f>
        <v>23703295.579379488</v>
      </c>
      <c r="P366" s="90">
        <f ca="1">+IF(YEAR(P$354)&lt;=YEAR(Assumptions!$F$35),'Phase 1 Pro Forma'!P337+'Phase 1 Pro Forma'!P342,0)</f>
        <v>544891173.85766411</v>
      </c>
      <c r="Q366" s="90">
        <f>+IF(YEAR(Q$354)&lt;=YEAR(Assumptions!$F$35),'Phase 1 Pro Forma'!Q337+'Phase 1 Pro Forma'!Q342,0)</f>
        <v>0</v>
      </c>
      <c r="R366" s="90">
        <f>+IF(YEAR(R$354)&lt;=YEAR(Assumptions!$F$35),'Phase 1 Pro Forma'!R337+'Phase 1 Pro Forma'!R342,0)</f>
        <v>0</v>
      </c>
      <c r="S366" s="90">
        <f>+IF(YEAR(S$354)&lt;=YEAR(Assumptions!$F$35),'Phase 1 Pro Forma'!S337+'Phase 1 Pro Forma'!S342,0)</f>
        <v>0</v>
      </c>
      <c r="T366" s="90">
        <f>+IF(YEAR(T$354)&lt;=YEAR(Assumptions!$F$35),'Phase 1 Pro Forma'!T337+'Phase 1 Pro Forma'!T342,0)</f>
        <v>0</v>
      </c>
      <c r="U366" s="90">
        <f>+IF(YEAR(U$354)&lt;=YEAR(Assumptions!$F$35),'Phase 1 Pro Forma'!U337+'Phase 1 Pro Forma'!U342,0)</f>
        <v>0</v>
      </c>
      <c r="V366" s="90">
        <f>+IF(YEAR(V$354)&lt;=YEAR(Assumptions!$F$35),'Phase 1 Pro Forma'!V337+'Phase 1 Pro Forma'!V342,0)</f>
        <v>0</v>
      </c>
      <c r="W366" s="90">
        <f>+IF(YEAR(W$354)&lt;=YEAR(Assumptions!$F$35),'Phase 1 Pro Forma'!W337+'Phase 1 Pro Forma'!W342,0)</f>
        <v>0</v>
      </c>
      <c r="X366" s="90">
        <f>+IF(YEAR(X$354)&lt;=YEAR(Assumptions!$F$35),'Phase 1 Pro Forma'!X337+'Phase 1 Pro Forma'!X342,0)</f>
        <v>0</v>
      </c>
      <c r="Y366" s="90">
        <f>+IF(YEAR(Y$354)&lt;=YEAR(Assumptions!$F$35),'Phase 1 Pro Forma'!Y337+'Phase 1 Pro Forma'!Y342,0)</f>
        <v>0</v>
      </c>
      <c r="Z366" s="90">
        <f>+IF(YEAR(Z$354)&lt;=YEAR(Assumptions!$F$35),'Phase 1 Pro Forma'!Z337+'Phase 1 Pro Forma'!Z342,0)</f>
        <v>0</v>
      </c>
      <c r="AA366" s="699"/>
      <c r="AB366" s="699"/>
      <c r="AC366" s="699"/>
      <c r="AD366" s="699"/>
      <c r="AE366" s="49"/>
      <c r="AF366" s="49"/>
      <c r="AG366" s="49"/>
      <c r="AH366" s="49"/>
      <c r="AI366" s="49"/>
      <c r="AJ366" s="49"/>
      <c r="AK366" s="49"/>
      <c r="AL366" s="49"/>
      <c r="AM366" s="49"/>
      <c r="AN366" s="49"/>
      <c r="AO366" s="49"/>
      <c r="AP366" s="49"/>
      <c r="AQ366" s="49"/>
      <c r="AR366" s="49"/>
      <c r="AS366" s="49"/>
      <c r="AT366" s="49"/>
      <c r="AU366" s="49"/>
      <c r="AV366" s="49"/>
      <c r="AW366" s="49"/>
      <c r="AX366" s="49"/>
      <c r="AY366" s="49"/>
      <c r="AZ366" s="49"/>
      <c r="BA366" s="49"/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</row>
    <row r="367" spans="1:66" ht="15.75">
      <c r="A367" s="699"/>
      <c r="B367" s="50" t="s">
        <v>1203</v>
      </c>
      <c r="C367" s="50"/>
      <c r="D367" s="55">
        <f t="shared" ca="1" si="765"/>
        <v>341493833.60306281</v>
      </c>
      <c r="E367" s="55"/>
      <c r="F367" s="55">
        <f ca="1">+SUM(F365:F366)</f>
        <v>-181675735.02067354</v>
      </c>
      <c r="G367" s="55">
        <f t="shared" ref="G367:Z367" ca="1" si="767">+SUM(G365:G366)</f>
        <v>-106595721.90973967</v>
      </c>
      <c r="H367" s="55">
        <f t="shared" ca="1" si="767"/>
        <v>-69217964.017271698</v>
      </c>
      <c r="I367" s="55">
        <f t="shared" ca="1" si="767"/>
        <v>0</v>
      </c>
      <c r="J367" s="55">
        <f t="shared" ca="1" si="767"/>
        <v>50543671.90414355</v>
      </c>
      <c r="K367" s="55">
        <f t="shared" ca="1" si="767"/>
        <v>12902026.961117944</v>
      </c>
      <c r="L367" s="55">
        <f t="shared" ca="1" si="767"/>
        <v>21120150.213353533</v>
      </c>
      <c r="M367" s="55">
        <f t="shared" ca="1" si="767"/>
        <v>22652700.840474334</v>
      </c>
      <c r="N367" s="55">
        <f t="shared" ca="1" si="767"/>
        <v>23170235.194614802</v>
      </c>
      <c r="O367" s="55">
        <f t="shared" ca="1" si="767"/>
        <v>23703295.579379488</v>
      </c>
      <c r="P367" s="55">
        <f t="shared" ca="1" si="767"/>
        <v>544891173.85766411</v>
      </c>
      <c r="Q367" s="55">
        <f t="shared" ca="1" si="767"/>
        <v>0</v>
      </c>
      <c r="R367" s="55">
        <f t="shared" ca="1" si="767"/>
        <v>0</v>
      </c>
      <c r="S367" s="55">
        <f t="shared" ca="1" si="767"/>
        <v>0</v>
      </c>
      <c r="T367" s="55">
        <f t="shared" ca="1" si="767"/>
        <v>0</v>
      </c>
      <c r="U367" s="55">
        <f t="shared" ca="1" si="767"/>
        <v>0</v>
      </c>
      <c r="V367" s="55">
        <f t="shared" ca="1" si="767"/>
        <v>0</v>
      </c>
      <c r="W367" s="55">
        <f t="shared" ca="1" si="767"/>
        <v>0</v>
      </c>
      <c r="X367" s="55">
        <f t="shared" ca="1" si="767"/>
        <v>0</v>
      </c>
      <c r="Y367" s="55">
        <f t="shared" ca="1" si="767"/>
        <v>0</v>
      </c>
      <c r="Z367" s="55">
        <f t="shared" ca="1" si="767"/>
        <v>0</v>
      </c>
      <c r="AA367" s="699"/>
      <c r="AB367" s="699"/>
      <c r="AC367" s="699"/>
      <c r="AD367" s="699"/>
      <c r="AE367" s="49"/>
      <c r="AF367" s="49"/>
      <c r="AG367" s="49"/>
      <c r="AH367" s="49"/>
      <c r="AI367" s="49"/>
      <c r="AJ367" s="49"/>
      <c r="AK367" s="49"/>
      <c r="AL367" s="49"/>
      <c r="AM367" s="49"/>
      <c r="AN367" s="49"/>
      <c r="AO367" s="49"/>
      <c r="AP367" s="49"/>
      <c r="AQ367" s="49"/>
      <c r="AR367" s="49"/>
      <c r="AS367" s="49"/>
      <c r="AT367" s="49"/>
      <c r="AU367" s="49"/>
      <c r="AV367" s="49"/>
      <c r="AW367" s="49"/>
      <c r="AX367" s="49"/>
      <c r="AY367" s="49"/>
      <c r="AZ367" s="49"/>
      <c r="BA367" s="49"/>
      <c r="BB367" s="49"/>
      <c r="BC367" s="49"/>
      <c r="BD367" s="49"/>
      <c r="BE367" s="49"/>
      <c r="BF367" s="49"/>
      <c r="BG367" s="49"/>
      <c r="BH367" s="49"/>
      <c r="BI367" s="49"/>
      <c r="BJ367" s="49"/>
      <c r="BK367" s="49"/>
      <c r="BL367" s="49"/>
      <c r="BM367" s="49"/>
      <c r="BN367" s="49"/>
    </row>
    <row r="368" spans="1:66">
      <c r="A368" s="699"/>
      <c r="B368" s="49"/>
      <c r="C368" s="49"/>
      <c r="D368" s="49"/>
      <c r="E368" s="49"/>
      <c r="F368" s="49"/>
      <c r="G368" s="49"/>
      <c r="H368" s="49"/>
      <c r="I368" s="49"/>
      <c r="J368" s="49"/>
      <c r="K368" s="49"/>
      <c r="L368" s="49"/>
      <c r="M368" s="49"/>
      <c r="N368" s="49"/>
      <c r="O368" s="49"/>
      <c r="P368" s="49"/>
      <c r="Q368" s="49"/>
      <c r="R368" s="49"/>
      <c r="S368" s="49"/>
      <c r="T368" s="49"/>
      <c r="U368" s="49"/>
      <c r="V368" s="49"/>
      <c r="W368" s="49"/>
      <c r="X368" s="49"/>
      <c r="Y368" s="49"/>
      <c r="Z368" s="49"/>
      <c r="AA368" s="699"/>
      <c r="AB368" s="699"/>
      <c r="AC368" s="699"/>
      <c r="AD368" s="699"/>
      <c r="AE368" s="49"/>
      <c r="AF368" s="49"/>
      <c r="AG368" s="49"/>
      <c r="AH368" s="49"/>
      <c r="AI368" s="49"/>
      <c r="AJ368" s="49"/>
      <c r="AK368" s="49"/>
      <c r="AL368" s="49"/>
      <c r="AM368" s="49"/>
      <c r="AN368" s="49"/>
      <c r="AO368" s="49"/>
      <c r="AP368" s="49"/>
      <c r="AQ368" s="49"/>
      <c r="AR368" s="49"/>
      <c r="AS368" s="49"/>
      <c r="AT368" s="49"/>
      <c r="AU368" s="49"/>
      <c r="AV368" s="49"/>
      <c r="AW368" s="49"/>
      <c r="AX368" s="49"/>
      <c r="AY368" s="49"/>
      <c r="AZ368" s="49"/>
      <c r="BA368" s="49"/>
      <c r="BB368" s="49"/>
      <c r="BC368" s="49"/>
      <c r="BD368" s="49"/>
      <c r="BE368" s="49"/>
      <c r="BF368" s="49"/>
      <c r="BG368" s="49"/>
      <c r="BH368" s="49"/>
      <c r="BI368" s="49"/>
      <c r="BJ368" s="49"/>
      <c r="BK368" s="49"/>
      <c r="BL368" s="49"/>
      <c r="BM368" s="49"/>
      <c r="BN368" s="49"/>
    </row>
    <row r="369" spans="1:66" ht="15.75">
      <c r="A369" s="699"/>
      <c r="B369" s="154" t="s">
        <v>377</v>
      </c>
      <c r="C369" s="154"/>
      <c r="D369" s="155">
        <f ca="1">+IRR(F367:Z367)</f>
        <v>8.3632841306258587E-2</v>
      </c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  <c r="AA369" s="699"/>
      <c r="AB369" s="699"/>
      <c r="AC369" s="699"/>
      <c r="AD369" s="699"/>
      <c r="AE369" s="49"/>
      <c r="AF369" s="49"/>
      <c r="AG369" s="49"/>
      <c r="AH369" s="49"/>
      <c r="AI369" s="49"/>
      <c r="AJ369" s="49"/>
      <c r="AK369" s="49"/>
      <c r="AL369" s="49"/>
      <c r="AM369" s="49"/>
      <c r="AN369" s="49"/>
      <c r="AO369" s="49"/>
      <c r="AP369" s="49"/>
      <c r="AQ369" s="49"/>
      <c r="AR369" s="49"/>
      <c r="AS369" s="49"/>
      <c r="AT369" s="49"/>
      <c r="AU369" s="49"/>
      <c r="AV369" s="49"/>
      <c r="AW369" s="49"/>
      <c r="AX369" s="49"/>
      <c r="AY369" s="49"/>
      <c r="AZ369" s="49"/>
      <c r="BA369" s="49"/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</row>
    <row r="370" spans="1:66" ht="15.75">
      <c r="A370" s="699"/>
      <c r="B370" s="113" t="s">
        <v>1204</v>
      </c>
      <c r="C370" s="156"/>
      <c r="D370" s="150">
        <f ca="1">+SUM(F367:Z367)</f>
        <v>341493833.60306281</v>
      </c>
      <c r="E370" s="49"/>
      <c r="F370" s="49"/>
      <c r="G370" s="49"/>
      <c r="H370" s="49"/>
      <c r="I370" s="49"/>
      <c r="J370" s="49"/>
      <c r="K370" s="49"/>
      <c r="L370" s="49"/>
      <c r="M370" s="49"/>
      <c r="N370" s="49"/>
      <c r="O370" s="49"/>
      <c r="P370" s="49"/>
      <c r="Q370" s="49"/>
      <c r="R370" s="49"/>
      <c r="S370" s="49"/>
      <c r="T370" s="49"/>
      <c r="U370" s="49"/>
      <c r="V370" s="49"/>
      <c r="W370" s="49"/>
      <c r="X370" s="49"/>
      <c r="Y370" s="49"/>
      <c r="Z370" s="49"/>
      <c r="AA370" s="699"/>
      <c r="AB370" s="699"/>
      <c r="AC370" s="699"/>
      <c r="AD370" s="699"/>
      <c r="AE370" s="49"/>
      <c r="AF370" s="49"/>
      <c r="AG370" s="49"/>
      <c r="AH370" s="49"/>
      <c r="AI370" s="49"/>
      <c r="AJ370" s="49"/>
      <c r="AK370" s="49"/>
      <c r="AL370" s="49"/>
      <c r="AM370" s="49"/>
      <c r="AN370" s="49"/>
      <c r="AO370" s="49"/>
      <c r="AP370" s="49"/>
      <c r="AQ370" s="49"/>
      <c r="AR370" s="49"/>
      <c r="AS370" s="49"/>
      <c r="AT370" s="49"/>
      <c r="AU370" s="49"/>
      <c r="AV370" s="49"/>
      <c r="AW370" s="49"/>
      <c r="AX370" s="49"/>
      <c r="AY370" s="49"/>
      <c r="AZ370" s="49"/>
      <c r="BA370" s="49"/>
      <c r="BB370" s="49"/>
      <c r="BC370" s="49"/>
      <c r="BD370" s="49"/>
      <c r="BE370" s="49"/>
      <c r="BF370" s="49"/>
      <c r="BG370" s="49"/>
      <c r="BH370" s="49"/>
      <c r="BI370" s="49"/>
      <c r="BJ370" s="49"/>
      <c r="BK370" s="49"/>
      <c r="BL370" s="49"/>
      <c r="BM370" s="49"/>
      <c r="BN370" s="49"/>
    </row>
    <row r="371" spans="1:66" ht="15.75">
      <c r="A371" s="699"/>
      <c r="B371" s="157" t="s">
        <v>382</v>
      </c>
      <c r="C371" s="158"/>
      <c r="D371" s="159">
        <f ca="1">+D366/-D365</f>
        <v>1.9552557742765682</v>
      </c>
      <c r="E371" s="49"/>
      <c r="F371" s="49"/>
      <c r="G371" s="49"/>
      <c r="H371" s="49"/>
      <c r="I371" s="49"/>
      <c r="J371" s="49"/>
      <c r="K371" s="49"/>
      <c r="L371" s="49"/>
      <c r="M371" s="49"/>
      <c r="N371" s="49"/>
      <c r="O371" s="49"/>
      <c r="P371" s="49"/>
      <c r="Q371" s="49"/>
      <c r="R371" s="49"/>
      <c r="S371" s="49"/>
      <c r="T371" s="49"/>
      <c r="U371" s="49"/>
      <c r="V371" s="49"/>
      <c r="W371" s="49"/>
      <c r="X371" s="49"/>
      <c r="Y371" s="49"/>
      <c r="Z371" s="49"/>
      <c r="AA371" s="699"/>
      <c r="AB371" s="699"/>
      <c r="AC371" s="699"/>
      <c r="AD371" s="699"/>
      <c r="AE371" s="49"/>
      <c r="AF371" s="49"/>
      <c r="AG371" s="49"/>
      <c r="AH371" s="49"/>
      <c r="AI371" s="49"/>
      <c r="AJ371" s="49"/>
      <c r="AK371" s="49"/>
      <c r="AL371" s="49"/>
      <c r="AM371" s="49"/>
      <c r="AN371" s="49"/>
      <c r="AO371" s="49"/>
      <c r="AP371" s="49"/>
      <c r="AQ371" s="49"/>
      <c r="AR371" s="49"/>
      <c r="AS371" s="49"/>
      <c r="AT371" s="49"/>
      <c r="AU371" s="49"/>
      <c r="AV371" s="49"/>
      <c r="AW371" s="49"/>
      <c r="AX371" s="49"/>
      <c r="AY371" s="49"/>
      <c r="AZ371" s="49"/>
      <c r="BA371" s="49"/>
      <c r="BB371" s="49"/>
      <c r="BC371" s="49"/>
      <c r="BD371" s="49"/>
      <c r="BE371" s="49"/>
      <c r="BF371" s="49"/>
      <c r="BG371" s="49"/>
      <c r="BH371" s="49"/>
      <c r="BI371" s="49"/>
      <c r="BJ371" s="49"/>
      <c r="BK371" s="49"/>
      <c r="BL371" s="49"/>
      <c r="BM371" s="49"/>
      <c r="BN371" s="49"/>
    </row>
    <row r="372" spans="1:66">
      <c r="A372" s="699"/>
      <c r="B372" s="49"/>
      <c r="C372" s="49"/>
      <c r="D372" s="49"/>
      <c r="E372" s="49"/>
      <c r="F372" s="49"/>
      <c r="G372" s="49"/>
      <c r="H372" s="49"/>
      <c r="I372" s="49"/>
      <c r="J372" s="49"/>
      <c r="K372" s="49"/>
      <c r="L372" s="49"/>
      <c r="M372" s="49"/>
      <c r="N372" s="49"/>
      <c r="O372" s="49"/>
      <c r="P372" s="49"/>
      <c r="Q372" s="49"/>
      <c r="R372" s="49"/>
      <c r="S372" s="49"/>
      <c r="T372" s="49"/>
      <c r="U372" s="49"/>
      <c r="V372" s="49"/>
      <c r="W372" s="49"/>
      <c r="X372" s="49"/>
      <c r="Y372" s="49"/>
      <c r="Z372" s="49"/>
      <c r="AA372" s="699"/>
      <c r="AB372" s="699"/>
      <c r="AC372" s="699"/>
      <c r="AD372" s="699"/>
      <c r="AE372" s="49"/>
      <c r="AF372" s="49"/>
      <c r="AG372" s="49"/>
      <c r="AH372" s="49"/>
      <c r="AI372" s="49"/>
      <c r="AJ372" s="49"/>
      <c r="AK372" s="49"/>
      <c r="AL372" s="49"/>
      <c r="AM372" s="49"/>
      <c r="AN372" s="49"/>
      <c r="AO372" s="49"/>
      <c r="AP372" s="49"/>
      <c r="AQ372" s="49"/>
      <c r="AR372" s="49"/>
      <c r="AS372" s="49"/>
      <c r="AT372" s="49"/>
      <c r="AU372" s="49"/>
      <c r="AV372" s="49"/>
      <c r="AW372" s="49"/>
      <c r="AX372" s="49"/>
      <c r="AY372" s="49"/>
      <c r="AZ372" s="49"/>
      <c r="BA372" s="49"/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</row>
    <row r="373" spans="1:66" ht="15.75">
      <c r="A373" s="699"/>
      <c r="B373" s="718" t="s">
        <v>1210</v>
      </c>
      <c r="C373" s="151"/>
      <c r="D373" s="151"/>
      <c r="E373" s="151"/>
      <c r="F373" s="971">
        <f>+F344</f>
        <v>45291</v>
      </c>
      <c r="G373" s="971">
        <f t="shared" ref="G373:Z373" si="768">+G344</f>
        <v>45657</v>
      </c>
      <c r="H373" s="971">
        <f t="shared" si="768"/>
        <v>46022</v>
      </c>
      <c r="I373" s="971">
        <f t="shared" si="768"/>
        <v>46387</v>
      </c>
      <c r="J373" s="971">
        <f t="shared" si="768"/>
        <v>46752</v>
      </c>
      <c r="K373" s="971">
        <f t="shared" si="768"/>
        <v>47118</v>
      </c>
      <c r="L373" s="971">
        <f t="shared" si="768"/>
        <v>47483</v>
      </c>
      <c r="M373" s="971">
        <f t="shared" si="768"/>
        <v>47848</v>
      </c>
      <c r="N373" s="971">
        <f t="shared" si="768"/>
        <v>48213</v>
      </c>
      <c r="O373" s="971">
        <f t="shared" si="768"/>
        <v>48579</v>
      </c>
      <c r="P373" s="971">
        <f t="shared" si="768"/>
        <v>48944</v>
      </c>
      <c r="Q373" s="971">
        <f t="shared" si="768"/>
        <v>49309</v>
      </c>
      <c r="R373" s="971">
        <f t="shared" si="768"/>
        <v>49674</v>
      </c>
      <c r="S373" s="971">
        <f t="shared" si="768"/>
        <v>50040</v>
      </c>
      <c r="T373" s="971">
        <f t="shared" si="768"/>
        <v>50405</v>
      </c>
      <c r="U373" s="971">
        <f t="shared" si="768"/>
        <v>50770</v>
      </c>
      <c r="V373" s="971">
        <f t="shared" si="768"/>
        <v>51135</v>
      </c>
      <c r="W373" s="971">
        <f t="shared" si="768"/>
        <v>51501</v>
      </c>
      <c r="X373" s="971">
        <f t="shared" si="768"/>
        <v>51866</v>
      </c>
      <c r="Y373" s="971">
        <f t="shared" si="768"/>
        <v>52231</v>
      </c>
      <c r="Z373" s="971">
        <f t="shared" si="768"/>
        <v>52596</v>
      </c>
      <c r="AA373" s="699"/>
      <c r="AB373" s="699"/>
      <c r="AC373" s="699"/>
      <c r="AD373" s="699"/>
      <c r="AE373" s="49"/>
      <c r="AF373" s="49"/>
      <c r="AG373" s="49"/>
      <c r="AH373" s="49"/>
      <c r="AI373" s="49"/>
      <c r="AJ373" s="49"/>
      <c r="AK373" s="49"/>
      <c r="AL373" s="49"/>
      <c r="AM373" s="49"/>
      <c r="AN373" s="49"/>
      <c r="AO373" s="49"/>
      <c r="AP373" s="49"/>
      <c r="AQ373" s="49"/>
      <c r="AR373" s="49"/>
      <c r="AS373" s="49"/>
      <c r="AT373" s="49"/>
      <c r="AU373" s="49"/>
      <c r="AV373" s="49"/>
      <c r="AW373" s="49"/>
      <c r="AX373" s="49"/>
      <c r="AY373" s="49"/>
      <c r="AZ373" s="49"/>
      <c r="BA373" s="49"/>
      <c r="BB373" s="49"/>
      <c r="BC373" s="49"/>
      <c r="BD373" s="49"/>
      <c r="BE373" s="49"/>
      <c r="BF373" s="49"/>
      <c r="BG373" s="49"/>
      <c r="BH373" s="49"/>
      <c r="BI373" s="49"/>
      <c r="BJ373" s="49"/>
      <c r="BK373" s="49"/>
      <c r="BL373" s="49"/>
      <c r="BM373" s="49"/>
      <c r="BN373" s="49"/>
    </row>
    <row r="374" spans="1:66" ht="15.75">
      <c r="A374" s="699"/>
      <c r="B374" s="718"/>
      <c r="C374" s="151"/>
      <c r="D374" s="151"/>
      <c r="E374" s="151"/>
      <c r="F374" s="151"/>
      <c r="G374" s="151"/>
      <c r="H374" s="151"/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699"/>
      <c r="AB374" s="699"/>
      <c r="AC374" s="699"/>
      <c r="AD374" s="699"/>
      <c r="AE374" s="49"/>
      <c r="AF374" s="49"/>
      <c r="AG374" s="49"/>
      <c r="AH374" s="49"/>
      <c r="AI374" s="49"/>
      <c r="AJ374" s="49"/>
      <c r="AK374" s="49"/>
      <c r="AL374" s="49"/>
      <c r="AM374" s="49"/>
      <c r="AN374" s="49"/>
      <c r="AO374" s="49"/>
      <c r="AP374" s="49"/>
      <c r="AQ374" s="49"/>
      <c r="AR374" s="49"/>
      <c r="AS374" s="49"/>
      <c r="AT374" s="49"/>
      <c r="AU374" s="49"/>
      <c r="AV374" s="49"/>
      <c r="AW374" s="49"/>
      <c r="AX374" s="49"/>
      <c r="AY374" s="49"/>
      <c r="AZ374" s="49"/>
      <c r="BA374" s="49"/>
      <c r="BB374" s="49"/>
      <c r="BC374" s="49"/>
      <c r="BD374" s="49"/>
      <c r="BE374" s="49"/>
      <c r="BF374" s="49"/>
      <c r="BG374" s="49"/>
      <c r="BH374" s="49"/>
      <c r="BI374" s="49"/>
      <c r="BJ374" s="49"/>
      <c r="BK374" s="49"/>
      <c r="BL374" s="49"/>
      <c r="BM374" s="49"/>
      <c r="BN374" s="49"/>
    </row>
    <row r="375" spans="1:66" ht="15.75">
      <c r="A375" s="699"/>
      <c r="B375" s="718" t="s">
        <v>1211</v>
      </c>
      <c r="C375" s="151"/>
      <c r="D375" s="151"/>
      <c r="E375" s="151"/>
      <c r="F375" s="718">
        <v>0</v>
      </c>
      <c r="G375" s="718">
        <f>+F375+1</f>
        <v>1</v>
      </c>
      <c r="H375" s="718">
        <f t="shared" ref="H375:Z375" si="769">+G375+1</f>
        <v>2</v>
      </c>
      <c r="I375" s="718">
        <f t="shared" si="769"/>
        <v>3</v>
      </c>
      <c r="J375" s="718">
        <f t="shared" si="769"/>
        <v>4</v>
      </c>
      <c r="K375" s="718">
        <f t="shared" si="769"/>
        <v>5</v>
      </c>
      <c r="L375" s="718">
        <f t="shared" si="769"/>
        <v>6</v>
      </c>
      <c r="M375" s="718">
        <f t="shared" si="769"/>
        <v>7</v>
      </c>
      <c r="N375" s="718">
        <f t="shared" si="769"/>
        <v>8</v>
      </c>
      <c r="O375" s="718">
        <f t="shared" si="769"/>
        <v>9</v>
      </c>
      <c r="P375" s="718">
        <f t="shared" si="769"/>
        <v>10</v>
      </c>
      <c r="Q375" s="718">
        <f t="shared" si="769"/>
        <v>11</v>
      </c>
      <c r="R375" s="718">
        <f t="shared" si="769"/>
        <v>12</v>
      </c>
      <c r="S375" s="718">
        <f t="shared" si="769"/>
        <v>13</v>
      </c>
      <c r="T375" s="718">
        <f t="shared" si="769"/>
        <v>14</v>
      </c>
      <c r="U375" s="718">
        <f t="shared" si="769"/>
        <v>15</v>
      </c>
      <c r="V375" s="718">
        <f t="shared" si="769"/>
        <v>16</v>
      </c>
      <c r="W375" s="718">
        <f t="shared" si="769"/>
        <v>17</v>
      </c>
      <c r="X375" s="718">
        <f t="shared" si="769"/>
        <v>18</v>
      </c>
      <c r="Y375" s="718">
        <f t="shared" si="769"/>
        <v>19</v>
      </c>
      <c r="Z375" s="718">
        <f t="shared" si="769"/>
        <v>20</v>
      </c>
      <c r="AA375" s="699"/>
      <c r="AB375" s="699"/>
      <c r="AC375" s="699"/>
      <c r="AD375" s="699"/>
      <c r="AE375" s="49"/>
      <c r="AF375" s="49"/>
      <c r="AG375" s="49"/>
      <c r="AH375" s="49"/>
      <c r="AI375" s="49"/>
      <c r="AJ375" s="49"/>
      <c r="AK375" s="49"/>
      <c r="AL375" s="49"/>
      <c r="AM375" s="49"/>
      <c r="AN375" s="49"/>
      <c r="AO375" s="49"/>
      <c r="AP375" s="49"/>
      <c r="AQ375" s="49"/>
      <c r="AR375" s="49"/>
      <c r="AS375" s="49"/>
      <c r="AT375" s="49"/>
      <c r="AU375" s="49"/>
      <c r="AV375" s="49"/>
      <c r="AW375" s="49"/>
      <c r="AX375" s="49"/>
      <c r="AY375" s="49"/>
      <c r="AZ375" s="49"/>
      <c r="BA375" s="49"/>
      <c r="BB375" s="49"/>
      <c r="BC375" s="49"/>
      <c r="BD375" s="49"/>
      <c r="BE375" s="49"/>
      <c r="BF375" s="49"/>
      <c r="BG375" s="49"/>
      <c r="BH375" s="49"/>
      <c r="BI375" s="49"/>
      <c r="BJ375" s="49"/>
      <c r="BK375" s="49"/>
      <c r="BL375" s="49"/>
      <c r="BM375" s="49"/>
      <c r="BN375" s="49"/>
    </row>
    <row r="376" spans="1:66" ht="15.75">
      <c r="A376" s="699"/>
      <c r="B376" s="151" t="s">
        <v>1212</v>
      </c>
      <c r="C376" s="151"/>
      <c r="D376" s="948"/>
      <c r="E376" s="948"/>
      <c r="F376" s="946">
        <f t="shared" ref="F376:Z376" ca="1" si="770">+F$365</f>
        <v>-181675735.02067354</v>
      </c>
      <c r="G376" s="946">
        <f t="shared" ca="1" si="770"/>
        <v>-106595721.90973967</v>
      </c>
      <c r="H376" s="946">
        <f t="shared" ca="1" si="770"/>
        <v>-69217964.017271698</v>
      </c>
      <c r="I376" s="946">
        <f t="shared" ca="1" si="770"/>
        <v>0</v>
      </c>
      <c r="J376" s="946">
        <f t="shared" ca="1" si="770"/>
        <v>0</v>
      </c>
      <c r="K376" s="946">
        <f t="shared" ca="1" si="770"/>
        <v>0</v>
      </c>
      <c r="L376" s="946">
        <f t="shared" ca="1" si="770"/>
        <v>0</v>
      </c>
      <c r="M376" s="946">
        <f t="shared" ca="1" si="770"/>
        <v>0</v>
      </c>
      <c r="N376" s="946">
        <f t="shared" ca="1" si="770"/>
        <v>0</v>
      </c>
      <c r="O376" s="946">
        <f t="shared" ca="1" si="770"/>
        <v>0</v>
      </c>
      <c r="P376" s="946">
        <f t="shared" ca="1" si="770"/>
        <v>0</v>
      </c>
      <c r="Q376" s="946">
        <f t="shared" ca="1" si="770"/>
        <v>0</v>
      </c>
      <c r="R376" s="946">
        <f t="shared" ca="1" si="770"/>
        <v>0</v>
      </c>
      <c r="S376" s="946">
        <f t="shared" ca="1" si="770"/>
        <v>0</v>
      </c>
      <c r="T376" s="946">
        <f t="shared" ca="1" si="770"/>
        <v>0</v>
      </c>
      <c r="U376" s="946">
        <f t="shared" ca="1" si="770"/>
        <v>0</v>
      </c>
      <c r="V376" s="946">
        <f t="shared" ca="1" si="770"/>
        <v>0</v>
      </c>
      <c r="W376" s="946">
        <f t="shared" ca="1" si="770"/>
        <v>0</v>
      </c>
      <c r="X376" s="946">
        <f t="shared" ca="1" si="770"/>
        <v>0</v>
      </c>
      <c r="Y376" s="946">
        <f t="shared" ca="1" si="770"/>
        <v>0</v>
      </c>
      <c r="Z376" s="946">
        <f t="shared" ca="1" si="770"/>
        <v>0</v>
      </c>
      <c r="AA376" s="699"/>
      <c r="AB376" s="699"/>
      <c r="AC376" s="699"/>
      <c r="AD376" s="699"/>
      <c r="AE376" s="49"/>
      <c r="AF376" s="49"/>
      <c r="AG376" s="49"/>
      <c r="AH376" s="49"/>
      <c r="AI376" s="49"/>
      <c r="AJ376" s="49"/>
      <c r="AK376" s="49"/>
      <c r="AL376" s="49"/>
      <c r="AM376" s="49"/>
      <c r="AN376" s="49"/>
      <c r="AO376" s="49"/>
      <c r="AP376" s="49"/>
      <c r="AQ376" s="49"/>
      <c r="AR376" s="49"/>
      <c r="AS376" s="49"/>
      <c r="AT376" s="49"/>
      <c r="AU376" s="49"/>
      <c r="AV376" s="49"/>
      <c r="AW376" s="49"/>
      <c r="AX376" s="49"/>
      <c r="AY376" s="49"/>
      <c r="AZ376" s="49"/>
      <c r="BA376" s="49"/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</row>
    <row r="377" spans="1:66" ht="15.75">
      <c r="A377" s="699"/>
      <c r="B377" s="151" t="s">
        <v>1213</v>
      </c>
      <c r="C377" s="151"/>
      <c r="D377" s="948"/>
      <c r="E377" s="948"/>
      <c r="F377" s="972">
        <v>0</v>
      </c>
      <c r="G377" s="972">
        <v>0</v>
      </c>
      <c r="H377" s="972">
        <v>0</v>
      </c>
      <c r="I377" s="972">
        <v>0</v>
      </c>
      <c r="J377" s="972">
        <v>0</v>
      </c>
      <c r="K377" s="972">
        <v>0</v>
      </c>
      <c r="L377" s="972">
        <v>0</v>
      </c>
      <c r="M377" s="972">
        <v>0</v>
      </c>
      <c r="N377" s="972">
        <v>0</v>
      </c>
      <c r="O377" s="972">
        <v>0</v>
      </c>
      <c r="P377" s="972">
        <v>0</v>
      </c>
      <c r="Q377" s="972">
        <v>0</v>
      </c>
      <c r="R377" s="972">
        <v>0</v>
      </c>
      <c r="S377" s="972">
        <v>0</v>
      </c>
      <c r="T377" s="972">
        <v>0</v>
      </c>
      <c r="U377" s="972">
        <v>0</v>
      </c>
      <c r="V377" s="972">
        <v>0</v>
      </c>
      <c r="W377" s="972">
        <v>0</v>
      </c>
      <c r="X377" s="972">
        <v>0</v>
      </c>
      <c r="Y377" s="972">
        <v>0</v>
      </c>
      <c r="Z377" s="972">
        <v>0</v>
      </c>
      <c r="AA377" s="699"/>
      <c r="AB377" s="699"/>
      <c r="AC377" s="699"/>
      <c r="AD377" s="699"/>
      <c r="AE377" s="49"/>
      <c r="AF377" s="49"/>
      <c r="AG377" s="49"/>
      <c r="AH377" s="49"/>
      <c r="AI377" s="49"/>
      <c r="AJ377" s="49"/>
      <c r="AK377" s="49"/>
      <c r="AL377" s="49"/>
      <c r="AM377" s="49"/>
      <c r="AN377" s="49"/>
      <c r="AO377" s="49"/>
      <c r="AP377" s="49"/>
      <c r="AQ377" s="49"/>
      <c r="AR377" s="49"/>
      <c r="AS377" s="49"/>
      <c r="AT377" s="49"/>
      <c r="AU377" s="49"/>
      <c r="AV377" s="49"/>
      <c r="AW377" s="49"/>
      <c r="AX377" s="49"/>
      <c r="AY377" s="49"/>
      <c r="AZ377" s="49"/>
      <c r="BA377" s="49"/>
      <c r="BB377" s="49"/>
      <c r="BC377" s="49"/>
      <c r="BD377" s="49"/>
      <c r="BE377" s="49"/>
      <c r="BF377" s="49"/>
      <c r="BG377" s="49"/>
      <c r="BH377" s="49"/>
      <c r="BI377" s="49"/>
      <c r="BJ377" s="49"/>
      <c r="BK377" s="49"/>
      <c r="BL377" s="49"/>
      <c r="BM377" s="49"/>
      <c r="BN377" s="49"/>
    </row>
    <row r="378" spans="1:66" ht="15.75">
      <c r="A378" s="699"/>
      <c r="B378" s="151" t="s">
        <v>1214</v>
      </c>
      <c r="C378" s="151"/>
      <c r="D378" s="948"/>
      <c r="E378" s="948"/>
      <c r="F378" s="972">
        <v>0</v>
      </c>
      <c r="G378" s="972">
        <v>0</v>
      </c>
      <c r="H378" s="972">
        <v>0</v>
      </c>
      <c r="I378" s="972">
        <v>0</v>
      </c>
      <c r="J378" s="972">
        <v>0</v>
      </c>
      <c r="K378" s="972">
        <v>0</v>
      </c>
      <c r="L378" s="972">
        <v>0</v>
      </c>
      <c r="M378" s="972">
        <v>0</v>
      </c>
      <c r="N378" s="972">
        <v>0</v>
      </c>
      <c r="O378" s="972">
        <v>0</v>
      </c>
      <c r="P378" s="972">
        <v>0</v>
      </c>
      <c r="Q378" s="972">
        <v>0</v>
      </c>
      <c r="R378" s="972">
        <v>0</v>
      </c>
      <c r="S378" s="972">
        <v>0</v>
      </c>
      <c r="T378" s="972">
        <v>0</v>
      </c>
      <c r="U378" s="972">
        <v>0</v>
      </c>
      <c r="V378" s="972">
        <v>0</v>
      </c>
      <c r="W378" s="972">
        <v>0</v>
      </c>
      <c r="X378" s="972">
        <v>0</v>
      </c>
      <c r="Y378" s="972">
        <v>0</v>
      </c>
      <c r="Z378" s="972">
        <v>0</v>
      </c>
      <c r="AA378" s="699"/>
      <c r="AB378" s="699"/>
      <c r="AC378" s="699"/>
      <c r="AD378" s="699"/>
      <c r="AE378" s="49"/>
      <c r="AF378" s="49"/>
      <c r="AG378" s="49"/>
      <c r="AH378" s="49"/>
      <c r="AI378" s="49"/>
      <c r="AJ378" s="49"/>
      <c r="AK378" s="49"/>
      <c r="AL378" s="49"/>
      <c r="AM378" s="49"/>
      <c r="AN378" s="49"/>
      <c r="AO378" s="49"/>
      <c r="AP378" s="49"/>
      <c r="AQ378" s="49"/>
      <c r="AR378" s="49"/>
      <c r="AS378" s="49"/>
      <c r="AT378" s="49"/>
      <c r="AU378" s="49"/>
      <c r="AV378" s="49"/>
      <c r="AW378" s="49"/>
      <c r="AX378" s="49"/>
      <c r="AY378" s="49"/>
      <c r="AZ378" s="49"/>
      <c r="BA378" s="49"/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</row>
    <row r="379" spans="1:66" ht="15.75">
      <c r="A379" s="699"/>
      <c r="B379" s="151" t="s">
        <v>1215</v>
      </c>
      <c r="C379" s="151"/>
      <c r="D379" s="948"/>
      <c r="E379" s="948"/>
      <c r="F379" s="972">
        <f ca="1">-SUM(F406:F407)*Assumptions!$BT$178</f>
        <v>0</v>
      </c>
      <c r="G379" s="972">
        <f ca="1">-SUM(G406:G407)*Assumptions!$BT$178</f>
        <v>0</v>
      </c>
      <c r="H379" s="972">
        <f ca="1">-SUM(H406:H407)*Assumptions!$BT$178</f>
        <v>0</v>
      </c>
      <c r="I379" s="972">
        <f ca="1">-SUM(I406:I407)*Assumptions!$BT$178</f>
        <v>0</v>
      </c>
      <c r="J379" s="972">
        <f ca="1">-SUM(J406:J407)*Assumptions!$BT$178</f>
        <v>0</v>
      </c>
      <c r="K379" s="972" t="e">
        <f ca="1">-SUM(K406:K407)*Assumptions!$BT$178</f>
        <v>#DIV/0!</v>
      </c>
      <c r="L379" s="972" t="e">
        <f ca="1">-SUM(L406:L407)*Assumptions!$BT$178</f>
        <v>#DIV/0!</v>
      </c>
      <c r="M379" s="972" t="e">
        <f ca="1">-SUM(M406:M407)*Assumptions!$BT$178</f>
        <v>#DIV/0!</v>
      </c>
      <c r="N379" s="972" t="e">
        <f ca="1">-SUM(N406:N407)*Assumptions!$BT$178</f>
        <v>#DIV/0!</v>
      </c>
      <c r="O379" s="972" t="e">
        <f ca="1">-SUM(O406:O407)*Assumptions!$BT$178</f>
        <v>#DIV/0!</v>
      </c>
      <c r="P379" s="972" t="e">
        <f ca="1">-SUM(P406:P407)*Assumptions!$BT$178</f>
        <v>#DIV/0!</v>
      </c>
      <c r="Q379" s="972">
        <f>-SUM(Q406:Q407)*Assumptions!$BT$178</f>
        <v>0</v>
      </c>
      <c r="R379" s="972">
        <f>-SUM(R406:R407)*Assumptions!$BT$178</f>
        <v>0</v>
      </c>
      <c r="S379" s="972">
        <f>-SUM(S406:S407)*Assumptions!$BT$178</f>
        <v>0</v>
      </c>
      <c r="T379" s="972">
        <f>-SUM(T406:T407)*Assumptions!$BT$178</f>
        <v>0</v>
      </c>
      <c r="U379" s="972">
        <f>-SUM(U406:U407)*Assumptions!$BT$178</f>
        <v>0</v>
      </c>
      <c r="V379" s="972">
        <f>-SUM(V406:V407)*Assumptions!$BT$178</f>
        <v>0</v>
      </c>
      <c r="W379" s="972">
        <f>-SUM(W406:W407)*Assumptions!$BT$178</f>
        <v>0</v>
      </c>
      <c r="X379" s="972">
        <f>-SUM(X406:X407)*Assumptions!$BT$178</f>
        <v>0</v>
      </c>
      <c r="Y379" s="972">
        <f>-SUM(Y406:Y407)*Assumptions!$BT$178</f>
        <v>0</v>
      </c>
      <c r="Z379" s="972">
        <f>-SUM(Z406:Z407)*Assumptions!$BT$178</f>
        <v>0</v>
      </c>
      <c r="AA379" s="699"/>
      <c r="AB379" s="699"/>
      <c r="AC379" s="699"/>
      <c r="AD379" s="699"/>
      <c r="AE379" s="49"/>
      <c r="AF379" s="49"/>
      <c r="AG379" s="49"/>
      <c r="AH379" s="49"/>
      <c r="AI379" s="49"/>
      <c r="AJ379" s="49"/>
      <c r="AK379" s="49"/>
      <c r="AL379" s="49"/>
      <c r="AM379" s="49"/>
      <c r="AN379" s="49"/>
      <c r="AO379" s="49"/>
      <c r="AP379" s="49"/>
      <c r="AQ379" s="49"/>
      <c r="AR379" s="49"/>
      <c r="AS379" s="49"/>
      <c r="AT379" s="49"/>
      <c r="AU379" s="49"/>
      <c r="AV379" s="49"/>
      <c r="AW379" s="49"/>
      <c r="AX379" s="49"/>
      <c r="AY379" s="49"/>
      <c r="AZ379" s="49"/>
      <c r="BA379" s="49"/>
      <c r="BB379" s="49"/>
      <c r="BC379" s="49"/>
      <c r="BD379" s="49"/>
      <c r="BE379" s="49"/>
      <c r="BF379" s="49"/>
      <c r="BG379" s="49"/>
      <c r="BH379" s="49"/>
      <c r="BI379" s="49"/>
      <c r="BJ379" s="49"/>
      <c r="BK379" s="49"/>
      <c r="BL379" s="49"/>
      <c r="BM379" s="49"/>
      <c r="BN379" s="49"/>
    </row>
    <row r="380" spans="1:66" ht="15.75">
      <c r="A380" s="699"/>
      <c r="B380" s="151" t="s">
        <v>1216</v>
      </c>
      <c r="C380" s="151"/>
      <c r="D380" s="948"/>
      <c r="E380" s="948"/>
      <c r="F380" s="972">
        <f ca="1">+IF(YEAR(F$373)&lt;=YEAR(Assumptions!$F$35),'Phase 1 Pro Forma'!F337,0)</f>
        <v>0</v>
      </c>
      <c r="G380" s="972">
        <f ca="1">+IF(YEAR(G$373)&lt;=YEAR(Assumptions!$F$35),'Phase 1 Pro Forma'!G337,0)</f>
        <v>0</v>
      </c>
      <c r="H380" s="972">
        <f ca="1">+IF(YEAR(H$373)&lt;=YEAR(Assumptions!$F$35),'Phase 1 Pro Forma'!H337,0)</f>
        <v>0</v>
      </c>
      <c r="I380" s="972">
        <f ca="1">+IF(YEAR(I$373)&lt;=YEAR(Assumptions!$F$35),'Phase 1 Pro Forma'!I337,0)</f>
        <v>0</v>
      </c>
      <c r="J380" s="972">
        <f ca="1">+IF(YEAR(J$373)&lt;=YEAR(Assumptions!$F$35),'Phase 1 Pro Forma'!J337,0)</f>
        <v>2986992.3072690596</v>
      </c>
      <c r="K380" s="972">
        <f ca="1">+IF(YEAR(K$373)&lt;=YEAR(Assumptions!$F$35),'Phase 1 Pro Forma'!K337,0)</f>
        <v>12902026.961117944</v>
      </c>
      <c r="L380" s="972">
        <f ca="1">+IF(YEAR(L$373)&lt;=YEAR(Assumptions!$F$35),'Phase 1 Pro Forma'!L337,0)</f>
        <v>21120150.213353533</v>
      </c>
      <c r="M380" s="972">
        <f ca="1">+IF(YEAR(M$373)&lt;=YEAR(Assumptions!$F$35),'Phase 1 Pro Forma'!M337,0)</f>
        <v>22652700.840474334</v>
      </c>
      <c r="N380" s="972">
        <f ca="1">+IF(YEAR(N$373)&lt;=YEAR(Assumptions!$F$35),'Phase 1 Pro Forma'!N337,0)</f>
        <v>23170235.194614802</v>
      </c>
      <c r="O380" s="972">
        <f ca="1">+IF(YEAR(O$373)&lt;=YEAR(Assumptions!$F$35),'Phase 1 Pro Forma'!O337,0)</f>
        <v>23703295.579379488</v>
      </c>
      <c r="P380" s="972">
        <f ca="1">+IF(YEAR(P$373)&lt;=YEAR(Assumptions!$F$35),'Phase 1 Pro Forma'!P337,0)</f>
        <v>24155947.437053818</v>
      </c>
      <c r="Q380" s="972">
        <f>+IF(YEAR(Q$373)&lt;=YEAR(Assumptions!$F$35),'Phase 1 Pro Forma'!Q337,0)</f>
        <v>0</v>
      </c>
      <c r="R380" s="972">
        <f>+IF(YEAR(R$373)&lt;=YEAR(Assumptions!$F$35),'Phase 1 Pro Forma'!R337,0)</f>
        <v>0</v>
      </c>
      <c r="S380" s="972">
        <f>+IF(YEAR(S$373)&lt;=YEAR(Assumptions!$F$35),'Phase 1 Pro Forma'!S337,0)</f>
        <v>0</v>
      </c>
      <c r="T380" s="972">
        <f>+IF(YEAR(T$373)&lt;=YEAR(Assumptions!$F$35),'Phase 1 Pro Forma'!T337,0)</f>
        <v>0</v>
      </c>
      <c r="U380" s="972">
        <f>+IF(YEAR(U$373)&lt;=YEAR(Assumptions!$F$35),'Phase 1 Pro Forma'!U337,0)</f>
        <v>0</v>
      </c>
      <c r="V380" s="972">
        <f>+IF(YEAR(V$373)&lt;=YEAR(Assumptions!$F$35),'Phase 1 Pro Forma'!V337,0)</f>
        <v>0</v>
      </c>
      <c r="W380" s="972">
        <f>+IF(YEAR(W$373)&lt;=YEAR(Assumptions!$F$35),'Phase 1 Pro Forma'!W337,0)</f>
        <v>0</v>
      </c>
      <c r="X380" s="972">
        <f>+IF(YEAR(X$373)&lt;=YEAR(Assumptions!$F$35),'Phase 1 Pro Forma'!X337,0)</f>
        <v>0</v>
      </c>
      <c r="Y380" s="972">
        <f>+IF(YEAR(Y$373)&lt;=YEAR(Assumptions!$F$35),'Phase 1 Pro Forma'!Y337,0)</f>
        <v>0</v>
      </c>
      <c r="Z380" s="972">
        <f>+IF(YEAR(Z$373)&lt;=YEAR(Assumptions!$F$35),'Phase 1 Pro Forma'!Z337,0)</f>
        <v>0</v>
      </c>
      <c r="AA380" s="699"/>
      <c r="AB380" s="699"/>
      <c r="AC380" s="699"/>
      <c r="AD380" s="699"/>
      <c r="AE380" s="49"/>
      <c r="AF380" s="49"/>
      <c r="AG380" s="49"/>
      <c r="AH380" s="49"/>
      <c r="AI380" s="49"/>
      <c r="AJ380" s="49"/>
      <c r="AK380" s="49"/>
      <c r="AL380" s="49"/>
      <c r="AM380" s="49"/>
      <c r="AN380" s="49"/>
      <c r="AO380" s="49"/>
      <c r="AP380" s="49"/>
      <c r="AQ380" s="49"/>
      <c r="AR380" s="49"/>
      <c r="AS380" s="49"/>
      <c r="AT380" s="49"/>
      <c r="AU380" s="49"/>
      <c r="AV380" s="49"/>
      <c r="AW380" s="49"/>
      <c r="AX380" s="49"/>
      <c r="AY380" s="49"/>
      <c r="AZ380" s="49"/>
      <c r="BA380" s="49"/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</row>
    <row r="381" spans="1:66" ht="15.75">
      <c r="A381" s="699"/>
      <c r="B381" s="151" t="s">
        <v>1217</v>
      </c>
      <c r="C381" s="151"/>
      <c r="D381" s="948"/>
      <c r="E381" s="948"/>
      <c r="F381" s="972">
        <f>+IF(YEAR(F$373)&lt;=YEAR(Assumptions!$F$35),'Phase 1 Pro Forma'!F342,0)</f>
        <v>0</v>
      </c>
      <c r="G381" s="972">
        <f>+IF(YEAR(G$373)&lt;=YEAR(Assumptions!$F$35),'Phase 1 Pro Forma'!G342,0)</f>
        <v>0</v>
      </c>
      <c r="H381" s="972">
        <f>+IF(YEAR(H$373)&lt;=YEAR(Assumptions!$F$35),'Phase 1 Pro Forma'!H342,0)</f>
        <v>0</v>
      </c>
      <c r="I381" s="972">
        <f>+IF(YEAR(I$373)&lt;=YEAR(Assumptions!$F$35),'Phase 1 Pro Forma'!I342,0)</f>
        <v>0</v>
      </c>
      <c r="J381" s="972">
        <f>+IF(YEAR(J$373)&lt;=YEAR(Assumptions!$F$35),'Phase 1 Pro Forma'!J342,0)</f>
        <v>47556679.59687449</v>
      </c>
      <c r="K381" s="972">
        <f>+IF(YEAR(K$373)&lt;=YEAR(Assumptions!$F$35),'Phase 1 Pro Forma'!K342,0)</f>
        <v>0</v>
      </c>
      <c r="L381" s="972">
        <f>+IF(YEAR(L$373)&lt;=YEAR(Assumptions!$F$35),'Phase 1 Pro Forma'!L342,0)</f>
        <v>0</v>
      </c>
      <c r="M381" s="972">
        <f>+IF(YEAR(M$373)&lt;=YEAR(Assumptions!$F$35),'Phase 1 Pro Forma'!M342,0)</f>
        <v>0</v>
      </c>
      <c r="N381" s="972">
        <f>+IF(YEAR(N$373)&lt;=YEAR(Assumptions!$F$35),'Phase 1 Pro Forma'!N342,0)</f>
        <v>0</v>
      </c>
      <c r="O381" s="972">
        <f>+IF(YEAR(O$373)&lt;=YEAR(Assumptions!$F$35),'Phase 1 Pro Forma'!O342,0)</f>
        <v>0</v>
      </c>
      <c r="P381" s="972">
        <f ca="1">+IF(YEAR(P$373)&lt;=YEAR(Assumptions!$F$35),'Phase 1 Pro Forma'!P342,0)</f>
        <v>520735226.42061031</v>
      </c>
      <c r="Q381" s="972">
        <f>+IF(YEAR(Q$373)&lt;=YEAR(Assumptions!$F$35),'Phase 1 Pro Forma'!Q342,0)</f>
        <v>0</v>
      </c>
      <c r="R381" s="972">
        <f>+IF(YEAR(R$373)&lt;=YEAR(Assumptions!$F$35),'Phase 1 Pro Forma'!R342,0)</f>
        <v>0</v>
      </c>
      <c r="S381" s="972">
        <f>+IF(YEAR(S$373)&lt;=YEAR(Assumptions!$F$35),'Phase 1 Pro Forma'!S342,0)</f>
        <v>0</v>
      </c>
      <c r="T381" s="972">
        <f>+IF(YEAR(T$373)&lt;=YEAR(Assumptions!$F$35),'Phase 1 Pro Forma'!T342,0)</f>
        <v>0</v>
      </c>
      <c r="U381" s="972">
        <f>+IF(YEAR(U$373)&lt;=YEAR(Assumptions!$F$35),'Phase 1 Pro Forma'!U342,0)</f>
        <v>0</v>
      </c>
      <c r="V381" s="972">
        <f>+IF(YEAR(V$373)&lt;=YEAR(Assumptions!$F$35),'Phase 1 Pro Forma'!V342,0)</f>
        <v>0</v>
      </c>
      <c r="W381" s="972">
        <f>+IF(YEAR(W$373)&lt;=YEAR(Assumptions!$F$35),'Phase 1 Pro Forma'!W342,0)</f>
        <v>0</v>
      </c>
      <c r="X381" s="972">
        <f>+IF(YEAR(X$373)&lt;=YEAR(Assumptions!$F$35),'Phase 1 Pro Forma'!X342,0)</f>
        <v>0</v>
      </c>
      <c r="Y381" s="972">
        <f>+IF(YEAR(Y$373)&lt;=YEAR(Assumptions!$F$35),'Phase 1 Pro Forma'!Y342,0)</f>
        <v>0</v>
      </c>
      <c r="Z381" s="972">
        <f>+IF(YEAR(Z$373)&lt;=YEAR(Assumptions!$F$35),'Phase 1 Pro Forma'!Z342,0)</f>
        <v>0</v>
      </c>
      <c r="AA381" s="699"/>
      <c r="AB381" s="699"/>
      <c r="AC381" s="699"/>
      <c r="AD381" s="699"/>
      <c r="AE381" s="49"/>
      <c r="AF381" s="49"/>
      <c r="AG381" s="49"/>
      <c r="AH381" s="49"/>
      <c r="AI381" s="49"/>
      <c r="AJ381" s="49"/>
      <c r="AK381" s="49"/>
      <c r="AL381" s="49"/>
      <c r="AM381" s="49"/>
      <c r="AN381" s="49"/>
      <c r="AO381" s="49"/>
      <c r="AP381" s="49"/>
      <c r="AQ381" s="49"/>
      <c r="AR381" s="49"/>
      <c r="AS381" s="49"/>
      <c r="AT381" s="49"/>
      <c r="AU381" s="49"/>
      <c r="AV381" s="49"/>
      <c r="AW381" s="49"/>
      <c r="AX381" s="49"/>
      <c r="AY381" s="49"/>
      <c r="AZ381" s="49"/>
      <c r="BA381" s="49"/>
      <c r="BB381" s="49"/>
      <c r="BC381" s="49"/>
      <c r="BD381" s="49"/>
      <c r="BE381" s="49"/>
      <c r="BF381" s="49"/>
      <c r="BG381" s="49"/>
      <c r="BH381" s="49"/>
      <c r="BI381" s="49"/>
      <c r="BJ381" s="49"/>
      <c r="BK381" s="49"/>
      <c r="BL381" s="49"/>
      <c r="BM381" s="49"/>
      <c r="BN381" s="49"/>
    </row>
    <row r="382" spans="1:66" ht="15.75">
      <c r="A382" s="699"/>
      <c r="B382" s="151" t="s">
        <v>1218</v>
      </c>
      <c r="C382" s="151"/>
      <c r="D382" s="948"/>
      <c r="E382" s="948"/>
      <c r="F382" s="972">
        <f>-F410*Assumptions!$BT$178</f>
        <v>0</v>
      </c>
      <c r="G382" s="972">
        <f>-G410*Assumptions!$BT$178</f>
        <v>0</v>
      </c>
      <c r="H382" s="972">
        <f>-H410*Assumptions!$BT$178</f>
        <v>0</v>
      </c>
      <c r="I382" s="972">
        <f>-I410*Assumptions!$BT$178</f>
        <v>0</v>
      </c>
      <c r="J382" s="972">
        <f>-J410*Assumptions!$BT$178</f>
        <v>0</v>
      </c>
      <c r="K382" s="972">
        <f>-K410*Assumptions!$BT$178</f>
        <v>0</v>
      </c>
      <c r="L382" s="972">
        <f>-L410*Assumptions!$BT$178</f>
        <v>0</v>
      </c>
      <c r="M382" s="972">
        <f>-M410*Assumptions!$BT$178</f>
        <v>0</v>
      </c>
      <c r="N382" s="972">
        <f>-N410*Assumptions!$BT$178</f>
        <v>0</v>
      </c>
      <c r="O382" s="972">
        <f>-O410*Assumptions!$BT$178</f>
        <v>0</v>
      </c>
      <c r="P382" s="972" t="e">
        <f ca="1">-P410*Assumptions!$BT$178</f>
        <v>#DIV/0!</v>
      </c>
      <c r="Q382" s="972">
        <f>-Q410*Assumptions!$BT$178</f>
        <v>0</v>
      </c>
      <c r="R382" s="972">
        <f>-R410*Assumptions!$BT$178</f>
        <v>0</v>
      </c>
      <c r="S382" s="972">
        <f>-S410*Assumptions!$BT$178</f>
        <v>0</v>
      </c>
      <c r="T382" s="972">
        <f>-T410*Assumptions!$BT$178</f>
        <v>0</v>
      </c>
      <c r="U382" s="972">
        <f>-U410*Assumptions!$BT$178</f>
        <v>0</v>
      </c>
      <c r="V382" s="972">
        <f>-V410*Assumptions!$BT$178</f>
        <v>0</v>
      </c>
      <c r="W382" s="972">
        <f>-W410*Assumptions!$BT$178</f>
        <v>0</v>
      </c>
      <c r="X382" s="972">
        <f>-X410*Assumptions!$BT$178</f>
        <v>0</v>
      </c>
      <c r="Y382" s="972">
        <f>-Y410*Assumptions!$BT$178</f>
        <v>0</v>
      </c>
      <c r="Z382" s="972">
        <f>-Z410*Assumptions!$BT$178</f>
        <v>0</v>
      </c>
      <c r="AA382" s="699"/>
      <c r="AB382" s="699"/>
      <c r="AC382" s="699"/>
      <c r="AD382" s="699"/>
      <c r="AE382" s="49"/>
      <c r="AF382" s="49"/>
      <c r="AG382" s="49"/>
      <c r="AH382" s="49"/>
      <c r="AI382" s="49"/>
      <c r="AJ382" s="49"/>
      <c r="AK382" s="49"/>
      <c r="AL382" s="49"/>
      <c r="AM382" s="49"/>
      <c r="AN382" s="49"/>
      <c r="AO382" s="49"/>
      <c r="AP382" s="49"/>
      <c r="AQ382" s="49"/>
      <c r="AR382" s="49"/>
      <c r="AS382" s="49"/>
      <c r="AT382" s="49"/>
      <c r="AU382" s="49"/>
      <c r="AV382" s="49"/>
      <c r="AW382" s="49"/>
      <c r="AX382" s="49"/>
      <c r="AY382" s="49"/>
      <c r="AZ382" s="49"/>
      <c r="BA382" s="49"/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</row>
    <row r="383" spans="1:66" ht="15.75">
      <c r="A383" s="699"/>
      <c r="B383" s="718" t="s">
        <v>1211</v>
      </c>
      <c r="C383" s="718"/>
      <c r="D383" s="948" t="e">
        <f ca="1">+SUM(F383:Z383)</f>
        <v>#DIV/0!</v>
      </c>
      <c r="E383" s="948"/>
      <c r="F383" s="948">
        <f ca="1">+SUM(F376:F382)</f>
        <v>-181675735.02067354</v>
      </c>
      <c r="G383" s="948">
        <f t="shared" ref="G383:Z383" ca="1" si="771">+SUM(G376:G382)</f>
        <v>-106595721.90973967</v>
      </c>
      <c r="H383" s="948">
        <f t="shared" ca="1" si="771"/>
        <v>-69217964.017271698</v>
      </c>
      <c r="I383" s="948">
        <f t="shared" ca="1" si="771"/>
        <v>0</v>
      </c>
      <c r="J383" s="948">
        <f t="shared" ca="1" si="771"/>
        <v>50543671.90414355</v>
      </c>
      <c r="K383" s="948" t="e">
        <f t="shared" ca="1" si="771"/>
        <v>#DIV/0!</v>
      </c>
      <c r="L383" s="948" t="e">
        <f t="shared" ca="1" si="771"/>
        <v>#DIV/0!</v>
      </c>
      <c r="M383" s="948" t="e">
        <f t="shared" ca="1" si="771"/>
        <v>#DIV/0!</v>
      </c>
      <c r="N383" s="948" t="e">
        <f t="shared" ca="1" si="771"/>
        <v>#DIV/0!</v>
      </c>
      <c r="O383" s="948" t="e">
        <f t="shared" ca="1" si="771"/>
        <v>#DIV/0!</v>
      </c>
      <c r="P383" s="948" t="e">
        <f t="shared" ca="1" si="771"/>
        <v>#DIV/0!</v>
      </c>
      <c r="Q383" s="948">
        <f t="shared" ca="1" si="771"/>
        <v>0</v>
      </c>
      <c r="R383" s="948">
        <f t="shared" ca="1" si="771"/>
        <v>0</v>
      </c>
      <c r="S383" s="948">
        <f t="shared" ca="1" si="771"/>
        <v>0</v>
      </c>
      <c r="T383" s="948">
        <f t="shared" ca="1" si="771"/>
        <v>0</v>
      </c>
      <c r="U383" s="948">
        <f t="shared" ca="1" si="771"/>
        <v>0</v>
      </c>
      <c r="V383" s="948">
        <f t="shared" ca="1" si="771"/>
        <v>0</v>
      </c>
      <c r="W383" s="948">
        <f t="shared" ca="1" si="771"/>
        <v>0</v>
      </c>
      <c r="X383" s="948">
        <f t="shared" ca="1" si="771"/>
        <v>0</v>
      </c>
      <c r="Y383" s="948">
        <f t="shared" ca="1" si="771"/>
        <v>0</v>
      </c>
      <c r="Z383" s="948">
        <f t="shared" ca="1" si="771"/>
        <v>0</v>
      </c>
      <c r="AA383" s="699"/>
      <c r="AB383" s="699"/>
      <c r="AC383" s="699"/>
      <c r="AD383" s="699"/>
      <c r="AE383" s="49"/>
      <c r="AF383" s="49"/>
      <c r="AG383" s="49"/>
      <c r="AH383" s="49"/>
      <c r="AI383" s="49"/>
      <c r="AJ383" s="49"/>
      <c r="AK383" s="49"/>
      <c r="AL383" s="49"/>
      <c r="AM383" s="49"/>
      <c r="AN383" s="49"/>
      <c r="AO383" s="49"/>
      <c r="AP383" s="49"/>
      <c r="AQ383" s="49"/>
      <c r="AR383" s="49"/>
      <c r="AS383" s="49"/>
      <c r="AT383" s="49"/>
      <c r="AU383" s="49"/>
      <c r="AV383" s="49"/>
      <c r="AW383" s="49"/>
      <c r="AX383" s="49"/>
      <c r="AY383" s="49"/>
      <c r="AZ383" s="49"/>
      <c r="BA383" s="49"/>
      <c r="BB383" s="49"/>
      <c r="BC383" s="49"/>
      <c r="BD383" s="49"/>
      <c r="BE383" s="49"/>
      <c r="BF383" s="49"/>
      <c r="BG383" s="49"/>
      <c r="BH383" s="49"/>
      <c r="BI383" s="49"/>
      <c r="BJ383" s="49"/>
      <c r="BK383" s="49"/>
      <c r="BL383" s="49"/>
      <c r="BM383" s="49"/>
      <c r="BN383" s="49"/>
    </row>
    <row r="384" spans="1:66" ht="15.75">
      <c r="A384" s="699"/>
      <c r="B384" s="718"/>
      <c r="C384" s="151"/>
      <c r="D384" s="151"/>
      <c r="E384" s="151"/>
      <c r="F384" s="151"/>
      <c r="G384" s="151"/>
      <c r="H384" s="151"/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699"/>
      <c r="AB384" s="699"/>
      <c r="AC384" s="699"/>
      <c r="AD384" s="699"/>
      <c r="AE384" s="49"/>
      <c r="AF384" s="49"/>
      <c r="AG384" s="49"/>
      <c r="AH384" s="49"/>
      <c r="AI384" s="49"/>
      <c r="AJ384" s="49"/>
      <c r="AK384" s="49"/>
      <c r="AL384" s="49"/>
      <c r="AM384" s="49"/>
      <c r="AN384" s="49"/>
      <c r="AO384" s="49"/>
      <c r="AP384" s="49"/>
      <c r="AQ384" s="49"/>
      <c r="AR384" s="49"/>
      <c r="AS384" s="49"/>
      <c r="AT384" s="49"/>
      <c r="AU384" s="49"/>
      <c r="AV384" s="49"/>
      <c r="AW384" s="49"/>
      <c r="AX384" s="49"/>
      <c r="AY384" s="49"/>
      <c r="AZ384" s="49"/>
      <c r="BA384" s="49"/>
      <c r="BB384" s="49"/>
      <c r="BC384" s="49"/>
      <c r="BD384" s="49"/>
      <c r="BE384" s="49"/>
      <c r="BF384" s="49"/>
      <c r="BG384" s="49"/>
      <c r="BH384" s="49"/>
      <c r="BI384" s="49"/>
      <c r="BJ384" s="49"/>
      <c r="BK384" s="49"/>
      <c r="BL384" s="49"/>
      <c r="BM384" s="49"/>
      <c r="BN384" s="49"/>
    </row>
    <row r="385" spans="2:66" ht="15.75">
      <c r="B385" s="718" t="s">
        <v>1219</v>
      </c>
      <c r="C385" s="718"/>
      <c r="D385" s="966" t="e">
        <f ca="1">+IRR(F383:Z383)</f>
        <v>#VALUE!</v>
      </c>
      <c r="E385" s="151"/>
      <c r="F385" s="151"/>
      <c r="G385" s="151"/>
      <c r="H385" s="151"/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699"/>
      <c r="AB385" s="699"/>
      <c r="AC385" s="699"/>
      <c r="AD385" s="699"/>
      <c r="AE385" s="49"/>
      <c r="AF385" s="49"/>
      <c r="AG385" s="49"/>
      <c r="AH385" s="49"/>
      <c r="AI385" s="49"/>
      <c r="AJ385" s="49"/>
      <c r="AK385" s="49"/>
      <c r="AL385" s="49"/>
      <c r="AM385" s="49"/>
      <c r="AN385" s="49"/>
      <c r="AO385" s="49"/>
      <c r="AP385" s="49"/>
      <c r="AQ385" s="49"/>
      <c r="AR385" s="49"/>
      <c r="AS385" s="49"/>
      <c r="AT385" s="49"/>
      <c r="AU385" s="49"/>
      <c r="AV385" s="49"/>
      <c r="AW385" s="49"/>
      <c r="AX385" s="49"/>
      <c r="AY385" s="49"/>
      <c r="AZ385" s="49"/>
      <c r="BA385" s="49"/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</row>
    <row r="386" spans="2:66" ht="15.75">
      <c r="B386" s="718"/>
      <c r="C386" s="151"/>
      <c r="D386" s="748"/>
      <c r="E386" s="151"/>
      <c r="F386" s="151"/>
      <c r="G386" s="151"/>
      <c r="H386" s="151"/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699"/>
      <c r="AB386" s="699"/>
      <c r="AC386" s="699"/>
      <c r="AD386" s="699"/>
      <c r="AE386" s="49"/>
      <c r="AF386" s="49"/>
      <c r="AG386" s="49"/>
      <c r="AH386" s="49"/>
      <c r="AI386" s="49"/>
      <c r="AJ386" s="49"/>
      <c r="AK386" s="49"/>
      <c r="AL386" s="49"/>
      <c r="AM386" s="49"/>
      <c r="AN386" s="49"/>
      <c r="AO386" s="49"/>
      <c r="AP386" s="49"/>
      <c r="AQ386" s="49"/>
      <c r="AR386" s="49"/>
      <c r="AS386" s="49"/>
      <c r="AT386" s="49"/>
      <c r="AU386" s="49"/>
      <c r="AV386" s="49"/>
      <c r="AW386" s="49"/>
      <c r="AX386" s="49"/>
      <c r="AY386" s="49"/>
      <c r="AZ386" s="49"/>
      <c r="BA386" s="49"/>
      <c r="BB386" s="49"/>
      <c r="BC386" s="49"/>
      <c r="BD386" s="49"/>
      <c r="BE386" s="49"/>
      <c r="BF386" s="49"/>
      <c r="BG386" s="49"/>
      <c r="BH386" s="49"/>
      <c r="BI386" s="49"/>
      <c r="BJ386" s="49"/>
      <c r="BK386" s="49"/>
      <c r="BL386" s="49"/>
      <c r="BM386" s="49"/>
      <c r="BN386" s="49"/>
    </row>
    <row r="387" spans="2:66" ht="15.75">
      <c r="B387" s="718" t="s">
        <v>1220</v>
      </c>
      <c r="C387" s="151"/>
      <c r="D387" s="151"/>
      <c r="E387" s="151"/>
      <c r="F387" s="718">
        <f>+F375</f>
        <v>0</v>
      </c>
      <c r="G387" s="718">
        <f t="shared" ref="G387:Z387" si="772">+G375</f>
        <v>1</v>
      </c>
      <c r="H387" s="718">
        <f t="shared" si="772"/>
        <v>2</v>
      </c>
      <c r="I387" s="718">
        <f t="shared" si="772"/>
        <v>3</v>
      </c>
      <c r="J387" s="718">
        <f t="shared" si="772"/>
        <v>4</v>
      </c>
      <c r="K387" s="718">
        <f t="shared" si="772"/>
        <v>5</v>
      </c>
      <c r="L387" s="718">
        <f t="shared" si="772"/>
        <v>6</v>
      </c>
      <c r="M387" s="718">
        <f t="shared" si="772"/>
        <v>7</v>
      </c>
      <c r="N387" s="718">
        <f t="shared" si="772"/>
        <v>8</v>
      </c>
      <c r="O387" s="718">
        <f t="shared" si="772"/>
        <v>9</v>
      </c>
      <c r="P387" s="718">
        <f t="shared" si="772"/>
        <v>10</v>
      </c>
      <c r="Q387" s="718">
        <f t="shared" si="772"/>
        <v>11</v>
      </c>
      <c r="R387" s="718">
        <f t="shared" si="772"/>
        <v>12</v>
      </c>
      <c r="S387" s="718">
        <f t="shared" si="772"/>
        <v>13</v>
      </c>
      <c r="T387" s="718">
        <f t="shared" si="772"/>
        <v>14</v>
      </c>
      <c r="U387" s="718">
        <f t="shared" si="772"/>
        <v>15</v>
      </c>
      <c r="V387" s="718">
        <f t="shared" si="772"/>
        <v>16</v>
      </c>
      <c r="W387" s="718">
        <f t="shared" si="772"/>
        <v>17</v>
      </c>
      <c r="X387" s="718">
        <f t="shared" si="772"/>
        <v>18</v>
      </c>
      <c r="Y387" s="718">
        <f t="shared" si="772"/>
        <v>19</v>
      </c>
      <c r="Z387" s="718">
        <f t="shared" si="772"/>
        <v>20</v>
      </c>
      <c r="AA387" s="699"/>
      <c r="AB387" s="699"/>
      <c r="AC387" s="699"/>
      <c r="AD387" s="699"/>
      <c r="AE387" s="49"/>
      <c r="AF387" s="49"/>
      <c r="AG387" s="49"/>
      <c r="AH387" s="49"/>
      <c r="AI387" s="49"/>
      <c r="AJ387" s="49"/>
      <c r="AK387" s="49"/>
      <c r="AL387" s="49"/>
      <c r="AM387" s="49"/>
      <c r="AN387" s="49"/>
      <c r="AO387" s="49"/>
      <c r="AP387" s="49"/>
      <c r="AQ387" s="49"/>
      <c r="AR387" s="49"/>
      <c r="AS387" s="49"/>
      <c r="AT387" s="49"/>
      <c r="AU387" s="49"/>
      <c r="AV387" s="49"/>
      <c r="AW387" s="49"/>
      <c r="AX387" s="49"/>
      <c r="AY387" s="49"/>
      <c r="AZ387" s="49"/>
      <c r="BA387" s="49"/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</row>
    <row r="388" spans="2:66" ht="15.75">
      <c r="B388" s="151" t="s">
        <v>1212</v>
      </c>
      <c r="C388" s="151"/>
      <c r="D388" s="948"/>
      <c r="E388" s="948"/>
      <c r="F388" s="946">
        <f ca="1">+F376</f>
        <v>-181675735.02067354</v>
      </c>
      <c r="G388" s="946">
        <f t="shared" ref="G388:Z388" ca="1" si="773">+G376</f>
        <v>-106595721.90973967</v>
      </c>
      <c r="H388" s="946">
        <f t="shared" ca="1" si="773"/>
        <v>-69217964.017271698</v>
      </c>
      <c r="I388" s="946">
        <f t="shared" ca="1" si="773"/>
        <v>0</v>
      </c>
      <c r="J388" s="946">
        <f t="shared" ca="1" si="773"/>
        <v>0</v>
      </c>
      <c r="K388" s="946">
        <f t="shared" ca="1" si="773"/>
        <v>0</v>
      </c>
      <c r="L388" s="946">
        <f t="shared" ca="1" si="773"/>
        <v>0</v>
      </c>
      <c r="M388" s="946">
        <f t="shared" ca="1" si="773"/>
        <v>0</v>
      </c>
      <c r="N388" s="946">
        <f t="shared" ca="1" si="773"/>
        <v>0</v>
      </c>
      <c r="O388" s="946">
        <f t="shared" ca="1" si="773"/>
        <v>0</v>
      </c>
      <c r="P388" s="946">
        <f t="shared" ca="1" si="773"/>
        <v>0</v>
      </c>
      <c r="Q388" s="946">
        <f t="shared" ca="1" si="773"/>
        <v>0</v>
      </c>
      <c r="R388" s="946">
        <f t="shared" ca="1" si="773"/>
        <v>0</v>
      </c>
      <c r="S388" s="946">
        <f t="shared" ca="1" si="773"/>
        <v>0</v>
      </c>
      <c r="T388" s="946">
        <f t="shared" ca="1" si="773"/>
        <v>0</v>
      </c>
      <c r="U388" s="946">
        <f t="shared" ca="1" si="773"/>
        <v>0</v>
      </c>
      <c r="V388" s="946">
        <f t="shared" ca="1" si="773"/>
        <v>0</v>
      </c>
      <c r="W388" s="946">
        <f t="shared" ca="1" si="773"/>
        <v>0</v>
      </c>
      <c r="X388" s="946">
        <f t="shared" ca="1" si="773"/>
        <v>0</v>
      </c>
      <c r="Y388" s="946">
        <f t="shared" ca="1" si="773"/>
        <v>0</v>
      </c>
      <c r="Z388" s="946">
        <f t="shared" ca="1" si="773"/>
        <v>0</v>
      </c>
      <c r="AA388" s="699"/>
      <c r="AB388" s="699"/>
      <c r="AC388" s="699"/>
      <c r="AD388" s="699"/>
      <c r="AE388" s="49"/>
      <c r="AF388" s="49"/>
      <c r="AG388" s="49"/>
      <c r="AH388" s="49"/>
      <c r="AI388" s="49"/>
      <c r="AJ388" s="49"/>
      <c r="AK388" s="49"/>
      <c r="AL388" s="49"/>
      <c r="AM388" s="49"/>
      <c r="AN388" s="49"/>
      <c r="AO388" s="49"/>
      <c r="AP388" s="49"/>
      <c r="AQ388" s="49"/>
      <c r="AR388" s="49"/>
      <c r="AS388" s="49"/>
      <c r="AT388" s="49"/>
      <c r="AU388" s="49"/>
      <c r="AV388" s="49"/>
      <c r="AW388" s="49"/>
      <c r="AX388" s="49"/>
      <c r="AY388" s="49"/>
      <c r="AZ388" s="49"/>
      <c r="BA388" s="49"/>
      <c r="BB388" s="49"/>
      <c r="BC388" s="49"/>
      <c r="BD388" s="49"/>
      <c r="BE388" s="49"/>
      <c r="BF388" s="49"/>
      <c r="BG388" s="49"/>
      <c r="BH388" s="49"/>
      <c r="BI388" s="49"/>
      <c r="BJ388" s="49"/>
      <c r="BK388" s="49"/>
      <c r="BL388" s="49"/>
      <c r="BM388" s="49"/>
      <c r="BN388" s="49"/>
    </row>
    <row r="389" spans="2:66" ht="15.75">
      <c r="B389" s="151" t="s">
        <v>1213</v>
      </c>
      <c r="C389" s="151"/>
      <c r="D389" s="948"/>
      <c r="E389" s="948"/>
      <c r="F389" s="972">
        <f ca="1">-F388*Assumptions!$BT$178</f>
        <v>0</v>
      </c>
      <c r="G389" s="972">
        <f ca="1">-G388*Assumptions!$BT$178</f>
        <v>0</v>
      </c>
      <c r="H389" s="972">
        <f ca="1">-H388*Assumptions!$BT$178</f>
        <v>0</v>
      </c>
      <c r="I389" s="972">
        <f ca="1">-I388*Assumptions!$BT$178</f>
        <v>0</v>
      </c>
      <c r="J389" s="972">
        <f ca="1">-J388*Assumptions!$BT$178</f>
        <v>0</v>
      </c>
      <c r="K389" s="972">
        <f ca="1">-K388*Assumptions!$BT$178</f>
        <v>0</v>
      </c>
      <c r="L389" s="972">
        <f ca="1">-L388*Assumptions!$BT$178</f>
        <v>0</v>
      </c>
      <c r="M389" s="972">
        <f ca="1">-M388*Assumptions!$BT$178</f>
        <v>0</v>
      </c>
      <c r="N389" s="972">
        <f ca="1">-N388*Assumptions!$BT$178</f>
        <v>0</v>
      </c>
      <c r="O389" s="972">
        <f ca="1">-O388*Assumptions!$BT$178</f>
        <v>0</v>
      </c>
      <c r="P389" s="972">
        <f ca="1">-P388*Assumptions!$BT$178</f>
        <v>0</v>
      </c>
      <c r="Q389" s="972">
        <f ca="1">-Q388*Assumptions!$BT$178</f>
        <v>0</v>
      </c>
      <c r="R389" s="972">
        <f ca="1">-R388*Assumptions!$BT$178</f>
        <v>0</v>
      </c>
      <c r="S389" s="972">
        <f ca="1">-S388*Assumptions!$BT$178</f>
        <v>0</v>
      </c>
      <c r="T389" s="972">
        <f ca="1">-T388*Assumptions!$BT$178</f>
        <v>0</v>
      </c>
      <c r="U389" s="972">
        <f ca="1">-U388*Assumptions!$BT$178</f>
        <v>0</v>
      </c>
      <c r="V389" s="972">
        <f ca="1">-V388*Assumptions!$BT$178</f>
        <v>0</v>
      </c>
      <c r="W389" s="972">
        <f ca="1">-W388*Assumptions!$BT$178</f>
        <v>0</v>
      </c>
      <c r="X389" s="972">
        <f ca="1">-X388*Assumptions!$BT$178</f>
        <v>0</v>
      </c>
      <c r="Y389" s="972">
        <f ca="1">-Y388*Assumptions!$BT$178</f>
        <v>0</v>
      </c>
      <c r="Z389" s="972">
        <f ca="1">-Z388*Assumptions!$BT$178</f>
        <v>0</v>
      </c>
      <c r="AA389" s="699"/>
      <c r="AB389" s="699"/>
      <c r="AC389" s="699"/>
      <c r="AD389" s="699"/>
      <c r="AE389" s="49"/>
      <c r="AF389" s="49"/>
      <c r="AG389" s="49"/>
      <c r="AH389" s="49"/>
      <c r="AI389" s="49"/>
      <c r="AJ389" s="49"/>
      <c r="AK389" s="49"/>
      <c r="AL389" s="49"/>
      <c r="AM389" s="49"/>
      <c r="AN389" s="49"/>
      <c r="AO389" s="49"/>
      <c r="AP389" s="49"/>
      <c r="AQ389" s="49"/>
      <c r="AR389" s="49"/>
      <c r="AS389" s="49"/>
      <c r="AT389" s="49"/>
      <c r="AU389" s="49"/>
      <c r="AV389" s="49"/>
      <c r="AW389" s="49"/>
      <c r="AX389" s="49"/>
      <c r="AY389" s="49"/>
      <c r="AZ389" s="49"/>
      <c r="BA389" s="49"/>
      <c r="BB389" s="49"/>
      <c r="BC389" s="49"/>
      <c r="BD389" s="49"/>
      <c r="BE389" s="49"/>
      <c r="BF389" s="49"/>
      <c r="BG389" s="49"/>
      <c r="BH389" s="49"/>
      <c r="BI389" s="49"/>
      <c r="BJ389" s="49"/>
      <c r="BK389" s="49"/>
      <c r="BL389" s="49"/>
      <c r="BM389" s="49"/>
      <c r="BN389" s="49"/>
    </row>
    <row r="390" spans="2:66" ht="15.75">
      <c r="B390" s="151" t="s">
        <v>1214</v>
      </c>
      <c r="C390" s="151"/>
      <c r="D390" s="948"/>
      <c r="E390" s="948"/>
      <c r="F390" s="972">
        <f ca="1">IFERROR(-IF(YEAR(F373)&lt;MIN(YEAR(Assumptions!$F$35),2026),(OFFSET('Phase 1 Pro Forma'!F389,0,-10)),IF(YEAR('Phase 1 Pro Forma'!F373)=MIN(YEAR(Assumptions!$F$35),2026),SUM('Phase 1 Pro Forma'!$E$389:F$389)-SUM($E$390:E$390),0)),0)</f>
        <v>0</v>
      </c>
      <c r="G390" s="972">
        <f ca="1">IFERROR(-IF(YEAR(G373)&lt;MIN(YEAR(Assumptions!$F$35),2026),(OFFSET('Phase 1 Pro Forma'!G389,0,-10)),IF(YEAR('Phase 1 Pro Forma'!G373)=MIN(YEAR(Assumptions!$F$35),2026),SUM('Phase 1 Pro Forma'!$E$389:G$389)-SUM($E$390:F$390),0)),0)</f>
        <v>0</v>
      </c>
      <c r="H390" s="972">
        <f ca="1">IFERROR(-IF(YEAR(H373)&lt;MIN(YEAR(Assumptions!$F$35),2026),(OFFSET('Phase 1 Pro Forma'!H389,0,-10)),IF(YEAR('Phase 1 Pro Forma'!H373)=MIN(YEAR(Assumptions!$F$35),2026),SUM('Phase 1 Pro Forma'!$E$389:H$389)-SUM($E$390:G$390),0)),0)</f>
        <v>0</v>
      </c>
      <c r="I390" s="972">
        <f ca="1">IFERROR(-IF(YEAR(I373)&lt;MIN(YEAR(Assumptions!$F$35),2026),(OFFSET('Phase 1 Pro Forma'!I389,0,-10)),IF(YEAR('Phase 1 Pro Forma'!I373)=MIN(YEAR(Assumptions!$F$35),2026),SUM('Phase 1 Pro Forma'!$E$389:I$389)-SUM($E$390:H$390),0)),0)</f>
        <v>0</v>
      </c>
      <c r="J390" s="972">
        <f ca="1">IFERROR(-IF(YEAR(J373)&lt;MIN(YEAR(Assumptions!$F$35),2026),(OFFSET('Phase 1 Pro Forma'!J389,0,-10)),IF(YEAR('Phase 1 Pro Forma'!J373)=MIN(YEAR(Assumptions!$F$35),2026),SUM('Phase 1 Pro Forma'!$E$389:J$389)-SUM($E$390:I$390),0)),0)</f>
        <v>0</v>
      </c>
      <c r="K390" s="972">
        <f ca="1">IFERROR(-IF(YEAR(K373)&lt;MIN(YEAR(Assumptions!$F$35),2026),(OFFSET('Phase 1 Pro Forma'!K389,0,-10)),IF(YEAR('Phase 1 Pro Forma'!K373)=MIN(YEAR(Assumptions!$F$35),2026),SUM('Phase 1 Pro Forma'!$E$389:K$389)-SUM($E$390:J$390),0)),0)</f>
        <v>0</v>
      </c>
      <c r="L390" s="972">
        <f ca="1">IFERROR(-IF(YEAR(L373)&lt;MIN(YEAR(Assumptions!$F$35),2026),(OFFSET('Phase 1 Pro Forma'!L389,0,-10)),IF(YEAR('Phase 1 Pro Forma'!L373)=MIN(YEAR(Assumptions!$F$35),2026),SUM('Phase 1 Pro Forma'!$E$389:L$389)-SUM($E$390:K$390),0)),0)</f>
        <v>0</v>
      </c>
      <c r="M390" s="972">
        <f ca="1">IFERROR(-IF(YEAR(M373)&lt;MIN(YEAR(Assumptions!$F$35),2026),(OFFSET('Phase 1 Pro Forma'!M389,0,-10)),IF(YEAR('Phase 1 Pro Forma'!M373)=MIN(YEAR(Assumptions!$F$35),2026),SUM('Phase 1 Pro Forma'!$E$389:M$389)-SUM($E$390:L$390),0)),0)</f>
        <v>0</v>
      </c>
      <c r="N390" s="972">
        <f ca="1">IFERROR(-IF(YEAR(N373)&lt;MIN(YEAR(Assumptions!$F$35),2026),(OFFSET('Phase 1 Pro Forma'!N389,0,-10)),IF(YEAR('Phase 1 Pro Forma'!N373)=MIN(YEAR(Assumptions!$F$35),2026),SUM('Phase 1 Pro Forma'!$E$389:N$389)-SUM($E$390:M$390),0)),0)</f>
        <v>0</v>
      </c>
      <c r="O390" s="972">
        <f ca="1">IFERROR(-IF(YEAR(O373)&lt;MIN(YEAR(Assumptions!$F$35),2026),(OFFSET('Phase 1 Pro Forma'!O389,0,-10)),IF(YEAR('Phase 1 Pro Forma'!O373)=MIN(YEAR(Assumptions!$F$35),2026),SUM('Phase 1 Pro Forma'!$E$389:O$389)-SUM($E$390:N$390),0)),0)</f>
        <v>0</v>
      </c>
      <c r="P390" s="972">
        <f ca="1">IFERROR(-IF(YEAR(P373)&lt;MIN(YEAR(Assumptions!$F$35),2026),(OFFSET('Phase 1 Pro Forma'!P389,0,-10)),IF(YEAR('Phase 1 Pro Forma'!P373)=MIN(YEAR(Assumptions!$F$35),2026),SUM('Phase 1 Pro Forma'!$E$389:P$389)-SUM($E$390:O$390),0)),0)</f>
        <v>0</v>
      </c>
      <c r="Q390" s="972">
        <f ca="1">IFERROR(-IF(YEAR(Q373)&lt;MIN(YEAR(Assumptions!$F$35),2026),(OFFSET('Phase 1 Pro Forma'!Q389,0,-10)),IF(YEAR('Phase 1 Pro Forma'!Q373)=MIN(YEAR(Assumptions!$F$35),2026),SUM('Phase 1 Pro Forma'!$E$389:Q$389)-SUM($E$390:P$390),0)),0)</f>
        <v>0</v>
      </c>
      <c r="R390" s="972">
        <f ca="1">IFERROR(-IF(YEAR(R373)&lt;MIN(YEAR(Assumptions!$F$35),2026),(OFFSET('Phase 1 Pro Forma'!R389,0,-10)),IF(YEAR('Phase 1 Pro Forma'!R373)=MIN(YEAR(Assumptions!$F$35),2026),SUM('Phase 1 Pro Forma'!$E$389:R$389)-SUM($E$390:Q$390),0)),0)</f>
        <v>0</v>
      </c>
      <c r="S390" s="972">
        <f ca="1">IFERROR(-IF(YEAR(S373)&lt;MIN(YEAR(Assumptions!$F$35),2026),(OFFSET('Phase 1 Pro Forma'!S389,0,-10)),IF(YEAR('Phase 1 Pro Forma'!S373)=MIN(YEAR(Assumptions!$F$35),2026),SUM('Phase 1 Pro Forma'!$E$389:S$389)-SUM($E$390:R$390),0)),0)</f>
        <v>0</v>
      </c>
      <c r="T390" s="972">
        <f ca="1">IFERROR(-IF(YEAR(T373)&lt;MIN(YEAR(Assumptions!$F$35),2026),(OFFSET('Phase 1 Pro Forma'!T389,0,-10)),IF(YEAR('Phase 1 Pro Forma'!T373)=MIN(YEAR(Assumptions!$F$35),2026),SUM('Phase 1 Pro Forma'!$E$389:T$389)-SUM($E$390:S$390),0)),0)</f>
        <v>0</v>
      </c>
      <c r="U390" s="972">
        <f ca="1">IFERROR(-IF(YEAR(U373)&lt;MIN(YEAR(Assumptions!$F$35),2026),(OFFSET('Phase 1 Pro Forma'!U389,0,-10)),IF(YEAR('Phase 1 Pro Forma'!U373)=MIN(YEAR(Assumptions!$F$35),2026),SUM('Phase 1 Pro Forma'!$E$389:U$389)-SUM($E$390:T$390),0)),0)</f>
        <v>0</v>
      </c>
      <c r="V390" s="972">
        <f ca="1">IFERROR(-IF(YEAR(V373)&lt;MIN(YEAR(Assumptions!$F$35),2026),(OFFSET('Phase 1 Pro Forma'!V389,0,-10)),IF(YEAR('Phase 1 Pro Forma'!V373)=MIN(YEAR(Assumptions!$F$35),2026),SUM('Phase 1 Pro Forma'!$E$389:V$389)-SUM($E$390:U$390),0)),0)</f>
        <v>0</v>
      </c>
      <c r="W390" s="972">
        <f ca="1">IFERROR(-IF(YEAR(W373)&lt;MIN(YEAR(Assumptions!$F$35),2026),(OFFSET('Phase 1 Pro Forma'!W389,0,-10)),IF(YEAR('Phase 1 Pro Forma'!W373)=MIN(YEAR(Assumptions!$F$35),2026),SUM('Phase 1 Pro Forma'!$E$389:W$389)-SUM($E$390:V$390),0)),0)</f>
        <v>0</v>
      </c>
      <c r="X390" s="972">
        <f ca="1">IFERROR(-IF(YEAR(X373)&lt;MIN(YEAR(Assumptions!$F$35),2026),(OFFSET('Phase 1 Pro Forma'!X389,0,-10)),IF(YEAR('Phase 1 Pro Forma'!X373)=MIN(YEAR(Assumptions!$F$35),2026),SUM('Phase 1 Pro Forma'!$E$389:X$389)-SUM($E$390:W$390),0)),0)</f>
        <v>0</v>
      </c>
      <c r="Y390" s="972">
        <f ca="1">IFERROR(-IF(YEAR(Y373)&lt;MIN(YEAR(Assumptions!$F$35),2026),(OFFSET('Phase 1 Pro Forma'!Y389,0,-10)),IF(YEAR('Phase 1 Pro Forma'!Y373)=MIN(YEAR(Assumptions!$F$35),2026),SUM('Phase 1 Pro Forma'!$E$389:Y$389)-SUM($E$390:X$390),0)),0)</f>
        <v>0</v>
      </c>
      <c r="Z390" s="972">
        <f ca="1">IFERROR(-IF(YEAR(Z373)&lt;MIN(YEAR(Assumptions!$F$35),2026),(OFFSET('Phase 1 Pro Forma'!Z389,0,-10)),IF(YEAR('Phase 1 Pro Forma'!Z373)=MIN(YEAR(Assumptions!$F$35),2026),SUM('Phase 1 Pro Forma'!$E$389:Z$389)-SUM($E$390:Y$390),0)),0)</f>
        <v>0</v>
      </c>
      <c r="AA390" s="699"/>
      <c r="AB390" s="699"/>
      <c r="AC390" s="699"/>
      <c r="AD390" s="699"/>
      <c r="AE390" s="49"/>
      <c r="AF390" s="49"/>
      <c r="AG390" s="49"/>
      <c r="AH390" s="49"/>
      <c r="AI390" s="49"/>
      <c r="AJ390" s="49"/>
      <c r="AK390" s="49"/>
      <c r="AL390" s="49"/>
      <c r="AM390" s="49"/>
      <c r="AN390" s="49"/>
      <c r="AO390" s="49"/>
      <c r="AP390" s="49"/>
      <c r="AQ390" s="49"/>
      <c r="AR390" s="49"/>
      <c r="AS390" s="49"/>
      <c r="AT390" s="49"/>
      <c r="AU390" s="49"/>
      <c r="AV390" s="49"/>
      <c r="AW390" s="49"/>
      <c r="AX390" s="49"/>
      <c r="AY390" s="49"/>
      <c r="AZ390" s="49"/>
      <c r="BA390" s="49"/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</row>
    <row r="391" spans="2:66" ht="15.75">
      <c r="B391" s="151" t="s">
        <v>1221</v>
      </c>
      <c r="C391" s="151"/>
      <c r="D391" s="948"/>
      <c r="E391" s="948"/>
      <c r="F391" s="972">
        <f>+IF(YEAR(F373)=MIN(YEAR(Assumptions!$F$35),2026),SUM('Phase 1 Pro Forma'!$F$401:$Z$401),0)</f>
        <v>0</v>
      </c>
      <c r="G391" s="972">
        <f>+IF(YEAR(G373)=MIN(YEAR(Assumptions!$F$35),2026),SUM('Phase 1 Pro Forma'!$F$401:$Z$401),0)</f>
        <v>0</v>
      </c>
      <c r="H391" s="972">
        <f>+IF(YEAR(H373)=MIN(YEAR(Assumptions!$F$35),2026),SUM('Phase 1 Pro Forma'!$F$401:$Z$401),0)</f>
        <v>0</v>
      </c>
      <c r="I391" s="972">
        <f ca="1">+IF(YEAR(I373)=MIN(YEAR(Assumptions!$F$35),2026),SUM('Phase 1 Pro Forma'!$F$401:$Z$401),0)</f>
        <v>0</v>
      </c>
      <c r="J391" s="972">
        <f>+IF(YEAR(J373)=MIN(YEAR(Assumptions!$F$35),2026),SUM('Phase 1 Pro Forma'!$F$401:$Z$401),0)</f>
        <v>0</v>
      </c>
      <c r="K391" s="972">
        <f>+IF(YEAR(K373)=MIN(YEAR(Assumptions!$F$35),2026),SUM('Phase 1 Pro Forma'!$F$401:$Z$401),0)</f>
        <v>0</v>
      </c>
      <c r="L391" s="972">
        <f>+IF(YEAR(L373)=MIN(YEAR(Assumptions!$F$35),2026),SUM('Phase 1 Pro Forma'!$F$401:$Z$401),0)</f>
        <v>0</v>
      </c>
      <c r="M391" s="972">
        <f>+IF(YEAR(M373)=MIN(YEAR(Assumptions!$F$35),2026),SUM('Phase 1 Pro Forma'!$F$401:$Z$401),0)</f>
        <v>0</v>
      </c>
      <c r="N391" s="972">
        <f>+IF(YEAR(N373)=MIN(YEAR(Assumptions!$F$35),2026),SUM('Phase 1 Pro Forma'!$F$401:$Z$401),0)</f>
        <v>0</v>
      </c>
      <c r="O391" s="972">
        <f>+IF(YEAR(O373)=MIN(YEAR(Assumptions!$F$35),2026),SUM('Phase 1 Pro Forma'!$F$401:$Z$401),0)</f>
        <v>0</v>
      </c>
      <c r="P391" s="972">
        <f>+IF(YEAR(P373)=MIN(YEAR(Assumptions!$F$35),2026),SUM('Phase 1 Pro Forma'!$F$401:$Z$401),0)</f>
        <v>0</v>
      </c>
      <c r="Q391" s="972">
        <f>+IF(YEAR(Q373)=MIN(YEAR(Assumptions!$F$35),2026),SUM('Phase 1 Pro Forma'!$F$401:$Z$401),0)</f>
        <v>0</v>
      </c>
      <c r="R391" s="972">
        <f>+IF(YEAR(R373)=MIN(YEAR(Assumptions!$F$35),2026),SUM('Phase 1 Pro Forma'!$F$401:$Z$401),0)</f>
        <v>0</v>
      </c>
      <c r="S391" s="972">
        <f>+IF(YEAR(S373)=MIN(YEAR(Assumptions!$F$35),2026),SUM('Phase 1 Pro Forma'!$F$401:$Z$401),0)</f>
        <v>0</v>
      </c>
      <c r="T391" s="972">
        <f>+IF(YEAR(T373)=MIN(YEAR(Assumptions!$F$35),2026),SUM('Phase 1 Pro Forma'!$F$401:$Z$401),0)</f>
        <v>0</v>
      </c>
      <c r="U391" s="972">
        <f>+IF(YEAR(U373)=MIN(YEAR(Assumptions!$F$35),2026),SUM('Phase 1 Pro Forma'!$F$401:$Z$401),0)</f>
        <v>0</v>
      </c>
      <c r="V391" s="972">
        <f>+IF(YEAR(V373)=MIN(YEAR(Assumptions!$F$35),2026),SUM('Phase 1 Pro Forma'!$F$401:$Z$401),0)</f>
        <v>0</v>
      </c>
      <c r="W391" s="972">
        <f>+IF(YEAR(W373)=MIN(YEAR(Assumptions!$F$35),2026),SUM('Phase 1 Pro Forma'!$F$401:$Z$401),0)</f>
        <v>0</v>
      </c>
      <c r="X391" s="972">
        <f>+IF(YEAR(X373)=MIN(YEAR(Assumptions!$F$35),2026),SUM('Phase 1 Pro Forma'!$F$401:$Z$401),0)</f>
        <v>0</v>
      </c>
      <c r="Y391" s="972">
        <f>+IF(YEAR(Y373)=MIN(YEAR(Assumptions!$F$35),2026),SUM('Phase 1 Pro Forma'!$F$401:$Z$401),0)</f>
        <v>0</v>
      </c>
      <c r="Z391" s="972">
        <f>+IF(YEAR(Z373)=MIN(YEAR(Assumptions!$F$35),2026),SUM('Phase 1 Pro Forma'!$F$401:$Z$401),0)</f>
        <v>0</v>
      </c>
      <c r="AA391" s="699"/>
      <c r="AB391" s="699"/>
      <c r="AC391" s="699"/>
      <c r="AD391" s="699"/>
      <c r="AE391" s="49"/>
      <c r="AF391" s="49"/>
      <c r="AG391" s="49"/>
      <c r="AH391" s="49"/>
      <c r="AI391" s="49"/>
      <c r="AJ391" s="49"/>
      <c r="AK391" s="49"/>
      <c r="AL391" s="49"/>
      <c r="AM391" s="49"/>
      <c r="AN391" s="49"/>
      <c r="AO391" s="49"/>
      <c r="AP391" s="49"/>
      <c r="AQ391" s="49"/>
      <c r="AR391" s="49"/>
      <c r="AS391" s="49"/>
      <c r="AT391" s="49"/>
      <c r="AU391" s="49"/>
      <c r="AV391" s="49"/>
      <c r="AW391" s="49"/>
      <c r="AX391" s="49"/>
      <c r="AY391" s="49"/>
      <c r="AZ391" s="49"/>
      <c r="BA391" s="49"/>
      <c r="BB391" s="49"/>
      <c r="BC391" s="49"/>
      <c r="BD391" s="49"/>
      <c r="BE391" s="49"/>
      <c r="BF391" s="49"/>
      <c r="BG391" s="49"/>
      <c r="BH391" s="49"/>
      <c r="BI391" s="49"/>
      <c r="BJ391" s="49"/>
      <c r="BK391" s="49"/>
      <c r="BL391" s="49"/>
      <c r="BM391" s="49"/>
      <c r="BN391" s="49"/>
    </row>
    <row r="392" spans="2:66" ht="15.75">
      <c r="B392" s="151" t="s">
        <v>1215</v>
      </c>
      <c r="C392" s="151"/>
      <c r="D392" s="948"/>
      <c r="E392" s="948"/>
      <c r="F392" s="972">
        <f ca="1">+F379</f>
        <v>0</v>
      </c>
      <c r="G392" s="972">
        <f t="shared" ref="G392:Z392" ca="1" si="774">+G379</f>
        <v>0</v>
      </c>
      <c r="H392" s="972">
        <f t="shared" ca="1" si="774"/>
        <v>0</v>
      </c>
      <c r="I392" s="972">
        <f t="shared" ca="1" si="774"/>
        <v>0</v>
      </c>
      <c r="J392" s="972">
        <f t="shared" ca="1" si="774"/>
        <v>0</v>
      </c>
      <c r="K392" s="972" t="e">
        <f t="shared" ca="1" si="774"/>
        <v>#DIV/0!</v>
      </c>
      <c r="L392" s="972" t="e">
        <f t="shared" ca="1" si="774"/>
        <v>#DIV/0!</v>
      </c>
      <c r="M392" s="972" t="e">
        <f t="shared" ca="1" si="774"/>
        <v>#DIV/0!</v>
      </c>
      <c r="N392" s="972" t="e">
        <f t="shared" ca="1" si="774"/>
        <v>#DIV/0!</v>
      </c>
      <c r="O392" s="972" t="e">
        <f t="shared" ca="1" si="774"/>
        <v>#DIV/0!</v>
      </c>
      <c r="P392" s="972" t="e">
        <f t="shared" ca="1" si="774"/>
        <v>#DIV/0!</v>
      </c>
      <c r="Q392" s="972">
        <f t="shared" si="774"/>
        <v>0</v>
      </c>
      <c r="R392" s="972">
        <f t="shared" si="774"/>
        <v>0</v>
      </c>
      <c r="S392" s="972">
        <f t="shared" si="774"/>
        <v>0</v>
      </c>
      <c r="T392" s="972">
        <f t="shared" si="774"/>
        <v>0</v>
      </c>
      <c r="U392" s="972">
        <f t="shared" si="774"/>
        <v>0</v>
      </c>
      <c r="V392" s="972">
        <f t="shared" si="774"/>
        <v>0</v>
      </c>
      <c r="W392" s="972">
        <f t="shared" si="774"/>
        <v>0</v>
      </c>
      <c r="X392" s="972">
        <f t="shared" si="774"/>
        <v>0</v>
      </c>
      <c r="Y392" s="972">
        <f t="shared" si="774"/>
        <v>0</v>
      </c>
      <c r="Z392" s="972">
        <f t="shared" si="774"/>
        <v>0</v>
      </c>
      <c r="AA392" s="699"/>
      <c r="AB392" s="699"/>
      <c r="AC392" s="699"/>
      <c r="AD392" s="699"/>
      <c r="AE392" s="49"/>
      <c r="AF392" s="49"/>
      <c r="AG392" s="49"/>
      <c r="AH392" s="49"/>
      <c r="AI392" s="49"/>
      <c r="AJ392" s="49"/>
      <c r="AK392" s="49"/>
      <c r="AL392" s="49"/>
      <c r="AM392" s="49"/>
      <c r="AN392" s="49"/>
      <c r="AO392" s="49"/>
      <c r="AP392" s="49"/>
      <c r="AQ392" s="49"/>
      <c r="AR392" s="49"/>
      <c r="AS392" s="49"/>
      <c r="AT392" s="49"/>
      <c r="AU392" s="49"/>
      <c r="AV392" s="49"/>
      <c r="AW392" s="49"/>
      <c r="AX392" s="49"/>
      <c r="AY392" s="49"/>
      <c r="AZ392" s="49"/>
      <c r="BA392" s="49"/>
      <c r="BB392" s="49"/>
      <c r="BC392" s="49"/>
      <c r="BD392" s="49"/>
      <c r="BE392" s="49"/>
      <c r="BF392" s="49"/>
      <c r="BG392" s="49"/>
      <c r="BH392" s="49"/>
      <c r="BI392" s="49"/>
      <c r="BJ392" s="49"/>
      <c r="BK392" s="49"/>
      <c r="BL392" s="49"/>
      <c r="BM392" s="49"/>
      <c r="BN392" s="49"/>
    </row>
    <row r="393" spans="2:66" ht="15.75">
      <c r="B393" s="151" t="s">
        <v>1216</v>
      </c>
      <c r="C393" s="151"/>
      <c r="D393" s="948"/>
      <c r="E393" s="948"/>
      <c r="F393" s="972">
        <f ca="1">+F380</f>
        <v>0</v>
      </c>
      <c r="G393" s="972">
        <f t="shared" ref="G393:Z393" ca="1" si="775">+G380</f>
        <v>0</v>
      </c>
      <c r="H393" s="972">
        <f t="shared" ca="1" si="775"/>
        <v>0</v>
      </c>
      <c r="I393" s="972">
        <f t="shared" ca="1" si="775"/>
        <v>0</v>
      </c>
      <c r="J393" s="972">
        <f t="shared" ca="1" si="775"/>
        <v>2986992.3072690596</v>
      </c>
      <c r="K393" s="972">
        <f t="shared" ca="1" si="775"/>
        <v>12902026.961117944</v>
      </c>
      <c r="L393" s="972">
        <f t="shared" ca="1" si="775"/>
        <v>21120150.213353533</v>
      </c>
      <c r="M393" s="972">
        <f t="shared" ca="1" si="775"/>
        <v>22652700.840474334</v>
      </c>
      <c r="N393" s="972">
        <f t="shared" ca="1" si="775"/>
        <v>23170235.194614802</v>
      </c>
      <c r="O393" s="972">
        <f t="shared" ca="1" si="775"/>
        <v>23703295.579379488</v>
      </c>
      <c r="P393" s="972">
        <f t="shared" ca="1" si="775"/>
        <v>24155947.437053818</v>
      </c>
      <c r="Q393" s="972">
        <f t="shared" si="775"/>
        <v>0</v>
      </c>
      <c r="R393" s="972">
        <f t="shared" si="775"/>
        <v>0</v>
      </c>
      <c r="S393" s="972">
        <f t="shared" si="775"/>
        <v>0</v>
      </c>
      <c r="T393" s="972">
        <f t="shared" si="775"/>
        <v>0</v>
      </c>
      <c r="U393" s="972">
        <f t="shared" si="775"/>
        <v>0</v>
      </c>
      <c r="V393" s="972">
        <f t="shared" si="775"/>
        <v>0</v>
      </c>
      <c r="W393" s="972">
        <f t="shared" si="775"/>
        <v>0</v>
      </c>
      <c r="X393" s="972">
        <f t="shared" si="775"/>
        <v>0</v>
      </c>
      <c r="Y393" s="972">
        <f t="shared" si="775"/>
        <v>0</v>
      </c>
      <c r="Z393" s="972">
        <f t="shared" si="775"/>
        <v>0</v>
      </c>
      <c r="AA393" s="699"/>
      <c r="AB393" s="699"/>
      <c r="AC393" s="699"/>
      <c r="AD393" s="699"/>
      <c r="AE393" s="49"/>
      <c r="AF393" s="49"/>
      <c r="AG393" s="49"/>
      <c r="AH393" s="49"/>
      <c r="AI393" s="49"/>
      <c r="AJ393" s="49"/>
      <c r="AK393" s="49"/>
      <c r="AL393" s="49"/>
      <c r="AM393" s="49"/>
      <c r="AN393" s="49"/>
      <c r="AO393" s="49"/>
      <c r="AP393" s="49"/>
      <c r="AQ393" s="49"/>
      <c r="AR393" s="49"/>
      <c r="AS393" s="49"/>
      <c r="AT393" s="49"/>
      <c r="AU393" s="49"/>
      <c r="AV393" s="49"/>
      <c r="AW393" s="49"/>
      <c r="AX393" s="49"/>
      <c r="AY393" s="49"/>
      <c r="AZ393" s="49"/>
      <c r="BA393" s="49"/>
      <c r="BB393" s="49"/>
      <c r="BC393" s="49"/>
      <c r="BD393" s="49"/>
      <c r="BE393" s="49"/>
      <c r="BF393" s="49"/>
      <c r="BG393" s="49"/>
      <c r="BH393" s="49"/>
      <c r="BI393" s="49"/>
      <c r="BJ393" s="49"/>
      <c r="BK393" s="49"/>
      <c r="BL393" s="49"/>
      <c r="BM393" s="49"/>
      <c r="BN393" s="49"/>
    </row>
    <row r="394" spans="2:66" ht="15.75">
      <c r="B394" s="151" t="s">
        <v>1217</v>
      </c>
      <c r="C394" s="151"/>
      <c r="D394" s="948"/>
      <c r="E394" s="948"/>
      <c r="F394" s="972">
        <f>+F381</f>
        <v>0</v>
      </c>
      <c r="G394" s="972">
        <f t="shared" ref="G394:Z394" si="776">+G381</f>
        <v>0</v>
      </c>
      <c r="H394" s="972">
        <f t="shared" si="776"/>
        <v>0</v>
      </c>
      <c r="I394" s="972">
        <f t="shared" si="776"/>
        <v>0</v>
      </c>
      <c r="J394" s="972">
        <f t="shared" si="776"/>
        <v>47556679.59687449</v>
      </c>
      <c r="K394" s="972">
        <f t="shared" si="776"/>
        <v>0</v>
      </c>
      <c r="L394" s="972">
        <f t="shared" si="776"/>
        <v>0</v>
      </c>
      <c r="M394" s="972">
        <f t="shared" si="776"/>
        <v>0</v>
      </c>
      <c r="N394" s="972">
        <f t="shared" si="776"/>
        <v>0</v>
      </c>
      <c r="O394" s="972">
        <f t="shared" si="776"/>
        <v>0</v>
      </c>
      <c r="P394" s="972">
        <f t="shared" ca="1" si="776"/>
        <v>520735226.42061031</v>
      </c>
      <c r="Q394" s="972">
        <f t="shared" si="776"/>
        <v>0</v>
      </c>
      <c r="R394" s="972">
        <f t="shared" si="776"/>
        <v>0</v>
      </c>
      <c r="S394" s="972">
        <f t="shared" si="776"/>
        <v>0</v>
      </c>
      <c r="T394" s="972">
        <f t="shared" si="776"/>
        <v>0</v>
      </c>
      <c r="U394" s="972">
        <f t="shared" si="776"/>
        <v>0</v>
      </c>
      <c r="V394" s="972">
        <f t="shared" si="776"/>
        <v>0</v>
      </c>
      <c r="W394" s="972">
        <f t="shared" si="776"/>
        <v>0</v>
      </c>
      <c r="X394" s="972">
        <f t="shared" si="776"/>
        <v>0</v>
      </c>
      <c r="Y394" s="972">
        <f t="shared" si="776"/>
        <v>0</v>
      </c>
      <c r="Z394" s="972">
        <f t="shared" si="776"/>
        <v>0</v>
      </c>
      <c r="AA394" s="699"/>
      <c r="AB394" s="699"/>
      <c r="AC394" s="699"/>
      <c r="AD394" s="699"/>
      <c r="AE394" s="49"/>
      <c r="AF394" s="49"/>
      <c r="AG394" s="49"/>
      <c r="AH394" s="49"/>
      <c r="AI394" s="49"/>
      <c r="AJ394" s="49"/>
      <c r="AK394" s="49"/>
      <c r="AL394" s="49"/>
      <c r="AM394" s="49"/>
      <c r="AN394" s="49"/>
      <c r="AO394" s="49"/>
      <c r="AP394" s="49"/>
      <c r="AQ394" s="49"/>
      <c r="AR394" s="49"/>
      <c r="AS394" s="49"/>
      <c r="AT394" s="49"/>
      <c r="AU394" s="49"/>
      <c r="AV394" s="49"/>
      <c r="AW394" s="49"/>
      <c r="AX394" s="49"/>
      <c r="AY394" s="49"/>
      <c r="AZ394" s="49"/>
      <c r="BA394" s="49"/>
      <c r="BB394" s="49"/>
      <c r="BC394" s="49"/>
      <c r="BD394" s="49"/>
      <c r="BE394" s="49"/>
      <c r="BF394" s="49"/>
      <c r="BG394" s="49"/>
      <c r="BH394" s="49"/>
      <c r="BI394" s="49"/>
      <c r="BJ394" s="49"/>
      <c r="BK394" s="49"/>
      <c r="BL394" s="49"/>
      <c r="BM394" s="49"/>
      <c r="BN394" s="49"/>
    </row>
    <row r="395" spans="2:66" ht="15.75">
      <c r="B395" s="151" t="s">
        <v>1218</v>
      </c>
      <c r="C395" s="151"/>
      <c r="D395" s="948"/>
      <c r="E395" s="948"/>
      <c r="F395" s="972">
        <f>+IF(F375&gt;=10,0,F382)</f>
        <v>0</v>
      </c>
      <c r="G395" s="972">
        <f t="shared" ref="G395:Z395" si="777">+IF(G375&gt;=10,0,G382)</f>
        <v>0</v>
      </c>
      <c r="H395" s="972">
        <f t="shared" si="777"/>
        <v>0</v>
      </c>
      <c r="I395" s="972">
        <f t="shared" si="777"/>
        <v>0</v>
      </c>
      <c r="J395" s="972">
        <f t="shared" si="777"/>
        <v>0</v>
      </c>
      <c r="K395" s="972">
        <f t="shared" si="777"/>
        <v>0</v>
      </c>
      <c r="L395" s="972">
        <f t="shared" si="777"/>
        <v>0</v>
      </c>
      <c r="M395" s="972">
        <f t="shared" si="777"/>
        <v>0</v>
      </c>
      <c r="N395" s="972">
        <f t="shared" si="777"/>
        <v>0</v>
      </c>
      <c r="O395" s="972">
        <f t="shared" si="777"/>
        <v>0</v>
      </c>
      <c r="P395" s="972">
        <f t="shared" si="777"/>
        <v>0</v>
      </c>
      <c r="Q395" s="972">
        <f t="shared" si="777"/>
        <v>0</v>
      </c>
      <c r="R395" s="972">
        <f t="shared" si="777"/>
        <v>0</v>
      </c>
      <c r="S395" s="972">
        <f t="shared" si="777"/>
        <v>0</v>
      </c>
      <c r="T395" s="972">
        <f t="shared" si="777"/>
        <v>0</v>
      </c>
      <c r="U395" s="972">
        <f t="shared" si="777"/>
        <v>0</v>
      </c>
      <c r="V395" s="972">
        <f t="shared" si="777"/>
        <v>0</v>
      </c>
      <c r="W395" s="972">
        <f t="shared" si="777"/>
        <v>0</v>
      </c>
      <c r="X395" s="972">
        <f t="shared" si="777"/>
        <v>0</v>
      </c>
      <c r="Y395" s="972">
        <f t="shared" si="777"/>
        <v>0</v>
      </c>
      <c r="Z395" s="972">
        <f t="shared" si="777"/>
        <v>0</v>
      </c>
      <c r="AA395" s="699"/>
      <c r="AB395" s="699"/>
      <c r="AC395" s="699"/>
      <c r="AD395" s="699"/>
      <c r="AE395" s="49"/>
      <c r="AF395" s="49"/>
      <c r="AG395" s="49"/>
      <c r="AH395" s="49"/>
      <c r="AI395" s="49"/>
      <c r="AJ395" s="49"/>
      <c r="AK395" s="49"/>
      <c r="AL395" s="49"/>
      <c r="AM395" s="49"/>
      <c r="AN395" s="49"/>
      <c r="AO395" s="49"/>
      <c r="AP395" s="49"/>
      <c r="AQ395" s="49"/>
      <c r="AR395" s="49"/>
      <c r="AS395" s="49"/>
      <c r="AT395" s="49"/>
      <c r="AU395" s="49"/>
      <c r="AV395" s="49"/>
      <c r="AW395" s="49"/>
      <c r="AX395" s="49"/>
      <c r="AY395" s="49"/>
      <c r="AZ395" s="49"/>
      <c r="BA395" s="49"/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</row>
    <row r="396" spans="2:66" ht="15.75">
      <c r="B396" s="718" t="s">
        <v>1220</v>
      </c>
      <c r="C396" s="718"/>
      <c r="D396" s="948" t="e">
        <f ca="1">+SUM(F396:Z396)</f>
        <v>#DIV/0!</v>
      </c>
      <c r="E396" s="948"/>
      <c r="F396" s="948">
        <f ca="1">+SUM(F388:F395)</f>
        <v>-181675735.02067354</v>
      </c>
      <c r="G396" s="948">
        <f t="shared" ref="G396:Z396" ca="1" si="778">+SUM(G388:G395)</f>
        <v>-106595721.90973967</v>
      </c>
      <c r="H396" s="948">
        <f t="shared" ca="1" si="778"/>
        <v>-69217964.017271698</v>
      </c>
      <c r="I396" s="948">
        <f t="shared" ca="1" si="778"/>
        <v>0</v>
      </c>
      <c r="J396" s="948">
        <f t="shared" ca="1" si="778"/>
        <v>50543671.90414355</v>
      </c>
      <c r="K396" s="948" t="e">
        <f t="shared" ca="1" si="778"/>
        <v>#DIV/0!</v>
      </c>
      <c r="L396" s="948" t="e">
        <f t="shared" ca="1" si="778"/>
        <v>#DIV/0!</v>
      </c>
      <c r="M396" s="948" t="e">
        <f t="shared" ca="1" si="778"/>
        <v>#DIV/0!</v>
      </c>
      <c r="N396" s="948" t="e">
        <f t="shared" ca="1" si="778"/>
        <v>#DIV/0!</v>
      </c>
      <c r="O396" s="948" t="e">
        <f t="shared" ca="1" si="778"/>
        <v>#DIV/0!</v>
      </c>
      <c r="P396" s="948" t="e">
        <f t="shared" ca="1" si="778"/>
        <v>#DIV/0!</v>
      </c>
      <c r="Q396" s="948">
        <f t="shared" ca="1" si="778"/>
        <v>0</v>
      </c>
      <c r="R396" s="948">
        <f t="shared" ca="1" si="778"/>
        <v>0</v>
      </c>
      <c r="S396" s="948">
        <f t="shared" ca="1" si="778"/>
        <v>0</v>
      </c>
      <c r="T396" s="948">
        <f t="shared" ca="1" si="778"/>
        <v>0</v>
      </c>
      <c r="U396" s="948">
        <f t="shared" ca="1" si="778"/>
        <v>0</v>
      </c>
      <c r="V396" s="948">
        <f t="shared" ca="1" si="778"/>
        <v>0</v>
      </c>
      <c r="W396" s="948">
        <f t="shared" ca="1" si="778"/>
        <v>0</v>
      </c>
      <c r="X396" s="948">
        <f t="shared" ca="1" si="778"/>
        <v>0</v>
      </c>
      <c r="Y396" s="948">
        <f t="shared" ca="1" si="778"/>
        <v>0</v>
      </c>
      <c r="Z396" s="948">
        <f t="shared" ca="1" si="778"/>
        <v>0</v>
      </c>
      <c r="AA396" s="699"/>
      <c r="AB396" s="699"/>
      <c r="AC396" s="699"/>
      <c r="AD396" s="699"/>
      <c r="AE396" s="49"/>
      <c r="AF396" s="49"/>
      <c r="AG396" s="49"/>
      <c r="AH396" s="49"/>
      <c r="AI396" s="49"/>
      <c r="AJ396" s="49"/>
      <c r="AK396" s="49"/>
      <c r="AL396" s="49"/>
      <c r="AM396" s="49"/>
      <c r="AN396" s="49"/>
      <c r="AO396" s="49"/>
      <c r="AP396" s="49"/>
      <c r="AQ396" s="49"/>
      <c r="AR396" s="49"/>
      <c r="AS396" s="49"/>
      <c r="AT396" s="49"/>
      <c r="AU396" s="49"/>
      <c r="AV396" s="49"/>
      <c r="AW396" s="49"/>
      <c r="AX396" s="49"/>
      <c r="AY396" s="49"/>
      <c r="AZ396" s="49"/>
      <c r="BA396" s="49"/>
      <c r="BB396" s="49"/>
      <c r="BC396" s="49"/>
      <c r="BD396" s="49"/>
      <c r="BE396" s="49"/>
      <c r="BF396" s="49"/>
      <c r="BG396" s="49"/>
      <c r="BH396" s="49"/>
      <c r="BI396" s="49"/>
      <c r="BJ396" s="49"/>
      <c r="BK396" s="49"/>
      <c r="BL396" s="49"/>
      <c r="BM396" s="49"/>
      <c r="BN396" s="49"/>
    </row>
    <row r="397" spans="2:66">
      <c r="B397" s="151"/>
      <c r="C397" s="151"/>
      <c r="D397" s="151"/>
      <c r="E397" s="151"/>
      <c r="F397" s="151"/>
      <c r="G397" s="151"/>
      <c r="H397" s="151"/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699"/>
      <c r="AB397" s="699"/>
      <c r="AC397" s="699"/>
      <c r="AD397" s="699"/>
      <c r="AE397" s="49"/>
      <c r="AF397" s="49"/>
      <c r="AG397" s="49"/>
      <c r="AH397" s="49"/>
      <c r="AI397" s="49"/>
      <c r="AJ397" s="49"/>
      <c r="AK397" s="49"/>
      <c r="AL397" s="49"/>
      <c r="AM397" s="49"/>
      <c r="AN397" s="49"/>
      <c r="AO397" s="49"/>
      <c r="AP397" s="49"/>
      <c r="AQ397" s="49"/>
      <c r="AR397" s="49"/>
      <c r="AS397" s="49"/>
      <c r="AT397" s="49"/>
      <c r="AU397" s="49"/>
      <c r="AV397" s="49"/>
      <c r="AW397" s="49"/>
      <c r="AX397" s="49"/>
      <c r="AY397" s="49"/>
      <c r="AZ397" s="49"/>
      <c r="BA397" s="49"/>
      <c r="BB397" s="49"/>
      <c r="BC397" s="49"/>
      <c r="BD397" s="49"/>
      <c r="BE397" s="49"/>
      <c r="BF397" s="49"/>
      <c r="BG397" s="49"/>
      <c r="BH397" s="49"/>
      <c r="BI397" s="49"/>
      <c r="BJ397" s="49"/>
      <c r="BK397" s="49"/>
      <c r="BL397" s="49"/>
      <c r="BM397" s="49"/>
      <c r="BN397" s="49"/>
    </row>
    <row r="398" spans="2:66" ht="15.75">
      <c r="B398" s="718" t="s">
        <v>1222</v>
      </c>
      <c r="C398" s="718"/>
      <c r="D398" s="966" t="e">
        <f ca="1">+IRR(F396:Z396)</f>
        <v>#VALUE!</v>
      </c>
      <c r="E398" s="151"/>
      <c r="F398" s="151"/>
      <c r="G398" s="151"/>
      <c r="H398" s="151"/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699"/>
      <c r="AB398" s="699"/>
      <c r="AC398" s="699"/>
      <c r="AD398" s="699"/>
      <c r="AE398" s="49"/>
      <c r="AF398" s="49"/>
      <c r="AG398" s="49"/>
      <c r="AH398" s="49"/>
      <c r="AI398" s="49"/>
      <c r="AJ398" s="49"/>
      <c r="AK398" s="49"/>
      <c r="AL398" s="49"/>
      <c r="AM398" s="49"/>
      <c r="AN398" s="49"/>
      <c r="AO398" s="49"/>
      <c r="AP398" s="49"/>
      <c r="AQ398" s="49"/>
      <c r="AR398" s="49"/>
      <c r="AS398" s="49"/>
      <c r="AT398" s="49"/>
      <c r="AU398" s="49"/>
      <c r="AV398" s="49"/>
      <c r="AW398" s="49"/>
      <c r="AX398" s="49"/>
      <c r="AY398" s="49"/>
      <c r="AZ398" s="49"/>
      <c r="BA398" s="49"/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</row>
    <row r="399" spans="2:66" ht="15.75">
      <c r="B399" s="718" t="s">
        <v>1223</v>
      </c>
      <c r="C399" s="151"/>
      <c r="D399" s="966" t="e">
        <f ca="1">+D398/(1-Assumptions!$BT$178)</f>
        <v>#VALUE!</v>
      </c>
      <c r="E399" s="151"/>
      <c r="F399" s="151"/>
      <c r="G399" s="151"/>
      <c r="H399" s="151"/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699"/>
      <c r="AB399" s="699"/>
      <c r="AC399" s="699"/>
      <c r="AD399" s="699"/>
      <c r="AE399" s="49"/>
      <c r="AF399" s="49"/>
      <c r="AG399" s="49"/>
      <c r="AH399" s="49"/>
      <c r="AI399" s="49"/>
      <c r="AJ399" s="49"/>
      <c r="AK399" s="49"/>
      <c r="AL399" s="49"/>
      <c r="AM399" s="49"/>
      <c r="AN399" s="49"/>
      <c r="AO399" s="49"/>
      <c r="AP399" s="49"/>
      <c r="AQ399" s="49"/>
      <c r="AR399" s="49"/>
      <c r="AS399" s="49"/>
      <c r="AT399" s="49"/>
      <c r="AU399" s="49"/>
      <c r="AV399" s="49"/>
      <c r="AW399" s="49"/>
      <c r="AX399" s="49"/>
      <c r="AY399" s="49"/>
      <c r="AZ399" s="49"/>
      <c r="BA399" s="49"/>
      <c r="BB399" s="49"/>
      <c r="BC399" s="49"/>
      <c r="BD399" s="49"/>
      <c r="BE399" s="49"/>
      <c r="BF399" s="49"/>
      <c r="BG399" s="49"/>
      <c r="BH399" s="49"/>
      <c r="BI399" s="49"/>
      <c r="BJ399" s="49"/>
      <c r="BK399" s="49"/>
      <c r="BL399" s="49"/>
      <c r="BM399" s="49"/>
      <c r="BN399" s="49"/>
    </row>
    <row r="400" spans="2:66">
      <c r="B400" s="151"/>
      <c r="C400" s="151"/>
      <c r="D400" s="151"/>
      <c r="E400" s="151"/>
      <c r="F400" s="151"/>
      <c r="G400" s="151"/>
      <c r="H400" s="151"/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699"/>
      <c r="AB400" s="699"/>
      <c r="AC400" s="699"/>
      <c r="AD400" s="699"/>
      <c r="AE400" s="49"/>
      <c r="AF400" s="49"/>
      <c r="AG400" s="49"/>
      <c r="AH400" s="49"/>
      <c r="AI400" s="49"/>
      <c r="AJ400" s="49"/>
      <c r="AK400" s="49"/>
      <c r="AL400" s="49"/>
      <c r="AM400" s="49"/>
      <c r="AN400" s="49"/>
      <c r="AO400" s="49"/>
      <c r="AP400" s="49"/>
      <c r="AQ400" s="49"/>
      <c r="AR400" s="49"/>
      <c r="AS400" s="49"/>
      <c r="AT400" s="49"/>
      <c r="AU400" s="49"/>
      <c r="AV400" s="49"/>
      <c r="AW400" s="49"/>
      <c r="AX400" s="49"/>
      <c r="AY400" s="49"/>
      <c r="AZ400" s="49"/>
      <c r="BA400" s="49"/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</row>
    <row r="401" spans="1:66">
      <c r="A401" s="699"/>
      <c r="B401" s="151" t="s">
        <v>1224</v>
      </c>
      <c r="C401" s="151"/>
      <c r="D401" s="151"/>
      <c r="E401" s="151"/>
      <c r="F401" s="972">
        <f ca="1">IFERROR(IF(YEAR(F373)&lt;=YEAR(Assumptions!$F$35),10%*(OFFSET('Phase 1 Pro Forma'!F389,0,-5))+5%*(OFFSET('Phase 1 Pro Forma'!F389,0,-7)),0),0)</f>
        <v>0</v>
      </c>
      <c r="G401" s="972">
        <f ca="1">IFERROR(IF(YEAR(G373)&lt;=YEAR(Assumptions!$F$35),10%*(OFFSET('Phase 1 Pro Forma'!G389,0,-5))+5%*(OFFSET('Phase 1 Pro Forma'!G389,0,-7)),0),0)</f>
        <v>0</v>
      </c>
      <c r="H401" s="972">
        <f ca="1">IFERROR(IF(YEAR(H373)&lt;=YEAR(Assumptions!$F$35),10%*(OFFSET('Phase 1 Pro Forma'!H389,0,-5))+5%*(OFFSET('Phase 1 Pro Forma'!H389,0,-7)),0),0)</f>
        <v>0</v>
      </c>
      <c r="I401" s="972">
        <f ca="1">IFERROR(IF(YEAR(I373)&lt;=YEAR(Assumptions!$F$35),10%*(OFFSET('Phase 1 Pro Forma'!I389,0,-5))+5%*(OFFSET('Phase 1 Pro Forma'!I389,0,-7)),0),0)</f>
        <v>0</v>
      </c>
      <c r="J401" s="972">
        <f ca="1">IFERROR(IF(YEAR(J373)&lt;=YEAR(Assumptions!$F$35),10%*(OFFSET('Phase 1 Pro Forma'!J389,0,-5))+5%*(OFFSET('Phase 1 Pro Forma'!J389,0,-7)),0),0)</f>
        <v>0</v>
      </c>
      <c r="K401" s="972">
        <f ca="1">IFERROR(IF(YEAR(K373)&lt;=YEAR(Assumptions!$F$35),10%*(OFFSET('Phase 1 Pro Forma'!K389,0,-5))+5%*(OFFSET('Phase 1 Pro Forma'!K389,0,-7)),0),0)</f>
        <v>0</v>
      </c>
      <c r="L401" s="972">
        <f ca="1">IFERROR(IF(YEAR(L373)&lt;=YEAR(Assumptions!$F$35),10%*(OFFSET('Phase 1 Pro Forma'!L389,0,-5))+5%*(OFFSET('Phase 1 Pro Forma'!L389,0,-7)),0),0)</f>
        <v>0</v>
      </c>
      <c r="M401" s="972">
        <f ca="1">IFERROR(IF(YEAR(M373)&lt;=YEAR(Assumptions!$F$35),10%*(OFFSET('Phase 1 Pro Forma'!M389,0,-5))+5%*(OFFSET('Phase 1 Pro Forma'!M389,0,-7)),0),0)</f>
        <v>0</v>
      </c>
      <c r="N401" s="972">
        <f ca="1">IFERROR(IF(YEAR(N373)&lt;=YEAR(Assumptions!$F$35),10%*(OFFSET('Phase 1 Pro Forma'!N389,0,-5))+5%*(OFFSET('Phase 1 Pro Forma'!N389,0,-7)),0),0)</f>
        <v>0</v>
      </c>
      <c r="O401" s="972">
        <f ca="1">IFERROR(IF(YEAR(O373)&lt;=YEAR(Assumptions!$F$35),10%*(OFFSET('Phase 1 Pro Forma'!O389,0,-5))+5%*(OFFSET('Phase 1 Pro Forma'!O389,0,-7)),0),0)</f>
        <v>0</v>
      </c>
      <c r="P401" s="972">
        <f ca="1">IFERROR(IF(YEAR(P373)&lt;=YEAR(Assumptions!$F$35),10%*(OFFSET('Phase 1 Pro Forma'!P389,0,-5))+5%*(OFFSET('Phase 1 Pro Forma'!P389,0,-7)),0),0)</f>
        <v>0</v>
      </c>
      <c r="Q401" s="972">
        <f ca="1">IFERROR(IF(YEAR(Q373)&lt;=YEAR(Assumptions!$F$35),10%*(OFFSET('Phase 1 Pro Forma'!Q389,0,-5))+5%*(OFFSET('Phase 1 Pro Forma'!Q389,0,-7)),0),0)</f>
        <v>0</v>
      </c>
      <c r="R401" s="972">
        <f ca="1">IFERROR(IF(YEAR(R373)&lt;=YEAR(Assumptions!$F$35),10%*(OFFSET('Phase 1 Pro Forma'!R389,0,-5))+5%*(OFFSET('Phase 1 Pro Forma'!R389,0,-7)),0),0)</f>
        <v>0</v>
      </c>
      <c r="S401" s="972">
        <f ca="1">IFERROR(IF(YEAR(S373)&lt;=YEAR(Assumptions!$F$35),10%*(OFFSET('Phase 1 Pro Forma'!S389,0,-5))+5%*(OFFSET('Phase 1 Pro Forma'!S389,0,-7)),0),0)</f>
        <v>0</v>
      </c>
      <c r="T401" s="972">
        <f ca="1">IFERROR(IF(YEAR(T373)&lt;=YEAR(Assumptions!$F$35),10%*(OFFSET('Phase 1 Pro Forma'!T389,0,-5))+5%*(OFFSET('Phase 1 Pro Forma'!T389,0,-7)),0),0)</f>
        <v>0</v>
      </c>
      <c r="U401" s="972">
        <f ca="1">IFERROR(IF(YEAR(U373)&lt;=YEAR(Assumptions!$F$35),10%*(OFFSET('Phase 1 Pro Forma'!U389,0,-5))+5%*(OFFSET('Phase 1 Pro Forma'!U389,0,-7)),0),0)</f>
        <v>0</v>
      </c>
      <c r="V401" s="972">
        <f ca="1">IFERROR(IF(YEAR(V373)&lt;=YEAR(Assumptions!$F$35),10%*(OFFSET('Phase 1 Pro Forma'!V389,0,-5))+5%*(OFFSET('Phase 1 Pro Forma'!V389,0,-7)),0),0)</f>
        <v>0</v>
      </c>
      <c r="W401" s="972">
        <f ca="1">IFERROR(IF(YEAR(W373)&lt;=YEAR(Assumptions!$F$35),10%*(OFFSET('Phase 1 Pro Forma'!W389,0,-5))+5%*(OFFSET('Phase 1 Pro Forma'!W389,0,-7)),0),0)</f>
        <v>0</v>
      </c>
      <c r="X401" s="972">
        <f ca="1">IFERROR(IF(YEAR(X373)&lt;=YEAR(Assumptions!$F$35),10%*(OFFSET('Phase 1 Pro Forma'!X389,0,-5))+5%*(OFFSET('Phase 1 Pro Forma'!X389,0,-7)),0),0)</f>
        <v>0</v>
      </c>
      <c r="Y401" s="972">
        <f ca="1">IFERROR(IF(YEAR(Y373)&lt;=YEAR(Assumptions!$F$35),10%*(OFFSET('Phase 1 Pro Forma'!Y389,0,-5))+5%*(OFFSET('Phase 1 Pro Forma'!Y389,0,-7)),0),0)</f>
        <v>0</v>
      </c>
      <c r="Z401" s="972">
        <f ca="1">IFERROR(IF(YEAR(Z373)&lt;=YEAR(Assumptions!$F$35),10%*(OFFSET('Phase 1 Pro Forma'!Z389,0,-5))+5%*(OFFSET('Phase 1 Pro Forma'!Z389,0,-7)),0),0)</f>
        <v>0</v>
      </c>
      <c r="AA401" s="699"/>
      <c r="AB401" s="699"/>
      <c r="AC401" s="699"/>
      <c r="AD401" s="699"/>
      <c r="AE401" s="49"/>
      <c r="AF401" s="49"/>
      <c r="AG401" s="49"/>
      <c r="AH401" s="49"/>
      <c r="AI401" s="49"/>
      <c r="AJ401" s="49"/>
      <c r="AK401" s="49"/>
      <c r="AL401" s="49"/>
      <c r="AM401" s="49"/>
      <c r="AN401" s="49"/>
      <c r="AO401" s="49"/>
      <c r="AP401" s="49"/>
      <c r="AQ401" s="49"/>
      <c r="AR401" s="49"/>
      <c r="AS401" s="49"/>
      <c r="AT401" s="49"/>
      <c r="AU401" s="49"/>
      <c r="AV401" s="49"/>
      <c r="AW401" s="49"/>
      <c r="AX401" s="49"/>
      <c r="AY401" s="49"/>
      <c r="AZ401" s="49"/>
      <c r="BA401" s="49"/>
      <c r="BB401" s="49"/>
      <c r="BC401" s="49"/>
      <c r="BD401" s="49"/>
      <c r="BE401" s="49"/>
      <c r="BF401" s="49"/>
      <c r="BG401" s="49"/>
      <c r="BH401" s="49"/>
      <c r="BI401" s="49"/>
      <c r="BJ401" s="49"/>
      <c r="BK401" s="49"/>
      <c r="BL401" s="49"/>
      <c r="BM401" s="49"/>
      <c r="BN401" s="49"/>
    </row>
    <row r="402" spans="1:66">
      <c r="A402" s="699"/>
      <c r="B402" s="151"/>
      <c r="C402" s="151"/>
      <c r="D402" s="151"/>
      <c r="E402" s="151"/>
      <c r="F402" s="151"/>
      <c r="G402" s="151"/>
      <c r="H402" s="151"/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699"/>
      <c r="AB402" s="699"/>
      <c r="AC402" s="699"/>
      <c r="AD402" s="699"/>
      <c r="AE402" s="49"/>
      <c r="AF402" s="49"/>
      <c r="AG402" s="49"/>
      <c r="AH402" s="49"/>
      <c r="AI402" s="49"/>
      <c r="AJ402" s="49"/>
      <c r="AK402" s="49"/>
      <c r="AL402" s="49"/>
      <c r="AM402" s="49"/>
      <c r="AN402" s="49"/>
      <c r="AO402" s="49"/>
      <c r="AP402" s="49"/>
      <c r="AQ402" s="49"/>
      <c r="AR402" s="49"/>
      <c r="AS402" s="49"/>
      <c r="AT402" s="49"/>
      <c r="AU402" s="49"/>
      <c r="AV402" s="49"/>
      <c r="AW402" s="49"/>
      <c r="AX402" s="49"/>
      <c r="AY402" s="49"/>
      <c r="AZ402" s="49"/>
      <c r="BA402" s="49"/>
      <c r="BB402" s="49"/>
      <c r="BC402" s="49"/>
      <c r="BD402" s="49"/>
      <c r="BE402" s="49"/>
      <c r="BF402" s="49"/>
      <c r="BG402" s="49"/>
      <c r="BH402" s="49"/>
      <c r="BI402" s="49"/>
      <c r="BJ402" s="49"/>
      <c r="BK402" s="49"/>
      <c r="BL402" s="49"/>
      <c r="BM402" s="49"/>
      <c r="BN402" s="49"/>
    </row>
    <row r="403" spans="1:66" ht="15.75">
      <c r="A403" s="699"/>
      <c r="B403" s="718" t="s">
        <v>1225</v>
      </c>
      <c r="C403" s="151"/>
      <c r="D403" s="151"/>
      <c r="E403" s="151"/>
      <c r="F403" s="151"/>
      <c r="G403" s="151"/>
      <c r="H403" s="151"/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699"/>
      <c r="AB403" s="699"/>
      <c r="AC403" s="699"/>
      <c r="AD403" s="699"/>
      <c r="AE403" s="49"/>
      <c r="AF403" s="49"/>
      <c r="AG403" s="49"/>
      <c r="AH403" s="49"/>
      <c r="AI403" s="49"/>
      <c r="AJ403" s="49"/>
      <c r="AK403" s="49"/>
      <c r="AL403" s="49"/>
      <c r="AM403" s="49"/>
      <c r="AN403" s="49"/>
      <c r="AO403" s="49"/>
      <c r="AP403" s="49"/>
      <c r="AQ403" s="49"/>
      <c r="AR403" s="49"/>
      <c r="AS403" s="49"/>
      <c r="AT403" s="49"/>
      <c r="AU403" s="49"/>
      <c r="AV403" s="49"/>
      <c r="AW403" s="49"/>
      <c r="AX403" s="49"/>
      <c r="AY403" s="49"/>
      <c r="AZ403" s="49"/>
      <c r="BA403" s="49"/>
      <c r="BB403" s="49"/>
      <c r="BC403" s="49"/>
      <c r="BD403" s="49"/>
      <c r="BE403" s="49"/>
      <c r="BF403" s="49"/>
      <c r="BG403" s="49"/>
      <c r="BH403" s="49"/>
      <c r="BI403" s="49"/>
      <c r="BJ403" s="49"/>
      <c r="BK403" s="49"/>
      <c r="BL403" s="49"/>
      <c r="BM403" s="49"/>
      <c r="BN403" s="49"/>
    </row>
    <row r="404" spans="1:66" ht="15.75">
      <c r="A404" s="699"/>
      <c r="B404" s="151" t="s">
        <v>1226</v>
      </c>
      <c r="C404" s="151"/>
      <c r="D404" s="948" t="e">
        <f ca="1">+SUM(F404:Z404)</f>
        <v>#DIV/0!</v>
      </c>
      <c r="E404" s="948"/>
      <c r="F404" s="946">
        <v>0</v>
      </c>
      <c r="G404" s="946">
        <f ca="1">+F411</f>
        <v>181675735.02067354</v>
      </c>
      <c r="H404" s="946">
        <f t="shared" ref="H404:Z404" ca="1" si="779">+G411</f>
        <v>288271456.93041325</v>
      </c>
      <c r="I404" s="946">
        <f t="shared" ca="1" si="779"/>
        <v>357489420.94768494</v>
      </c>
      <c r="J404" s="946">
        <f t="shared" ca="1" si="779"/>
        <v>357489420.947685</v>
      </c>
      <c r="K404" s="946">
        <f t="shared" ca="1" si="779"/>
        <v>309932741.35081047</v>
      </c>
      <c r="L404" s="946" t="e">
        <f t="shared" ca="1" si="779"/>
        <v>#DIV/0!</v>
      </c>
      <c r="M404" s="946" t="e">
        <f t="shared" ca="1" si="779"/>
        <v>#DIV/0!</v>
      </c>
      <c r="N404" s="946" t="e">
        <f t="shared" ca="1" si="779"/>
        <v>#DIV/0!</v>
      </c>
      <c r="O404" s="946" t="e">
        <f t="shared" ca="1" si="779"/>
        <v>#DIV/0!</v>
      </c>
      <c r="P404" s="946" t="e">
        <f t="shared" ca="1" si="779"/>
        <v>#DIV/0!</v>
      </c>
      <c r="Q404" s="946" t="e">
        <f t="shared" ca="1" si="779"/>
        <v>#DIV/0!</v>
      </c>
      <c r="R404" s="946" t="e">
        <f t="shared" ca="1" si="779"/>
        <v>#DIV/0!</v>
      </c>
      <c r="S404" s="946" t="e">
        <f t="shared" ca="1" si="779"/>
        <v>#DIV/0!</v>
      </c>
      <c r="T404" s="946" t="e">
        <f t="shared" ca="1" si="779"/>
        <v>#DIV/0!</v>
      </c>
      <c r="U404" s="946" t="e">
        <f t="shared" ca="1" si="779"/>
        <v>#DIV/0!</v>
      </c>
      <c r="V404" s="946" t="e">
        <f t="shared" ca="1" si="779"/>
        <v>#DIV/0!</v>
      </c>
      <c r="W404" s="946" t="e">
        <f t="shared" ca="1" si="779"/>
        <v>#DIV/0!</v>
      </c>
      <c r="X404" s="946" t="e">
        <f t="shared" ca="1" si="779"/>
        <v>#DIV/0!</v>
      </c>
      <c r="Y404" s="946" t="e">
        <f t="shared" ca="1" si="779"/>
        <v>#DIV/0!</v>
      </c>
      <c r="Z404" s="946" t="e">
        <f t="shared" ca="1" si="779"/>
        <v>#DIV/0!</v>
      </c>
      <c r="AA404" s="699"/>
      <c r="AB404" s="699"/>
      <c r="AC404" s="699"/>
      <c r="AD404" s="699"/>
      <c r="AE404" s="49"/>
      <c r="AF404" s="49"/>
      <c r="AG404" s="49"/>
      <c r="AH404" s="49"/>
      <c r="AI404" s="49"/>
      <c r="AJ404" s="49"/>
      <c r="AK404" s="49"/>
      <c r="AL404" s="49"/>
      <c r="AM404" s="49"/>
      <c r="AN404" s="49"/>
      <c r="AO404" s="49"/>
      <c r="AP404" s="49"/>
      <c r="AQ404" s="49"/>
      <c r="AR404" s="49"/>
      <c r="AS404" s="49"/>
      <c r="AT404" s="49"/>
      <c r="AU404" s="49"/>
      <c r="AV404" s="49"/>
      <c r="AW404" s="49"/>
      <c r="AX404" s="49"/>
      <c r="AY404" s="49"/>
      <c r="AZ404" s="49"/>
      <c r="BA404" s="49"/>
      <c r="BB404" s="49"/>
      <c r="BC404" s="49"/>
      <c r="BD404" s="49"/>
      <c r="BE404" s="49"/>
      <c r="BF404" s="49"/>
      <c r="BG404" s="49"/>
      <c r="BH404" s="49"/>
      <c r="BI404" s="49"/>
      <c r="BJ404" s="49"/>
      <c r="BK404" s="49"/>
      <c r="BL404" s="49"/>
      <c r="BM404" s="49"/>
      <c r="BN404" s="49"/>
    </row>
    <row r="405" spans="1:66" ht="15.75">
      <c r="A405" s="699" t="s">
        <v>511</v>
      </c>
      <c r="B405" s="151" t="s">
        <v>1212</v>
      </c>
      <c r="C405" s="151"/>
      <c r="D405" s="948">
        <f t="shared" ref="D405:D411" ca="1" si="780">+SUM(F405:Z405)</f>
        <v>357489420.94768494</v>
      </c>
      <c r="E405" s="948"/>
      <c r="F405" s="972">
        <f ca="1">-F376</f>
        <v>181675735.02067354</v>
      </c>
      <c r="G405" s="972">
        <f t="shared" ref="G405:Z405" ca="1" si="781">-G376</f>
        <v>106595721.90973967</v>
      </c>
      <c r="H405" s="972">
        <f t="shared" ca="1" si="781"/>
        <v>69217964.017271698</v>
      </c>
      <c r="I405" s="972">
        <f t="shared" ca="1" si="781"/>
        <v>0</v>
      </c>
      <c r="J405" s="972">
        <f t="shared" ca="1" si="781"/>
        <v>0</v>
      </c>
      <c r="K405" s="972">
        <f t="shared" ca="1" si="781"/>
        <v>0</v>
      </c>
      <c r="L405" s="972">
        <f t="shared" ca="1" si="781"/>
        <v>0</v>
      </c>
      <c r="M405" s="972">
        <f t="shared" ca="1" si="781"/>
        <v>0</v>
      </c>
      <c r="N405" s="972">
        <f t="shared" ca="1" si="781"/>
        <v>0</v>
      </c>
      <c r="O405" s="972">
        <f t="shared" ca="1" si="781"/>
        <v>0</v>
      </c>
      <c r="P405" s="972">
        <f t="shared" ca="1" si="781"/>
        <v>0</v>
      </c>
      <c r="Q405" s="972">
        <f t="shared" ca="1" si="781"/>
        <v>0</v>
      </c>
      <c r="R405" s="972">
        <f t="shared" ca="1" si="781"/>
        <v>0</v>
      </c>
      <c r="S405" s="972">
        <f t="shared" ca="1" si="781"/>
        <v>0</v>
      </c>
      <c r="T405" s="972">
        <f t="shared" ca="1" si="781"/>
        <v>0</v>
      </c>
      <c r="U405" s="972">
        <f t="shared" ca="1" si="781"/>
        <v>0</v>
      </c>
      <c r="V405" s="972">
        <f t="shared" ca="1" si="781"/>
        <v>0</v>
      </c>
      <c r="W405" s="972">
        <f t="shared" ca="1" si="781"/>
        <v>0</v>
      </c>
      <c r="X405" s="972">
        <f t="shared" ca="1" si="781"/>
        <v>0</v>
      </c>
      <c r="Y405" s="972">
        <f t="shared" ca="1" si="781"/>
        <v>0</v>
      </c>
      <c r="Z405" s="972">
        <f t="shared" ca="1" si="781"/>
        <v>0</v>
      </c>
      <c r="AA405" s="699"/>
      <c r="AB405" s="699"/>
      <c r="AC405" s="699"/>
      <c r="AD405" s="699"/>
      <c r="AE405" s="49"/>
      <c r="AF405" s="49"/>
      <c r="AG405" s="49"/>
      <c r="AH405" s="49"/>
      <c r="AI405" s="49"/>
      <c r="AJ405" s="49"/>
      <c r="AK405" s="49"/>
      <c r="AL405" s="49"/>
      <c r="AM405" s="49"/>
      <c r="AN405" s="49"/>
      <c r="AO405" s="49"/>
      <c r="AP405" s="49"/>
      <c r="AQ405" s="49"/>
      <c r="AR405" s="49"/>
      <c r="AS405" s="49"/>
      <c r="AT405" s="49"/>
      <c r="AU405" s="49"/>
      <c r="AV405" s="49"/>
      <c r="AW405" s="49"/>
      <c r="AX405" s="49"/>
      <c r="AY405" s="49"/>
      <c r="AZ405" s="49"/>
      <c r="BA405" s="49"/>
      <c r="BB405" s="49"/>
      <c r="BC405" s="49"/>
      <c r="BD405" s="49"/>
      <c r="BE405" s="49"/>
      <c r="BF405" s="49"/>
      <c r="BG405" s="49"/>
      <c r="BH405" s="49"/>
      <c r="BI405" s="49"/>
      <c r="BJ405" s="49"/>
      <c r="BK405" s="49"/>
      <c r="BL405" s="49"/>
      <c r="BM405" s="49"/>
      <c r="BN405" s="49"/>
    </row>
    <row r="406" spans="1:66" ht="15.75">
      <c r="A406" s="699"/>
      <c r="B406" s="151" t="s">
        <v>1135</v>
      </c>
      <c r="C406" s="151"/>
      <c r="D406" s="948">
        <f t="shared" ca="1" si="780"/>
        <v>130691348.53326297</v>
      </c>
      <c r="E406" s="948"/>
      <c r="F406" s="972">
        <f ca="1">+IF(F373&lt;=Assumptions!$F$35,'Phase 1 Pro Forma'!F337,0)</f>
        <v>0</v>
      </c>
      <c r="G406" s="972">
        <f ca="1">+IF(G373&lt;=Assumptions!$F$35,'Phase 1 Pro Forma'!G337,0)</f>
        <v>0</v>
      </c>
      <c r="H406" s="972">
        <f ca="1">+IF(H373&lt;=Assumptions!$F$35,'Phase 1 Pro Forma'!H337,0)</f>
        <v>0</v>
      </c>
      <c r="I406" s="972">
        <f ca="1">+IF(I373&lt;=Assumptions!$F$35,'Phase 1 Pro Forma'!I337,0)</f>
        <v>0</v>
      </c>
      <c r="J406" s="972">
        <f ca="1">+IF(J373&lt;=Assumptions!$F$35,'Phase 1 Pro Forma'!J337,0)</f>
        <v>2986992.3072690596</v>
      </c>
      <c r="K406" s="972">
        <f ca="1">+IF(K373&lt;=Assumptions!$F$35,'Phase 1 Pro Forma'!K337,0)</f>
        <v>12902026.961117944</v>
      </c>
      <c r="L406" s="972">
        <f ca="1">+IF(L373&lt;=Assumptions!$F$35,'Phase 1 Pro Forma'!L337,0)</f>
        <v>21120150.213353533</v>
      </c>
      <c r="M406" s="972">
        <f ca="1">+IF(M373&lt;=Assumptions!$F$35,'Phase 1 Pro Forma'!M337,0)</f>
        <v>22652700.840474334</v>
      </c>
      <c r="N406" s="972">
        <f ca="1">+IF(N373&lt;=Assumptions!$F$35,'Phase 1 Pro Forma'!N337,0)</f>
        <v>23170235.194614802</v>
      </c>
      <c r="O406" s="972">
        <f ca="1">+IF(O373&lt;=Assumptions!$F$35,'Phase 1 Pro Forma'!O337,0)</f>
        <v>23703295.579379488</v>
      </c>
      <c r="P406" s="972">
        <f ca="1">+IF(P373&lt;=Assumptions!$F$35,'Phase 1 Pro Forma'!P337,0)</f>
        <v>24155947.437053818</v>
      </c>
      <c r="Q406" s="972">
        <f>+IF(Q373&lt;=Assumptions!$F$35,'Phase 1 Pro Forma'!Q337,0)</f>
        <v>0</v>
      </c>
      <c r="R406" s="972">
        <f>+IF(R373&lt;=Assumptions!$F$35,'Phase 1 Pro Forma'!R337,0)</f>
        <v>0</v>
      </c>
      <c r="S406" s="972">
        <f>+IF(S373&lt;=Assumptions!$F$35,'Phase 1 Pro Forma'!S337,0)</f>
        <v>0</v>
      </c>
      <c r="T406" s="972">
        <f>+IF(T373&lt;=Assumptions!$F$35,'Phase 1 Pro Forma'!T337,0)</f>
        <v>0</v>
      </c>
      <c r="U406" s="972">
        <f>+IF(U373&lt;=Assumptions!$F$35,'Phase 1 Pro Forma'!U337,0)</f>
        <v>0</v>
      </c>
      <c r="V406" s="972">
        <f>+IF(V373&lt;=Assumptions!$F$35,'Phase 1 Pro Forma'!V337,0)</f>
        <v>0</v>
      </c>
      <c r="W406" s="972">
        <f>+IF(W373&lt;=Assumptions!$F$35,'Phase 1 Pro Forma'!W337,0)</f>
        <v>0</v>
      </c>
      <c r="X406" s="972">
        <f>+IF(X373&lt;=Assumptions!$F$35,'Phase 1 Pro Forma'!X337,0)</f>
        <v>0</v>
      </c>
      <c r="Y406" s="972">
        <f>+IF(Y373&lt;=Assumptions!$F$35,'Phase 1 Pro Forma'!Y337,0)</f>
        <v>0</v>
      </c>
      <c r="Z406" s="972">
        <f>+IF(Z373&lt;=Assumptions!$F$35,'Phase 1 Pro Forma'!Z337,0)</f>
        <v>0</v>
      </c>
      <c r="AA406" s="699"/>
      <c r="AB406" s="699"/>
      <c r="AC406" s="699"/>
      <c r="AD406" s="699"/>
      <c r="AE406" s="49"/>
      <c r="AF406" s="49"/>
      <c r="AG406" s="49"/>
      <c r="AH406" s="49"/>
      <c r="AI406" s="49"/>
      <c r="AJ406" s="49"/>
      <c r="AK406" s="49"/>
      <c r="AL406" s="49"/>
      <c r="AM406" s="49"/>
      <c r="AN406" s="49"/>
      <c r="AO406" s="49"/>
      <c r="AP406" s="49"/>
      <c r="AQ406" s="49"/>
      <c r="AR406" s="49"/>
      <c r="AS406" s="49"/>
      <c r="AT406" s="49"/>
      <c r="AU406" s="49"/>
      <c r="AV406" s="49"/>
      <c r="AW406" s="49"/>
      <c r="AX406" s="49"/>
      <c r="AY406" s="49"/>
      <c r="AZ406" s="49"/>
      <c r="BA406" s="49"/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</row>
    <row r="407" spans="1:66" ht="15.75">
      <c r="A407" s="699"/>
      <c r="B407" s="151" t="s">
        <v>1227</v>
      </c>
      <c r="C407" s="151"/>
      <c r="D407" s="948" t="e">
        <f t="shared" ca="1" si="780"/>
        <v>#DIV/0!</v>
      </c>
      <c r="E407" s="948"/>
      <c r="F407" s="972">
        <f>-IF(AND(F373&gt;Assumptions!$F$31,F373&lt;=Assumptions!$F$35),Budget!$H$110*Assumptions!$BT$180/Assumptions!$BT$179,0)</f>
        <v>0</v>
      </c>
      <c r="G407" s="972">
        <f>-IF(AND(G373&gt;Assumptions!$F$31,G373&lt;=Assumptions!$F$35),Budget!$H$110*Assumptions!$BT$180/Assumptions!$BT$179,0)</f>
        <v>0</v>
      </c>
      <c r="H407" s="972">
        <f>-IF(AND(H373&gt;Assumptions!$F$31,H373&lt;=Assumptions!$F$35),Budget!$H$110*Assumptions!$BT$180/Assumptions!$BT$179,0)</f>
        <v>0</v>
      </c>
      <c r="I407" s="972">
        <f>-IF(AND(I373&gt;Assumptions!$F$31,I373&lt;=Assumptions!$F$35),Budget!$H$110*Assumptions!$BT$180/Assumptions!$BT$179,0)</f>
        <v>0</v>
      </c>
      <c r="J407" s="972">
        <f>-IF(AND(J373&gt;Assumptions!$F$31,J373&lt;=Assumptions!$F$35),Budget!$H$110*Assumptions!$BT$180/Assumptions!$BT$179,0)</f>
        <v>0</v>
      </c>
      <c r="K407" s="972" t="e">
        <f ca="1">-IF(AND(K373&gt;Assumptions!$F$31,K373&lt;=Assumptions!$F$35),Budget!$H$110*Assumptions!$BT$180/Assumptions!$BT$179,0)</f>
        <v>#DIV/0!</v>
      </c>
      <c r="L407" s="972" t="e">
        <f ca="1">-IF(AND(L373&gt;Assumptions!$F$31,L373&lt;=Assumptions!$F$35),Budget!$H$110*Assumptions!$BT$180/Assumptions!$BT$179,0)</f>
        <v>#DIV/0!</v>
      </c>
      <c r="M407" s="972" t="e">
        <f ca="1">-IF(AND(M373&gt;Assumptions!$F$31,M373&lt;=Assumptions!$F$35),Budget!$H$110*Assumptions!$BT$180/Assumptions!$BT$179,0)</f>
        <v>#DIV/0!</v>
      </c>
      <c r="N407" s="972" t="e">
        <f ca="1">-IF(AND(N373&gt;Assumptions!$F$31,N373&lt;=Assumptions!$F$35),Budget!$H$110*Assumptions!$BT$180/Assumptions!$BT$179,0)</f>
        <v>#DIV/0!</v>
      </c>
      <c r="O407" s="972" t="e">
        <f ca="1">-IF(AND(O373&gt;Assumptions!$F$31,O373&lt;=Assumptions!$F$35),Budget!$H$110*Assumptions!$BT$180/Assumptions!$BT$179,0)</f>
        <v>#DIV/0!</v>
      </c>
      <c r="P407" s="972" t="e">
        <f ca="1">-IF(AND(P373&gt;Assumptions!$F$31,P373&lt;=Assumptions!$F$35),Budget!$H$110*Assumptions!$BT$180/Assumptions!$BT$179,0)</f>
        <v>#DIV/0!</v>
      </c>
      <c r="Q407" s="972">
        <f>-IF(AND(Q373&gt;Assumptions!$F$31,Q373&lt;=Assumptions!$F$35),Budget!$H$110*Assumptions!$BT$180/Assumptions!$BT$179,0)</f>
        <v>0</v>
      </c>
      <c r="R407" s="972">
        <f>-IF(AND(R373&gt;Assumptions!$F$31,R373&lt;=Assumptions!$F$35),Budget!$H$110*Assumptions!$BT$180/Assumptions!$BT$179,0)</f>
        <v>0</v>
      </c>
      <c r="S407" s="972">
        <f>-IF(AND(S373&gt;Assumptions!$F$31,S373&lt;=Assumptions!$F$35),Budget!$H$110*Assumptions!$BT$180/Assumptions!$BT$179,0)</f>
        <v>0</v>
      </c>
      <c r="T407" s="972">
        <f>-IF(AND(T373&gt;Assumptions!$F$31,T373&lt;=Assumptions!$F$35),Budget!$H$110*Assumptions!$BT$180/Assumptions!$BT$179,0)</f>
        <v>0</v>
      </c>
      <c r="U407" s="972">
        <f>-IF(AND(U373&gt;Assumptions!$F$31,U373&lt;=Assumptions!$F$35),Budget!$H$110*Assumptions!$BT$180/Assumptions!$BT$179,0)</f>
        <v>0</v>
      </c>
      <c r="V407" s="972">
        <f>-IF(AND(V373&gt;Assumptions!$F$31,V373&lt;=Assumptions!$F$35),Budget!$H$110*Assumptions!$BT$180/Assumptions!$BT$179,0)</f>
        <v>0</v>
      </c>
      <c r="W407" s="972">
        <f>-IF(AND(W373&gt;Assumptions!$F$31,W373&lt;=Assumptions!$F$35),Budget!$H$110*Assumptions!$BT$180/Assumptions!$BT$179,0)</f>
        <v>0</v>
      </c>
      <c r="X407" s="972">
        <f>-IF(AND(X373&gt;Assumptions!$F$31,X373&lt;=Assumptions!$F$35),Budget!$H$110*Assumptions!$BT$180/Assumptions!$BT$179,0)</f>
        <v>0</v>
      </c>
      <c r="Y407" s="972">
        <f>-IF(AND(Y373&gt;Assumptions!$F$31,Y373&lt;=Assumptions!$F$35),Budget!$H$110*Assumptions!$BT$180/Assumptions!$BT$179,0)</f>
        <v>0</v>
      </c>
      <c r="Z407" s="972">
        <f>-IF(AND(Z373&gt;Assumptions!$F$31,Z373&lt;=Assumptions!$F$35),Budget!$H$110*Assumptions!$BT$180/Assumptions!$BT$179,0)</f>
        <v>0</v>
      </c>
      <c r="AA407" s="699"/>
      <c r="AB407" s="699"/>
      <c r="AC407" s="699"/>
      <c r="AD407" s="699"/>
      <c r="AE407" s="49"/>
      <c r="AF407" s="49"/>
      <c r="AG407" s="49"/>
      <c r="AH407" s="49"/>
      <c r="AI407" s="49"/>
      <c r="AJ407" s="49"/>
      <c r="AK407" s="49"/>
      <c r="AL407" s="49"/>
      <c r="AM407" s="49"/>
      <c r="AN407" s="49"/>
      <c r="AO407" s="49"/>
      <c r="AP407" s="49"/>
      <c r="AQ407" s="49"/>
      <c r="AR407" s="49"/>
      <c r="AS407" s="49"/>
      <c r="AT407" s="49"/>
      <c r="AU407" s="49"/>
      <c r="AV407" s="49"/>
      <c r="AW407" s="49"/>
      <c r="AX407" s="49"/>
      <c r="AY407" s="49"/>
      <c r="AZ407" s="49"/>
      <c r="BA407" s="49"/>
      <c r="BB407" s="49"/>
      <c r="BC407" s="49"/>
      <c r="BD407" s="49"/>
      <c r="BE407" s="49"/>
      <c r="BF407" s="49"/>
      <c r="BG407" s="49"/>
      <c r="BH407" s="49"/>
      <c r="BI407" s="49"/>
      <c r="BJ407" s="49"/>
      <c r="BK407" s="49"/>
      <c r="BL407" s="49"/>
      <c r="BM407" s="49"/>
      <c r="BN407" s="49"/>
    </row>
    <row r="408" spans="1:66" ht="15.75">
      <c r="A408" s="699"/>
      <c r="B408" s="151" t="s">
        <v>1228</v>
      </c>
      <c r="C408" s="151"/>
      <c r="D408" s="948">
        <f t="shared" ca="1" si="780"/>
        <v>-130691348.53326297</v>
      </c>
      <c r="E408" s="948"/>
      <c r="F408" s="972">
        <f ca="1">-F380</f>
        <v>0</v>
      </c>
      <c r="G408" s="972">
        <f t="shared" ref="G408:Z408" ca="1" si="782">-G380</f>
        <v>0</v>
      </c>
      <c r="H408" s="972">
        <f t="shared" ca="1" si="782"/>
        <v>0</v>
      </c>
      <c r="I408" s="972">
        <f t="shared" ca="1" si="782"/>
        <v>0</v>
      </c>
      <c r="J408" s="972">
        <f t="shared" ca="1" si="782"/>
        <v>-2986992.3072690596</v>
      </c>
      <c r="K408" s="972">
        <f t="shared" ca="1" si="782"/>
        <v>-12902026.961117944</v>
      </c>
      <c r="L408" s="972">
        <f t="shared" ca="1" si="782"/>
        <v>-21120150.213353533</v>
      </c>
      <c r="M408" s="972">
        <f t="shared" ca="1" si="782"/>
        <v>-22652700.840474334</v>
      </c>
      <c r="N408" s="972">
        <f t="shared" ca="1" si="782"/>
        <v>-23170235.194614802</v>
      </c>
      <c r="O408" s="972">
        <f t="shared" ca="1" si="782"/>
        <v>-23703295.579379488</v>
      </c>
      <c r="P408" s="972">
        <f t="shared" ca="1" si="782"/>
        <v>-24155947.437053818</v>
      </c>
      <c r="Q408" s="972">
        <f t="shared" si="782"/>
        <v>0</v>
      </c>
      <c r="R408" s="972">
        <f t="shared" si="782"/>
        <v>0</v>
      </c>
      <c r="S408" s="972">
        <f t="shared" si="782"/>
        <v>0</v>
      </c>
      <c r="T408" s="972">
        <f t="shared" si="782"/>
        <v>0</v>
      </c>
      <c r="U408" s="972">
        <f t="shared" si="782"/>
        <v>0</v>
      </c>
      <c r="V408" s="972">
        <f t="shared" si="782"/>
        <v>0</v>
      </c>
      <c r="W408" s="972">
        <f t="shared" si="782"/>
        <v>0</v>
      </c>
      <c r="X408" s="972">
        <f t="shared" si="782"/>
        <v>0</v>
      </c>
      <c r="Y408" s="972">
        <f t="shared" si="782"/>
        <v>0</v>
      </c>
      <c r="Z408" s="972">
        <f t="shared" si="782"/>
        <v>0</v>
      </c>
      <c r="AA408" s="699"/>
      <c r="AB408" s="699"/>
      <c r="AC408" s="699"/>
      <c r="AD408" s="699"/>
      <c r="AE408" s="49"/>
      <c r="AF408" s="49"/>
      <c r="AG408" s="49"/>
      <c r="AH408" s="49"/>
      <c r="AI408" s="49"/>
      <c r="AJ408" s="49"/>
      <c r="AK408" s="49"/>
      <c r="AL408" s="49"/>
      <c r="AM408" s="49"/>
      <c r="AN408" s="49"/>
      <c r="AO408" s="49"/>
      <c r="AP408" s="49"/>
      <c r="AQ408" s="49"/>
      <c r="AR408" s="49"/>
      <c r="AS408" s="49"/>
      <c r="AT408" s="49"/>
      <c r="AU408" s="49"/>
      <c r="AV408" s="49"/>
      <c r="AW408" s="49"/>
      <c r="AX408" s="49"/>
      <c r="AY408" s="49"/>
      <c r="AZ408" s="49"/>
      <c r="BA408" s="49"/>
      <c r="BB408" s="49"/>
      <c r="BC408" s="49"/>
      <c r="BD408" s="49"/>
      <c r="BE408" s="49"/>
      <c r="BF408" s="49"/>
      <c r="BG408" s="49"/>
      <c r="BH408" s="49"/>
      <c r="BI408" s="49"/>
      <c r="BJ408" s="49"/>
      <c r="BK408" s="49"/>
      <c r="BL408" s="49"/>
      <c r="BM408" s="49"/>
      <c r="BN408" s="49"/>
    </row>
    <row r="409" spans="1:66" ht="15.75">
      <c r="A409" s="699"/>
      <c r="B409" s="151" t="s">
        <v>1217</v>
      </c>
      <c r="C409" s="151"/>
      <c r="D409" s="948">
        <f t="shared" ca="1" si="780"/>
        <v>-568291906.01748478</v>
      </c>
      <c r="E409" s="948"/>
      <c r="F409" s="972">
        <f>-F381</f>
        <v>0</v>
      </c>
      <c r="G409" s="972">
        <f t="shared" ref="G409:Z409" si="783">-G381</f>
        <v>0</v>
      </c>
      <c r="H409" s="972">
        <f t="shared" si="783"/>
        <v>0</v>
      </c>
      <c r="I409" s="972">
        <f t="shared" si="783"/>
        <v>0</v>
      </c>
      <c r="J409" s="972">
        <f t="shared" si="783"/>
        <v>-47556679.59687449</v>
      </c>
      <c r="K409" s="972">
        <f t="shared" si="783"/>
        <v>0</v>
      </c>
      <c r="L409" s="972">
        <f t="shared" si="783"/>
        <v>0</v>
      </c>
      <c r="M409" s="972">
        <f t="shared" si="783"/>
        <v>0</v>
      </c>
      <c r="N409" s="972">
        <f t="shared" si="783"/>
        <v>0</v>
      </c>
      <c r="O409" s="972">
        <f t="shared" si="783"/>
        <v>0</v>
      </c>
      <c r="P409" s="972">
        <f t="shared" ca="1" si="783"/>
        <v>-520735226.42061031</v>
      </c>
      <c r="Q409" s="972">
        <f t="shared" si="783"/>
        <v>0</v>
      </c>
      <c r="R409" s="972">
        <f t="shared" si="783"/>
        <v>0</v>
      </c>
      <c r="S409" s="972">
        <f t="shared" si="783"/>
        <v>0</v>
      </c>
      <c r="T409" s="972">
        <f t="shared" si="783"/>
        <v>0</v>
      </c>
      <c r="U409" s="972">
        <f t="shared" si="783"/>
        <v>0</v>
      </c>
      <c r="V409" s="972">
        <f t="shared" si="783"/>
        <v>0</v>
      </c>
      <c r="W409" s="972">
        <f t="shared" si="783"/>
        <v>0</v>
      </c>
      <c r="X409" s="972">
        <f t="shared" si="783"/>
        <v>0</v>
      </c>
      <c r="Y409" s="972">
        <f t="shared" si="783"/>
        <v>0</v>
      </c>
      <c r="Z409" s="972">
        <f t="shared" si="783"/>
        <v>0</v>
      </c>
      <c r="AA409" s="699"/>
      <c r="AB409" s="699"/>
      <c r="AC409" s="699"/>
      <c r="AD409" s="699"/>
      <c r="AE409" s="49"/>
      <c r="AF409" s="49"/>
      <c r="AG409" s="49"/>
      <c r="AH409" s="49"/>
      <c r="AI409" s="49"/>
      <c r="AJ409" s="49"/>
      <c r="AK409" s="49"/>
      <c r="AL409" s="49"/>
      <c r="AM409" s="49"/>
      <c r="AN409" s="49"/>
      <c r="AO409" s="49"/>
      <c r="AP409" s="49"/>
      <c r="AQ409" s="49"/>
      <c r="AR409" s="49"/>
      <c r="AS409" s="49"/>
      <c r="AT409" s="49"/>
      <c r="AU409" s="49"/>
      <c r="AV409" s="49"/>
      <c r="AW409" s="49"/>
      <c r="AX409" s="49"/>
      <c r="AY409" s="49"/>
      <c r="AZ409" s="49"/>
      <c r="BA409" s="49"/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</row>
    <row r="410" spans="1:66" ht="15.75">
      <c r="A410" s="699"/>
      <c r="B410" s="151" t="s">
        <v>1229</v>
      </c>
      <c r="C410" s="151"/>
      <c r="D410" s="948" t="e">
        <f t="shared" ca="1" si="780"/>
        <v>#DIV/0!</v>
      </c>
      <c r="E410" s="948"/>
      <c r="F410" s="972">
        <f>-IF(YEAR(F373)=YEAR(Assumptions!$F$35),SUM('Phase 1 Pro Forma'!F404:F409),0)</f>
        <v>0</v>
      </c>
      <c r="G410" s="972">
        <f>-IF(YEAR(G373)=YEAR(Assumptions!$F$35),SUM('Phase 1 Pro Forma'!G404:G409),0)</f>
        <v>0</v>
      </c>
      <c r="H410" s="972">
        <f>-IF(YEAR(H373)=YEAR(Assumptions!$F$35),SUM('Phase 1 Pro Forma'!H404:H409),0)</f>
        <v>0</v>
      </c>
      <c r="I410" s="972">
        <f>-IF(YEAR(I373)=YEAR(Assumptions!$F$35),SUM('Phase 1 Pro Forma'!I404:I409),0)</f>
        <v>0</v>
      </c>
      <c r="J410" s="972">
        <f>-IF(YEAR(J373)=YEAR(Assumptions!$F$35),SUM('Phase 1 Pro Forma'!J404:J409),0)</f>
        <v>0</v>
      </c>
      <c r="K410" s="972">
        <f>-IF(YEAR(K373)=YEAR(Assumptions!$F$35),SUM('Phase 1 Pro Forma'!K404:K409),0)</f>
        <v>0</v>
      </c>
      <c r="L410" s="972">
        <f>-IF(YEAR(L373)=YEAR(Assumptions!$F$35),SUM('Phase 1 Pro Forma'!L404:L409),0)</f>
        <v>0</v>
      </c>
      <c r="M410" s="972">
        <f>-IF(YEAR(M373)=YEAR(Assumptions!$F$35),SUM('Phase 1 Pro Forma'!M404:M409),0)</f>
        <v>0</v>
      </c>
      <c r="N410" s="972">
        <f>-IF(YEAR(N373)=YEAR(Assumptions!$F$35),SUM('Phase 1 Pro Forma'!N404:N409),0)</f>
        <v>0</v>
      </c>
      <c r="O410" s="972">
        <f>-IF(YEAR(O373)=YEAR(Assumptions!$F$35),SUM('Phase 1 Pro Forma'!O404:O409),0)</f>
        <v>0</v>
      </c>
      <c r="P410" s="972" t="e">
        <f ca="1">-IF(YEAR(P373)=YEAR(Assumptions!$F$35),SUM('Phase 1 Pro Forma'!P404:P409),0)</f>
        <v>#DIV/0!</v>
      </c>
      <c r="Q410" s="972">
        <f>-IF(YEAR(Q373)=YEAR(Assumptions!$F$35),SUM('Phase 1 Pro Forma'!Q404:Q409),0)</f>
        <v>0</v>
      </c>
      <c r="R410" s="972">
        <f>-IF(YEAR(R373)=YEAR(Assumptions!$F$35),SUM('Phase 1 Pro Forma'!R404:R409),0)</f>
        <v>0</v>
      </c>
      <c r="S410" s="972">
        <f>-IF(YEAR(S373)=YEAR(Assumptions!$F$35),SUM('Phase 1 Pro Forma'!S404:S409),0)</f>
        <v>0</v>
      </c>
      <c r="T410" s="972">
        <f>-IF(YEAR(T373)=YEAR(Assumptions!$F$35),SUM('Phase 1 Pro Forma'!T404:T409),0)</f>
        <v>0</v>
      </c>
      <c r="U410" s="972">
        <f>-IF(YEAR(U373)=YEAR(Assumptions!$F$35),SUM('Phase 1 Pro Forma'!U404:U409),0)</f>
        <v>0</v>
      </c>
      <c r="V410" s="972">
        <f>-IF(YEAR(V373)=YEAR(Assumptions!$F$35),SUM('Phase 1 Pro Forma'!V404:V409),0)</f>
        <v>0</v>
      </c>
      <c r="W410" s="972">
        <f>-IF(YEAR(W373)=YEAR(Assumptions!$F$35),SUM('Phase 1 Pro Forma'!W404:W409),0)</f>
        <v>0</v>
      </c>
      <c r="X410" s="972">
        <f>-IF(YEAR(X373)=YEAR(Assumptions!$F$35),SUM('Phase 1 Pro Forma'!X404:X409),0)</f>
        <v>0</v>
      </c>
      <c r="Y410" s="972">
        <f>-IF(YEAR(Y373)=YEAR(Assumptions!$F$35),SUM('Phase 1 Pro Forma'!Y404:Y409),0)</f>
        <v>0</v>
      </c>
      <c r="Z410" s="972">
        <f>-IF(YEAR(Z373)=YEAR(Assumptions!$F$35),SUM('Phase 1 Pro Forma'!Z404:Z409),0)</f>
        <v>0</v>
      </c>
      <c r="AA410" s="699"/>
      <c r="AB410" s="699"/>
      <c r="AC410" s="699"/>
      <c r="AD410" s="699"/>
      <c r="AE410" s="49"/>
      <c r="AF410" s="49"/>
      <c r="AG410" s="49"/>
      <c r="AH410" s="49"/>
      <c r="AI410" s="49"/>
      <c r="AJ410" s="49"/>
      <c r="AK410" s="49"/>
      <c r="AL410" s="49"/>
      <c r="AM410" s="49"/>
      <c r="AN410" s="49"/>
      <c r="AO410" s="49"/>
      <c r="AP410" s="49"/>
      <c r="AQ410" s="49"/>
      <c r="AR410" s="49"/>
      <c r="AS410" s="49"/>
      <c r="AT410" s="49"/>
      <c r="AU410" s="49"/>
      <c r="AV410" s="49"/>
      <c r="AW410" s="49"/>
      <c r="AX410" s="49"/>
      <c r="AY410" s="49"/>
      <c r="AZ410" s="49"/>
      <c r="BA410" s="49"/>
      <c r="BB410" s="49"/>
      <c r="BC410" s="49"/>
      <c r="BD410" s="49"/>
      <c r="BE410" s="49"/>
      <c r="BF410" s="49"/>
      <c r="BG410" s="49"/>
      <c r="BH410" s="49"/>
      <c r="BI410" s="49"/>
      <c r="BJ410" s="49"/>
      <c r="BK410" s="49"/>
      <c r="BL410" s="49"/>
      <c r="BM410" s="49"/>
      <c r="BN410" s="49"/>
    </row>
    <row r="411" spans="1:66" ht="15.75">
      <c r="A411" s="699"/>
      <c r="B411" s="718" t="s">
        <v>1230</v>
      </c>
      <c r="C411" s="718"/>
      <c r="D411" s="948" t="e">
        <f t="shared" ca="1" si="780"/>
        <v>#DIV/0!</v>
      </c>
      <c r="E411" s="948"/>
      <c r="F411" s="948">
        <f ca="1">+SUM(F404:F410)</f>
        <v>181675735.02067354</v>
      </c>
      <c r="G411" s="948">
        <f t="shared" ref="G411:Z411" ca="1" si="784">+SUM(G404:G410)</f>
        <v>288271456.93041325</v>
      </c>
      <c r="H411" s="948">
        <f t="shared" ca="1" si="784"/>
        <v>357489420.94768494</v>
      </c>
      <c r="I411" s="948">
        <f t="shared" ca="1" si="784"/>
        <v>357489420.94768494</v>
      </c>
      <c r="J411" s="948">
        <f t="shared" ca="1" si="784"/>
        <v>309932741.35081053</v>
      </c>
      <c r="K411" s="948" t="e">
        <f t="shared" ca="1" si="784"/>
        <v>#DIV/0!</v>
      </c>
      <c r="L411" s="948" t="e">
        <f t="shared" ca="1" si="784"/>
        <v>#DIV/0!</v>
      </c>
      <c r="M411" s="948" t="e">
        <f t="shared" ca="1" si="784"/>
        <v>#DIV/0!</v>
      </c>
      <c r="N411" s="948" t="e">
        <f t="shared" ca="1" si="784"/>
        <v>#DIV/0!</v>
      </c>
      <c r="O411" s="948" t="e">
        <f t="shared" ca="1" si="784"/>
        <v>#DIV/0!</v>
      </c>
      <c r="P411" s="948" t="e">
        <f t="shared" ca="1" si="784"/>
        <v>#DIV/0!</v>
      </c>
      <c r="Q411" s="948" t="e">
        <f t="shared" ca="1" si="784"/>
        <v>#DIV/0!</v>
      </c>
      <c r="R411" s="948" t="e">
        <f t="shared" ca="1" si="784"/>
        <v>#DIV/0!</v>
      </c>
      <c r="S411" s="948" t="e">
        <f t="shared" ca="1" si="784"/>
        <v>#DIV/0!</v>
      </c>
      <c r="T411" s="948" t="e">
        <f t="shared" ca="1" si="784"/>
        <v>#DIV/0!</v>
      </c>
      <c r="U411" s="948" t="e">
        <f t="shared" ca="1" si="784"/>
        <v>#DIV/0!</v>
      </c>
      <c r="V411" s="948" t="e">
        <f t="shared" ca="1" si="784"/>
        <v>#DIV/0!</v>
      </c>
      <c r="W411" s="948" t="e">
        <f t="shared" ca="1" si="784"/>
        <v>#DIV/0!</v>
      </c>
      <c r="X411" s="948" t="e">
        <f t="shared" ca="1" si="784"/>
        <v>#DIV/0!</v>
      </c>
      <c r="Y411" s="948" t="e">
        <f t="shared" ca="1" si="784"/>
        <v>#DIV/0!</v>
      </c>
      <c r="Z411" s="948" t="e">
        <f t="shared" ca="1" si="784"/>
        <v>#DIV/0!</v>
      </c>
      <c r="AA411" s="699"/>
      <c r="AB411" s="699"/>
      <c r="AC411" s="699"/>
      <c r="AD411" s="699"/>
      <c r="AE411" s="49"/>
      <c r="AF411" s="49"/>
      <c r="AG411" s="49"/>
      <c r="AH411" s="49"/>
      <c r="AI411" s="49"/>
      <c r="AJ411" s="49"/>
      <c r="AK411" s="49"/>
      <c r="AL411" s="49"/>
      <c r="AM411" s="49"/>
      <c r="AN411" s="49"/>
      <c r="AO411" s="49"/>
      <c r="AP411" s="49"/>
      <c r="AQ411" s="49"/>
      <c r="AR411" s="49"/>
      <c r="AS411" s="49"/>
      <c r="AT411" s="49"/>
      <c r="AU411" s="49"/>
      <c r="AV411" s="49"/>
      <c r="AW411" s="49"/>
      <c r="AX411" s="49"/>
      <c r="AY411" s="49"/>
      <c r="AZ411" s="49"/>
      <c r="BA411" s="49"/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</row>
    <row r="412" spans="1:66">
      <c r="A412" s="699"/>
      <c r="B412" s="151"/>
      <c r="C412" s="151"/>
      <c r="D412" s="151"/>
      <c r="E412" s="151"/>
      <c r="F412" s="151"/>
      <c r="G412" s="151"/>
      <c r="H412" s="151"/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699"/>
      <c r="AB412" s="699"/>
      <c r="AC412" s="699"/>
      <c r="AD412" s="699"/>
      <c r="AE412" s="49"/>
      <c r="AF412" s="49"/>
      <c r="AG412" s="49"/>
      <c r="AH412" s="49"/>
      <c r="AI412" s="49"/>
      <c r="AJ412" s="49"/>
      <c r="AK412" s="49"/>
      <c r="AL412" s="49"/>
      <c r="AM412" s="49"/>
      <c r="AN412" s="49"/>
      <c r="AO412" s="49"/>
      <c r="AP412" s="49"/>
      <c r="AQ412" s="49"/>
      <c r="AR412" s="49"/>
      <c r="AS412" s="49"/>
      <c r="AT412" s="49"/>
      <c r="AU412" s="49"/>
      <c r="AV412" s="49"/>
      <c r="AW412" s="49"/>
      <c r="AX412" s="49"/>
      <c r="AY412" s="49"/>
      <c r="AZ412" s="49"/>
      <c r="BA412" s="49"/>
      <c r="BB412" s="49"/>
      <c r="BC412" s="49"/>
      <c r="BD412" s="49"/>
      <c r="BE412" s="49"/>
      <c r="BF412" s="49"/>
      <c r="BG412" s="49"/>
      <c r="BH412" s="49"/>
      <c r="BI412" s="49"/>
      <c r="BJ412" s="49"/>
      <c r="BK412" s="49"/>
      <c r="BL412" s="49"/>
      <c r="BM412" s="49"/>
      <c r="BN412" s="49"/>
    </row>
    <row r="413" spans="1:66" ht="15.75">
      <c r="A413" s="699"/>
      <c r="B413" s="718" t="s">
        <v>1231</v>
      </c>
      <c r="C413" s="151"/>
      <c r="D413" s="151"/>
      <c r="E413" s="151"/>
      <c r="F413" s="971">
        <f>+F373</f>
        <v>45291</v>
      </c>
      <c r="G413" s="971">
        <f t="shared" ref="G413:Z413" si="785">+G373</f>
        <v>45657</v>
      </c>
      <c r="H413" s="971">
        <f t="shared" si="785"/>
        <v>46022</v>
      </c>
      <c r="I413" s="971">
        <f t="shared" si="785"/>
        <v>46387</v>
      </c>
      <c r="J413" s="971">
        <f t="shared" si="785"/>
        <v>46752</v>
      </c>
      <c r="K413" s="971">
        <f t="shared" si="785"/>
        <v>47118</v>
      </c>
      <c r="L413" s="971">
        <f t="shared" si="785"/>
        <v>47483</v>
      </c>
      <c r="M413" s="971">
        <f t="shared" si="785"/>
        <v>47848</v>
      </c>
      <c r="N413" s="971">
        <f t="shared" si="785"/>
        <v>48213</v>
      </c>
      <c r="O413" s="971">
        <f t="shared" si="785"/>
        <v>48579</v>
      </c>
      <c r="P413" s="971">
        <f t="shared" si="785"/>
        <v>48944</v>
      </c>
      <c r="Q413" s="971">
        <f t="shared" si="785"/>
        <v>49309</v>
      </c>
      <c r="R413" s="971">
        <f t="shared" si="785"/>
        <v>49674</v>
      </c>
      <c r="S413" s="971">
        <f t="shared" si="785"/>
        <v>50040</v>
      </c>
      <c r="T413" s="971">
        <f t="shared" si="785"/>
        <v>50405</v>
      </c>
      <c r="U413" s="971">
        <f t="shared" si="785"/>
        <v>50770</v>
      </c>
      <c r="V413" s="971">
        <f t="shared" si="785"/>
        <v>51135</v>
      </c>
      <c r="W413" s="971">
        <f t="shared" si="785"/>
        <v>51501</v>
      </c>
      <c r="X413" s="971">
        <f t="shared" si="785"/>
        <v>51866</v>
      </c>
      <c r="Y413" s="971">
        <f t="shared" si="785"/>
        <v>52231</v>
      </c>
      <c r="Z413" s="971">
        <f t="shared" si="785"/>
        <v>52596</v>
      </c>
      <c r="AA413" s="699"/>
      <c r="AB413" s="699"/>
      <c r="AC413" s="699"/>
      <c r="AD413" s="699"/>
      <c r="AE413" s="49"/>
      <c r="AF413" s="49"/>
      <c r="AG413" s="49"/>
      <c r="AH413" s="49"/>
      <c r="AI413" s="49"/>
      <c r="AJ413" s="49"/>
      <c r="AK413" s="49"/>
      <c r="AL413" s="49"/>
      <c r="AM413" s="49"/>
      <c r="AN413" s="49"/>
      <c r="AO413" s="49"/>
      <c r="AP413" s="49"/>
      <c r="AQ413" s="49"/>
      <c r="AR413" s="49"/>
      <c r="AS413" s="49"/>
      <c r="AT413" s="49"/>
      <c r="AU413" s="49"/>
      <c r="AV413" s="49"/>
      <c r="AW413" s="49"/>
      <c r="AX413" s="49"/>
      <c r="AY413" s="49"/>
      <c r="AZ413" s="49"/>
      <c r="BA413" s="49"/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</row>
    <row r="414" spans="1:66" ht="15.75">
      <c r="A414" s="699"/>
      <c r="B414" s="718"/>
      <c r="C414" s="151"/>
      <c r="D414" s="151"/>
      <c r="E414" s="151"/>
      <c r="F414" s="151"/>
      <c r="G414" s="151"/>
      <c r="H414" s="151"/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699"/>
      <c r="AB414" s="699"/>
      <c r="AC414" s="699"/>
      <c r="AD414" s="699"/>
      <c r="AE414" s="49"/>
      <c r="AF414" s="49"/>
      <c r="AG414" s="49"/>
      <c r="AH414" s="49"/>
      <c r="AI414" s="49"/>
      <c r="AJ414" s="49"/>
      <c r="AK414" s="49"/>
      <c r="AL414" s="49"/>
      <c r="AM414" s="49"/>
      <c r="AN414" s="49"/>
      <c r="AO414" s="49"/>
      <c r="AP414" s="49"/>
      <c r="AQ414" s="49"/>
      <c r="AR414" s="49"/>
      <c r="AS414" s="49"/>
      <c r="AT414" s="49"/>
      <c r="AU414" s="49"/>
      <c r="AV414" s="49"/>
      <c r="AW414" s="49"/>
      <c r="AX414" s="49"/>
      <c r="AY414" s="49"/>
      <c r="AZ414" s="49"/>
      <c r="BA414" s="49"/>
      <c r="BB414" s="49"/>
      <c r="BC414" s="49"/>
      <c r="BD414" s="49"/>
      <c r="BE414" s="49"/>
      <c r="BF414" s="49"/>
      <c r="BG414" s="49"/>
      <c r="BH414" s="49"/>
      <c r="BI414" s="49"/>
      <c r="BJ414" s="49"/>
      <c r="BK414" s="49"/>
      <c r="BL414" s="49"/>
      <c r="BM414" s="49"/>
      <c r="BN414" s="49"/>
    </row>
    <row r="415" spans="1:66" ht="15.75">
      <c r="A415" s="699"/>
      <c r="B415" s="718" t="s">
        <v>1232</v>
      </c>
      <c r="C415" s="151"/>
      <c r="D415" s="151"/>
      <c r="E415" s="151"/>
      <c r="F415" s="718">
        <v>0</v>
      </c>
      <c r="G415" s="718">
        <f>+F415+1</f>
        <v>1</v>
      </c>
      <c r="H415" s="718">
        <f t="shared" ref="H415:Z415" si="786">+G415+1</f>
        <v>2</v>
      </c>
      <c r="I415" s="718">
        <f t="shared" si="786"/>
        <v>3</v>
      </c>
      <c r="J415" s="718">
        <f t="shared" si="786"/>
        <v>4</v>
      </c>
      <c r="K415" s="718">
        <f t="shared" si="786"/>
        <v>5</v>
      </c>
      <c r="L415" s="718">
        <f t="shared" si="786"/>
        <v>6</v>
      </c>
      <c r="M415" s="718">
        <f t="shared" si="786"/>
        <v>7</v>
      </c>
      <c r="N415" s="718">
        <f t="shared" si="786"/>
        <v>8</v>
      </c>
      <c r="O415" s="718">
        <f t="shared" si="786"/>
        <v>9</v>
      </c>
      <c r="P415" s="718">
        <f t="shared" si="786"/>
        <v>10</v>
      </c>
      <c r="Q415" s="718">
        <f t="shared" si="786"/>
        <v>11</v>
      </c>
      <c r="R415" s="718">
        <f t="shared" si="786"/>
        <v>12</v>
      </c>
      <c r="S415" s="718">
        <f t="shared" si="786"/>
        <v>13</v>
      </c>
      <c r="T415" s="718">
        <f t="shared" si="786"/>
        <v>14</v>
      </c>
      <c r="U415" s="718">
        <f t="shared" si="786"/>
        <v>15</v>
      </c>
      <c r="V415" s="718">
        <f t="shared" si="786"/>
        <v>16</v>
      </c>
      <c r="W415" s="718">
        <f t="shared" si="786"/>
        <v>17</v>
      </c>
      <c r="X415" s="718">
        <f t="shared" si="786"/>
        <v>18</v>
      </c>
      <c r="Y415" s="718">
        <f t="shared" si="786"/>
        <v>19</v>
      </c>
      <c r="Z415" s="718">
        <f t="shared" si="786"/>
        <v>20</v>
      </c>
      <c r="AA415" s="699"/>
      <c r="AB415" s="699"/>
      <c r="AC415" s="699"/>
      <c r="AD415" s="699"/>
      <c r="AE415" s="49"/>
      <c r="AF415" s="49"/>
      <c r="AG415" s="49"/>
      <c r="AH415" s="49"/>
      <c r="AI415" s="49"/>
      <c r="AJ415" s="49"/>
      <c r="AK415" s="49"/>
      <c r="AL415" s="49"/>
      <c r="AM415" s="49"/>
      <c r="AN415" s="49"/>
      <c r="AO415" s="49"/>
      <c r="AP415" s="49"/>
      <c r="AQ415" s="49"/>
      <c r="AR415" s="49"/>
      <c r="AS415" s="49"/>
      <c r="AT415" s="49"/>
      <c r="AU415" s="49"/>
      <c r="AV415" s="49"/>
      <c r="AW415" s="49"/>
      <c r="AX415" s="49"/>
      <c r="AY415" s="49"/>
      <c r="AZ415" s="49"/>
      <c r="BA415" s="49"/>
      <c r="BB415" s="49"/>
      <c r="BC415" s="49"/>
      <c r="BD415" s="49"/>
      <c r="BE415" s="49"/>
      <c r="BF415" s="49"/>
      <c r="BG415" s="49"/>
      <c r="BH415" s="49"/>
      <c r="BI415" s="49"/>
      <c r="BJ415" s="49"/>
      <c r="BK415" s="49"/>
      <c r="BL415" s="49"/>
      <c r="BM415" s="49"/>
      <c r="BN415" s="49"/>
    </row>
    <row r="416" spans="1:66" ht="15.75">
      <c r="A416" s="699"/>
      <c r="B416" s="151" t="s">
        <v>1212</v>
      </c>
      <c r="C416" s="151"/>
      <c r="D416" s="948"/>
      <c r="E416" s="948"/>
      <c r="F416" s="946">
        <f t="shared" ref="F416:Z416" ca="1" si="787">+F$323</f>
        <v>-115496090.74467814</v>
      </c>
      <c r="G416" s="946">
        <f t="shared" ca="1" si="787"/>
        <v>0</v>
      </c>
      <c r="H416" s="946">
        <f t="shared" ca="1" si="787"/>
        <v>0</v>
      </c>
      <c r="I416" s="946">
        <f t="shared" ca="1" si="787"/>
        <v>0</v>
      </c>
      <c r="J416" s="946">
        <f t="shared" ca="1" si="787"/>
        <v>0</v>
      </c>
      <c r="K416" s="946">
        <f t="shared" ca="1" si="787"/>
        <v>0</v>
      </c>
      <c r="L416" s="946">
        <f t="shared" ca="1" si="787"/>
        <v>0</v>
      </c>
      <c r="M416" s="946">
        <f t="shared" ca="1" si="787"/>
        <v>0</v>
      </c>
      <c r="N416" s="946">
        <f t="shared" ca="1" si="787"/>
        <v>0</v>
      </c>
      <c r="O416" s="946">
        <f t="shared" ca="1" si="787"/>
        <v>0</v>
      </c>
      <c r="P416" s="946">
        <f t="shared" ca="1" si="787"/>
        <v>0</v>
      </c>
      <c r="Q416" s="946">
        <f t="shared" ca="1" si="787"/>
        <v>0</v>
      </c>
      <c r="R416" s="946">
        <f t="shared" ca="1" si="787"/>
        <v>0</v>
      </c>
      <c r="S416" s="946">
        <f t="shared" ca="1" si="787"/>
        <v>0</v>
      </c>
      <c r="T416" s="946">
        <f t="shared" ca="1" si="787"/>
        <v>0</v>
      </c>
      <c r="U416" s="946">
        <f t="shared" ca="1" si="787"/>
        <v>0</v>
      </c>
      <c r="V416" s="946">
        <f t="shared" ca="1" si="787"/>
        <v>0</v>
      </c>
      <c r="W416" s="946">
        <f t="shared" ca="1" si="787"/>
        <v>0</v>
      </c>
      <c r="X416" s="946">
        <f t="shared" ca="1" si="787"/>
        <v>0</v>
      </c>
      <c r="Y416" s="946">
        <f t="shared" ca="1" si="787"/>
        <v>0</v>
      </c>
      <c r="Z416" s="946">
        <f t="shared" ca="1" si="787"/>
        <v>0</v>
      </c>
      <c r="AA416" s="699"/>
      <c r="AB416" s="699"/>
      <c r="AC416" s="699"/>
      <c r="AD416" s="699"/>
      <c r="AE416" s="49"/>
      <c r="AF416" s="49"/>
      <c r="AG416" s="49"/>
      <c r="AH416" s="49"/>
      <c r="AI416" s="49"/>
      <c r="AJ416" s="49"/>
      <c r="AK416" s="49"/>
      <c r="AL416" s="49"/>
      <c r="AM416" s="49"/>
      <c r="AN416" s="49"/>
      <c r="AO416" s="49"/>
      <c r="AP416" s="49"/>
      <c r="AQ416" s="49"/>
      <c r="AR416" s="49"/>
      <c r="AS416" s="49"/>
      <c r="AT416" s="49"/>
      <c r="AU416" s="49"/>
      <c r="AV416" s="49"/>
      <c r="AW416" s="49"/>
      <c r="AX416" s="49"/>
      <c r="AY416" s="49"/>
      <c r="AZ416" s="49"/>
      <c r="BA416" s="49"/>
      <c r="BB416" s="49"/>
      <c r="BC416" s="49"/>
      <c r="BD416" s="49"/>
      <c r="BE416" s="49"/>
      <c r="BF416" s="49"/>
      <c r="BG416" s="49"/>
      <c r="BH416" s="49"/>
      <c r="BI416" s="49"/>
      <c r="BJ416" s="49"/>
      <c r="BK416" s="49"/>
      <c r="BL416" s="49"/>
      <c r="BM416" s="49"/>
      <c r="BN416" s="49"/>
    </row>
    <row r="417" spans="1:66" ht="15.75">
      <c r="A417" s="699"/>
      <c r="B417" s="151" t="s">
        <v>1213</v>
      </c>
      <c r="C417" s="151"/>
      <c r="D417" s="948"/>
      <c r="E417" s="948"/>
      <c r="F417" s="972">
        <v>0</v>
      </c>
      <c r="G417" s="972">
        <v>0</v>
      </c>
      <c r="H417" s="972">
        <v>0</v>
      </c>
      <c r="I417" s="972">
        <v>0</v>
      </c>
      <c r="J417" s="972">
        <v>0</v>
      </c>
      <c r="K417" s="972">
        <v>0</v>
      </c>
      <c r="L417" s="972">
        <v>0</v>
      </c>
      <c r="M417" s="972">
        <v>0</v>
      </c>
      <c r="N417" s="972">
        <v>0</v>
      </c>
      <c r="O417" s="972">
        <v>0</v>
      </c>
      <c r="P417" s="972">
        <v>0</v>
      </c>
      <c r="Q417" s="972">
        <v>0</v>
      </c>
      <c r="R417" s="972">
        <v>0</v>
      </c>
      <c r="S417" s="972">
        <v>0</v>
      </c>
      <c r="T417" s="972">
        <v>0</v>
      </c>
      <c r="U417" s="972">
        <v>0</v>
      </c>
      <c r="V417" s="972">
        <v>0</v>
      </c>
      <c r="W417" s="972">
        <v>0</v>
      </c>
      <c r="X417" s="972">
        <v>0</v>
      </c>
      <c r="Y417" s="972">
        <v>0</v>
      </c>
      <c r="Z417" s="972">
        <v>0</v>
      </c>
      <c r="AA417" s="699"/>
      <c r="AB417" s="699"/>
      <c r="AC417" s="699"/>
      <c r="AD417" s="699"/>
      <c r="AE417" s="49"/>
      <c r="AF417" s="49"/>
      <c r="AG417" s="49"/>
      <c r="AH417" s="49"/>
      <c r="AI417" s="49"/>
      <c r="AJ417" s="49"/>
      <c r="AK417" s="49"/>
      <c r="AL417" s="49"/>
      <c r="AM417" s="49"/>
      <c r="AN417" s="49"/>
      <c r="AO417" s="49"/>
      <c r="AP417" s="49"/>
      <c r="AQ417" s="49"/>
      <c r="AR417" s="49"/>
      <c r="AS417" s="49"/>
      <c r="AT417" s="49"/>
      <c r="AU417" s="49"/>
      <c r="AV417" s="49"/>
      <c r="AW417" s="49"/>
      <c r="AX417" s="49"/>
      <c r="AY417" s="49"/>
      <c r="AZ417" s="49"/>
      <c r="BA417" s="49"/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</row>
    <row r="418" spans="1:66" ht="15.75">
      <c r="A418" s="699"/>
      <c r="B418" s="151" t="s">
        <v>1214</v>
      </c>
      <c r="C418" s="151"/>
      <c r="D418" s="948"/>
      <c r="E418" s="948"/>
      <c r="F418" s="972">
        <v>0</v>
      </c>
      <c r="G418" s="972">
        <v>0</v>
      </c>
      <c r="H418" s="972">
        <v>0</v>
      </c>
      <c r="I418" s="972">
        <v>0</v>
      </c>
      <c r="J418" s="972">
        <v>0</v>
      </c>
      <c r="K418" s="972">
        <v>0</v>
      </c>
      <c r="L418" s="972">
        <v>0</v>
      </c>
      <c r="M418" s="972">
        <v>0</v>
      </c>
      <c r="N418" s="972">
        <v>0</v>
      </c>
      <c r="O418" s="972">
        <v>0</v>
      </c>
      <c r="P418" s="972">
        <v>0</v>
      </c>
      <c r="Q418" s="972">
        <v>0</v>
      </c>
      <c r="R418" s="972">
        <v>0</v>
      </c>
      <c r="S418" s="972">
        <v>0</v>
      </c>
      <c r="T418" s="972">
        <v>0</v>
      </c>
      <c r="U418" s="972">
        <v>0</v>
      </c>
      <c r="V418" s="972">
        <v>0</v>
      </c>
      <c r="W418" s="972">
        <v>0</v>
      </c>
      <c r="X418" s="972">
        <v>0</v>
      </c>
      <c r="Y418" s="972">
        <v>0</v>
      </c>
      <c r="Z418" s="972">
        <v>0</v>
      </c>
      <c r="AA418" s="699"/>
      <c r="AB418" s="699"/>
      <c r="AC418" s="699"/>
      <c r="AD418" s="699"/>
      <c r="AE418" s="49"/>
      <c r="AF418" s="49"/>
      <c r="AG418" s="49"/>
      <c r="AH418" s="49"/>
      <c r="AI418" s="49"/>
      <c r="AJ418" s="49"/>
      <c r="AK418" s="49"/>
      <c r="AL418" s="49"/>
      <c r="AM418" s="49"/>
      <c r="AN418" s="49"/>
      <c r="AO418" s="49"/>
      <c r="AP418" s="49"/>
      <c r="AQ418" s="49"/>
      <c r="AR418" s="49"/>
      <c r="AS418" s="49"/>
      <c r="AT418" s="49"/>
      <c r="AU418" s="49"/>
      <c r="AV418" s="49"/>
      <c r="AW418" s="49"/>
      <c r="AX418" s="49"/>
      <c r="AY418" s="49"/>
      <c r="AZ418" s="49"/>
      <c r="BA418" s="49"/>
      <c r="BB418" s="49"/>
      <c r="BC418" s="49"/>
      <c r="BD418" s="49"/>
      <c r="BE418" s="49"/>
      <c r="BF418" s="49"/>
      <c r="BG418" s="49"/>
      <c r="BH418" s="49"/>
      <c r="BI418" s="49"/>
      <c r="BJ418" s="49"/>
      <c r="BK418" s="49"/>
      <c r="BL418" s="49"/>
      <c r="BM418" s="49"/>
      <c r="BN418" s="49"/>
    </row>
    <row r="419" spans="1:66" ht="15.75">
      <c r="A419" s="699"/>
      <c r="B419" s="151" t="s">
        <v>1233</v>
      </c>
      <c r="C419" s="151"/>
      <c r="D419" s="948"/>
      <c r="E419" s="948"/>
      <c r="F419" s="972">
        <f ca="1">-SUM(F446:F447)*Assumptions!$BT$178</f>
        <v>0</v>
      </c>
      <c r="G419" s="972">
        <f ca="1">-SUM(G446:G447)*Assumptions!$BT$178</f>
        <v>0</v>
      </c>
      <c r="H419" s="972">
        <f ca="1">-SUM(H446:H447)*Assumptions!$BT$178</f>
        <v>0</v>
      </c>
      <c r="I419" s="972">
        <f ca="1">-SUM(I446:I447)*Assumptions!$BT$178</f>
        <v>0</v>
      </c>
      <c r="J419" s="972">
        <f ca="1">-SUM(J446:J447)*Assumptions!$BT$178</f>
        <v>0</v>
      </c>
      <c r="K419" s="972" t="e">
        <f ca="1">-SUM(K446:K447)*Assumptions!$BT$178</f>
        <v>#DIV/0!</v>
      </c>
      <c r="L419" s="972" t="e">
        <f ca="1">-SUM(L446:L447)*Assumptions!$BT$178</f>
        <v>#DIV/0!</v>
      </c>
      <c r="M419" s="972" t="e">
        <f ca="1">-SUM(M446:M447)*Assumptions!$BT$178</f>
        <v>#DIV/0!</v>
      </c>
      <c r="N419" s="972" t="e">
        <f ca="1">-SUM(N446:N447)*Assumptions!$BT$178</f>
        <v>#DIV/0!</v>
      </c>
      <c r="O419" s="972" t="e">
        <f ca="1">-SUM(O446:O447)*Assumptions!$BT$178</f>
        <v>#DIV/0!</v>
      </c>
      <c r="P419" s="972" t="e">
        <f ca="1">-SUM(P446:P447)*Assumptions!$BT$178</f>
        <v>#DIV/0!</v>
      </c>
      <c r="Q419" s="972">
        <f>-SUM(Q446:Q447)*Assumptions!$BT$178</f>
        <v>0</v>
      </c>
      <c r="R419" s="972">
        <f>-SUM(R446:R447)*Assumptions!$BT$178</f>
        <v>0</v>
      </c>
      <c r="S419" s="972">
        <f>-SUM(S446:S447)*Assumptions!$BT$178</f>
        <v>0</v>
      </c>
      <c r="T419" s="972">
        <f>-SUM(T446:T447)*Assumptions!$BT$178</f>
        <v>0</v>
      </c>
      <c r="U419" s="972">
        <f>-SUM(U446:U447)*Assumptions!$BT$178</f>
        <v>0</v>
      </c>
      <c r="V419" s="972">
        <f>-SUM(V446:V447)*Assumptions!$BT$178</f>
        <v>0</v>
      </c>
      <c r="W419" s="972">
        <f>-SUM(W446:W447)*Assumptions!$BT$178</f>
        <v>0</v>
      </c>
      <c r="X419" s="972">
        <f>-SUM(X446:X447)*Assumptions!$BT$178</f>
        <v>0</v>
      </c>
      <c r="Y419" s="972">
        <f>-SUM(Y446:Y447)*Assumptions!$BT$178</f>
        <v>0</v>
      </c>
      <c r="Z419" s="972">
        <f>-SUM(Z446:Z447)*Assumptions!$BT$178</f>
        <v>0</v>
      </c>
      <c r="AA419" s="699"/>
      <c r="AB419" s="699"/>
      <c r="AC419" s="699"/>
      <c r="AD419" s="699"/>
      <c r="AE419" s="49"/>
      <c r="AF419" s="49"/>
      <c r="AG419" s="49"/>
      <c r="AH419" s="49"/>
      <c r="AI419" s="49"/>
      <c r="AJ419" s="49"/>
      <c r="AK419" s="49"/>
      <c r="AL419" s="49"/>
      <c r="AM419" s="49"/>
      <c r="AN419" s="49"/>
      <c r="AO419" s="49"/>
      <c r="AP419" s="49"/>
      <c r="AQ419" s="49"/>
      <c r="AR419" s="49"/>
      <c r="AS419" s="49"/>
      <c r="AT419" s="49"/>
      <c r="AU419" s="49"/>
      <c r="AV419" s="49"/>
      <c r="AW419" s="49"/>
      <c r="AX419" s="49"/>
      <c r="AY419" s="49"/>
      <c r="AZ419" s="49"/>
      <c r="BA419" s="49"/>
      <c r="BB419" s="49"/>
      <c r="BC419" s="49"/>
      <c r="BD419" s="49"/>
      <c r="BE419" s="49"/>
      <c r="BF419" s="49"/>
      <c r="BG419" s="49"/>
      <c r="BH419" s="49"/>
      <c r="BI419" s="49"/>
      <c r="BJ419" s="49"/>
      <c r="BK419" s="49"/>
      <c r="BL419" s="49"/>
      <c r="BM419" s="49"/>
      <c r="BN419" s="49"/>
    </row>
    <row r="420" spans="1:66" ht="15.75">
      <c r="A420" s="699"/>
      <c r="B420" s="151" t="s">
        <v>1234</v>
      </c>
      <c r="C420" s="151"/>
      <c r="D420" s="948"/>
      <c r="E420" s="948"/>
      <c r="F420" s="972">
        <f ca="1">+IF(YEAR(F$373)&lt;=YEAR(Assumptions!$F$35),F283+AQ176+F210+F141,0)</f>
        <v>0</v>
      </c>
      <c r="G420" s="972">
        <f ca="1">+IF(YEAR(G$373)&lt;=YEAR(Assumptions!$F$35),G283+AR176+G210+G141,0)</f>
        <v>0</v>
      </c>
      <c r="H420" s="972">
        <f ca="1">+IF(YEAR(H$373)&lt;=YEAR(Assumptions!$F$35),H283+AS176+H210+H141,0)</f>
        <v>0</v>
      </c>
      <c r="I420" s="972">
        <f ca="1">+IF(YEAR(I$373)&lt;=YEAR(Assumptions!$F$35),I283+AT176+I210+I141,0)</f>
        <v>0</v>
      </c>
      <c r="J420" s="972">
        <f ca="1">+IF(YEAR(J$373)&lt;=YEAR(Assumptions!$F$35),J283+AU176+J210+J141,0)</f>
        <v>-16661318.04632538</v>
      </c>
      <c r="K420" s="972">
        <f ca="1">+IF(YEAR(K$373)&lt;=YEAR(Assumptions!$F$35),K283+AV176+K210+K141,0)</f>
        <v>-3994093.2095648702</v>
      </c>
      <c r="L420" s="972">
        <f ca="1">+IF(YEAR(L$373)&lt;=YEAR(Assumptions!$F$35),L283+AW176+L210+L141,0)</f>
        <v>4224030.0426707231</v>
      </c>
      <c r="M420" s="972">
        <f ca="1">+IF(YEAR(M$373)&lt;=YEAR(Assumptions!$F$35),M283+AX176+M210+M141,0)</f>
        <v>5756580.6697915234</v>
      </c>
      <c r="N420" s="972">
        <f ca="1">+IF(YEAR(N$373)&lt;=YEAR(Assumptions!$F$35),N283+AY176+N210+N141,0)</f>
        <v>6274115.0239319913</v>
      </c>
      <c r="O420" s="972">
        <f ca="1">+IF(YEAR(O$373)&lt;=YEAR(Assumptions!$F$35),O283+AZ176+O210+O141,0)</f>
        <v>6807175.4086966775</v>
      </c>
      <c r="P420" s="972">
        <f ca="1">+IF(YEAR(P$373)&lt;=YEAR(Assumptions!$F$35),P283+BA176+P210+P141,0)</f>
        <v>7259827.266371008</v>
      </c>
      <c r="Q420" s="972">
        <f>+IF(YEAR(Q$373)&lt;=YEAR(Assumptions!$F$35),Q283+BB176+Q210+Q141,0)</f>
        <v>0</v>
      </c>
      <c r="R420" s="972">
        <f>+IF(YEAR(R$373)&lt;=YEAR(Assumptions!$F$35),R283+BC176+R210+R141,0)</f>
        <v>0</v>
      </c>
      <c r="S420" s="972">
        <f>+IF(YEAR(S$373)&lt;=YEAR(Assumptions!$F$35),S283+BD176+S210+S141,0)</f>
        <v>0</v>
      </c>
      <c r="T420" s="972">
        <f>+IF(YEAR(T$373)&lt;=YEAR(Assumptions!$F$35),T283+BE176+T210+T141,0)</f>
        <v>0</v>
      </c>
      <c r="U420" s="972">
        <f>+IF(YEAR(U$373)&lt;=YEAR(Assumptions!$F$35),U283+BF176+U210+U141,0)</f>
        <v>0</v>
      </c>
      <c r="V420" s="972">
        <f>+IF(YEAR(V$373)&lt;=YEAR(Assumptions!$F$35),V283+BG176+V210+V141,0)</f>
        <v>0</v>
      </c>
      <c r="W420" s="972">
        <f>+IF(YEAR(W$373)&lt;=YEAR(Assumptions!$F$35),W283+BH176+W210+W141,0)</f>
        <v>0</v>
      </c>
      <c r="X420" s="972">
        <f>+IF(YEAR(X$373)&lt;=YEAR(Assumptions!$F$35),X283+BI176+X210+X141,0)</f>
        <v>0</v>
      </c>
      <c r="Y420" s="972">
        <f>+IF(YEAR(Y$373)&lt;=YEAR(Assumptions!$F$35),Y283+BJ176+Y210+Y141,0)</f>
        <v>0</v>
      </c>
      <c r="Z420" s="972">
        <f>+IF(YEAR(Z$373)&lt;=YEAR(Assumptions!$F$35),Z283+BK176+Z210+Z141,0)</f>
        <v>0</v>
      </c>
      <c r="AA420" s="699"/>
      <c r="AB420" s="699"/>
      <c r="AC420" s="699"/>
      <c r="AD420" s="699"/>
      <c r="AE420" s="49"/>
      <c r="AF420" s="49"/>
      <c r="AG420" s="49"/>
      <c r="AH420" s="49"/>
      <c r="AI420" s="49"/>
      <c r="AJ420" s="49"/>
      <c r="AK420" s="49"/>
      <c r="AL420" s="49"/>
      <c r="AM420" s="49"/>
      <c r="AN420" s="49"/>
      <c r="AO420" s="49"/>
      <c r="AP420" s="49"/>
      <c r="AQ420" s="49"/>
      <c r="AR420" s="49"/>
      <c r="AS420" s="49"/>
      <c r="AT420" s="49"/>
      <c r="AU420" s="49"/>
      <c r="AV420" s="49"/>
      <c r="AW420" s="49"/>
      <c r="AX420" s="49"/>
      <c r="AY420" s="49"/>
      <c r="AZ420" s="49"/>
      <c r="BA420" s="49"/>
      <c r="BB420" s="49"/>
      <c r="BC420" s="49"/>
      <c r="BD420" s="49"/>
      <c r="BE420" s="49"/>
      <c r="BF420" s="49"/>
      <c r="BG420" s="49"/>
      <c r="BH420" s="49"/>
      <c r="BI420" s="49"/>
      <c r="BJ420" s="49"/>
      <c r="BK420" s="49"/>
      <c r="BL420" s="49"/>
      <c r="BM420" s="49"/>
      <c r="BN420" s="49"/>
    </row>
    <row r="421" spans="1:66" ht="15.75">
      <c r="A421" s="699"/>
      <c r="B421" s="151" t="s">
        <v>1235</v>
      </c>
      <c r="C421" s="151"/>
      <c r="D421" s="948"/>
      <c r="E421" s="948"/>
      <c r="F421" s="972">
        <f>-IF(YEAR(F$373)&lt;=YEAR(Assumptions!$F$35),F449,0)</f>
        <v>0</v>
      </c>
      <c r="G421" s="972">
        <f>-IF(YEAR(G$373)&lt;=YEAR(Assumptions!$F$35),G449,0)</f>
        <v>0</v>
      </c>
      <c r="H421" s="972">
        <f>-IF(YEAR(H$373)&lt;=YEAR(Assumptions!$F$35),H449,0)</f>
        <v>0</v>
      </c>
      <c r="I421" s="972">
        <f>-IF(YEAR(I$373)&lt;=YEAR(Assumptions!$F$35),I449,0)</f>
        <v>0</v>
      </c>
      <c r="J421" s="972">
        <f ca="1">-IF(YEAR(J$373)&lt;=YEAR(Assumptions!$F$35),J449,0)</f>
        <v>0</v>
      </c>
      <c r="K421" s="972">
        <f>-IF(YEAR(K$373)&lt;=YEAR(Assumptions!$F$35),K449,0)</f>
        <v>0</v>
      </c>
      <c r="L421" s="972">
        <f>-IF(YEAR(L$373)&lt;=YEAR(Assumptions!$F$35),L449,0)</f>
        <v>0</v>
      </c>
      <c r="M421" s="972">
        <f>-IF(YEAR(M$373)&lt;=YEAR(Assumptions!$F$35),M449,0)</f>
        <v>0</v>
      </c>
      <c r="N421" s="972">
        <f>-IF(YEAR(N$373)&lt;=YEAR(Assumptions!$F$35),N449,0)</f>
        <v>0</v>
      </c>
      <c r="O421" s="972">
        <f>-IF(YEAR(O$373)&lt;=YEAR(Assumptions!$F$35),O449,0)</f>
        <v>0</v>
      </c>
      <c r="P421" s="972">
        <f ca="1">-IF(YEAR(P$373)&lt;=YEAR(Assumptions!$F$35),P449,0)</f>
        <v>281692721.68905497</v>
      </c>
      <c r="Q421" s="972">
        <f>+IF(YEAR(Q$373)&lt;=YEAR(Assumptions!$F$35),Q449,0)</f>
        <v>0</v>
      </c>
      <c r="R421" s="972">
        <f>+IF(YEAR(R$373)&lt;=YEAR(Assumptions!$F$35),R449,0)</f>
        <v>0</v>
      </c>
      <c r="S421" s="972">
        <f>+IF(YEAR(S$373)&lt;=YEAR(Assumptions!$F$35),S449,0)</f>
        <v>0</v>
      </c>
      <c r="T421" s="972">
        <f>+IF(YEAR(T$373)&lt;=YEAR(Assumptions!$F$35),T449,0)</f>
        <v>0</v>
      </c>
      <c r="U421" s="972">
        <f>+IF(YEAR(U$373)&lt;=YEAR(Assumptions!$F$35),U449,0)</f>
        <v>0</v>
      </c>
      <c r="V421" s="972">
        <f>+IF(YEAR(V$373)&lt;=YEAR(Assumptions!$F$35),V449,0)</f>
        <v>0</v>
      </c>
      <c r="W421" s="972">
        <f>+IF(YEAR(W$373)&lt;=YEAR(Assumptions!$F$35),W449,0)</f>
        <v>0</v>
      </c>
      <c r="X421" s="972">
        <f>+IF(YEAR(X$373)&lt;=YEAR(Assumptions!$F$35),X449,0)</f>
        <v>0</v>
      </c>
      <c r="Y421" s="972">
        <f>+IF(YEAR(Y$373)&lt;=YEAR(Assumptions!$F$35),Y449,0)</f>
        <v>0</v>
      </c>
      <c r="Z421" s="972">
        <f>+IF(YEAR(Z$373)&lt;=YEAR(Assumptions!$F$35),Z449,0)</f>
        <v>0</v>
      </c>
      <c r="AA421" s="699"/>
      <c r="AB421" s="699"/>
      <c r="AC421" s="699"/>
      <c r="AD421" s="699"/>
      <c r="AE421" s="49"/>
      <c r="AF421" s="49"/>
      <c r="AG421" s="49"/>
      <c r="AH421" s="49"/>
      <c r="AI421" s="49"/>
      <c r="AJ421" s="49"/>
      <c r="AK421" s="49"/>
      <c r="AL421" s="49"/>
      <c r="AM421" s="49"/>
      <c r="AN421" s="49"/>
      <c r="AO421" s="49"/>
      <c r="AP421" s="49"/>
      <c r="AQ421" s="49"/>
      <c r="AR421" s="49"/>
      <c r="AS421" s="49"/>
      <c r="AT421" s="49"/>
      <c r="AU421" s="49"/>
      <c r="AV421" s="49"/>
      <c r="AW421" s="49"/>
      <c r="AX421" s="49"/>
      <c r="AY421" s="49"/>
      <c r="AZ421" s="49"/>
      <c r="BA421" s="49"/>
      <c r="BB421" s="49"/>
      <c r="BC421" s="49"/>
      <c r="BD421" s="49"/>
      <c r="BE421" s="49"/>
      <c r="BF421" s="49"/>
      <c r="BG421" s="49"/>
      <c r="BH421" s="49"/>
      <c r="BI421" s="49"/>
      <c r="BJ421" s="49"/>
      <c r="BK421" s="49"/>
      <c r="BL421" s="49"/>
      <c r="BM421" s="49"/>
      <c r="BN421" s="49"/>
    </row>
    <row r="422" spans="1:66" ht="15.75">
      <c r="A422" s="699"/>
      <c r="B422" s="151" t="s">
        <v>1218</v>
      </c>
      <c r="C422" s="151"/>
      <c r="D422" s="948"/>
      <c r="E422" s="948"/>
      <c r="F422" s="972">
        <f>-F450*Assumptions!$BT$178</f>
        <v>0</v>
      </c>
      <c r="G422" s="972">
        <f>-G450*Assumptions!$BT$178</f>
        <v>0</v>
      </c>
      <c r="H422" s="972">
        <f>-H450*Assumptions!$BT$178</f>
        <v>0</v>
      </c>
      <c r="I422" s="972">
        <f>-I450*Assumptions!$BT$178</f>
        <v>0</v>
      </c>
      <c r="J422" s="972">
        <f>-J450*Assumptions!$BT$178</f>
        <v>0</v>
      </c>
      <c r="K422" s="972">
        <f>-K450*Assumptions!$BT$178</f>
        <v>0</v>
      </c>
      <c r="L422" s="972">
        <f>-L450*Assumptions!$BT$178</f>
        <v>0</v>
      </c>
      <c r="M422" s="972">
        <f>-M450*Assumptions!$BT$178</f>
        <v>0</v>
      </c>
      <c r="N422" s="972">
        <f>-N450*Assumptions!$BT$178</f>
        <v>0</v>
      </c>
      <c r="O422" s="972">
        <f>-O450*Assumptions!$BT$178</f>
        <v>0</v>
      </c>
      <c r="P422" s="972" t="e">
        <f ca="1">-P450*Assumptions!$BT$178</f>
        <v>#DIV/0!</v>
      </c>
      <c r="Q422" s="972">
        <f>-Q450*Assumptions!$BT$178</f>
        <v>0</v>
      </c>
      <c r="R422" s="972">
        <f>-R450*Assumptions!$BT$178</f>
        <v>0</v>
      </c>
      <c r="S422" s="972">
        <f>-S450*Assumptions!$BT$178</f>
        <v>0</v>
      </c>
      <c r="T422" s="972">
        <f>-T450*Assumptions!$BT$178</f>
        <v>0</v>
      </c>
      <c r="U422" s="972">
        <f>-U450*Assumptions!$BT$178</f>
        <v>0</v>
      </c>
      <c r="V422" s="972">
        <f>-V450*Assumptions!$BT$178</f>
        <v>0</v>
      </c>
      <c r="W422" s="972">
        <f>-W450*Assumptions!$BT$178</f>
        <v>0</v>
      </c>
      <c r="X422" s="972">
        <f>-X450*Assumptions!$BT$178</f>
        <v>0</v>
      </c>
      <c r="Y422" s="972">
        <f>-Y450*Assumptions!$BT$178</f>
        <v>0</v>
      </c>
      <c r="Z422" s="972">
        <f>-Z450*Assumptions!$BT$178</f>
        <v>0</v>
      </c>
      <c r="AA422" s="699"/>
      <c r="AB422" s="699"/>
      <c r="AC422" s="699"/>
      <c r="AD422" s="699"/>
      <c r="AE422" s="49"/>
      <c r="AF422" s="49"/>
      <c r="AG422" s="49"/>
      <c r="AH422" s="49"/>
      <c r="AI422" s="49"/>
      <c r="AJ422" s="49"/>
      <c r="AK422" s="49"/>
      <c r="AL422" s="49"/>
      <c r="AM422" s="49"/>
      <c r="AN422" s="49"/>
      <c r="AO422" s="49"/>
      <c r="AP422" s="49"/>
      <c r="AQ422" s="49"/>
      <c r="AR422" s="49"/>
      <c r="AS422" s="49"/>
      <c r="AT422" s="49"/>
      <c r="AU422" s="49"/>
      <c r="AV422" s="49"/>
      <c r="AW422" s="49"/>
      <c r="AX422" s="49"/>
      <c r="AY422" s="49"/>
      <c r="AZ422" s="49"/>
      <c r="BA422" s="49"/>
      <c r="BB422" s="49"/>
      <c r="BC422" s="49"/>
      <c r="BD422" s="49"/>
      <c r="BE422" s="49"/>
      <c r="BF422" s="49"/>
      <c r="BG422" s="49"/>
      <c r="BH422" s="49"/>
      <c r="BI422" s="49"/>
      <c r="BJ422" s="49"/>
      <c r="BK422" s="49"/>
      <c r="BL422" s="49"/>
      <c r="BM422" s="49"/>
      <c r="BN422" s="49"/>
    </row>
    <row r="423" spans="1:66" ht="15.75">
      <c r="A423" s="699"/>
      <c r="B423" s="718" t="s">
        <v>1211</v>
      </c>
      <c r="C423" s="718"/>
      <c r="D423" s="948" t="e">
        <f ca="1">+SUM(F423:Z423)</f>
        <v>#DIV/0!</v>
      </c>
      <c r="E423" s="948"/>
      <c r="F423" s="948">
        <f ca="1">+SUM(F416:F422)</f>
        <v>-115496090.74467814</v>
      </c>
      <c r="G423" s="948">
        <f t="shared" ref="G423:Z423" ca="1" si="788">+SUM(G416:G422)</f>
        <v>0</v>
      </c>
      <c r="H423" s="948">
        <f t="shared" ca="1" si="788"/>
        <v>0</v>
      </c>
      <c r="I423" s="948">
        <f t="shared" ca="1" si="788"/>
        <v>0</v>
      </c>
      <c r="J423" s="948">
        <f t="shared" ca="1" si="788"/>
        <v>-16661318.04632538</v>
      </c>
      <c r="K423" s="948" t="e">
        <f t="shared" ca="1" si="788"/>
        <v>#DIV/0!</v>
      </c>
      <c r="L423" s="948" t="e">
        <f t="shared" ca="1" si="788"/>
        <v>#DIV/0!</v>
      </c>
      <c r="M423" s="948" t="e">
        <f t="shared" ca="1" si="788"/>
        <v>#DIV/0!</v>
      </c>
      <c r="N423" s="948" t="e">
        <f t="shared" ca="1" si="788"/>
        <v>#DIV/0!</v>
      </c>
      <c r="O423" s="948" t="e">
        <f t="shared" ca="1" si="788"/>
        <v>#DIV/0!</v>
      </c>
      <c r="P423" s="948" t="e">
        <f t="shared" ca="1" si="788"/>
        <v>#DIV/0!</v>
      </c>
      <c r="Q423" s="948">
        <f t="shared" ca="1" si="788"/>
        <v>0</v>
      </c>
      <c r="R423" s="948">
        <f t="shared" ca="1" si="788"/>
        <v>0</v>
      </c>
      <c r="S423" s="948">
        <f t="shared" ca="1" si="788"/>
        <v>0</v>
      </c>
      <c r="T423" s="948">
        <f t="shared" ca="1" si="788"/>
        <v>0</v>
      </c>
      <c r="U423" s="948">
        <f t="shared" ca="1" si="788"/>
        <v>0</v>
      </c>
      <c r="V423" s="948">
        <f t="shared" ca="1" si="788"/>
        <v>0</v>
      </c>
      <c r="W423" s="948">
        <f t="shared" ca="1" si="788"/>
        <v>0</v>
      </c>
      <c r="X423" s="948">
        <f t="shared" ca="1" si="788"/>
        <v>0</v>
      </c>
      <c r="Y423" s="948">
        <f t="shared" ca="1" si="788"/>
        <v>0</v>
      </c>
      <c r="Z423" s="948">
        <f t="shared" ca="1" si="788"/>
        <v>0</v>
      </c>
      <c r="AA423" s="699"/>
      <c r="AB423" s="699"/>
      <c r="AC423" s="699"/>
      <c r="AD423" s="699"/>
      <c r="AE423" s="49"/>
      <c r="AF423" s="49"/>
      <c r="AG423" s="49"/>
      <c r="AH423" s="49"/>
      <c r="AI423" s="49"/>
      <c r="AJ423" s="49"/>
      <c r="AK423" s="49"/>
      <c r="AL423" s="49"/>
      <c r="AM423" s="49"/>
      <c r="AN423" s="49"/>
      <c r="AO423" s="49"/>
      <c r="AP423" s="49"/>
      <c r="AQ423" s="49"/>
      <c r="AR423" s="49"/>
      <c r="AS423" s="49"/>
      <c r="AT423" s="49"/>
      <c r="AU423" s="49"/>
      <c r="AV423" s="49"/>
      <c r="AW423" s="49"/>
      <c r="AX423" s="49"/>
      <c r="AY423" s="49"/>
      <c r="AZ423" s="49"/>
      <c r="BA423" s="49"/>
      <c r="BB423" s="49"/>
      <c r="BC423" s="49"/>
      <c r="BD423" s="49"/>
      <c r="BE423" s="49"/>
      <c r="BF423" s="49"/>
      <c r="BG423" s="49"/>
      <c r="BH423" s="49"/>
      <c r="BI423" s="49"/>
      <c r="BJ423" s="49"/>
      <c r="BK423" s="49"/>
      <c r="BL423" s="49"/>
      <c r="BM423" s="49"/>
      <c r="BN423" s="49"/>
    </row>
    <row r="424" spans="1:66" ht="15.75">
      <c r="A424" s="699"/>
      <c r="B424" s="718"/>
      <c r="C424" s="151"/>
      <c r="D424" s="151"/>
      <c r="E424" s="151"/>
      <c r="F424" s="151"/>
      <c r="G424" s="151"/>
      <c r="H424" s="151"/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699"/>
      <c r="AB424" s="699"/>
      <c r="AC424" s="699"/>
      <c r="AD424" s="699"/>
      <c r="AE424" s="49"/>
      <c r="AF424" s="49"/>
      <c r="AG424" s="49"/>
      <c r="AH424" s="49"/>
      <c r="AI424" s="49"/>
      <c r="AJ424" s="49"/>
      <c r="AK424" s="49"/>
      <c r="AL424" s="49"/>
      <c r="AM424" s="49"/>
      <c r="AN424" s="49"/>
      <c r="AO424" s="49"/>
      <c r="AP424" s="49"/>
      <c r="AQ424" s="49"/>
      <c r="AR424" s="49"/>
      <c r="AS424" s="49"/>
      <c r="AT424" s="49"/>
      <c r="AU424" s="49"/>
      <c r="AV424" s="49"/>
      <c r="AW424" s="49"/>
      <c r="AX424" s="49"/>
      <c r="AY424" s="49"/>
      <c r="AZ424" s="49"/>
      <c r="BA424" s="49"/>
      <c r="BB424" s="49"/>
      <c r="BC424" s="49"/>
      <c r="BD424" s="49"/>
      <c r="BE424" s="49"/>
      <c r="BF424" s="49"/>
      <c r="BG424" s="49"/>
      <c r="BH424" s="49"/>
      <c r="BI424" s="49"/>
      <c r="BJ424" s="49"/>
      <c r="BK424" s="49"/>
      <c r="BL424" s="49"/>
      <c r="BM424" s="49"/>
      <c r="BN424" s="49"/>
    </row>
    <row r="425" spans="1:66" ht="15.75">
      <c r="A425" s="699"/>
      <c r="B425" s="718" t="s">
        <v>1236</v>
      </c>
      <c r="C425" s="718"/>
      <c r="D425" s="966" t="e">
        <f ca="1">+IRR(F423:Z423)</f>
        <v>#VALUE!</v>
      </c>
      <c r="E425" s="151"/>
      <c r="F425" s="151"/>
      <c r="G425" s="946"/>
      <c r="H425" s="151"/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699"/>
      <c r="AB425" s="699"/>
      <c r="AC425" s="699"/>
      <c r="AD425" s="699"/>
      <c r="AE425" s="49"/>
      <c r="AF425" s="49"/>
      <c r="AG425" s="49"/>
      <c r="AH425" s="49"/>
      <c r="AI425" s="49"/>
      <c r="AJ425" s="49"/>
      <c r="AK425" s="49"/>
      <c r="AL425" s="49"/>
      <c r="AM425" s="49"/>
      <c r="AN425" s="49"/>
      <c r="AO425" s="49"/>
      <c r="AP425" s="49"/>
      <c r="AQ425" s="49"/>
      <c r="AR425" s="49"/>
      <c r="AS425" s="49"/>
      <c r="AT425" s="49"/>
      <c r="AU425" s="49"/>
      <c r="AV425" s="49"/>
      <c r="AW425" s="49"/>
      <c r="AX425" s="49"/>
      <c r="AY425" s="49"/>
      <c r="AZ425" s="49"/>
      <c r="BA425" s="49"/>
      <c r="BB425" s="49"/>
      <c r="BC425" s="49"/>
      <c r="BD425" s="49"/>
      <c r="BE425" s="49"/>
      <c r="BF425" s="49"/>
      <c r="BG425" s="49"/>
      <c r="BH425" s="49"/>
      <c r="BI425" s="49"/>
      <c r="BJ425" s="49"/>
      <c r="BK425" s="49"/>
      <c r="BL425" s="49"/>
      <c r="BM425" s="49"/>
      <c r="BN425" s="49"/>
    </row>
    <row r="426" spans="1:66" ht="15.75">
      <c r="A426" s="699"/>
      <c r="B426" s="718"/>
      <c r="C426" s="151"/>
      <c r="D426" s="748"/>
      <c r="E426" s="151"/>
      <c r="F426" s="151"/>
      <c r="G426" s="151"/>
      <c r="H426" s="151"/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699"/>
      <c r="AB426" s="699"/>
      <c r="AC426" s="699"/>
      <c r="AD426" s="699"/>
      <c r="AE426" s="49"/>
      <c r="AF426" s="49"/>
      <c r="AG426" s="49"/>
      <c r="AH426" s="49"/>
      <c r="AI426" s="49"/>
      <c r="AJ426" s="49"/>
      <c r="AK426" s="49"/>
      <c r="AL426" s="49"/>
      <c r="AM426" s="49"/>
      <c r="AN426" s="49"/>
      <c r="AO426" s="49"/>
      <c r="AP426" s="49"/>
      <c r="AQ426" s="49"/>
      <c r="AR426" s="49"/>
      <c r="AS426" s="49"/>
      <c r="AT426" s="49"/>
      <c r="AU426" s="49"/>
      <c r="AV426" s="49"/>
      <c r="AW426" s="49"/>
      <c r="AX426" s="49"/>
      <c r="AY426" s="49"/>
      <c r="AZ426" s="49"/>
      <c r="BA426" s="49"/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49"/>
      <c r="BM426" s="49"/>
      <c r="BN426" s="49"/>
    </row>
    <row r="427" spans="1:66" ht="15.75">
      <c r="A427" s="699"/>
      <c r="B427" s="718" t="s">
        <v>1237</v>
      </c>
      <c r="C427" s="151"/>
      <c r="D427" s="151"/>
      <c r="E427" s="151"/>
      <c r="F427" s="718">
        <f>+F415</f>
        <v>0</v>
      </c>
      <c r="G427" s="718">
        <f t="shared" ref="G427:Z427" si="789">+G415</f>
        <v>1</v>
      </c>
      <c r="H427" s="718">
        <f t="shared" si="789"/>
        <v>2</v>
      </c>
      <c r="I427" s="718">
        <f t="shared" si="789"/>
        <v>3</v>
      </c>
      <c r="J427" s="718">
        <f t="shared" si="789"/>
        <v>4</v>
      </c>
      <c r="K427" s="718">
        <f t="shared" si="789"/>
        <v>5</v>
      </c>
      <c r="L427" s="718">
        <f t="shared" si="789"/>
        <v>6</v>
      </c>
      <c r="M427" s="718">
        <f t="shared" si="789"/>
        <v>7</v>
      </c>
      <c r="N427" s="718">
        <f t="shared" si="789"/>
        <v>8</v>
      </c>
      <c r="O427" s="718">
        <f t="shared" si="789"/>
        <v>9</v>
      </c>
      <c r="P427" s="718">
        <f t="shared" si="789"/>
        <v>10</v>
      </c>
      <c r="Q427" s="718">
        <f t="shared" si="789"/>
        <v>11</v>
      </c>
      <c r="R427" s="718">
        <f t="shared" si="789"/>
        <v>12</v>
      </c>
      <c r="S427" s="718">
        <f t="shared" si="789"/>
        <v>13</v>
      </c>
      <c r="T427" s="718">
        <f t="shared" si="789"/>
        <v>14</v>
      </c>
      <c r="U427" s="718">
        <f t="shared" si="789"/>
        <v>15</v>
      </c>
      <c r="V427" s="718">
        <f t="shared" si="789"/>
        <v>16</v>
      </c>
      <c r="W427" s="718">
        <f t="shared" si="789"/>
        <v>17</v>
      </c>
      <c r="X427" s="718">
        <f t="shared" si="789"/>
        <v>18</v>
      </c>
      <c r="Y427" s="718">
        <f t="shared" si="789"/>
        <v>19</v>
      </c>
      <c r="Z427" s="718">
        <f t="shared" si="789"/>
        <v>20</v>
      </c>
      <c r="AA427" s="699"/>
      <c r="AB427" s="699"/>
      <c r="AC427" s="699"/>
      <c r="AD427" s="699"/>
      <c r="AE427" s="49"/>
      <c r="AF427" s="49"/>
      <c r="AG427" s="49"/>
      <c r="AH427" s="49"/>
      <c r="AI427" s="49"/>
      <c r="AJ427" s="49"/>
      <c r="AK427" s="49"/>
      <c r="AL427" s="49"/>
      <c r="AM427" s="49"/>
      <c r="AN427" s="49"/>
      <c r="AO427" s="49"/>
      <c r="AP427" s="49"/>
      <c r="AQ427" s="49"/>
      <c r="AR427" s="49"/>
      <c r="AS427" s="49"/>
      <c r="AT427" s="49"/>
      <c r="AU427" s="49"/>
      <c r="AV427" s="49"/>
      <c r="AW427" s="49"/>
      <c r="AX427" s="49"/>
      <c r="AY427" s="49"/>
      <c r="AZ427" s="49"/>
      <c r="BA427" s="49"/>
      <c r="BB427" s="49"/>
      <c r="BC427" s="49"/>
      <c r="BD427" s="49"/>
      <c r="BE427" s="49"/>
      <c r="BF427" s="49"/>
      <c r="BG427" s="49"/>
      <c r="BH427" s="49"/>
      <c r="BI427" s="49"/>
      <c r="BJ427" s="49"/>
      <c r="BK427" s="49"/>
      <c r="BL427" s="49"/>
      <c r="BM427" s="49"/>
      <c r="BN427" s="49"/>
    </row>
    <row r="428" spans="1:66" ht="15.75">
      <c r="A428" s="699" t="s">
        <v>511</v>
      </c>
      <c r="B428" s="151" t="s">
        <v>1212</v>
      </c>
      <c r="C428" s="151"/>
      <c r="D428" s="948"/>
      <c r="E428" s="948"/>
      <c r="F428" s="946">
        <f ca="1">+F416</f>
        <v>-115496090.74467814</v>
      </c>
      <c r="G428" s="946">
        <f t="shared" ref="G428:Z428" ca="1" si="790">+G416</f>
        <v>0</v>
      </c>
      <c r="H428" s="946">
        <f t="shared" ca="1" si="790"/>
        <v>0</v>
      </c>
      <c r="I428" s="946">
        <f t="shared" ca="1" si="790"/>
        <v>0</v>
      </c>
      <c r="J428" s="946">
        <f t="shared" ca="1" si="790"/>
        <v>0</v>
      </c>
      <c r="K428" s="946">
        <f t="shared" ca="1" si="790"/>
        <v>0</v>
      </c>
      <c r="L428" s="946">
        <f t="shared" ca="1" si="790"/>
        <v>0</v>
      </c>
      <c r="M428" s="946">
        <f t="shared" ca="1" si="790"/>
        <v>0</v>
      </c>
      <c r="N428" s="946">
        <f t="shared" ca="1" si="790"/>
        <v>0</v>
      </c>
      <c r="O428" s="946">
        <f t="shared" ca="1" si="790"/>
        <v>0</v>
      </c>
      <c r="P428" s="946">
        <f t="shared" ca="1" si="790"/>
        <v>0</v>
      </c>
      <c r="Q428" s="946">
        <f t="shared" ca="1" si="790"/>
        <v>0</v>
      </c>
      <c r="R428" s="946">
        <f t="shared" ca="1" si="790"/>
        <v>0</v>
      </c>
      <c r="S428" s="946">
        <f t="shared" ca="1" si="790"/>
        <v>0</v>
      </c>
      <c r="T428" s="946">
        <f t="shared" ca="1" si="790"/>
        <v>0</v>
      </c>
      <c r="U428" s="946">
        <f t="shared" ca="1" si="790"/>
        <v>0</v>
      </c>
      <c r="V428" s="946">
        <f t="shared" ca="1" si="790"/>
        <v>0</v>
      </c>
      <c r="W428" s="946">
        <f t="shared" ca="1" si="790"/>
        <v>0</v>
      </c>
      <c r="X428" s="946">
        <f t="shared" ca="1" si="790"/>
        <v>0</v>
      </c>
      <c r="Y428" s="946">
        <f t="shared" ca="1" si="790"/>
        <v>0</v>
      </c>
      <c r="Z428" s="946">
        <f t="shared" ca="1" si="790"/>
        <v>0</v>
      </c>
      <c r="AA428" s="699"/>
      <c r="AB428" s="699"/>
      <c r="AC428" s="699"/>
      <c r="AD428" s="699"/>
      <c r="AE428" s="49"/>
      <c r="AF428" s="49"/>
      <c r="AG428" s="49"/>
      <c r="AH428" s="49"/>
      <c r="AI428" s="49"/>
      <c r="AJ428" s="49"/>
      <c r="AK428" s="49"/>
      <c r="AL428" s="49"/>
      <c r="AM428" s="49"/>
      <c r="AN428" s="49"/>
      <c r="AO428" s="49"/>
      <c r="AP428" s="49"/>
      <c r="AQ428" s="49"/>
      <c r="AR428" s="49"/>
      <c r="AS428" s="49"/>
      <c r="AT428" s="49"/>
      <c r="AU428" s="49"/>
      <c r="AV428" s="49"/>
      <c r="AW428" s="49"/>
      <c r="AX428" s="49"/>
      <c r="AY428" s="49"/>
      <c r="AZ428" s="49"/>
      <c r="BA428" s="49"/>
      <c r="BB428" s="49"/>
      <c r="BC428" s="49"/>
      <c r="BD428" s="49"/>
      <c r="BE428" s="49"/>
      <c r="BF428" s="49"/>
      <c r="BG428" s="49"/>
      <c r="BH428" s="49"/>
      <c r="BI428" s="49"/>
      <c r="BJ428" s="49"/>
      <c r="BK428" s="49"/>
      <c r="BL428" s="49"/>
      <c r="BM428" s="49"/>
      <c r="BN428" s="49"/>
    </row>
    <row r="429" spans="1:66" ht="15.75">
      <c r="A429" s="699"/>
      <c r="B429" s="151" t="s">
        <v>1213</v>
      </c>
      <c r="C429" s="151"/>
      <c r="D429" s="948"/>
      <c r="E429" s="948"/>
      <c r="F429" s="972">
        <f ca="1">-F428*Assumptions!$BT$178</f>
        <v>0</v>
      </c>
      <c r="G429" s="972">
        <f ca="1">-G428*Assumptions!$BT$178</f>
        <v>0</v>
      </c>
      <c r="H429" s="972">
        <f ca="1">-H428*Assumptions!$BT$178</f>
        <v>0</v>
      </c>
      <c r="I429" s="972">
        <f ca="1">-I428*Assumptions!$BT$178</f>
        <v>0</v>
      </c>
      <c r="J429" s="972">
        <f ca="1">-J428*Assumptions!$BT$178</f>
        <v>0</v>
      </c>
      <c r="K429" s="972">
        <f ca="1">-K428*Assumptions!$BT$178</f>
        <v>0</v>
      </c>
      <c r="L429" s="972">
        <f ca="1">-L428*Assumptions!$BT$178</f>
        <v>0</v>
      </c>
      <c r="M429" s="972">
        <f ca="1">-M428*Assumptions!$BT$178</f>
        <v>0</v>
      </c>
      <c r="N429" s="972">
        <f ca="1">-N428*Assumptions!$BT$178</f>
        <v>0</v>
      </c>
      <c r="O429" s="972">
        <f ca="1">-O428*Assumptions!$BT$178</f>
        <v>0</v>
      </c>
      <c r="P429" s="972">
        <f ca="1">-P428*Assumptions!$BT$178</f>
        <v>0</v>
      </c>
      <c r="Q429" s="972">
        <f ca="1">-Q428*Assumptions!$BT$178</f>
        <v>0</v>
      </c>
      <c r="R429" s="972">
        <f ca="1">-R428*Assumptions!$BT$178</f>
        <v>0</v>
      </c>
      <c r="S429" s="972">
        <f ca="1">-S428*Assumptions!$BT$178</f>
        <v>0</v>
      </c>
      <c r="T429" s="972">
        <f ca="1">-T428*Assumptions!$BT$178</f>
        <v>0</v>
      </c>
      <c r="U429" s="972">
        <f ca="1">-U428*Assumptions!$BT$178</f>
        <v>0</v>
      </c>
      <c r="V429" s="972">
        <f ca="1">-V428*Assumptions!$BT$178</f>
        <v>0</v>
      </c>
      <c r="W429" s="972">
        <f ca="1">-W428*Assumptions!$BT$178</f>
        <v>0</v>
      </c>
      <c r="X429" s="972">
        <f ca="1">-X428*Assumptions!$BT$178</f>
        <v>0</v>
      </c>
      <c r="Y429" s="972">
        <f ca="1">-Y428*Assumptions!$BT$178</f>
        <v>0</v>
      </c>
      <c r="Z429" s="972">
        <f ca="1">-Z428*Assumptions!$BT$178</f>
        <v>0</v>
      </c>
      <c r="AA429" s="699"/>
      <c r="AB429" s="699"/>
      <c r="AC429" s="699"/>
      <c r="AD429" s="699"/>
      <c r="AE429" s="49"/>
      <c r="AF429" s="49"/>
      <c r="AG429" s="49"/>
      <c r="AH429" s="49"/>
      <c r="AI429" s="49"/>
      <c r="AJ429" s="49"/>
      <c r="AK429" s="49"/>
      <c r="AL429" s="49"/>
      <c r="AM429" s="49"/>
      <c r="AN429" s="49"/>
      <c r="AO429" s="49"/>
      <c r="AP429" s="49"/>
      <c r="AQ429" s="49"/>
      <c r="AR429" s="49"/>
      <c r="AS429" s="49"/>
      <c r="AT429" s="49"/>
      <c r="AU429" s="49"/>
      <c r="AV429" s="49"/>
      <c r="AW429" s="49"/>
      <c r="AX429" s="49"/>
      <c r="AY429" s="49"/>
      <c r="AZ429" s="49"/>
      <c r="BA429" s="49"/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</row>
    <row r="430" spans="1:66" ht="15.75">
      <c r="A430" s="699"/>
      <c r="B430" s="151" t="s">
        <v>1214</v>
      </c>
      <c r="C430" s="151"/>
      <c r="D430" s="948"/>
      <c r="E430" s="948"/>
      <c r="F430" s="972">
        <f ca="1">IFERROR(-IF(YEAR(F413)&lt;MIN(YEAR(Assumptions!$F$35),2026),(OFFSET('Phase 1 Pro Forma'!F429,0,-10)),IF(YEAR('Phase 1 Pro Forma'!F413)=MIN(YEAR(Assumptions!$F$35),2026),SUM('Phase 1 Pro Forma'!$E$429:F$429)-SUM($E$430:E$430),0)),0)</f>
        <v>0</v>
      </c>
      <c r="G430" s="972">
        <f ca="1">IFERROR(-IF(YEAR(G413)&lt;MIN(YEAR(Assumptions!$F$35),2026),(OFFSET('Phase 1 Pro Forma'!G429,0,-10)),IF(YEAR('Phase 1 Pro Forma'!G413)=MIN(YEAR(Assumptions!$F$35),2026),SUM('Phase 1 Pro Forma'!$E$429:G$429)-SUM($E$430:F$430),0)),0)</f>
        <v>0</v>
      </c>
      <c r="H430" s="972">
        <f ca="1">IFERROR(-IF(YEAR(H413)&lt;MIN(YEAR(Assumptions!$F$35),2026),(OFFSET('Phase 1 Pro Forma'!H429,0,-10)),IF(YEAR('Phase 1 Pro Forma'!H413)=MIN(YEAR(Assumptions!$F$35),2026),SUM('Phase 1 Pro Forma'!$E$429:H$429)-SUM($E$430:G$430),0)),0)</f>
        <v>0</v>
      </c>
      <c r="I430" s="972">
        <f ca="1">IFERROR(-IF(YEAR(I413)&lt;MIN(YEAR(Assumptions!$F$35),2026),(OFFSET('Phase 1 Pro Forma'!I429,0,-10)),IF(YEAR('Phase 1 Pro Forma'!I413)=MIN(YEAR(Assumptions!$F$35),2026),SUM('Phase 1 Pro Forma'!$E$429:I$429)-SUM($E$430:H$430),0)),0)</f>
        <v>0</v>
      </c>
      <c r="J430" s="972">
        <f ca="1">IFERROR(-IF(YEAR(J413)&lt;MIN(YEAR(Assumptions!$F$35),2026),(OFFSET('Phase 1 Pro Forma'!J429,0,-10)),IF(YEAR('Phase 1 Pro Forma'!J413)=MIN(YEAR(Assumptions!$F$35),2026),SUM('Phase 1 Pro Forma'!$E$429:J$429)-SUM($E$430:I$430),0)),0)</f>
        <v>0</v>
      </c>
      <c r="K430" s="972">
        <f ca="1">IFERROR(-IF(YEAR(K413)&lt;MIN(YEAR(Assumptions!$F$35),2026),(OFFSET('Phase 1 Pro Forma'!K429,0,-10)),IF(YEAR('Phase 1 Pro Forma'!K413)=MIN(YEAR(Assumptions!$F$35),2026),SUM('Phase 1 Pro Forma'!$E$429:K$429)-SUM($E$430:J$430),0)),0)</f>
        <v>0</v>
      </c>
      <c r="L430" s="972">
        <f ca="1">IFERROR(-IF(YEAR(L413)&lt;MIN(YEAR(Assumptions!$F$35),2026),(OFFSET('Phase 1 Pro Forma'!L429,0,-10)),IF(YEAR('Phase 1 Pro Forma'!L413)=MIN(YEAR(Assumptions!$F$35),2026),SUM('Phase 1 Pro Forma'!$E$429:L$429)-SUM($E$430:K$430),0)),0)</f>
        <v>0</v>
      </c>
      <c r="M430" s="972">
        <f ca="1">IFERROR(-IF(YEAR(M413)&lt;MIN(YEAR(Assumptions!$F$35),2026),(OFFSET('Phase 1 Pro Forma'!M429,0,-10)),IF(YEAR('Phase 1 Pro Forma'!M413)=MIN(YEAR(Assumptions!$F$35),2026),SUM('Phase 1 Pro Forma'!$E$429:M$429)-SUM($E$430:L$430),0)),0)</f>
        <v>0</v>
      </c>
      <c r="N430" s="972">
        <f ca="1">IFERROR(-IF(YEAR(N413)&lt;MIN(YEAR(Assumptions!$F$35),2026),(OFFSET('Phase 1 Pro Forma'!N429,0,-10)),IF(YEAR('Phase 1 Pro Forma'!N413)=MIN(YEAR(Assumptions!$F$35),2026),SUM('Phase 1 Pro Forma'!$E$429:N$429)-SUM($E$430:M$430),0)),0)</f>
        <v>0</v>
      </c>
      <c r="O430" s="972">
        <f ca="1">IFERROR(-IF(YEAR(O413)&lt;MIN(YEAR(Assumptions!$F$35),2026),(OFFSET('Phase 1 Pro Forma'!O429,0,-10)),IF(YEAR('Phase 1 Pro Forma'!O413)=MIN(YEAR(Assumptions!$F$35),2026),SUM('Phase 1 Pro Forma'!$E$429:O$429)-SUM($E$430:N$430),0)),0)</f>
        <v>0</v>
      </c>
      <c r="P430" s="972">
        <f ca="1">IFERROR(-IF(YEAR(P413)&lt;MIN(YEAR(Assumptions!$F$35),2026),(OFFSET('Phase 1 Pro Forma'!P429,0,-10)),IF(YEAR('Phase 1 Pro Forma'!P413)=MIN(YEAR(Assumptions!$F$35),2026),SUM('Phase 1 Pro Forma'!$E$429:P$429)-SUM($E$430:O$430),0)),0)</f>
        <v>0</v>
      </c>
      <c r="Q430" s="972">
        <f ca="1">IFERROR(-IF(YEAR(Q413)&lt;MIN(YEAR(Assumptions!$F$35),2026),(OFFSET('Phase 1 Pro Forma'!Q429,0,-10)),IF(YEAR('Phase 1 Pro Forma'!Q413)=MIN(YEAR(Assumptions!$F$35),2026),SUM('Phase 1 Pro Forma'!$E$429:Q$429)-SUM($E$430:P$430),0)),0)</f>
        <v>0</v>
      </c>
      <c r="R430" s="972">
        <f ca="1">IFERROR(-IF(YEAR(R413)&lt;MIN(YEAR(Assumptions!$F$35),2026),(OFFSET('Phase 1 Pro Forma'!R429,0,-10)),IF(YEAR('Phase 1 Pro Forma'!R413)=MIN(YEAR(Assumptions!$F$35),2026),SUM('Phase 1 Pro Forma'!$E$429:R$429)-SUM($E$430:Q$430),0)),0)</f>
        <v>0</v>
      </c>
      <c r="S430" s="972">
        <f ca="1">IFERROR(-IF(YEAR(S413)&lt;MIN(YEAR(Assumptions!$F$35),2026),(OFFSET('Phase 1 Pro Forma'!S429,0,-10)),IF(YEAR('Phase 1 Pro Forma'!S413)=MIN(YEAR(Assumptions!$F$35),2026),SUM('Phase 1 Pro Forma'!$E$429:S$429)-SUM($E$430:R$430),0)),0)</f>
        <v>0</v>
      </c>
      <c r="T430" s="972">
        <f ca="1">IFERROR(-IF(YEAR(T413)&lt;MIN(YEAR(Assumptions!$F$35),2026),(OFFSET('Phase 1 Pro Forma'!T429,0,-10)),IF(YEAR('Phase 1 Pro Forma'!T413)=MIN(YEAR(Assumptions!$F$35),2026),SUM('Phase 1 Pro Forma'!$E$429:T$429)-SUM($E$430:S$430),0)),0)</f>
        <v>0</v>
      </c>
      <c r="U430" s="972">
        <f ca="1">IFERROR(-IF(YEAR(U413)&lt;MIN(YEAR(Assumptions!$F$35),2026),(OFFSET('Phase 1 Pro Forma'!U429,0,-10)),IF(YEAR('Phase 1 Pro Forma'!U413)=MIN(YEAR(Assumptions!$F$35),2026),SUM('Phase 1 Pro Forma'!$E$429:U$429)-SUM($E$430:T$430),0)),0)</f>
        <v>0</v>
      </c>
      <c r="V430" s="972">
        <f ca="1">IFERROR(-IF(YEAR(V413)&lt;MIN(YEAR(Assumptions!$F$35),2026),(OFFSET('Phase 1 Pro Forma'!V429,0,-10)),IF(YEAR('Phase 1 Pro Forma'!V413)=MIN(YEAR(Assumptions!$F$35),2026),SUM('Phase 1 Pro Forma'!$E$429:V$429)-SUM($E$430:U$430),0)),0)</f>
        <v>0</v>
      </c>
      <c r="W430" s="972">
        <f ca="1">IFERROR(-IF(YEAR(W413)&lt;MIN(YEAR(Assumptions!$F$35),2026),(OFFSET('Phase 1 Pro Forma'!W429,0,-10)),IF(YEAR('Phase 1 Pro Forma'!W413)=MIN(YEAR(Assumptions!$F$35),2026),SUM('Phase 1 Pro Forma'!$E$429:W$429)-SUM($E$430:V$430),0)),0)</f>
        <v>0</v>
      </c>
      <c r="X430" s="972">
        <f ca="1">IFERROR(-IF(YEAR(X413)&lt;MIN(YEAR(Assumptions!$F$35),2026),(OFFSET('Phase 1 Pro Forma'!X429,0,-10)),IF(YEAR('Phase 1 Pro Forma'!X413)=MIN(YEAR(Assumptions!$F$35),2026),SUM('Phase 1 Pro Forma'!$E$429:X$429)-SUM($E$430:W$430),0)),0)</f>
        <v>0</v>
      </c>
      <c r="Y430" s="972">
        <f ca="1">IFERROR(-IF(YEAR(Y413)&lt;MIN(YEAR(Assumptions!$F$35),2026),(OFFSET('Phase 1 Pro Forma'!Y429,0,-10)),IF(YEAR('Phase 1 Pro Forma'!Y413)=MIN(YEAR(Assumptions!$F$35),2026),SUM('Phase 1 Pro Forma'!$E$429:Y$429)-SUM($E$430:X$430),0)),0)</f>
        <v>0</v>
      </c>
      <c r="Z430" s="972">
        <f ca="1">IFERROR(-IF(YEAR(Z413)&lt;MIN(YEAR(Assumptions!$F$35),2026),(OFFSET('Phase 1 Pro Forma'!Z429,0,-10)),IF(YEAR('Phase 1 Pro Forma'!Z413)=MIN(YEAR(Assumptions!$F$35),2026),SUM('Phase 1 Pro Forma'!$E$429:Z$429)-SUM($E$430:Y$430),0)),0)</f>
        <v>0</v>
      </c>
      <c r="AA430" s="699"/>
      <c r="AB430" s="699"/>
      <c r="AC430" s="699"/>
      <c r="AD430" s="699"/>
      <c r="AE430" s="49"/>
      <c r="AF430" s="49"/>
      <c r="AG430" s="49"/>
      <c r="AH430" s="49"/>
      <c r="AI430" s="49"/>
      <c r="AJ430" s="49"/>
      <c r="AK430" s="49"/>
      <c r="AL430" s="49"/>
      <c r="AM430" s="49"/>
      <c r="AN430" s="49"/>
      <c r="AO430" s="49"/>
      <c r="AP430" s="49"/>
      <c r="AQ430" s="49"/>
      <c r="AR430" s="49"/>
      <c r="AS430" s="49"/>
      <c r="AT430" s="49"/>
      <c r="AU430" s="49"/>
      <c r="AV430" s="49"/>
      <c r="AW430" s="49"/>
      <c r="AX430" s="49"/>
      <c r="AY430" s="49"/>
      <c r="AZ430" s="49"/>
      <c r="BA430" s="49"/>
      <c r="BB430" s="49"/>
      <c r="BC430" s="49"/>
      <c r="BD430" s="49"/>
      <c r="BE430" s="49"/>
      <c r="BF430" s="49"/>
      <c r="BG430" s="49"/>
      <c r="BH430" s="49"/>
      <c r="BI430" s="49"/>
      <c r="BJ430" s="49"/>
      <c r="BK430" s="49"/>
      <c r="BL430" s="49"/>
      <c r="BM430" s="49"/>
      <c r="BN430" s="49"/>
    </row>
    <row r="431" spans="1:66" ht="15.75">
      <c r="A431" s="699"/>
      <c r="B431" s="151" t="s">
        <v>1221</v>
      </c>
      <c r="C431" s="151"/>
      <c r="D431" s="948"/>
      <c r="E431" s="948"/>
      <c r="F431" s="972">
        <f>+IF(YEAR(F413)=MIN(YEAR(Assumptions!$F$35),2026),SUM('Phase 1 Pro Forma'!$F$441:$Z$441),0)</f>
        <v>0</v>
      </c>
      <c r="G431" s="972">
        <f>+IF(YEAR(G413)=MIN(YEAR(Assumptions!$F$35),2026),SUM('Phase 1 Pro Forma'!$F$441:$Z$441),0)</f>
        <v>0</v>
      </c>
      <c r="H431" s="972">
        <f>+IF(YEAR(H413)=MIN(YEAR(Assumptions!$F$35),2026),SUM('Phase 1 Pro Forma'!$F$441:$Z$441),0)</f>
        <v>0</v>
      </c>
      <c r="I431" s="972">
        <f ca="1">+IF(YEAR(I413)=MIN(YEAR(Assumptions!$F$35),2026),SUM('Phase 1 Pro Forma'!$F$441:$Z$441),0)</f>
        <v>0</v>
      </c>
      <c r="J431" s="972">
        <f>+IF(YEAR(J413)=MIN(YEAR(Assumptions!$F$35),2026),SUM('Phase 1 Pro Forma'!$F$441:$Z$441),0)</f>
        <v>0</v>
      </c>
      <c r="K431" s="972">
        <f>+IF(YEAR(K413)=MIN(YEAR(Assumptions!$F$35),2026),SUM('Phase 1 Pro Forma'!$F$441:$Z$441),0)</f>
        <v>0</v>
      </c>
      <c r="L431" s="972">
        <f>+IF(YEAR(L413)=MIN(YEAR(Assumptions!$F$35),2026),SUM('Phase 1 Pro Forma'!$F$441:$Z$441),0)</f>
        <v>0</v>
      </c>
      <c r="M431" s="972">
        <f>+IF(YEAR(M413)=MIN(YEAR(Assumptions!$F$35),2026),SUM('Phase 1 Pro Forma'!$F$441:$Z$441),0)</f>
        <v>0</v>
      </c>
      <c r="N431" s="972">
        <f>+IF(YEAR(N413)=MIN(YEAR(Assumptions!$F$35),2026),SUM('Phase 1 Pro Forma'!$F$441:$Z$441),0)</f>
        <v>0</v>
      </c>
      <c r="O431" s="972">
        <f>+IF(YEAR(O413)=MIN(YEAR(Assumptions!$F$35),2026),SUM('Phase 1 Pro Forma'!$F$441:$Z$441),0)</f>
        <v>0</v>
      </c>
      <c r="P431" s="972">
        <f>+IF(YEAR(P413)=MIN(YEAR(Assumptions!$F$35),2026),SUM('Phase 1 Pro Forma'!$F$441:$Z$441),0)</f>
        <v>0</v>
      </c>
      <c r="Q431" s="972">
        <f>+IF(YEAR(Q413)=MIN(YEAR(Assumptions!$F$35),2026),SUM('Phase 1 Pro Forma'!$F$441:$Z$441),0)</f>
        <v>0</v>
      </c>
      <c r="R431" s="972">
        <f>+IF(YEAR(R413)=MIN(YEAR(Assumptions!$F$35),2026),SUM('Phase 1 Pro Forma'!$F$441:$Z$441),0)</f>
        <v>0</v>
      </c>
      <c r="S431" s="972">
        <f>+IF(YEAR(S413)=MIN(YEAR(Assumptions!$F$35),2026),SUM('Phase 1 Pro Forma'!$F$441:$Z$441),0)</f>
        <v>0</v>
      </c>
      <c r="T431" s="972">
        <f>+IF(YEAR(T413)=MIN(YEAR(Assumptions!$F$35),2026),SUM('Phase 1 Pro Forma'!$F$441:$Z$441),0)</f>
        <v>0</v>
      </c>
      <c r="U431" s="972">
        <f>+IF(YEAR(U413)=MIN(YEAR(Assumptions!$F$35),2026),SUM('Phase 1 Pro Forma'!$F$441:$Z$441),0)</f>
        <v>0</v>
      </c>
      <c r="V431" s="972">
        <f>+IF(YEAR(V413)=MIN(YEAR(Assumptions!$F$35),2026),SUM('Phase 1 Pro Forma'!$F$441:$Z$441),0)</f>
        <v>0</v>
      </c>
      <c r="W431" s="972">
        <f>+IF(YEAR(W413)=MIN(YEAR(Assumptions!$F$35),2026),SUM('Phase 1 Pro Forma'!$F$441:$Z$441),0)</f>
        <v>0</v>
      </c>
      <c r="X431" s="972">
        <f>+IF(YEAR(X413)=MIN(YEAR(Assumptions!$F$35),2026),SUM('Phase 1 Pro Forma'!$F$441:$Z$441),0)</f>
        <v>0</v>
      </c>
      <c r="Y431" s="972">
        <f>+IF(YEAR(Y413)=MIN(YEAR(Assumptions!$F$35),2026),SUM('Phase 1 Pro Forma'!$F$441:$Z$441),0)</f>
        <v>0</v>
      </c>
      <c r="Z431" s="972">
        <f>+IF(YEAR(Z413)=MIN(YEAR(Assumptions!$F$35),2026),SUM('Phase 1 Pro Forma'!$F$441:$Z$441),0)</f>
        <v>0</v>
      </c>
      <c r="AA431" s="699"/>
      <c r="AB431" s="699"/>
      <c r="AC431" s="699"/>
      <c r="AD431" s="699"/>
      <c r="AE431" s="49"/>
      <c r="AF431" s="49"/>
      <c r="AG431" s="49"/>
      <c r="AH431" s="49"/>
      <c r="AI431" s="49"/>
      <c r="AJ431" s="49"/>
      <c r="AK431" s="49"/>
      <c r="AL431" s="49"/>
      <c r="AM431" s="49"/>
      <c r="AN431" s="49"/>
      <c r="AO431" s="49"/>
      <c r="AP431" s="49"/>
      <c r="AQ431" s="49"/>
      <c r="AR431" s="49"/>
      <c r="AS431" s="49"/>
      <c r="AT431" s="49"/>
      <c r="AU431" s="49"/>
      <c r="AV431" s="49"/>
      <c r="AW431" s="49"/>
      <c r="AX431" s="49"/>
      <c r="AY431" s="49"/>
      <c r="AZ431" s="49"/>
      <c r="BA431" s="49"/>
      <c r="BB431" s="49"/>
      <c r="BC431" s="49"/>
      <c r="BD431" s="49"/>
      <c r="BE431" s="49"/>
      <c r="BF431" s="49"/>
      <c r="BG431" s="49"/>
      <c r="BH431" s="49"/>
      <c r="BI431" s="49"/>
      <c r="BJ431" s="49"/>
      <c r="BK431" s="49"/>
      <c r="BL431" s="49"/>
      <c r="BM431" s="49"/>
      <c r="BN431" s="49"/>
    </row>
    <row r="432" spans="1:66" ht="15.75">
      <c r="A432" s="699"/>
      <c r="B432" s="151" t="s">
        <v>1233</v>
      </c>
      <c r="C432" s="151"/>
      <c r="D432" s="948"/>
      <c r="E432" s="948"/>
      <c r="F432" s="972">
        <f ca="1">+F419</f>
        <v>0</v>
      </c>
      <c r="G432" s="972">
        <f t="shared" ref="G432:Z432" ca="1" si="791">+G419</f>
        <v>0</v>
      </c>
      <c r="H432" s="972">
        <f t="shared" ca="1" si="791"/>
        <v>0</v>
      </c>
      <c r="I432" s="972">
        <f t="shared" ca="1" si="791"/>
        <v>0</v>
      </c>
      <c r="J432" s="972">
        <f t="shared" ca="1" si="791"/>
        <v>0</v>
      </c>
      <c r="K432" s="972" t="e">
        <f t="shared" ca="1" si="791"/>
        <v>#DIV/0!</v>
      </c>
      <c r="L432" s="972" t="e">
        <f t="shared" ca="1" si="791"/>
        <v>#DIV/0!</v>
      </c>
      <c r="M432" s="972" t="e">
        <f t="shared" ca="1" si="791"/>
        <v>#DIV/0!</v>
      </c>
      <c r="N432" s="972" t="e">
        <f t="shared" ca="1" si="791"/>
        <v>#DIV/0!</v>
      </c>
      <c r="O432" s="972" t="e">
        <f t="shared" ca="1" si="791"/>
        <v>#DIV/0!</v>
      </c>
      <c r="P432" s="972" t="e">
        <f t="shared" ca="1" si="791"/>
        <v>#DIV/0!</v>
      </c>
      <c r="Q432" s="972">
        <f t="shared" si="791"/>
        <v>0</v>
      </c>
      <c r="R432" s="972">
        <f t="shared" si="791"/>
        <v>0</v>
      </c>
      <c r="S432" s="972">
        <f t="shared" si="791"/>
        <v>0</v>
      </c>
      <c r="T432" s="972">
        <f t="shared" si="791"/>
        <v>0</v>
      </c>
      <c r="U432" s="972">
        <f t="shared" si="791"/>
        <v>0</v>
      </c>
      <c r="V432" s="972">
        <f t="shared" si="791"/>
        <v>0</v>
      </c>
      <c r="W432" s="972">
        <f t="shared" si="791"/>
        <v>0</v>
      </c>
      <c r="X432" s="972">
        <f t="shared" si="791"/>
        <v>0</v>
      </c>
      <c r="Y432" s="972">
        <f t="shared" si="791"/>
        <v>0</v>
      </c>
      <c r="Z432" s="972">
        <f t="shared" si="791"/>
        <v>0</v>
      </c>
      <c r="AA432" s="699"/>
      <c r="AB432" s="699"/>
      <c r="AC432" s="699"/>
      <c r="AD432" s="699"/>
      <c r="AE432" s="49"/>
      <c r="AF432" s="49"/>
      <c r="AG432" s="49"/>
      <c r="AH432" s="49"/>
      <c r="AI432" s="49"/>
      <c r="AJ432" s="49"/>
      <c r="AK432" s="49"/>
      <c r="AL432" s="49"/>
      <c r="AM432" s="49"/>
      <c r="AN432" s="49"/>
      <c r="AO432" s="49"/>
      <c r="AP432" s="49"/>
      <c r="AQ432" s="49"/>
      <c r="AR432" s="49"/>
      <c r="AS432" s="49"/>
      <c r="AT432" s="49"/>
      <c r="AU432" s="49"/>
      <c r="AV432" s="49"/>
      <c r="AW432" s="49"/>
      <c r="AX432" s="49"/>
      <c r="AY432" s="49"/>
      <c r="AZ432" s="49"/>
      <c r="BA432" s="49"/>
      <c r="BB432" s="49"/>
      <c r="BC432" s="49"/>
      <c r="BD432" s="49"/>
      <c r="BE432" s="49"/>
      <c r="BF432" s="49"/>
      <c r="BG432" s="49"/>
      <c r="BH432" s="49"/>
      <c r="BI432" s="49"/>
      <c r="BJ432" s="49"/>
      <c r="BK432" s="49"/>
      <c r="BL432" s="49"/>
      <c r="BM432" s="49"/>
      <c r="BN432" s="49"/>
    </row>
    <row r="433" spans="1:66" ht="15.75">
      <c r="A433" s="699"/>
      <c r="B433" s="151" t="s">
        <v>1234</v>
      </c>
      <c r="C433" s="151"/>
      <c r="D433" s="948"/>
      <c r="E433" s="948"/>
      <c r="F433" s="972">
        <f ca="1">+F420</f>
        <v>0</v>
      </c>
      <c r="G433" s="972">
        <f t="shared" ref="G433:Z433" ca="1" si="792">+G420</f>
        <v>0</v>
      </c>
      <c r="H433" s="972">
        <f t="shared" ca="1" si="792"/>
        <v>0</v>
      </c>
      <c r="I433" s="972">
        <f t="shared" ca="1" si="792"/>
        <v>0</v>
      </c>
      <c r="J433" s="972">
        <f t="shared" ca="1" si="792"/>
        <v>-16661318.04632538</v>
      </c>
      <c r="K433" s="972">
        <f t="shared" ca="1" si="792"/>
        <v>-3994093.2095648702</v>
      </c>
      <c r="L433" s="972">
        <f t="shared" ca="1" si="792"/>
        <v>4224030.0426707231</v>
      </c>
      <c r="M433" s="972">
        <f t="shared" ca="1" si="792"/>
        <v>5756580.6697915234</v>
      </c>
      <c r="N433" s="972">
        <f t="shared" ca="1" si="792"/>
        <v>6274115.0239319913</v>
      </c>
      <c r="O433" s="972">
        <f t="shared" ca="1" si="792"/>
        <v>6807175.4086966775</v>
      </c>
      <c r="P433" s="972">
        <f t="shared" ca="1" si="792"/>
        <v>7259827.266371008</v>
      </c>
      <c r="Q433" s="972">
        <f t="shared" si="792"/>
        <v>0</v>
      </c>
      <c r="R433" s="972">
        <f t="shared" si="792"/>
        <v>0</v>
      </c>
      <c r="S433" s="972">
        <f t="shared" si="792"/>
        <v>0</v>
      </c>
      <c r="T433" s="972">
        <f t="shared" si="792"/>
        <v>0</v>
      </c>
      <c r="U433" s="972">
        <f t="shared" si="792"/>
        <v>0</v>
      </c>
      <c r="V433" s="972">
        <f t="shared" si="792"/>
        <v>0</v>
      </c>
      <c r="W433" s="972">
        <f t="shared" si="792"/>
        <v>0</v>
      </c>
      <c r="X433" s="972">
        <f t="shared" si="792"/>
        <v>0</v>
      </c>
      <c r="Y433" s="972">
        <f t="shared" si="792"/>
        <v>0</v>
      </c>
      <c r="Z433" s="972">
        <f t="shared" si="792"/>
        <v>0</v>
      </c>
      <c r="AA433" s="699"/>
      <c r="AB433" s="699"/>
      <c r="AC433" s="699"/>
      <c r="AD433" s="699"/>
      <c r="AE433" s="49"/>
      <c r="AF433" s="49"/>
      <c r="AG433" s="49"/>
      <c r="AH433" s="49"/>
      <c r="AI433" s="49"/>
      <c r="AJ433" s="49"/>
      <c r="AK433" s="49"/>
      <c r="AL433" s="49"/>
      <c r="AM433" s="49"/>
      <c r="AN433" s="49"/>
      <c r="AO433" s="49"/>
      <c r="AP433" s="49"/>
      <c r="AQ433" s="49"/>
      <c r="AR433" s="49"/>
      <c r="AS433" s="49"/>
      <c r="AT433" s="49"/>
      <c r="AU433" s="49"/>
      <c r="AV433" s="49"/>
      <c r="AW433" s="49"/>
      <c r="AX433" s="49"/>
      <c r="AY433" s="49"/>
      <c r="AZ433" s="49"/>
      <c r="BA433" s="49"/>
      <c r="BB433" s="49"/>
      <c r="BC433" s="49"/>
      <c r="BD433" s="49"/>
      <c r="BE433" s="49"/>
      <c r="BF433" s="49"/>
      <c r="BG433" s="49"/>
      <c r="BH433" s="49"/>
      <c r="BI433" s="49"/>
      <c r="BJ433" s="49"/>
      <c r="BK433" s="49"/>
      <c r="BL433" s="49"/>
      <c r="BM433" s="49"/>
      <c r="BN433" s="49"/>
    </row>
    <row r="434" spans="1:66" ht="15.75">
      <c r="A434" s="699"/>
      <c r="B434" s="151" t="s">
        <v>1235</v>
      </c>
      <c r="C434" s="151"/>
      <c r="D434" s="948"/>
      <c r="E434" s="948"/>
      <c r="F434" s="972">
        <f>+F421</f>
        <v>0</v>
      </c>
      <c r="G434" s="972">
        <f t="shared" ref="G434:Z434" si="793">+G421</f>
        <v>0</v>
      </c>
      <c r="H434" s="972">
        <f t="shared" si="793"/>
        <v>0</v>
      </c>
      <c r="I434" s="972">
        <f t="shared" si="793"/>
        <v>0</v>
      </c>
      <c r="J434" s="972">
        <f t="shared" ca="1" si="793"/>
        <v>0</v>
      </c>
      <c r="K434" s="972">
        <f t="shared" si="793"/>
        <v>0</v>
      </c>
      <c r="L434" s="972">
        <f t="shared" si="793"/>
        <v>0</v>
      </c>
      <c r="M434" s="972">
        <f t="shared" si="793"/>
        <v>0</v>
      </c>
      <c r="N434" s="972">
        <f t="shared" si="793"/>
        <v>0</v>
      </c>
      <c r="O434" s="972">
        <f t="shared" si="793"/>
        <v>0</v>
      </c>
      <c r="P434" s="972">
        <f t="shared" ca="1" si="793"/>
        <v>281692721.68905497</v>
      </c>
      <c r="Q434" s="972">
        <f t="shared" si="793"/>
        <v>0</v>
      </c>
      <c r="R434" s="972">
        <f t="shared" si="793"/>
        <v>0</v>
      </c>
      <c r="S434" s="972">
        <f t="shared" si="793"/>
        <v>0</v>
      </c>
      <c r="T434" s="972">
        <f t="shared" si="793"/>
        <v>0</v>
      </c>
      <c r="U434" s="972">
        <f t="shared" si="793"/>
        <v>0</v>
      </c>
      <c r="V434" s="972">
        <f t="shared" si="793"/>
        <v>0</v>
      </c>
      <c r="W434" s="972">
        <f t="shared" si="793"/>
        <v>0</v>
      </c>
      <c r="X434" s="972">
        <f t="shared" si="793"/>
        <v>0</v>
      </c>
      <c r="Y434" s="972">
        <f t="shared" si="793"/>
        <v>0</v>
      </c>
      <c r="Z434" s="972">
        <f t="shared" si="793"/>
        <v>0</v>
      </c>
      <c r="AA434" s="699"/>
      <c r="AB434" s="699"/>
      <c r="AC434" s="699"/>
      <c r="AD434" s="699"/>
      <c r="AE434" s="49"/>
      <c r="AF434" s="49"/>
      <c r="AG434" s="49"/>
      <c r="AH434" s="49"/>
      <c r="AI434" s="49"/>
      <c r="AJ434" s="49"/>
      <c r="AK434" s="49"/>
      <c r="AL434" s="49"/>
      <c r="AM434" s="49"/>
      <c r="AN434" s="49"/>
      <c r="AO434" s="49"/>
      <c r="AP434" s="49"/>
      <c r="AQ434" s="49"/>
      <c r="AR434" s="49"/>
      <c r="AS434" s="49"/>
      <c r="AT434" s="49"/>
      <c r="AU434" s="49"/>
      <c r="AV434" s="49"/>
      <c r="AW434" s="49"/>
      <c r="AX434" s="49"/>
      <c r="AY434" s="49"/>
      <c r="AZ434" s="49"/>
      <c r="BA434" s="49"/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</row>
    <row r="435" spans="1:66" ht="15.75">
      <c r="A435" s="699"/>
      <c r="B435" s="151" t="s">
        <v>1218</v>
      </c>
      <c r="C435" s="151"/>
      <c r="D435" s="948"/>
      <c r="E435" s="948"/>
      <c r="F435" s="972">
        <f>+IF(F415&gt;=10,0,F422)</f>
        <v>0</v>
      </c>
      <c r="G435" s="972">
        <f t="shared" ref="G435:Z435" si="794">+IF(G415&gt;=10,0,G422)</f>
        <v>0</v>
      </c>
      <c r="H435" s="972">
        <f t="shared" si="794"/>
        <v>0</v>
      </c>
      <c r="I435" s="972">
        <f t="shared" si="794"/>
        <v>0</v>
      </c>
      <c r="J435" s="972">
        <f t="shared" si="794"/>
        <v>0</v>
      </c>
      <c r="K435" s="972">
        <f t="shared" si="794"/>
        <v>0</v>
      </c>
      <c r="L435" s="972">
        <f t="shared" si="794"/>
        <v>0</v>
      </c>
      <c r="M435" s="972">
        <f t="shared" si="794"/>
        <v>0</v>
      </c>
      <c r="N435" s="972">
        <f t="shared" si="794"/>
        <v>0</v>
      </c>
      <c r="O435" s="972">
        <f t="shared" si="794"/>
        <v>0</v>
      </c>
      <c r="P435" s="972">
        <f t="shared" si="794"/>
        <v>0</v>
      </c>
      <c r="Q435" s="972">
        <f t="shared" si="794"/>
        <v>0</v>
      </c>
      <c r="R435" s="972">
        <f t="shared" si="794"/>
        <v>0</v>
      </c>
      <c r="S435" s="972">
        <f t="shared" si="794"/>
        <v>0</v>
      </c>
      <c r="T435" s="972">
        <f t="shared" si="794"/>
        <v>0</v>
      </c>
      <c r="U435" s="972">
        <f t="shared" si="794"/>
        <v>0</v>
      </c>
      <c r="V435" s="972">
        <f t="shared" si="794"/>
        <v>0</v>
      </c>
      <c r="W435" s="972">
        <f t="shared" si="794"/>
        <v>0</v>
      </c>
      <c r="X435" s="972">
        <f t="shared" si="794"/>
        <v>0</v>
      </c>
      <c r="Y435" s="972">
        <f t="shared" si="794"/>
        <v>0</v>
      </c>
      <c r="Z435" s="972">
        <f t="shared" si="794"/>
        <v>0</v>
      </c>
      <c r="AA435" s="699"/>
      <c r="AB435" s="699"/>
      <c r="AC435" s="699"/>
      <c r="AD435" s="699"/>
      <c r="AE435" s="49"/>
      <c r="AF435" s="49"/>
      <c r="AG435" s="49"/>
      <c r="AH435" s="49"/>
      <c r="AI435" s="49"/>
      <c r="AJ435" s="49"/>
      <c r="AK435" s="49"/>
      <c r="AL435" s="49"/>
      <c r="AM435" s="49"/>
      <c r="AN435" s="49"/>
      <c r="AO435" s="49"/>
      <c r="AP435" s="49"/>
      <c r="AQ435" s="49"/>
      <c r="AR435" s="49"/>
      <c r="AS435" s="49"/>
      <c r="AT435" s="49"/>
      <c r="AU435" s="49"/>
      <c r="AV435" s="49"/>
      <c r="AW435" s="49"/>
      <c r="AX435" s="49"/>
      <c r="AY435" s="49"/>
      <c r="AZ435" s="49"/>
      <c r="BA435" s="49"/>
      <c r="BB435" s="49"/>
      <c r="BC435" s="49"/>
      <c r="BD435" s="49"/>
      <c r="BE435" s="49"/>
      <c r="BF435" s="49"/>
      <c r="BG435" s="49"/>
      <c r="BH435" s="49"/>
      <c r="BI435" s="49"/>
      <c r="BJ435" s="49"/>
      <c r="BK435" s="49"/>
      <c r="BL435" s="49"/>
      <c r="BM435" s="49"/>
      <c r="BN435" s="49"/>
    </row>
    <row r="436" spans="1:66" ht="15.75">
      <c r="A436" s="699"/>
      <c r="B436" s="718" t="s">
        <v>1220</v>
      </c>
      <c r="C436" s="718"/>
      <c r="D436" s="948" t="e">
        <f ca="1">+SUM(F436:Z436)</f>
        <v>#DIV/0!</v>
      </c>
      <c r="E436" s="948"/>
      <c r="F436" s="948">
        <f ca="1">+SUM(F428:F435)</f>
        <v>-115496090.74467814</v>
      </c>
      <c r="G436" s="948">
        <f t="shared" ref="G436:Z436" ca="1" si="795">+SUM(G428:G435)</f>
        <v>0</v>
      </c>
      <c r="H436" s="948">
        <f t="shared" ca="1" si="795"/>
        <v>0</v>
      </c>
      <c r="I436" s="948">
        <f t="shared" ca="1" si="795"/>
        <v>0</v>
      </c>
      <c r="J436" s="948">
        <f t="shared" ca="1" si="795"/>
        <v>-16661318.04632538</v>
      </c>
      <c r="K436" s="948" t="e">
        <f t="shared" ca="1" si="795"/>
        <v>#DIV/0!</v>
      </c>
      <c r="L436" s="948" t="e">
        <f t="shared" ca="1" si="795"/>
        <v>#DIV/0!</v>
      </c>
      <c r="M436" s="948" t="e">
        <f t="shared" ca="1" si="795"/>
        <v>#DIV/0!</v>
      </c>
      <c r="N436" s="948" t="e">
        <f t="shared" ca="1" si="795"/>
        <v>#DIV/0!</v>
      </c>
      <c r="O436" s="948" t="e">
        <f t="shared" ca="1" si="795"/>
        <v>#DIV/0!</v>
      </c>
      <c r="P436" s="948" t="e">
        <f t="shared" ca="1" si="795"/>
        <v>#DIV/0!</v>
      </c>
      <c r="Q436" s="948">
        <f t="shared" ca="1" si="795"/>
        <v>0</v>
      </c>
      <c r="R436" s="948">
        <f t="shared" ca="1" si="795"/>
        <v>0</v>
      </c>
      <c r="S436" s="948">
        <f t="shared" ca="1" si="795"/>
        <v>0</v>
      </c>
      <c r="T436" s="948">
        <f t="shared" ca="1" si="795"/>
        <v>0</v>
      </c>
      <c r="U436" s="948">
        <f t="shared" ca="1" si="795"/>
        <v>0</v>
      </c>
      <c r="V436" s="948">
        <f t="shared" ca="1" si="795"/>
        <v>0</v>
      </c>
      <c r="W436" s="948">
        <f t="shared" ca="1" si="795"/>
        <v>0</v>
      </c>
      <c r="X436" s="948">
        <f t="shared" ca="1" si="795"/>
        <v>0</v>
      </c>
      <c r="Y436" s="948">
        <f t="shared" ca="1" si="795"/>
        <v>0</v>
      </c>
      <c r="Z436" s="948">
        <f t="shared" ca="1" si="795"/>
        <v>0</v>
      </c>
      <c r="AA436" s="699"/>
      <c r="AB436" s="699"/>
      <c r="AC436" s="699"/>
      <c r="AD436" s="699"/>
      <c r="AE436" s="49"/>
      <c r="AF436" s="49"/>
      <c r="AG436" s="49"/>
      <c r="AH436" s="49"/>
      <c r="AI436" s="49"/>
      <c r="AJ436" s="49"/>
      <c r="AK436" s="49"/>
      <c r="AL436" s="49"/>
      <c r="AM436" s="49"/>
      <c r="AN436" s="49"/>
      <c r="AO436" s="49"/>
      <c r="AP436" s="49"/>
      <c r="AQ436" s="49"/>
      <c r="AR436" s="49"/>
      <c r="AS436" s="49"/>
      <c r="AT436" s="49"/>
      <c r="AU436" s="49"/>
      <c r="AV436" s="49"/>
      <c r="AW436" s="49"/>
      <c r="AX436" s="49"/>
      <c r="AY436" s="49"/>
      <c r="AZ436" s="49"/>
      <c r="BA436" s="49"/>
      <c r="BB436" s="49"/>
      <c r="BC436" s="49"/>
      <c r="BD436" s="49"/>
      <c r="BE436" s="49"/>
      <c r="BF436" s="49"/>
      <c r="BG436" s="49"/>
      <c r="BH436" s="49"/>
      <c r="BI436" s="49"/>
      <c r="BJ436" s="49"/>
      <c r="BK436" s="49"/>
      <c r="BL436" s="49"/>
      <c r="BM436" s="49"/>
      <c r="BN436" s="49"/>
    </row>
    <row r="437" spans="1:66">
      <c r="A437" s="699"/>
      <c r="B437" s="151"/>
      <c r="C437" s="151"/>
      <c r="D437" s="151"/>
      <c r="E437" s="151"/>
      <c r="F437" s="151"/>
      <c r="G437" s="151"/>
      <c r="H437" s="151"/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699"/>
      <c r="AB437" s="699"/>
      <c r="AC437" s="699"/>
      <c r="AD437" s="699"/>
      <c r="AE437" s="49"/>
      <c r="AF437" s="49"/>
      <c r="AG437" s="49"/>
      <c r="AH437" s="49"/>
      <c r="AI437" s="49"/>
      <c r="AJ437" s="49"/>
      <c r="AK437" s="49"/>
      <c r="AL437" s="49"/>
      <c r="AM437" s="49"/>
      <c r="AN437" s="49"/>
      <c r="AO437" s="49"/>
      <c r="AP437" s="49"/>
      <c r="AQ437" s="49"/>
      <c r="AR437" s="49"/>
      <c r="AS437" s="49"/>
      <c r="AT437" s="49"/>
      <c r="AU437" s="49"/>
      <c r="AV437" s="49"/>
      <c r="AW437" s="49"/>
      <c r="AX437" s="49"/>
      <c r="AY437" s="49"/>
      <c r="AZ437" s="49"/>
      <c r="BA437" s="49"/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49"/>
      <c r="BM437" s="49"/>
      <c r="BN437" s="49"/>
    </row>
    <row r="438" spans="1:66" ht="15.75">
      <c r="A438" s="699"/>
      <c r="B438" s="718" t="s">
        <v>1238</v>
      </c>
      <c r="C438" s="718"/>
      <c r="D438" s="966" t="e">
        <f ca="1">+IRR(F436:Z436)</f>
        <v>#VALUE!</v>
      </c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699"/>
      <c r="AB438" s="699"/>
      <c r="AC438" s="699"/>
      <c r="AD438" s="699"/>
      <c r="AE438" s="49"/>
      <c r="AF438" s="49"/>
      <c r="AG438" s="49"/>
      <c r="AH438" s="49"/>
      <c r="AI438" s="49"/>
      <c r="AJ438" s="49"/>
      <c r="AK438" s="49"/>
      <c r="AL438" s="49"/>
      <c r="AM438" s="49"/>
      <c r="AN438" s="49"/>
      <c r="AO438" s="49"/>
      <c r="AP438" s="49"/>
      <c r="AQ438" s="49"/>
      <c r="AR438" s="49"/>
      <c r="AS438" s="49"/>
      <c r="AT438" s="49"/>
      <c r="AU438" s="49"/>
      <c r="AV438" s="49"/>
      <c r="AW438" s="49"/>
      <c r="AX438" s="49"/>
      <c r="AY438" s="49"/>
      <c r="AZ438" s="49"/>
      <c r="BA438" s="49"/>
      <c r="BB438" s="49"/>
      <c r="BC438" s="49"/>
      <c r="BD438" s="49"/>
      <c r="BE438" s="49"/>
      <c r="BF438" s="49"/>
      <c r="BG438" s="49"/>
      <c r="BH438" s="49"/>
      <c r="BI438" s="49"/>
      <c r="BJ438" s="49"/>
      <c r="BK438" s="49"/>
      <c r="BL438" s="49"/>
      <c r="BM438" s="49"/>
      <c r="BN438" s="49"/>
    </row>
    <row r="439" spans="1:66" ht="15.75">
      <c r="A439" s="699"/>
      <c r="B439" s="718" t="s">
        <v>1239</v>
      </c>
      <c r="C439" s="151"/>
      <c r="D439" s="966" t="e">
        <f ca="1">+D438/(1-Assumptions!$BT$178)</f>
        <v>#VALUE!</v>
      </c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699"/>
      <c r="AB439" s="699"/>
      <c r="AC439" s="699"/>
      <c r="AD439" s="699"/>
      <c r="AE439" s="49"/>
      <c r="AF439" s="49"/>
      <c r="AG439" s="49"/>
      <c r="AH439" s="49"/>
      <c r="AI439" s="49"/>
      <c r="AJ439" s="49"/>
      <c r="AK439" s="49"/>
      <c r="AL439" s="49"/>
      <c r="AM439" s="49"/>
      <c r="AN439" s="49"/>
      <c r="AO439" s="49"/>
      <c r="AP439" s="49"/>
      <c r="AQ439" s="49"/>
      <c r="AR439" s="49"/>
      <c r="AS439" s="49"/>
      <c r="AT439" s="49"/>
      <c r="AU439" s="49"/>
      <c r="AV439" s="49"/>
      <c r="AW439" s="49"/>
      <c r="AX439" s="49"/>
      <c r="AY439" s="49"/>
      <c r="AZ439" s="49"/>
      <c r="BA439" s="49"/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</row>
    <row r="440" spans="1:66">
      <c r="A440" s="699"/>
      <c r="B440" s="151"/>
      <c r="C440" s="151"/>
      <c r="D440" s="151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699"/>
      <c r="AB440" s="699"/>
      <c r="AC440" s="699"/>
      <c r="AD440" s="699"/>
      <c r="AE440" s="49"/>
      <c r="AF440" s="49"/>
      <c r="AG440" s="49"/>
      <c r="AH440" s="49"/>
      <c r="AI440" s="49"/>
      <c r="AJ440" s="49"/>
      <c r="AK440" s="49"/>
      <c r="AL440" s="49"/>
      <c r="AM440" s="49"/>
      <c r="AN440" s="49"/>
      <c r="AO440" s="49"/>
      <c r="AP440" s="49"/>
      <c r="AQ440" s="49"/>
      <c r="AR440" s="49"/>
      <c r="AS440" s="49"/>
      <c r="AT440" s="49"/>
      <c r="AU440" s="49"/>
      <c r="AV440" s="49"/>
      <c r="AW440" s="49"/>
      <c r="AX440" s="49"/>
      <c r="AY440" s="49"/>
      <c r="AZ440" s="49"/>
      <c r="BA440" s="49"/>
      <c r="BB440" s="49"/>
      <c r="BC440" s="49"/>
      <c r="BD440" s="49"/>
      <c r="BE440" s="49"/>
      <c r="BF440" s="49"/>
      <c r="BG440" s="49"/>
      <c r="BH440" s="49"/>
      <c r="BI440" s="49"/>
      <c r="BJ440" s="49"/>
      <c r="BK440" s="49"/>
      <c r="BL440" s="49"/>
      <c r="BM440" s="49"/>
      <c r="BN440" s="49"/>
    </row>
    <row r="441" spans="1:66">
      <c r="A441" s="699"/>
      <c r="B441" s="151" t="s">
        <v>1224</v>
      </c>
      <c r="C441" s="151"/>
      <c r="D441" s="151"/>
      <c r="E441" s="151"/>
      <c r="F441" s="972">
        <f ca="1">IFERROR(IF(YEAR(F413)&lt;=YEAR(Assumptions!$F$35),10%*(OFFSET('Phase 1 Pro Forma'!F429,0,-5))+5%*(OFFSET('Phase 1 Pro Forma'!F429,0,-7)),0),0)</f>
        <v>0</v>
      </c>
      <c r="G441" s="972">
        <f ca="1">IFERROR(IF(YEAR(G413)&lt;=YEAR(Assumptions!$F$35),10%*(OFFSET('Phase 1 Pro Forma'!G429,0,-5))+5%*(OFFSET('Phase 1 Pro Forma'!G429,0,-7)),0),0)</f>
        <v>0</v>
      </c>
      <c r="H441" s="972">
        <f ca="1">IFERROR(IF(YEAR(H413)&lt;=YEAR(Assumptions!$F$35),10%*(OFFSET('Phase 1 Pro Forma'!H429,0,-5))+5%*(OFFSET('Phase 1 Pro Forma'!H429,0,-7)),0),0)</f>
        <v>0</v>
      </c>
      <c r="I441" s="972">
        <f ca="1">IFERROR(IF(YEAR(I413)&lt;=YEAR(Assumptions!$F$35),10%*(OFFSET('Phase 1 Pro Forma'!I429,0,-5))+5%*(OFFSET('Phase 1 Pro Forma'!I429,0,-7)),0),0)</f>
        <v>0</v>
      </c>
      <c r="J441" s="972">
        <f ca="1">IFERROR(IF(YEAR(J413)&lt;=YEAR(Assumptions!$F$35),10%*(OFFSET('Phase 1 Pro Forma'!J429,0,-5))+5%*(OFFSET('Phase 1 Pro Forma'!J429,0,-7)),0),0)</f>
        <v>0</v>
      </c>
      <c r="K441" s="972">
        <f ca="1">IFERROR(IF(YEAR(K413)&lt;=YEAR(Assumptions!$F$35),10%*(OFFSET('Phase 1 Pro Forma'!K429,0,-5))+5%*(OFFSET('Phase 1 Pro Forma'!K429,0,-7)),0),0)</f>
        <v>0</v>
      </c>
      <c r="L441" s="972">
        <f ca="1">IFERROR(IF(YEAR(L413)&lt;=YEAR(Assumptions!$F$35),10%*(OFFSET('Phase 1 Pro Forma'!L429,0,-5))+5%*(OFFSET('Phase 1 Pro Forma'!L429,0,-7)),0),0)</f>
        <v>0</v>
      </c>
      <c r="M441" s="972">
        <f ca="1">IFERROR(IF(YEAR(M413)&lt;=YEAR(Assumptions!$F$35),10%*(OFFSET('Phase 1 Pro Forma'!M429,0,-5))+5%*(OFFSET('Phase 1 Pro Forma'!M429,0,-7)),0),0)</f>
        <v>0</v>
      </c>
      <c r="N441" s="972">
        <f ca="1">IFERROR(IF(YEAR(N413)&lt;=YEAR(Assumptions!$F$35),10%*(OFFSET('Phase 1 Pro Forma'!N429,0,-5))+5%*(OFFSET('Phase 1 Pro Forma'!N429,0,-7)),0),0)</f>
        <v>0</v>
      </c>
      <c r="O441" s="972">
        <f ca="1">IFERROR(IF(YEAR(O413)&lt;=YEAR(Assumptions!$F$35),10%*(OFFSET('Phase 1 Pro Forma'!O429,0,-5))+5%*(OFFSET('Phase 1 Pro Forma'!O429,0,-7)),0),0)</f>
        <v>0</v>
      </c>
      <c r="P441" s="972">
        <f ca="1">IFERROR(IF(YEAR(P413)&lt;=YEAR(Assumptions!$F$35),10%*(OFFSET('Phase 1 Pro Forma'!P429,0,-5))+5%*(OFFSET('Phase 1 Pro Forma'!P429,0,-7)),0),0)</f>
        <v>0</v>
      </c>
      <c r="Q441" s="972">
        <f ca="1">IFERROR(IF(YEAR(Q413)&lt;=YEAR(Assumptions!$F$35),10%*(OFFSET('Phase 1 Pro Forma'!Q429,0,-5))+5%*(OFFSET('Phase 1 Pro Forma'!Q429,0,-7)),0),0)</f>
        <v>0</v>
      </c>
      <c r="R441" s="972">
        <f ca="1">IFERROR(IF(YEAR(R413)&lt;=YEAR(Assumptions!$F$35),10%*(OFFSET('Phase 1 Pro Forma'!R429,0,-5))+5%*(OFFSET('Phase 1 Pro Forma'!R429,0,-7)),0),0)</f>
        <v>0</v>
      </c>
      <c r="S441" s="972">
        <f ca="1">IFERROR(IF(YEAR(S413)&lt;=YEAR(Assumptions!$F$35),10%*(OFFSET('Phase 1 Pro Forma'!S429,0,-5))+5%*(OFFSET('Phase 1 Pro Forma'!S429,0,-7)),0),0)</f>
        <v>0</v>
      </c>
      <c r="T441" s="972">
        <f ca="1">IFERROR(IF(YEAR(T413)&lt;=YEAR(Assumptions!$F$35),10%*(OFFSET('Phase 1 Pro Forma'!T429,0,-5))+5%*(OFFSET('Phase 1 Pro Forma'!T429,0,-7)),0),0)</f>
        <v>0</v>
      </c>
      <c r="U441" s="972">
        <f ca="1">IFERROR(IF(YEAR(U413)&lt;=YEAR(Assumptions!$F$35),10%*(OFFSET('Phase 1 Pro Forma'!U429,0,-5))+5%*(OFFSET('Phase 1 Pro Forma'!U429,0,-7)),0),0)</f>
        <v>0</v>
      </c>
      <c r="V441" s="972">
        <f ca="1">IFERROR(IF(YEAR(V413)&lt;=YEAR(Assumptions!$F$35),10%*(OFFSET('Phase 1 Pro Forma'!V429,0,-5))+5%*(OFFSET('Phase 1 Pro Forma'!V429,0,-7)),0),0)</f>
        <v>0</v>
      </c>
      <c r="W441" s="972">
        <f ca="1">IFERROR(IF(YEAR(W413)&lt;=YEAR(Assumptions!$F$35),10%*(OFFSET('Phase 1 Pro Forma'!W429,0,-5))+5%*(OFFSET('Phase 1 Pro Forma'!W429,0,-7)),0),0)</f>
        <v>0</v>
      </c>
      <c r="X441" s="972">
        <f ca="1">IFERROR(IF(YEAR(X413)&lt;=YEAR(Assumptions!$F$35),10%*(OFFSET('Phase 1 Pro Forma'!X429,0,-5))+5%*(OFFSET('Phase 1 Pro Forma'!X429,0,-7)),0),0)</f>
        <v>0</v>
      </c>
      <c r="Y441" s="972">
        <f ca="1">IFERROR(IF(YEAR(Y413)&lt;=YEAR(Assumptions!$F$35),10%*(OFFSET('Phase 1 Pro Forma'!Y429,0,-5))+5%*(OFFSET('Phase 1 Pro Forma'!Y429,0,-7)),0),0)</f>
        <v>0</v>
      </c>
      <c r="Z441" s="972">
        <f ca="1">IFERROR(IF(YEAR(Z413)&lt;=YEAR(Assumptions!$F$35),10%*(OFFSET('Phase 1 Pro Forma'!Z429,0,-5))+5%*(OFFSET('Phase 1 Pro Forma'!Z429,0,-7)),0),0)</f>
        <v>0</v>
      </c>
      <c r="AA441" s="699"/>
      <c r="AB441" s="699"/>
      <c r="AC441" s="699"/>
      <c r="AD441" s="699"/>
      <c r="AE441" s="49"/>
      <c r="AF441" s="49"/>
      <c r="AG441" s="49"/>
      <c r="AH441" s="49"/>
      <c r="AI441" s="49"/>
      <c r="AJ441" s="49"/>
      <c r="AK441" s="49"/>
      <c r="AL441" s="49"/>
      <c r="AM441" s="49"/>
      <c r="AN441" s="49"/>
      <c r="AO441" s="49"/>
      <c r="AP441" s="49"/>
      <c r="AQ441" s="49"/>
      <c r="AR441" s="49"/>
      <c r="AS441" s="49"/>
      <c r="AT441" s="49"/>
      <c r="AU441" s="49"/>
      <c r="AV441" s="49"/>
      <c r="AW441" s="49"/>
      <c r="AX441" s="49"/>
      <c r="AY441" s="49"/>
      <c r="AZ441" s="49"/>
      <c r="BA441" s="49"/>
      <c r="BB441" s="49"/>
      <c r="BC441" s="49"/>
      <c r="BD441" s="49"/>
      <c r="BE441" s="49"/>
      <c r="BF441" s="49"/>
      <c r="BG441" s="49"/>
      <c r="BH441" s="49"/>
      <c r="BI441" s="49"/>
      <c r="BJ441" s="49"/>
      <c r="BK441" s="49"/>
      <c r="BL441" s="49"/>
      <c r="BM441" s="49"/>
      <c r="BN441" s="49"/>
    </row>
    <row r="442" spans="1:66">
      <c r="A442" s="699"/>
      <c r="B442" s="151"/>
      <c r="C442" s="151"/>
      <c r="D442" s="151"/>
      <c r="E442" s="151"/>
      <c r="F442" s="151"/>
      <c r="G442" s="151"/>
      <c r="H442" s="151"/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699"/>
      <c r="AB442" s="699"/>
      <c r="AC442" s="699"/>
      <c r="AD442" s="699"/>
      <c r="AE442" s="49"/>
      <c r="AF442" s="49"/>
      <c r="AG442" s="49"/>
      <c r="AH442" s="49"/>
      <c r="AI442" s="49"/>
      <c r="AJ442" s="49"/>
      <c r="AK442" s="49"/>
      <c r="AL442" s="49"/>
      <c r="AM442" s="49"/>
      <c r="AN442" s="49"/>
      <c r="AO442" s="49"/>
      <c r="AP442" s="49"/>
      <c r="AQ442" s="49"/>
      <c r="AR442" s="49"/>
      <c r="AS442" s="49"/>
      <c r="AT442" s="49"/>
      <c r="AU442" s="49"/>
      <c r="AV442" s="49"/>
      <c r="AW442" s="49"/>
      <c r="AX442" s="49"/>
      <c r="AY442" s="49"/>
      <c r="AZ442" s="49"/>
      <c r="BA442" s="49"/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</row>
    <row r="443" spans="1:66" ht="15.75">
      <c r="A443" s="699"/>
      <c r="B443" s="718" t="s">
        <v>1225</v>
      </c>
      <c r="C443" s="151"/>
      <c r="D443" s="151"/>
      <c r="E443" s="151"/>
      <c r="F443" s="151"/>
      <c r="G443" s="151"/>
      <c r="H443" s="151"/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699"/>
      <c r="AB443" s="699"/>
      <c r="AC443" s="699"/>
      <c r="AD443" s="699"/>
      <c r="AE443" s="49"/>
      <c r="AF443" s="49"/>
      <c r="AG443" s="49"/>
      <c r="AH443" s="49"/>
      <c r="AI443" s="49"/>
      <c r="AJ443" s="49"/>
      <c r="AK443" s="49"/>
      <c r="AL443" s="49"/>
      <c r="AM443" s="49"/>
      <c r="AN443" s="49"/>
      <c r="AO443" s="49"/>
      <c r="AP443" s="49"/>
      <c r="AQ443" s="49"/>
      <c r="AR443" s="49"/>
      <c r="AS443" s="49"/>
      <c r="AT443" s="49"/>
      <c r="AU443" s="49"/>
      <c r="AV443" s="49"/>
      <c r="AW443" s="49"/>
      <c r="AX443" s="49"/>
      <c r="AY443" s="49"/>
      <c r="AZ443" s="49"/>
      <c r="BA443" s="49"/>
      <c r="BB443" s="49"/>
      <c r="BC443" s="49"/>
      <c r="BD443" s="49"/>
      <c r="BE443" s="49"/>
      <c r="BF443" s="49"/>
      <c r="BG443" s="49"/>
      <c r="BH443" s="49"/>
      <c r="BI443" s="49"/>
      <c r="BJ443" s="49"/>
      <c r="BK443" s="49"/>
      <c r="BL443" s="49"/>
      <c r="BM443" s="49"/>
      <c r="BN443" s="49"/>
    </row>
    <row r="444" spans="1:66" ht="15.75">
      <c r="A444" s="699"/>
      <c r="B444" s="151" t="s">
        <v>1226</v>
      </c>
      <c r="C444" s="151"/>
      <c r="D444" s="948" t="e">
        <f ca="1">+SUM(F444:Z444)</f>
        <v>#DIV/0!</v>
      </c>
      <c r="E444" s="948"/>
      <c r="F444" s="946">
        <v>0</v>
      </c>
      <c r="G444" s="946">
        <f ca="1">+F451</f>
        <v>115496090.7446782</v>
      </c>
      <c r="H444" s="946">
        <f t="shared" ref="H444:Z444" ca="1" si="796">+G451</f>
        <v>115496090.74467808</v>
      </c>
      <c r="I444" s="946">
        <f t="shared" ca="1" si="796"/>
        <v>115496090.74467814</v>
      </c>
      <c r="J444" s="946">
        <f t="shared" ca="1" si="796"/>
        <v>115496090.7446782</v>
      </c>
      <c r="K444" s="946">
        <f t="shared" ca="1" si="796"/>
        <v>122759545.27517019</v>
      </c>
      <c r="L444" s="946" t="e">
        <f t="shared" ca="1" si="796"/>
        <v>#DIV/0!</v>
      </c>
      <c r="M444" s="946" t="e">
        <f t="shared" ca="1" si="796"/>
        <v>#DIV/0!</v>
      </c>
      <c r="N444" s="946" t="e">
        <f t="shared" ca="1" si="796"/>
        <v>#DIV/0!</v>
      </c>
      <c r="O444" s="946" t="e">
        <f t="shared" ca="1" si="796"/>
        <v>#DIV/0!</v>
      </c>
      <c r="P444" s="946" t="e">
        <f t="shared" ca="1" si="796"/>
        <v>#DIV/0!</v>
      </c>
      <c r="Q444" s="946" t="e">
        <f t="shared" ca="1" si="796"/>
        <v>#DIV/0!</v>
      </c>
      <c r="R444" s="946" t="e">
        <f t="shared" ca="1" si="796"/>
        <v>#DIV/0!</v>
      </c>
      <c r="S444" s="946" t="e">
        <f t="shared" ca="1" si="796"/>
        <v>#DIV/0!</v>
      </c>
      <c r="T444" s="946" t="e">
        <f t="shared" ca="1" si="796"/>
        <v>#DIV/0!</v>
      </c>
      <c r="U444" s="946" t="e">
        <f t="shared" ca="1" si="796"/>
        <v>#DIV/0!</v>
      </c>
      <c r="V444" s="946" t="e">
        <f t="shared" ca="1" si="796"/>
        <v>#DIV/0!</v>
      </c>
      <c r="W444" s="946" t="e">
        <f t="shared" ca="1" si="796"/>
        <v>#DIV/0!</v>
      </c>
      <c r="X444" s="946" t="e">
        <f t="shared" ca="1" si="796"/>
        <v>#DIV/0!</v>
      </c>
      <c r="Y444" s="946" t="e">
        <f t="shared" ca="1" si="796"/>
        <v>#DIV/0!</v>
      </c>
      <c r="Z444" s="946" t="e">
        <f t="shared" ca="1" si="796"/>
        <v>#DIV/0!</v>
      </c>
      <c r="AA444" s="699"/>
      <c r="AB444" s="699"/>
      <c r="AC444" s="699"/>
      <c r="AD444" s="699"/>
      <c r="AE444" s="49"/>
      <c r="AF444" s="49"/>
      <c r="AG444" s="49"/>
      <c r="AH444" s="49"/>
      <c r="AI444" s="49"/>
      <c r="AJ444" s="49"/>
      <c r="AK444" s="49"/>
      <c r="AL444" s="49"/>
      <c r="AM444" s="49"/>
      <c r="AN444" s="49"/>
      <c r="AO444" s="49"/>
      <c r="AP444" s="49"/>
      <c r="AQ444" s="49"/>
      <c r="AR444" s="49"/>
      <c r="AS444" s="49"/>
      <c r="AT444" s="49"/>
      <c r="AU444" s="49"/>
      <c r="AV444" s="49"/>
      <c r="AW444" s="49"/>
      <c r="AX444" s="49"/>
      <c r="AY444" s="49"/>
      <c r="AZ444" s="49"/>
      <c r="BA444" s="49"/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</row>
    <row r="445" spans="1:66" ht="15.75">
      <c r="A445" s="699"/>
      <c r="B445" s="151" t="s">
        <v>1212</v>
      </c>
      <c r="C445" s="151"/>
      <c r="D445" s="948">
        <f t="shared" ref="D445:D451" ca="1" si="797">+SUM(F445:Z445)</f>
        <v>115496090.7446782</v>
      </c>
      <c r="E445" s="948"/>
      <c r="F445" s="972">
        <f ca="1">-F416</f>
        <v>115496090.74467814</v>
      </c>
      <c r="G445" s="972">
        <f t="shared" ref="G445:Z445" ca="1" si="798">-G416</f>
        <v>0</v>
      </c>
      <c r="H445" s="972">
        <f t="shared" ca="1" si="798"/>
        <v>0</v>
      </c>
      <c r="I445" s="972">
        <f t="shared" ca="1" si="798"/>
        <v>0</v>
      </c>
      <c r="J445" s="972">
        <f t="shared" ca="1" si="798"/>
        <v>0</v>
      </c>
      <c r="K445" s="972">
        <f t="shared" ca="1" si="798"/>
        <v>0</v>
      </c>
      <c r="L445" s="972">
        <f t="shared" ca="1" si="798"/>
        <v>0</v>
      </c>
      <c r="M445" s="972">
        <f t="shared" ca="1" si="798"/>
        <v>0</v>
      </c>
      <c r="N445" s="972">
        <f t="shared" ca="1" si="798"/>
        <v>0</v>
      </c>
      <c r="O445" s="972">
        <f t="shared" ca="1" si="798"/>
        <v>0</v>
      </c>
      <c r="P445" s="972">
        <f t="shared" ca="1" si="798"/>
        <v>0</v>
      </c>
      <c r="Q445" s="972">
        <f t="shared" ca="1" si="798"/>
        <v>0</v>
      </c>
      <c r="R445" s="972">
        <f t="shared" ca="1" si="798"/>
        <v>0</v>
      </c>
      <c r="S445" s="972">
        <f t="shared" ca="1" si="798"/>
        <v>0</v>
      </c>
      <c r="T445" s="972">
        <f t="shared" ca="1" si="798"/>
        <v>0</v>
      </c>
      <c r="U445" s="972">
        <f t="shared" ca="1" si="798"/>
        <v>0</v>
      </c>
      <c r="V445" s="972">
        <f t="shared" ca="1" si="798"/>
        <v>0</v>
      </c>
      <c r="W445" s="972">
        <f t="shared" ca="1" si="798"/>
        <v>0</v>
      </c>
      <c r="X445" s="972">
        <f t="shared" ca="1" si="798"/>
        <v>0</v>
      </c>
      <c r="Y445" s="972">
        <f t="shared" ca="1" si="798"/>
        <v>0</v>
      </c>
      <c r="Z445" s="972">
        <f t="shared" ca="1" si="798"/>
        <v>0</v>
      </c>
      <c r="AA445" s="699"/>
      <c r="AB445" s="699"/>
      <c r="AC445" s="699"/>
      <c r="AD445" s="699"/>
      <c r="AE445" s="49"/>
      <c r="AF445" s="49"/>
      <c r="AG445" s="49"/>
      <c r="AH445" s="49"/>
      <c r="AI445" s="49"/>
      <c r="AJ445" s="49"/>
      <c r="AK445" s="49"/>
      <c r="AL445" s="49"/>
      <c r="AM445" s="49"/>
      <c r="AN445" s="49"/>
      <c r="AO445" s="49"/>
      <c r="AP445" s="49"/>
      <c r="AQ445" s="49"/>
      <c r="AR445" s="49"/>
      <c r="AS445" s="49"/>
      <c r="AT445" s="49"/>
      <c r="AU445" s="49"/>
      <c r="AV445" s="49"/>
      <c r="AW445" s="49"/>
      <c r="AX445" s="49"/>
      <c r="AY445" s="49"/>
      <c r="AZ445" s="49"/>
      <c r="BA445" s="49"/>
      <c r="BB445" s="49"/>
      <c r="BC445" s="49"/>
      <c r="BD445" s="49"/>
      <c r="BE445" s="49"/>
      <c r="BF445" s="49"/>
      <c r="BG445" s="49"/>
      <c r="BH445" s="49"/>
      <c r="BI445" s="49"/>
      <c r="BJ445" s="49"/>
      <c r="BK445" s="49"/>
      <c r="BL445" s="49"/>
      <c r="BM445" s="49"/>
      <c r="BN445" s="49"/>
    </row>
    <row r="446" spans="1:66" ht="15.75">
      <c r="A446" s="699"/>
      <c r="B446" s="151" t="s">
        <v>1240</v>
      </c>
      <c r="C446" s="151"/>
      <c r="D446" s="948">
        <f t="shared" ca="1" si="797"/>
        <v>48595020.89809081</v>
      </c>
      <c r="E446" s="948"/>
      <c r="F446" s="972">
        <f ca="1">+IF(F413&lt;=Assumptions!$F$35,'Phase 1 Pro Forma'!F406-AQ170-F204-F135,0)</f>
        <v>0</v>
      </c>
      <c r="G446" s="972">
        <f ca="1">+IF(G413&lt;=Assumptions!$F$35,'Phase 1 Pro Forma'!G406-AR170-G204-G135,0)</f>
        <v>0</v>
      </c>
      <c r="H446" s="972">
        <f ca="1">+IF(H413&lt;=Assumptions!$F$35,'Phase 1 Pro Forma'!H406-AS170-H204-H135,0)</f>
        <v>0</v>
      </c>
      <c r="I446" s="972">
        <f ca="1">+IF(I413&lt;=Assumptions!$F$35,'Phase 1 Pro Forma'!I406-AT170-I204-I135,0)</f>
        <v>0</v>
      </c>
      <c r="J446" s="972">
        <f ca="1">+IF(J413&lt;=Assumptions!$F$35,'Phase 1 Pro Forma'!J406-AU170-J204-J135,0)</f>
        <v>-9397863.5158332717</v>
      </c>
      <c r="K446" s="972">
        <f ca="1">+IF(K413&lt;=Assumptions!$F$35,'Phase 1 Pro Forma'!K406-AV170-K204-K135,0)</f>
        <v>720178.03365673311</v>
      </c>
      <c r="L446" s="972">
        <f ca="1">+IF(L413&lt;=Assumptions!$F$35,'Phase 1 Pro Forma'!L406-AW170-L204-L135,0)</f>
        <v>9150443.4918372966</v>
      </c>
      <c r="M446" s="972">
        <f ca="1">+IF(M413&lt;=Assumptions!$F$35,'Phase 1 Pro Forma'!M406-AX170-M204-M135,0)</f>
        <v>10904682.724170592</v>
      </c>
      <c r="N446" s="972">
        <f ca="1">+IF(N413&lt;=Assumptions!$F$35,'Phase 1 Pro Forma'!N406-AY170-N204-N135,0)</f>
        <v>11653881.670758119</v>
      </c>
      <c r="O446" s="972">
        <f ca="1">+IF(O413&lt;=Assumptions!$F$35,'Phase 1 Pro Forma'!O406-AZ170-O204-O135,0)</f>
        <v>12429031.554629982</v>
      </c>
      <c r="P446" s="972">
        <f ca="1">+IF(P413&lt;=Assumptions!$F$35,'Phase 1 Pro Forma'!P406-BA170-P204-P135,0)</f>
        <v>13134666.938871311</v>
      </c>
      <c r="Q446" s="972">
        <f>+IF(Q413&lt;=Assumptions!$F$35,'Phase 1 Pro Forma'!Q406-BB170-Q204-Q135,0)</f>
        <v>0</v>
      </c>
      <c r="R446" s="972">
        <f>+IF(R413&lt;=Assumptions!$F$35,'Phase 1 Pro Forma'!R406-BC170-R204-R135,0)</f>
        <v>0</v>
      </c>
      <c r="S446" s="972">
        <f>+IF(S413&lt;=Assumptions!$F$35,'Phase 1 Pro Forma'!S406-BD170-S204-S135,0)</f>
        <v>0</v>
      </c>
      <c r="T446" s="972">
        <f>+IF(T413&lt;=Assumptions!$F$35,'Phase 1 Pro Forma'!T406-BE170-T204-T135,0)</f>
        <v>0</v>
      </c>
      <c r="U446" s="972">
        <f>+IF(U413&lt;=Assumptions!$F$35,'Phase 1 Pro Forma'!U406-BF170-U204-U135,0)</f>
        <v>0</v>
      </c>
      <c r="V446" s="972">
        <f>+IF(V413&lt;=Assumptions!$F$35,'Phase 1 Pro Forma'!V406-BG170-V204-V135,0)</f>
        <v>0</v>
      </c>
      <c r="W446" s="972">
        <f>+IF(W413&lt;=Assumptions!$F$35,'Phase 1 Pro Forma'!W406-BH170-W204-W135,0)</f>
        <v>0</v>
      </c>
      <c r="X446" s="972">
        <f>+IF(X413&lt;=Assumptions!$F$35,'Phase 1 Pro Forma'!X406-BI170-X204-X135,0)</f>
        <v>0</v>
      </c>
      <c r="Y446" s="972">
        <f>+IF(Y413&lt;=Assumptions!$F$35,'Phase 1 Pro Forma'!Y406-BJ170-Y204-Y135,0)</f>
        <v>0</v>
      </c>
      <c r="Z446" s="972">
        <f>+IF(Z413&lt;=Assumptions!$F$35,'Phase 1 Pro Forma'!Z406-BK170-Z204-Z135,0)</f>
        <v>0</v>
      </c>
      <c r="AA446" s="699"/>
      <c r="AB446" s="699"/>
      <c r="AC446" s="699"/>
      <c r="AD446" s="699"/>
      <c r="AE446" s="49"/>
      <c r="AF446" s="49"/>
      <c r="AG446" s="49"/>
      <c r="AH446" s="49"/>
      <c r="AI446" s="49"/>
      <c r="AJ446" s="49"/>
      <c r="AK446" s="49"/>
      <c r="AL446" s="49"/>
      <c r="AM446" s="49"/>
      <c r="AN446" s="49"/>
      <c r="AO446" s="49"/>
      <c r="AP446" s="49"/>
      <c r="AQ446" s="49"/>
      <c r="AR446" s="49"/>
      <c r="AS446" s="49"/>
      <c r="AT446" s="49"/>
      <c r="AU446" s="49"/>
      <c r="AV446" s="49"/>
      <c r="AW446" s="49"/>
      <c r="AX446" s="49"/>
      <c r="AY446" s="49"/>
      <c r="AZ446" s="49"/>
      <c r="BA446" s="49"/>
      <c r="BB446" s="49"/>
      <c r="BC446" s="49"/>
      <c r="BD446" s="49"/>
      <c r="BE446" s="49"/>
      <c r="BF446" s="49"/>
      <c r="BG446" s="49"/>
      <c r="BH446" s="49"/>
      <c r="BI446" s="49"/>
      <c r="BJ446" s="49"/>
      <c r="BK446" s="49"/>
      <c r="BL446" s="49"/>
      <c r="BM446" s="49"/>
      <c r="BN446" s="49"/>
    </row>
    <row r="447" spans="1:66" ht="15.75">
      <c r="A447" s="699"/>
      <c r="B447" s="151" t="s">
        <v>1227</v>
      </c>
      <c r="C447" s="151"/>
      <c r="D447" s="948" t="e">
        <f t="shared" ca="1" si="797"/>
        <v>#DIV/0!</v>
      </c>
      <c r="E447" s="948"/>
      <c r="F447" s="972">
        <f>+F407</f>
        <v>0</v>
      </c>
      <c r="G447" s="972">
        <f t="shared" ref="G447:Z447" si="799">+G407</f>
        <v>0</v>
      </c>
      <c r="H447" s="972">
        <f t="shared" si="799"/>
        <v>0</v>
      </c>
      <c r="I447" s="972">
        <f t="shared" si="799"/>
        <v>0</v>
      </c>
      <c r="J447" s="972">
        <f t="shared" si="799"/>
        <v>0</v>
      </c>
      <c r="K447" s="972" t="e">
        <f t="shared" ca="1" si="799"/>
        <v>#DIV/0!</v>
      </c>
      <c r="L447" s="972" t="e">
        <f t="shared" ca="1" si="799"/>
        <v>#DIV/0!</v>
      </c>
      <c r="M447" s="972" t="e">
        <f t="shared" ca="1" si="799"/>
        <v>#DIV/0!</v>
      </c>
      <c r="N447" s="972" t="e">
        <f t="shared" ca="1" si="799"/>
        <v>#DIV/0!</v>
      </c>
      <c r="O447" s="972" t="e">
        <f t="shared" ca="1" si="799"/>
        <v>#DIV/0!</v>
      </c>
      <c r="P447" s="972" t="e">
        <f t="shared" ca="1" si="799"/>
        <v>#DIV/0!</v>
      </c>
      <c r="Q447" s="972">
        <f t="shared" si="799"/>
        <v>0</v>
      </c>
      <c r="R447" s="972">
        <f t="shared" si="799"/>
        <v>0</v>
      </c>
      <c r="S447" s="972">
        <f t="shared" si="799"/>
        <v>0</v>
      </c>
      <c r="T447" s="972">
        <f t="shared" si="799"/>
        <v>0</v>
      </c>
      <c r="U447" s="972">
        <f t="shared" si="799"/>
        <v>0</v>
      </c>
      <c r="V447" s="972">
        <f t="shared" si="799"/>
        <v>0</v>
      </c>
      <c r="W447" s="972">
        <f t="shared" si="799"/>
        <v>0</v>
      </c>
      <c r="X447" s="972">
        <f t="shared" si="799"/>
        <v>0</v>
      </c>
      <c r="Y447" s="972">
        <f t="shared" si="799"/>
        <v>0</v>
      </c>
      <c r="Z447" s="972">
        <f t="shared" si="799"/>
        <v>0</v>
      </c>
      <c r="AA447" s="699"/>
      <c r="AB447" s="699"/>
      <c r="AC447" s="699"/>
      <c r="AD447" s="699"/>
      <c r="AE447" s="49"/>
      <c r="AF447" s="49"/>
      <c r="AG447" s="49"/>
      <c r="AH447" s="49"/>
      <c r="AI447" s="49"/>
      <c r="AJ447" s="49"/>
      <c r="AK447" s="49"/>
      <c r="AL447" s="49"/>
      <c r="AM447" s="49"/>
      <c r="AN447" s="49"/>
      <c r="AO447" s="49"/>
      <c r="AP447" s="49"/>
      <c r="AQ447" s="49"/>
      <c r="AR447" s="49"/>
      <c r="AS447" s="49"/>
      <c r="AT447" s="49"/>
      <c r="AU447" s="49"/>
      <c r="AV447" s="49"/>
      <c r="AW447" s="49"/>
      <c r="AX447" s="49"/>
      <c r="AY447" s="49"/>
      <c r="AZ447" s="49"/>
      <c r="BA447" s="49"/>
      <c r="BB447" s="49"/>
      <c r="BC447" s="49"/>
      <c r="BD447" s="49"/>
      <c r="BE447" s="49"/>
      <c r="BF447" s="49"/>
      <c r="BG447" s="49"/>
      <c r="BH447" s="49"/>
      <c r="BI447" s="49"/>
      <c r="BJ447" s="49"/>
      <c r="BK447" s="49"/>
      <c r="BL447" s="49"/>
      <c r="BM447" s="49"/>
      <c r="BN447" s="49"/>
    </row>
    <row r="448" spans="1:66" ht="15.75">
      <c r="A448" s="699"/>
      <c r="B448" s="151" t="s">
        <v>1234</v>
      </c>
      <c r="C448" s="151"/>
      <c r="D448" s="948">
        <f t="shared" ca="1" si="797"/>
        <v>-9666317.1555717401</v>
      </c>
      <c r="E448" s="948"/>
      <c r="F448" s="972">
        <f ca="1">-F420</f>
        <v>0</v>
      </c>
      <c r="G448" s="972">
        <f t="shared" ref="G448:Z448" ca="1" si="800">-G420</f>
        <v>0</v>
      </c>
      <c r="H448" s="972">
        <f t="shared" ca="1" si="800"/>
        <v>0</v>
      </c>
      <c r="I448" s="972">
        <f t="shared" ca="1" si="800"/>
        <v>0</v>
      </c>
      <c r="J448" s="972">
        <f t="shared" ca="1" si="800"/>
        <v>16661318.04632538</v>
      </c>
      <c r="K448" s="972">
        <f t="shared" ca="1" si="800"/>
        <v>3994093.2095648702</v>
      </c>
      <c r="L448" s="972">
        <f t="shared" ca="1" si="800"/>
        <v>-4224030.0426707231</v>
      </c>
      <c r="M448" s="972">
        <f t="shared" ca="1" si="800"/>
        <v>-5756580.6697915234</v>
      </c>
      <c r="N448" s="972">
        <f t="shared" ca="1" si="800"/>
        <v>-6274115.0239319913</v>
      </c>
      <c r="O448" s="972">
        <f t="shared" ca="1" si="800"/>
        <v>-6807175.4086966775</v>
      </c>
      <c r="P448" s="972">
        <f t="shared" ca="1" si="800"/>
        <v>-7259827.266371008</v>
      </c>
      <c r="Q448" s="972">
        <f t="shared" si="800"/>
        <v>0</v>
      </c>
      <c r="R448" s="972">
        <f t="shared" si="800"/>
        <v>0</v>
      </c>
      <c r="S448" s="972">
        <f t="shared" si="800"/>
        <v>0</v>
      </c>
      <c r="T448" s="972">
        <f t="shared" si="800"/>
        <v>0</v>
      </c>
      <c r="U448" s="972">
        <f t="shared" si="800"/>
        <v>0</v>
      </c>
      <c r="V448" s="972">
        <f t="shared" si="800"/>
        <v>0</v>
      </c>
      <c r="W448" s="972">
        <f t="shared" si="800"/>
        <v>0</v>
      </c>
      <c r="X448" s="972">
        <f t="shared" si="800"/>
        <v>0</v>
      </c>
      <c r="Y448" s="972">
        <f t="shared" si="800"/>
        <v>0</v>
      </c>
      <c r="Z448" s="972">
        <f t="shared" si="800"/>
        <v>0</v>
      </c>
      <c r="AA448" s="699"/>
      <c r="AB448" s="699"/>
      <c r="AC448" s="699"/>
      <c r="AD448" s="699"/>
      <c r="AE448" s="49"/>
      <c r="AF448" s="49"/>
      <c r="AG448" s="49"/>
      <c r="AH448" s="49"/>
      <c r="AI448" s="49"/>
      <c r="AJ448" s="49"/>
      <c r="AK448" s="49"/>
      <c r="AL448" s="49"/>
      <c r="AM448" s="49"/>
      <c r="AN448" s="49"/>
      <c r="AO448" s="49"/>
      <c r="AP448" s="49"/>
      <c r="AQ448" s="49"/>
      <c r="AR448" s="49"/>
      <c r="AS448" s="49"/>
      <c r="AT448" s="49"/>
      <c r="AU448" s="49"/>
      <c r="AV448" s="49"/>
      <c r="AW448" s="49"/>
      <c r="AX448" s="49"/>
      <c r="AY448" s="49"/>
      <c r="AZ448" s="49"/>
      <c r="BA448" s="49"/>
      <c r="BB448" s="49"/>
      <c r="BC448" s="49"/>
      <c r="BD448" s="49"/>
      <c r="BE448" s="49"/>
      <c r="BF448" s="49"/>
      <c r="BG448" s="49"/>
      <c r="BH448" s="49"/>
      <c r="BI448" s="49"/>
      <c r="BJ448" s="49"/>
      <c r="BK448" s="49"/>
      <c r="BL448" s="49"/>
      <c r="BM448" s="49"/>
      <c r="BN448" s="49"/>
    </row>
    <row r="449" spans="1:66" ht="15.75">
      <c r="A449" s="699"/>
      <c r="B449" s="151" t="s">
        <v>1241</v>
      </c>
      <c r="C449" s="151"/>
      <c r="D449" s="948">
        <f t="shared" ca="1" si="797"/>
        <v>-281692721.68905497</v>
      </c>
      <c r="E449" s="948"/>
      <c r="F449" s="972">
        <f t="shared" ref="F449:Z449" si="801">-AQ182-F216-F148</f>
        <v>0</v>
      </c>
      <c r="G449" s="972">
        <f t="shared" si="801"/>
        <v>0</v>
      </c>
      <c r="H449" s="972">
        <f t="shared" si="801"/>
        <v>0</v>
      </c>
      <c r="I449" s="972">
        <f t="shared" si="801"/>
        <v>0</v>
      </c>
      <c r="J449" s="972">
        <f t="shared" ca="1" si="801"/>
        <v>0</v>
      </c>
      <c r="K449" s="972">
        <f t="shared" si="801"/>
        <v>0</v>
      </c>
      <c r="L449" s="972">
        <f t="shared" si="801"/>
        <v>0</v>
      </c>
      <c r="M449" s="972">
        <f t="shared" si="801"/>
        <v>0</v>
      </c>
      <c r="N449" s="972">
        <f t="shared" si="801"/>
        <v>0</v>
      </c>
      <c r="O449" s="972">
        <f t="shared" si="801"/>
        <v>0</v>
      </c>
      <c r="P449" s="972">
        <f t="shared" ca="1" si="801"/>
        <v>-281692721.68905485</v>
      </c>
      <c r="Q449" s="972">
        <f t="shared" si="801"/>
        <v>0</v>
      </c>
      <c r="R449" s="972">
        <f t="shared" si="801"/>
        <v>0</v>
      </c>
      <c r="S449" s="972">
        <f t="shared" si="801"/>
        <v>0</v>
      </c>
      <c r="T449" s="972">
        <f t="shared" si="801"/>
        <v>0</v>
      </c>
      <c r="U449" s="972">
        <f t="shared" si="801"/>
        <v>0</v>
      </c>
      <c r="V449" s="972">
        <f t="shared" si="801"/>
        <v>0</v>
      </c>
      <c r="W449" s="972">
        <f t="shared" si="801"/>
        <v>0</v>
      </c>
      <c r="X449" s="972">
        <f t="shared" si="801"/>
        <v>0</v>
      </c>
      <c r="Y449" s="972">
        <f t="shared" si="801"/>
        <v>0</v>
      </c>
      <c r="Z449" s="972">
        <f t="shared" si="801"/>
        <v>0</v>
      </c>
      <c r="AA449" s="699"/>
      <c r="AB449" s="699"/>
      <c r="AC449" s="699"/>
      <c r="AD449" s="699"/>
      <c r="AE449" s="49"/>
      <c r="AF449" s="49"/>
      <c r="AG449" s="49"/>
      <c r="AH449" s="49"/>
      <c r="AI449" s="49"/>
      <c r="AJ449" s="49"/>
      <c r="AK449" s="49"/>
      <c r="AL449" s="49"/>
      <c r="AM449" s="49"/>
      <c r="AN449" s="49"/>
      <c r="AO449" s="49"/>
      <c r="AP449" s="49"/>
      <c r="AQ449" s="49"/>
      <c r="AR449" s="49"/>
      <c r="AS449" s="49"/>
      <c r="AT449" s="49"/>
      <c r="AU449" s="49"/>
      <c r="AV449" s="49"/>
      <c r="AW449" s="49"/>
      <c r="AX449" s="49"/>
      <c r="AY449" s="49"/>
      <c r="AZ449" s="49"/>
      <c r="BA449" s="49"/>
      <c r="BB449" s="49"/>
      <c r="BC449" s="49"/>
      <c r="BD449" s="49"/>
      <c r="BE449" s="49"/>
      <c r="BF449" s="49"/>
      <c r="BG449" s="49"/>
      <c r="BH449" s="49"/>
      <c r="BI449" s="49"/>
      <c r="BJ449" s="49"/>
      <c r="BK449" s="49"/>
      <c r="BL449" s="49"/>
      <c r="BM449" s="49"/>
      <c r="BN449" s="49"/>
    </row>
    <row r="450" spans="1:66" ht="15.75">
      <c r="A450" s="699"/>
      <c r="B450" s="151" t="s">
        <v>1229</v>
      </c>
      <c r="C450" s="151"/>
      <c r="D450" s="948" t="e">
        <f t="shared" ca="1" si="797"/>
        <v>#DIV/0!</v>
      </c>
      <c r="E450" s="948"/>
      <c r="F450" s="972">
        <f>-IF(YEAR(F413)=YEAR(Assumptions!$F$35),SUM('Phase 1 Pro Forma'!F444:F449),0)</f>
        <v>0</v>
      </c>
      <c r="G450" s="972">
        <f>-IF(YEAR(G413)=YEAR(Assumptions!$F$35),SUM('Phase 1 Pro Forma'!G444:G449),0)</f>
        <v>0</v>
      </c>
      <c r="H450" s="972">
        <f>-IF(YEAR(H413)=YEAR(Assumptions!$F$35),SUM('Phase 1 Pro Forma'!H444:H449),0)</f>
        <v>0</v>
      </c>
      <c r="I450" s="972">
        <f>-IF(YEAR(I413)=YEAR(Assumptions!$F$35),SUM('Phase 1 Pro Forma'!I444:I449),0)</f>
        <v>0</v>
      </c>
      <c r="J450" s="972">
        <f>-IF(YEAR(J413)=YEAR(Assumptions!$F$35),SUM('Phase 1 Pro Forma'!J444:J449),0)</f>
        <v>0</v>
      </c>
      <c r="K450" s="972">
        <f>-IF(YEAR(K413)=YEAR(Assumptions!$F$35),SUM('Phase 1 Pro Forma'!K444:K449),0)</f>
        <v>0</v>
      </c>
      <c r="L450" s="972">
        <f>-IF(YEAR(L413)=YEAR(Assumptions!$F$35),SUM('Phase 1 Pro Forma'!L444:L449),0)</f>
        <v>0</v>
      </c>
      <c r="M450" s="972">
        <f>-IF(YEAR(M413)=YEAR(Assumptions!$F$35),SUM('Phase 1 Pro Forma'!M444:M449),0)</f>
        <v>0</v>
      </c>
      <c r="N450" s="972">
        <f>-IF(YEAR(N413)=YEAR(Assumptions!$F$35),SUM('Phase 1 Pro Forma'!N444:N449),0)</f>
        <v>0</v>
      </c>
      <c r="O450" s="972">
        <f>-IF(YEAR(O413)=YEAR(Assumptions!$F$35),SUM('Phase 1 Pro Forma'!O444:O449),0)</f>
        <v>0</v>
      </c>
      <c r="P450" s="972" t="e">
        <f ca="1">-IF(YEAR(P413)=YEAR(Assumptions!$F$35),SUM('Phase 1 Pro Forma'!P444:P449),0)</f>
        <v>#DIV/0!</v>
      </c>
      <c r="Q450" s="972">
        <f>-IF(YEAR(Q413)=YEAR(Assumptions!$F$35),SUM('Phase 1 Pro Forma'!Q444:Q449),0)</f>
        <v>0</v>
      </c>
      <c r="R450" s="972">
        <f>-IF(YEAR(R413)=YEAR(Assumptions!$F$35),SUM('Phase 1 Pro Forma'!R444:R449),0)</f>
        <v>0</v>
      </c>
      <c r="S450" s="972">
        <f>-IF(YEAR(S413)=YEAR(Assumptions!$F$35),SUM('Phase 1 Pro Forma'!S444:S449),0)</f>
        <v>0</v>
      </c>
      <c r="T450" s="972">
        <f>-IF(YEAR(T413)=YEAR(Assumptions!$F$35),SUM('Phase 1 Pro Forma'!T444:T449),0)</f>
        <v>0</v>
      </c>
      <c r="U450" s="972">
        <f>-IF(YEAR(U413)=YEAR(Assumptions!$F$35),SUM('Phase 1 Pro Forma'!U444:U449),0)</f>
        <v>0</v>
      </c>
      <c r="V450" s="972">
        <f>-IF(YEAR(V413)=YEAR(Assumptions!$F$35),SUM('Phase 1 Pro Forma'!V444:V449),0)</f>
        <v>0</v>
      </c>
      <c r="W450" s="972">
        <f>-IF(YEAR(W413)=YEAR(Assumptions!$F$35),SUM('Phase 1 Pro Forma'!W444:W449),0)</f>
        <v>0</v>
      </c>
      <c r="X450" s="972">
        <f>-IF(YEAR(X413)=YEAR(Assumptions!$F$35),SUM('Phase 1 Pro Forma'!X444:X449),0)</f>
        <v>0</v>
      </c>
      <c r="Y450" s="972">
        <f>-IF(YEAR(Y413)=YEAR(Assumptions!$F$35),SUM('Phase 1 Pro Forma'!Y444:Y449),0)</f>
        <v>0</v>
      </c>
      <c r="Z450" s="972">
        <f>-IF(YEAR(Z413)=YEAR(Assumptions!$F$35),SUM('Phase 1 Pro Forma'!Z444:Z449),0)</f>
        <v>0</v>
      </c>
      <c r="AA450" s="699"/>
      <c r="AB450" s="699"/>
      <c r="AC450" s="699"/>
      <c r="AD450" s="699"/>
      <c r="AE450" s="49"/>
      <c r="AF450" s="49"/>
      <c r="AG450" s="49"/>
      <c r="AH450" s="49"/>
      <c r="AI450" s="49"/>
      <c r="AJ450" s="49"/>
      <c r="AK450" s="49"/>
      <c r="AL450" s="49"/>
      <c r="AM450" s="49"/>
      <c r="AN450" s="49"/>
      <c r="AO450" s="49"/>
      <c r="AP450" s="49"/>
      <c r="AQ450" s="49"/>
      <c r="AR450" s="49"/>
      <c r="AS450" s="49"/>
      <c r="AT450" s="49"/>
      <c r="AU450" s="49"/>
      <c r="AV450" s="49"/>
      <c r="AW450" s="49"/>
      <c r="AX450" s="49"/>
      <c r="AY450" s="49"/>
      <c r="AZ450" s="49"/>
      <c r="BA450" s="49"/>
      <c r="BB450" s="49"/>
      <c r="BC450" s="49"/>
      <c r="BD450" s="49"/>
      <c r="BE450" s="49"/>
      <c r="BF450" s="49"/>
      <c r="BG450" s="49"/>
      <c r="BH450" s="49"/>
      <c r="BI450" s="49"/>
      <c r="BJ450" s="49"/>
      <c r="BK450" s="49"/>
      <c r="BL450" s="49"/>
      <c r="BM450" s="49"/>
      <c r="BN450" s="49"/>
    </row>
    <row r="451" spans="1:66" ht="15.75">
      <c r="A451" s="699" t="s">
        <v>511</v>
      </c>
      <c r="B451" s="718" t="s">
        <v>1230</v>
      </c>
      <c r="C451" s="718"/>
      <c r="D451" s="948" t="e">
        <f t="shared" ca="1" si="797"/>
        <v>#DIV/0!</v>
      </c>
      <c r="E451" s="948"/>
      <c r="F451" s="948">
        <f ca="1">+SUM(F444:F450)</f>
        <v>115496090.74467814</v>
      </c>
      <c r="G451" s="948">
        <f t="shared" ref="G451:Z451" ca="1" si="802">+SUM(G444:G450)</f>
        <v>115496090.7446782</v>
      </c>
      <c r="H451" s="948">
        <f t="shared" ca="1" si="802"/>
        <v>115496090.74467808</v>
      </c>
      <c r="I451" s="948">
        <f t="shared" ca="1" si="802"/>
        <v>115496090.74467814</v>
      </c>
      <c r="J451" s="948">
        <f t="shared" ca="1" si="802"/>
        <v>122759545.27517031</v>
      </c>
      <c r="K451" s="948" t="e">
        <f t="shared" ca="1" si="802"/>
        <v>#DIV/0!</v>
      </c>
      <c r="L451" s="948" t="e">
        <f t="shared" ca="1" si="802"/>
        <v>#DIV/0!</v>
      </c>
      <c r="M451" s="948" t="e">
        <f t="shared" ca="1" si="802"/>
        <v>#DIV/0!</v>
      </c>
      <c r="N451" s="948" t="e">
        <f t="shared" ca="1" si="802"/>
        <v>#DIV/0!</v>
      </c>
      <c r="O451" s="948" t="e">
        <f t="shared" ca="1" si="802"/>
        <v>#DIV/0!</v>
      </c>
      <c r="P451" s="948" t="e">
        <f t="shared" ca="1" si="802"/>
        <v>#DIV/0!</v>
      </c>
      <c r="Q451" s="948" t="e">
        <f t="shared" ca="1" si="802"/>
        <v>#DIV/0!</v>
      </c>
      <c r="R451" s="948" t="e">
        <f t="shared" ca="1" si="802"/>
        <v>#DIV/0!</v>
      </c>
      <c r="S451" s="948" t="e">
        <f t="shared" ca="1" si="802"/>
        <v>#DIV/0!</v>
      </c>
      <c r="T451" s="948" t="e">
        <f t="shared" ca="1" si="802"/>
        <v>#DIV/0!</v>
      </c>
      <c r="U451" s="948" t="e">
        <f t="shared" ca="1" si="802"/>
        <v>#DIV/0!</v>
      </c>
      <c r="V451" s="948" t="e">
        <f t="shared" ca="1" si="802"/>
        <v>#DIV/0!</v>
      </c>
      <c r="W451" s="948" t="e">
        <f t="shared" ca="1" si="802"/>
        <v>#DIV/0!</v>
      </c>
      <c r="X451" s="948" t="e">
        <f t="shared" ca="1" si="802"/>
        <v>#DIV/0!</v>
      </c>
      <c r="Y451" s="948" t="e">
        <f t="shared" ca="1" si="802"/>
        <v>#DIV/0!</v>
      </c>
      <c r="Z451" s="948" t="e">
        <f t="shared" ca="1" si="802"/>
        <v>#DIV/0!</v>
      </c>
      <c r="AA451" s="699"/>
      <c r="AB451" s="699"/>
      <c r="AC451" s="699"/>
      <c r="AD451" s="699"/>
      <c r="AE451" s="49"/>
      <c r="AF451" s="49"/>
      <c r="AG451" s="49"/>
      <c r="AH451" s="49"/>
      <c r="AI451" s="49"/>
      <c r="AJ451" s="49"/>
      <c r="AK451" s="49"/>
      <c r="AL451" s="49"/>
      <c r="AM451" s="49"/>
      <c r="AN451" s="49"/>
      <c r="AO451" s="49"/>
      <c r="AP451" s="49"/>
      <c r="AQ451" s="49"/>
      <c r="AR451" s="49"/>
      <c r="AS451" s="49"/>
      <c r="AT451" s="49"/>
      <c r="AU451" s="49"/>
      <c r="AV451" s="49"/>
      <c r="AW451" s="49"/>
      <c r="AX451" s="49"/>
      <c r="AY451" s="49"/>
      <c r="AZ451" s="49"/>
      <c r="BA451" s="49"/>
      <c r="BB451" s="49"/>
      <c r="BC451" s="49"/>
      <c r="BD451" s="49"/>
      <c r="BE451" s="49"/>
      <c r="BF451" s="49"/>
      <c r="BG451" s="49"/>
      <c r="BH451" s="49"/>
      <c r="BI451" s="49"/>
      <c r="BJ451" s="49"/>
      <c r="BK451" s="49"/>
      <c r="BL451" s="49"/>
      <c r="BM451" s="49"/>
      <c r="BN451" s="49"/>
    </row>
    <row r="452" spans="1:66">
      <c r="A452" s="699"/>
      <c r="B452" s="151"/>
      <c r="C452" s="151"/>
      <c r="D452" s="151"/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699"/>
      <c r="AB452" s="699"/>
      <c r="AC452" s="699"/>
      <c r="AD452" s="699"/>
      <c r="AE452" s="49"/>
      <c r="AF452" s="49"/>
      <c r="AG452" s="49"/>
      <c r="AH452" s="49"/>
      <c r="AI452" s="49"/>
      <c r="AJ452" s="49"/>
      <c r="AK452" s="49"/>
      <c r="AL452" s="49"/>
      <c r="AM452" s="49"/>
      <c r="AN452" s="49"/>
      <c r="AO452" s="49"/>
      <c r="AP452" s="49"/>
      <c r="AQ452" s="49"/>
      <c r="AR452" s="49"/>
      <c r="AS452" s="49"/>
      <c r="AT452" s="49"/>
      <c r="AU452" s="49"/>
      <c r="AV452" s="49"/>
      <c r="AW452" s="49"/>
      <c r="AX452" s="49"/>
      <c r="AY452" s="49"/>
      <c r="AZ452" s="49"/>
      <c r="BA452" s="49"/>
      <c r="BB452" s="49"/>
      <c r="BC452" s="49"/>
      <c r="BD452" s="49"/>
      <c r="BE452" s="49"/>
      <c r="BF452" s="49"/>
      <c r="BG452" s="49"/>
      <c r="BH452" s="49"/>
      <c r="BI452" s="49"/>
      <c r="BJ452" s="49"/>
      <c r="BK452" s="49"/>
      <c r="BL452" s="49"/>
      <c r="BM452" s="49"/>
      <c r="BN452" s="49"/>
    </row>
    <row r="453" spans="1:66">
      <c r="A453" s="699"/>
      <c r="B453" s="151"/>
      <c r="C453" s="151"/>
      <c r="D453" s="151"/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699"/>
      <c r="AB453" s="699"/>
      <c r="AC453" s="699"/>
      <c r="AD453" s="699"/>
      <c r="AE453" s="49"/>
      <c r="AF453" s="49"/>
      <c r="AG453" s="49"/>
      <c r="AH453" s="49"/>
      <c r="AI453" s="49"/>
      <c r="AJ453" s="49"/>
      <c r="AK453" s="49"/>
      <c r="AL453" s="49"/>
      <c r="AM453" s="49"/>
      <c r="AN453" s="49"/>
      <c r="AO453" s="49"/>
      <c r="AP453" s="49"/>
      <c r="AQ453" s="49"/>
      <c r="AR453" s="49"/>
      <c r="AS453" s="49"/>
      <c r="AT453" s="49"/>
      <c r="AU453" s="49"/>
      <c r="AV453" s="49"/>
      <c r="AW453" s="49"/>
      <c r="AX453" s="49"/>
      <c r="AY453" s="49"/>
      <c r="AZ453" s="49"/>
      <c r="BA453" s="49"/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</row>
    <row r="454" spans="1:66">
      <c r="A454" s="699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699"/>
      <c r="AB454" s="699"/>
      <c r="AC454" s="699"/>
      <c r="AD454" s="699"/>
      <c r="AE454" s="49"/>
      <c r="AF454" s="49"/>
      <c r="AG454" s="49"/>
      <c r="AH454" s="49"/>
      <c r="AI454" s="49"/>
      <c r="AJ454" s="49"/>
      <c r="AK454" s="49"/>
      <c r="AL454" s="49"/>
      <c r="AM454" s="49"/>
      <c r="AN454" s="49"/>
      <c r="AO454" s="49"/>
      <c r="AP454" s="49"/>
      <c r="AQ454" s="49"/>
      <c r="AR454" s="49"/>
      <c r="AS454" s="49"/>
      <c r="AT454" s="49"/>
      <c r="AU454" s="49"/>
      <c r="AV454" s="49"/>
      <c r="AW454" s="49"/>
      <c r="AX454" s="49"/>
      <c r="AY454" s="49"/>
      <c r="AZ454" s="49"/>
      <c r="BA454" s="49"/>
      <c r="BB454" s="49"/>
      <c r="BC454" s="49"/>
      <c r="BD454" s="49"/>
      <c r="BE454" s="49"/>
      <c r="BF454" s="49"/>
      <c r="BG454" s="49"/>
      <c r="BH454" s="49"/>
      <c r="BI454" s="49"/>
      <c r="BJ454" s="49"/>
      <c r="BK454" s="49"/>
      <c r="BL454" s="49"/>
      <c r="BM454" s="49"/>
      <c r="BN454" s="49"/>
    </row>
    <row r="455" spans="1:66">
      <c r="A455" s="699"/>
      <c r="B455" s="151"/>
      <c r="C455" s="151"/>
      <c r="D455" s="151"/>
      <c r="E455" s="151"/>
      <c r="F455" s="151"/>
      <c r="G455" s="151"/>
      <c r="H455" s="151"/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699"/>
      <c r="AB455" s="699"/>
      <c r="AC455" s="699"/>
      <c r="AD455" s="699"/>
      <c r="AE455" s="49"/>
      <c r="AF455" s="49"/>
      <c r="AG455" s="49"/>
      <c r="AH455" s="49"/>
      <c r="AI455" s="49"/>
      <c r="AJ455" s="49"/>
      <c r="AK455" s="49"/>
      <c r="AL455" s="49"/>
      <c r="AM455" s="49"/>
      <c r="AN455" s="49"/>
      <c r="AO455" s="49"/>
      <c r="AP455" s="49"/>
      <c r="AQ455" s="49"/>
      <c r="AR455" s="49"/>
      <c r="AS455" s="49"/>
      <c r="AT455" s="49"/>
      <c r="AU455" s="49"/>
      <c r="AV455" s="49"/>
      <c r="AW455" s="49"/>
      <c r="AX455" s="49"/>
      <c r="AY455" s="49"/>
      <c r="AZ455" s="49"/>
      <c r="BA455" s="49"/>
      <c r="BB455" s="49"/>
      <c r="BC455" s="49"/>
      <c r="BD455" s="49"/>
      <c r="BE455" s="49"/>
      <c r="BF455" s="49"/>
      <c r="BG455" s="49"/>
      <c r="BH455" s="49"/>
      <c r="BI455" s="49"/>
      <c r="BJ455" s="49"/>
      <c r="BK455" s="49"/>
      <c r="BL455" s="49"/>
      <c r="BM455" s="49"/>
      <c r="BN455" s="49"/>
    </row>
    <row r="456" spans="1:66">
      <c r="A456" s="699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699"/>
      <c r="AB456" s="699"/>
      <c r="AC456" s="699"/>
      <c r="AD456" s="699"/>
      <c r="AE456" s="49"/>
      <c r="AF456" s="49"/>
      <c r="AG456" s="49"/>
      <c r="AH456" s="49"/>
      <c r="AI456" s="49"/>
      <c r="AJ456" s="49"/>
      <c r="AK456" s="49"/>
      <c r="AL456" s="49"/>
      <c r="AM456" s="49"/>
      <c r="AN456" s="49"/>
      <c r="AO456" s="49"/>
      <c r="AP456" s="49"/>
      <c r="AQ456" s="49"/>
      <c r="AR456" s="49"/>
      <c r="AS456" s="49"/>
      <c r="AT456" s="49"/>
      <c r="AU456" s="49"/>
      <c r="AV456" s="49"/>
      <c r="AW456" s="49"/>
      <c r="AX456" s="49"/>
      <c r="AY456" s="49"/>
      <c r="AZ456" s="49"/>
      <c r="BA456" s="49"/>
      <c r="BB456" s="49"/>
      <c r="BC456" s="49"/>
      <c r="BD456" s="49"/>
      <c r="BE456" s="49"/>
      <c r="BF456" s="49"/>
      <c r="BG456" s="49"/>
      <c r="BH456" s="49"/>
      <c r="BI456" s="49"/>
      <c r="BJ456" s="49"/>
      <c r="BK456" s="49"/>
      <c r="BL456" s="49"/>
      <c r="BM456" s="49"/>
      <c r="BN456" s="49"/>
    </row>
    <row r="457" spans="1:66">
      <c r="A457" s="699"/>
      <c r="B457" s="151"/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699"/>
      <c r="AB457" s="699"/>
      <c r="AC457" s="699"/>
      <c r="AD457" s="699"/>
      <c r="AE457" s="49"/>
      <c r="AF457" s="49"/>
      <c r="AG457" s="49"/>
      <c r="AH457" s="49"/>
      <c r="AI457" s="49"/>
      <c r="AJ457" s="49"/>
      <c r="AK457" s="49"/>
      <c r="AL457" s="49"/>
      <c r="AM457" s="49"/>
      <c r="AN457" s="49"/>
      <c r="AO457" s="49"/>
      <c r="AP457" s="49"/>
      <c r="AQ457" s="49"/>
      <c r="AR457" s="49"/>
      <c r="AS457" s="49"/>
      <c r="AT457" s="49"/>
      <c r="AU457" s="49"/>
      <c r="AV457" s="49"/>
      <c r="AW457" s="49"/>
      <c r="AX457" s="49"/>
      <c r="AY457" s="49"/>
      <c r="AZ457" s="49"/>
      <c r="BA457" s="49"/>
      <c r="BB457" s="49"/>
      <c r="BC457" s="49"/>
      <c r="BD457" s="49"/>
      <c r="BE457" s="49"/>
      <c r="BF457" s="49"/>
      <c r="BG457" s="49"/>
      <c r="BH457" s="49"/>
      <c r="BI457" s="49"/>
      <c r="BJ457" s="49"/>
      <c r="BK457" s="49"/>
      <c r="BL457" s="49"/>
      <c r="BM457" s="49"/>
      <c r="BN457" s="49"/>
    </row>
    <row r="458" spans="1:66" ht="15.75">
      <c r="A458" s="699"/>
      <c r="B458" s="718" t="s">
        <v>161</v>
      </c>
      <c r="C458" s="151"/>
      <c r="D458" s="151"/>
      <c r="E458" s="151"/>
      <c r="F458" s="971">
        <f>+Assumptions!$F$27</f>
        <v>45291</v>
      </c>
      <c r="G458" s="971">
        <f>+EOMONTH(F458,12)</f>
        <v>45657</v>
      </c>
      <c r="H458" s="971">
        <f t="shared" ref="H458" si="803">+EOMONTH(G458,12)</f>
        <v>46022</v>
      </c>
      <c r="I458" s="971">
        <f t="shared" ref="I458" si="804">+EOMONTH(H458,12)</f>
        <v>46387</v>
      </c>
      <c r="J458" s="971">
        <f t="shared" ref="J458" si="805">+EOMONTH(I458,12)</f>
        <v>46752</v>
      </c>
      <c r="K458" s="971">
        <f t="shared" ref="K458" si="806">+EOMONTH(J458,12)</f>
        <v>47118</v>
      </c>
      <c r="L458" s="971">
        <f t="shared" ref="L458" si="807">+EOMONTH(K458,12)</f>
        <v>47483</v>
      </c>
      <c r="M458" s="971">
        <f t="shared" ref="M458" si="808">+EOMONTH(L458,12)</f>
        <v>47848</v>
      </c>
      <c r="N458" s="971">
        <f t="shared" ref="N458" si="809">+EOMONTH(M458,12)</f>
        <v>48213</v>
      </c>
      <c r="O458" s="971">
        <f t="shared" ref="O458" si="810">+EOMONTH(N458,12)</f>
        <v>48579</v>
      </c>
      <c r="P458" s="971">
        <f t="shared" ref="P458" si="811">+EOMONTH(O458,12)</f>
        <v>48944</v>
      </c>
      <c r="Q458" s="971">
        <f t="shared" ref="Q458" si="812">+EOMONTH(P458,12)</f>
        <v>49309</v>
      </c>
      <c r="R458" s="971">
        <f t="shared" ref="R458" si="813">+EOMONTH(Q458,12)</f>
        <v>49674</v>
      </c>
      <c r="S458" s="971">
        <f t="shared" ref="S458" si="814">+EOMONTH(R458,12)</f>
        <v>50040</v>
      </c>
      <c r="T458" s="971">
        <f t="shared" ref="T458" si="815">+EOMONTH(S458,12)</f>
        <v>50405</v>
      </c>
      <c r="U458" s="971">
        <f t="shared" ref="U458" si="816">+EOMONTH(T458,12)</f>
        <v>50770</v>
      </c>
      <c r="V458" s="971">
        <f t="shared" ref="V458" si="817">+EOMONTH(U458,12)</f>
        <v>51135</v>
      </c>
      <c r="W458" s="971">
        <f t="shared" ref="W458" si="818">+EOMONTH(V458,12)</f>
        <v>51501</v>
      </c>
      <c r="X458" s="971">
        <f t="shared" ref="X458" si="819">+EOMONTH(W458,12)</f>
        <v>51866</v>
      </c>
      <c r="Y458" s="971">
        <f t="shared" ref="Y458" si="820">+EOMONTH(X458,12)</f>
        <v>52231</v>
      </c>
      <c r="Z458" s="971">
        <f t="shared" ref="Z458" si="821">+EOMONTH(Y458,12)</f>
        <v>52596</v>
      </c>
      <c r="AA458" s="699"/>
      <c r="AB458" s="699"/>
      <c r="AC458" s="699"/>
      <c r="AD458" s="699"/>
      <c r="AE458" s="49"/>
      <c r="AF458" s="49"/>
      <c r="AG458" s="49"/>
      <c r="AH458" s="49"/>
      <c r="AI458" s="49"/>
      <c r="AJ458" s="49"/>
      <c r="AK458" s="49"/>
      <c r="AL458" s="49"/>
      <c r="AM458" s="49"/>
      <c r="AN458" s="49"/>
      <c r="AO458" s="49"/>
      <c r="AP458" s="49"/>
      <c r="AQ458" s="49"/>
      <c r="AR458" s="49"/>
      <c r="AS458" s="49"/>
      <c r="AT458" s="49"/>
      <c r="AU458" s="49"/>
      <c r="AV458" s="49"/>
      <c r="AW458" s="49"/>
      <c r="AX458" s="49"/>
      <c r="AY458" s="49"/>
      <c r="AZ458" s="49"/>
      <c r="BA458" s="49"/>
      <c r="BB458" s="49"/>
      <c r="BC458" s="49"/>
      <c r="BD458" s="49"/>
      <c r="BE458" s="49"/>
      <c r="BF458" s="49"/>
      <c r="BG458" s="49"/>
      <c r="BH458" s="49"/>
      <c r="BI458" s="49"/>
      <c r="BJ458" s="49"/>
      <c r="BK458" s="49"/>
      <c r="BL458" s="49"/>
      <c r="BM458" s="49"/>
      <c r="BN458" s="49"/>
    </row>
    <row r="459" spans="1:66">
      <c r="A459" s="699"/>
      <c r="B459" s="151" t="s">
        <v>1138</v>
      </c>
      <c r="C459" s="151"/>
      <c r="D459" s="151"/>
      <c r="E459" s="687"/>
      <c r="F459" s="687">
        <f>+IF(AND(F458&gt;=Assumptions!$F$31,F458&lt;Assumptions!$F$33),Assumptions!$AE$232/ROUNDUP((Assumptions!$F$32/12),0),)</f>
        <v>0</v>
      </c>
      <c r="G459" s="687">
        <f>+IF(AND(G458&gt;=Assumptions!$F$31,G458&lt;Assumptions!$F$33),Assumptions!$AE$232/ROUNDUP((Assumptions!$F$32/12),0),)</f>
        <v>0</v>
      </c>
      <c r="H459" s="687">
        <f>+IF(AND(H458&gt;=Assumptions!$F$31,H458&lt;Assumptions!$F$33),Assumptions!$AE$232/ROUNDUP((Assumptions!$F$32/12),0),)</f>
        <v>0</v>
      </c>
      <c r="I459" s="687">
        <f>+IF(AND(I458&gt;=Assumptions!$F$31,I458&lt;Assumptions!$F$33),Assumptions!$AE$232/ROUNDUP((Assumptions!$F$32/12),0),)</f>
        <v>0</v>
      </c>
      <c r="J459" s="687">
        <f>+IF(AND(J458&gt;=Assumptions!$F$31,J458&lt;Assumptions!$F$33),Assumptions!$AE$232/ROUNDUP((Assumptions!$F$32/12),0),)</f>
        <v>0</v>
      </c>
      <c r="K459" s="687">
        <f>+IF(AND(K458&gt;=Assumptions!$F$31,K458&lt;Assumptions!$F$33),Assumptions!$AE$232/ROUNDUP((Assumptions!$F$32/12),0),)</f>
        <v>0</v>
      </c>
      <c r="L459" s="687">
        <f>+IF(AND(L458&gt;=Assumptions!$F$31,L458&lt;Assumptions!$F$33),Assumptions!$AE$232/ROUNDUP((Assumptions!$F$32/12),0),)</f>
        <v>0</v>
      </c>
      <c r="M459" s="687">
        <f>+IF(AND(M458&gt;=Assumptions!$F$31,M458&lt;Assumptions!$F$33),Assumptions!$AE$232/ROUNDUP((Assumptions!$F$32/12),0),)</f>
        <v>0</v>
      </c>
      <c r="N459" s="687">
        <f>+IF(AND(N458&gt;=Assumptions!$F$31,N458&lt;Assumptions!$F$33),Assumptions!$AE$232/ROUNDUP((Assumptions!$F$32/12),0),)</f>
        <v>0</v>
      </c>
      <c r="O459" s="687">
        <f>+IF(AND(O458&gt;=Assumptions!$F$31,O458&lt;Assumptions!$F$33),Assumptions!$AE$232/ROUNDUP((Assumptions!$F$32/12),0),)</f>
        <v>0</v>
      </c>
      <c r="P459" s="687">
        <f>+IF(AND(P458&gt;=Assumptions!$F$31,P458&lt;Assumptions!$F$33),Assumptions!$AE$232/ROUNDUP((Assumptions!$F$32/12),0),)</f>
        <v>0</v>
      </c>
      <c r="Q459" s="687">
        <f>+IF(AND(Q458&gt;=Assumptions!$F$31,Q458&lt;Assumptions!$F$33),Assumptions!$AE$232/ROUNDUP((Assumptions!$F$32/12),0),)</f>
        <v>0</v>
      </c>
      <c r="R459" s="687">
        <f>+IF(AND(R458&gt;=Assumptions!$F$31,R458&lt;Assumptions!$F$33),Assumptions!$AE$232/ROUNDUP((Assumptions!$F$32/12),0),)</f>
        <v>0</v>
      </c>
      <c r="S459" s="687">
        <f>+IF(AND(S458&gt;=Assumptions!$F$31,S458&lt;Assumptions!$F$33),Assumptions!$AE$232/ROUNDUP((Assumptions!$F$32/12),0),)</f>
        <v>0</v>
      </c>
      <c r="T459" s="687">
        <f>+IF(AND(T458&gt;=Assumptions!$F$31,T458&lt;Assumptions!$F$33),Assumptions!$AE$232/ROUNDUP((Assumptions!$F$32/12),0),)</f>
        <v>0</v>
      </c>
      <c r="U459" s="687">
        <f>+IF(AND(U458&gt;=Assumptions!$F$31,U458&lt;Assumptions!$F$33),Assumptions!$AE$232/ROUNDUP((Assumptions!$F$32/12),0),)</f>
        <v>0</v>
      </c>
      <c r="V459" s="687">
        <f>+IF(AND(V458&gt;=Assumptions!$F$31,V458&lt;Assumptions!$F$33),Assumptions!$AE$232/ROUNDUP((Assumptions!$F$32/12),0),)</f>
        <v>0</v>
      </c>
      <c r="W459" s="687">
        <f>+IF(AND(W458&gt;=Assumptions!$F$31,W458&lt;Assumptions!$F$33),Assumptions!$AE$232/ROUNDUP((Assumptions!$F$32/12),0),)</f>
        <v>0</v>
      </c>
      <c r="X459" s="687">
        <f>+IF(AND(X458&gt;=Assumptions!$F$31,X458&lt;Assumptions!$F$33),Assumptions!$AE$232/ROUNDUP((Assumptions!$F$32/12),0),)</f>
        <v>0</v>
      </c>
      <c r="Y459" s="687">
        <f>+IF(AND(Y458&gt;=Assumptions!$F$31,Y458&lt;Assumptions!$F$33),Assumptions!$AE$232/ROUNDUP((Assumptions!$F$32/12),0),)</f>
        <v>0</v>
      </c>
      <c r="Z459" s="687">
        <f>+IF(AND(Z458&gt;=Assumptions!$F$31,Z458&lt;Assumptions!$F$33),Assumptions!$AE$232/ROUNDUP((Assumptions!$F$32/12),0),)</f>
        <v>0</v>
      </c>
      <c r="AA459" s="699"/>
      <c r="AB459" s="699"/>
      <c r="AC459" s="699"/>
      <c r="AD459" s="699"/>
      <c r="AE459" s="49"/>
      <c r="AF459" s="49"/>
      <c r="AG459" s="49"/>
      <c r="AH459" s="49"/>
      <c r="AI459" s="49"/>
      <c r="AJ459" s="49"/>
      <c r="AK459" s="49"/>
      <c r="AL459" s="49"/>
      <c r="AM459" s="49"/>
      <c r="AN459" s="49"/>
      <c r="AO459" s="49"/>
      <c r="AP459" s="49"/>
      <c r="AQ459" s="49"/>
      <c r="AR459" s="49"/>
      <c r="AS459" s="49"/>
      <c r="AT459" s="49"/>
      <c r="AU459" s="49"/>
      <c r="AV459" s="49"/>
      <c r="AW459" s="49"/>
      <c r="AX459" s="49"/>
      <c r="AY459" s="49"/>
      <c r="AZ459" s="49"/>
      <c r="BA459" s="49"/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</row>
    <row r="460" spans="1:66">
      <c r="A460" s="699"/>
      <c r="B460" s="151" t="s">
        <v>1121</v>
      </c>
      <c r="C460" s="151"/>
      <c r="D460" s="151"/>
      <c r="E460" s="687">
        <v>0</v>
      </c>
      <c r="F460" s="687">
        <f>+E460+F459</f>
        <v>0</v>
      </c>
      <c r="G460" s="687">
        <f t="shared" ref="G460:Z460" si="822">+F460+G459</f>
        <v>0</v>
      </c>
      <c r="H460" s="687">
        <f t="shared" si="822"/>
        <v>0</v>
      </c>
      <c r="I460" s="687">
        <f t="shared" si="822"/>
        <v>0</v>
      </c>
      <c r="J460" s="687">
        <f t="shared" si="822"/>
        <v>0</v>
      </c>
      <c r="K460" s="687">
        <f t="shared" si="822"/>
        <v>0</v>
      </c>
      <c r="L460" s="687">
        <f t="shared" si="822"/>
        <v>0</v>
      </c>
      <c r="M460" s="687">
        <f t="shared" si="822"/>
        <v>0</v>
      </c>
      <c r="N460" s="687">
        <f t="shared" si="822"/>
        <v>0</v>
      </c>
      <c r="O460" s="687">
        <f t="shared" si="822"/>
        <v>0</v>
      </c>
      <c r="P460" s="687">
        <f t="shared" si="822"/>
        <v>0</v>
      </c>
      <c r="Q460" s="687">
        <f t="shared" si="822"/>
        <v>0</v>
      </c>
      <c r="R460" s="687">
        <f t="shared" si="822"/>
        <v>0</v>
      </c>
      <c r="S460" s="687">
        <f t="shared" si="822"/>
        <v>0</v>
      </c>
      <c r="T460" s="687">
        <f t="shared" si="822"/>
        <v>0</v>
      </c>
      <c r="U460" s="687">
        <f t="shared" si="822"/>
        <v>0</v>
      </c>
      <c r="V460" s="687">
        <f t="shared" si="822"/>
        <v>0</v>
      </c>
      <c r="W460" s="687">
        <f t="shared" si="822"/>
        <v>0</v>
      </c>
      <c r="X460" s="687">
        <f t="shared" si="822"/>
        <v>0</v>
      </c>
      <c r="Y460" s="687">
        <f t="shared" si="822"/>
        <v>0</v>
      </c>
      <c r="Z460" s="687">
        <f t="shared" si="822"/>
        <v>0</v>
      </c>
      <c r="AA460" s="699"/>
      <c r="AB460" s="699"/>
      <c r="AC460" s="699"/>
      <c r="AD460" s="699"/>
      <c r="AE460" s="49"/>
      <c r="AF460" s="49"/>
      <c r="AG460" s="49"/>
      <c r="AH460" s="49"/>
      <c r="AI460" s="49"/>
      <c r="AJ460" s="49"/>
      <c r="AK460" s="49"/>
      <c r="AL460" s="49"/>
      <c r="AM460" s="49"/>
      <c r="AN460" s="49"/>
      <c r="AO460" s="49"/>
      <c r="AP460" s="49"/>
      <c r="AQ460" s="49"/>
      <c r="AR460" s="49"/>
      <c r="AS460" s="49"/>
      <c r="AT460" s="49"/>
      <c r="AU460" s="49"/>
      <c r="AV460" s="49"/>
      <c r="AW460" s="49"/>
      <c r="AX460" s="49"/>
      <c r="AY460" s="49"/>
      <c r="AZ460" s="49"/>
      <c r="BA460" s="49"/>
      <c r="BB460" s="49"/>
      <c r="BC460" s="49"/>
      <c r="BD460" s="49"/>
      <c r="BE460" s="49"/>
      <c r="BF460" s="49"/>
      <c r="BG460" s="49"/>
      <c r="BH460" s="49"/>
      <c r="BI460" s="49"/>
      <c r="BJ460" s="49"/>
      <c r="BK460" s="49"/>
      <c r="BL460" s="49"/>
      <c r="BM460" s="49"/>
      <c r="BN460" s="49"/>
    </row>
    <row r="461" spans="1:66">
      <c r="A461" s="699"/>
      <c r="B461" s="151" t="s">
        <v>1125</v>
      </c>
      <c r="C461" s="151"/>
      <c r="D461" s="151"/>
      <c r="E461" s="151"/>
      <c r="F461" s="749">
        <f t="shared" ref="F461:Z461" si="823">+IFERROR(F460/SUM($F$459:$Z$459),0)</f>
        <v>0</v>
      </c>
      <c r="G461" s="749">
        <f t="shared" si="823"/>
        <v>0</v>
      </c>
      <c r="H461" s="749">
        <f t="shared" si="823"/>
        <v>0</v>
      </c>
      <c r="I461" s="749">
        <f t="shared" si="823"/>
        <v>0</v>
      </c>
      <c r="J461" s="749">
        <f t="shared" si="823"/>
        <v>0</v>
      </c>
      <c r="K461" s="749">
        <f t="shared" si="823"/>
        <v>0</v>
      </c>
      <c r="L461" s="749">
        <f t="shared" si="823"/>
        <v>0</v>
      </c>
      <c r="M461" s="749">
        <f t="shared" si="823"/>
        <v>0</v>
      </c>
      <c r="N461" s="749">
        <f t="shared" si="823"/>
        <v>0</v>
      </c>
      <c r="O461" s="749">
        <f t="shared" si="823"/>
        <v>0</v>
      </c>
      <c r="P461" s="749">
        <f t="shared" si="823"/>
        <v>0</v>
      </c>
      <c r="Q461" s="749">
        <f t="shared" si="823"/>
        <v>0</v>
      </c>
      <c r="R461" s="749">
        <f t="shared" si="823"/>
        <v>0</v>
      </c>
      <c r="S461" s="749">
        <f t="shared" si="823"/>
        <v>0</v>
      </c>
      <c r="T461" s="749">
        <f t="shared" si="823"/>
        <v>0</v>
      </c>
      <c r="U461" s="749">
        <f t="shared" si="823"/>
        <v>0</v>
      </c>
      <c r="V461" s="749">
        <f t="shared" si="823"/>
        <v>0</v>
      </c>
      <c r="W461" s="749">
        <f t="shared" si="823"/>
        <v>0</v>
      </c>
      <c r="X461" s="749">
        <f t="shared" si="823"/>
        <v>0</v>
      </c>
      <c r="Y461" s="749">
        <f t="shared" si="823"/>
        <v>0</v>
      </c>
      <c r="Z461" s="749">
        <f t="shared" si="823"/>
        <v>0</v>
      </c>
      <c r="AA461" s="699"/>
      <c r="AB461" s="699"/>
      <c r="AC461" s="699"/>
      <c r="AD461" s="699"/>
      <c r="AE461" s="49"/>
      <c r="AF461" s="49"/>
      <c r="AG461" s="49"/>
      <c r="AH461" s="49"/>
      <c r="AI461" s="49"/>
      <c r="AJ461" s="49"/>
      <c r="AK461" s="49"/>
      <c r="AL461" s="49"/>
      <c r="AM461" s="49"/>
      <c r="AN461" s="49"/>
      <c r="AO461" s="49"/>
      <c r="AP461" s="49"/>
      <c r="AQ461" s="49"/>
      <c r="AR461" s="49"/>
      <c r="AS461" s="49"/>
      <c r="AT461" s="49"/>
      <c r="AU461" s="49"/>
      <c r="AV461" s="49"/>
      <c r="AW461" s="49"/>
      <c r="AX461" s="49"/>
      <c r="AY461" s="49"/>
      <c r="AZ461" s="49"/>
      <c r="BA461" s="49"/>
      <c r="BB461" s="49"/>
      <c r="BC461" s="49"/>
      <c r="BD461" s="49"/>
      <c r="BE461" s="49"/>
      <c r="BF461" s="49"/>
      <c r="BG461" s="49"/>
      <c r="BH461" s="49"/>
      <c r="BI461" s="49"/>
      <c r="BJ461" s="49"/>
      <c r="BK461" s="49"/>
      <c r="BL461" s="49"/>
      <c r="BM461" s="49"/>
      <c r="BN461" s="49"/>
    </row>
    <row r="462" spans="1:66">
      <c r="A462" s="699"/>
      <c r="B462" s="151"/>
      <c r="C462" s="151"/>
      <c r="D462" s="151"/>
      <c r="E462" s="151"/>
      <c r="F462" s="151"/>
      <c r="G462" s="151"/>
      <c r="H462" s="151"/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699"/>
      <c r="AB462" s="699"/>
      <c r="AC462" s="699"/>
      <c r="AD462" s="699"/>
      <c r="AE462" s="49"/>
      <c r="AF462" s="49"/>
      <c r="AG462" s="49"/>
      <c r="AH462" s="49"/>
      <c r="AI462" s="49"/>
      <c r="AJ462" s="49"/>
      <c r="AK462" s="49"/>
      <c r="AL462" s="49"/>
      <c r="AM462" s="49"/>
      <c r="AN462" s="49"/>
      <c r="AO462" s="49"/>
      <c r="AP462" s="49"/>
      <c r="AQ462" s="49"/>
      <c r="AR462" s="49"/>
      <c r="AS462" s="49"/>
      <c r="AT462" s="49"/>
      <c r="AU462" s="49"/>
      <c r="AV462" s="49"/>
      <c r="AW462" s="49"/>
      <c r="AX462" s="49"/>
      <c r="AY462" s="49"/>
      <c r="AZ462" s="49"/>
      <c r="BA462" s="49"/>
      <c r="BB462" s="49"/>
      <c r="BC462" s="49"/>
      <c r="BD462" s="49"/>
      <c r="BE462" s="49"/>
      <c r="BF462" s="49"/>
      <c r="BG462" s="49"/>
      <c r="BH462" s="49"/>
      <c r="BI462" s="49"/>
      <c r="BJ462" s="49"/>
      <c r="BK462" s="49"/>
      <c r="BL462" s="49"/>
      <c r="BM462" s="49"/>
      <c r="BN462" s="49"/>
    </row>
    <row r="463" spans="1:66">
      <c r="A463" s="699"/>
      <c r="B463" s="151" t="s">
        <v>1126</v>
      </c>
      <c r="C463" s="151"/>
      <c r="D463" s="151"/>
      <c r="E463" s="151"/>
      <c r="F463" s="749">
        <v>1</v>
      </c>
      <c r="G463" s="749">
        <f>+IF(MOD(G$2,Assumptions!$AP$90)=(Assumptions!$AP$90-1),'Phase 1 Pro Forma'!F463*(1+Assumptions!$AP$89),'Phase 1 Pro Forma'!F463)</f>
        <v>1</v>
      </c>
      <c r="H463" s="749">
        <f>+IF(MOD(H$2,Assumptions!$AP$90)=(Assumptions!$AP$90-1),'Phase 1 Pro Forma'!G463*(1+Assumptions!$AP$89),'Phase 1 Pro Forma'!G463)</f>
        <v>1</v>
      </c>
      <c r="I463" s="749">
        <f>+IF(MOD(I$2,Assumptions!$AP$90)=(Assumptions!$AP$90-1),'Phase 1 Pro Forma'!H463*(1+Assumptions!$AP$89),'Phase 1 Pro Forma'!H463)</f>
        <v>1</v>
      </c>
      <c r="J463" s="749">
        <f>+IF(MOD(J$2,Assumptions!$AP$90)=(Assumptions!$AP$90-1),'Phase 1 Pro Forma'!I463*(1+Assumptions!$AP$89),'Phase 1 Pro Forma'!I463)</f>
        <v>1</v>
      </c>
      <c r="K463" s="749">
        <f>+IF(MOD(K$2,Assumptions!$AP$90)=(Assumptions!$AP$90-1),'Phase 1 Pro Forma'!J463*(1+Assumptions!$AP$89),'Phase 1 Pro Forma'!J463)</f>
        <v>1</v>
      </c>
      <c r="L463" s="749">
        <f>+IF(MOD(L$2,Assumptions!$AP$90)=(Assumptions!$AP$90-1),'Phase 1 Pro Forma'!K463*(1+Assumptions!$AP$89),'Phase 1 Pro Forma'!K463)</f>
        <v>1</v>
      </c>
      <c r="M463" s="749">
        <f>+IF(MOD(M$2,Assumptions!$AP$90)=(Assumptions!$AP$90-1),'Phase 1 Pro Forma'!L463*(1+Assumptions!$AP$89),'Phase 1 Pro Forma'!L463)</f>
        <v>1.1000000000000001</v>
      </c>
      <c r="N463" s="749">
        <f>+IF(MOD(N$2,Assumptions!$AP$90)=(Assumptions!$AP$90-1),'Phase 1 Pro Forma'!M463*(1+Assumptions!$AP$89),'Phase 1 Pro Forma'!M463)</f>
        <v>1.1000000000000001</v>
      </c>
      <c r="O463" s="749">
        <f>+IF(MOD(O$2,Assumptions!$AP$90)=(Assumptions!$AP$90-1),'Phase 1 Pro Forma'!N463*(1+Assumptions!$AP$89),'Phase 1 Pro Forma'!N463)</f>
        <v>1.1000000000000001</v>
      </c>
      <c r="P463" s="749">
        <f>+IF(MOD(P$2,Assumptions!$AP$90)=(Assumptions!$AP$90-1),'Phase 1 Pro Forma'!O463*(1+Assumptions!$AP$89),'Phase 1 Pro Forma'!O463)</f>
        <v>1.1000000000000001</v>
      </c>
      <c r="Q463" s="749">
        <f>+IF(MOD(Q$2,Assumptions!$AP$90)=(Assumptions!$AP$90-1),'Phase 1 Pro Forma'!P463*(1+Assumptions!$AP$89),'Phase 1 Pro Forma'!P463)</f>
        <v>1.1000000000000001</v>
      </c>
      <c r="R463" s="749">
        <f>+IF(MOD(R$2,Assumptions!$AP$90)=(Assumptions!$AP$90-1),'Phase 1 Pro Forma'!Q463*(1+Assumptions!$AP$89),'Phase 1 Pro Forma'!Q463)</f>
        <v>1.2100000000000002</v>
      </c>
      <c r="S463" s="749">
        <f>+IF(MOD(S$2,Assumptions!$AP$90)=(Assumptions!$AP$90-1),'Phase 1 Pro Forma'!R463*(1+Assumptions!$AP$89),'Phase 1 Pro Forma'!R463)</f>
        <v>1.2100000000000002</v>
      </c>
      <c r="T463" s="749">
        <f>+IF(MOD(T$2,Assumptions!$AP$90)=(Assumptions!$AP$90-1),'Phase 1 Pro Forma'!S463*(1+Assumptions!$AP$89),'Phase 1 Pro Forma'!S463)</f>
        <v>1.2100000000000002</v>
      </c>
      <c r="U463" s="749">
        <f>+IF(MOD(U$2,Assumptions!$AP$90)=(Assumptions!$AP$90-1),'Phase 1 Pro Forma'!T463*(1+Assumptions!$AP$89),'Phase 1 Pro Forma'!T463)</f>
        <v>1.2100000000000002</v>
      </c>
      <c r="V463" s="749">
        <f>+IF(MOD(V$2,Assumptions!$AP$90)=(Assumptions!$AP$90-1),'Phase 1 Pro Forma'!U463*(1+Assumptions!$AP$89),'Phase 1 Pro Forma'!U463)</f>
        <v>1.2100000000000002</v>
      </c>
      <c r="W463" s="749">
        <f>+IF(MOD(W$2,Assumptions!$AP$90)=(Assumptions!$AP$90-1),'Phase 1 Pro Forma'!V463*(1+Assumptions!$AP$89),'Phase 1 Pro Forma'!V463)</f>
        <v>1.3310000000000004</v>
      </c>
      <c r="X463" s="749">
        <f>+IF(MOD(X$2,Assumptions!$AP$90)=(Assumptions!$AP$90-1),'Phase 1 Pro Forma'!W463*(1+Assumptions!$AP$89),'Phase 1 Pro Forma'!W463)</f>
        <v>1.3310000000000004</v>
      </c>
      <c r="Y463" s="749">
        <f>+IF(MOD(Y$2,Assumptions!$AP$90)=(Assumptions!$AP$90-1),'Phase 1 Pro Forma'!X463*(1+Assumptions!$AP$89),'Phase 1 Pro Forma'!X463)</f>
        <v>1.3310000000000004</v>
      </c>
      <c r="Z463" s="749">
        <f>+IF(MOD(Z$2,Assumptions!$AP$90)=(Assumptions!$AP$90-1),'Phase 1 Pro Forma'!Y463*(1+Assumptions!$AP$89),'Phase 1 Pro Forma'!Y463)</f>
        <v>1.3310000000000004</v>
      </c>
      <c r="AA463" s="699"/>
      <c r="AB463" s="699"/>
      <c r="AC463" s="699"/>
      <c r="AD463" s="699"/>
      <c r="AE463" s="49"/>
      <c r="AF463" s="49"/>
      <c r="AG463" s="49"/>
      <c r="AH463" s="49"/>
      <c r="AI463" s="49"/>
      <c r="AJ463" s="49"/>
      <c r="AK463" s="49"/>
      <c r="AL463" s="49"/>
      <c r="AM463" s="49"/>
      <c r="AN463" s="49"/>
      <c r="AO463" s="49"/>
      <c r="AP463" s="49"/>
      <c r="AQ463" s="49"/>
      <c r="AR463" s="49"/>
      <c r="AS463" s="49"/>
      <c r="AT463" s="49"/>
      <c r="AU463" s="49"/>
      <c r="AV463" s="49"/>
      <c r="AW463" s="49"/>
      <c r="AX463" s="49"/>
      <c r="AY463" s="49"/>
      <c r="AZ463" s="49"/>
      <c r="BA463" s="49"/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</row>
    <row r="464" spans="1:66">
      <c r="A464" s="699"/>
      <c r="B464" s="151" t="s">
        <v>1127</v>
      </c>
      <c r="C464" s="151"/>
      <c r="D464" s="151"/>
      <c r="E464" s="151"/>
      <c r="F464" s="749">
        <v>1</v>
      </c>
      <c r="G464" s="749">
        <f>+F464*(1+Assumptions!$AP$100)</f>
        <v>1.03</v>
      </c>
      <c r="H464" s="749">
        <f>+G464*(1+Assumptions!$AP$100)</f>
        <v>1.0609</v>
      </c>
      <c r="I464" s="749">
        <f>+H464*(1+Assumptions!$AP$100)</f>
        <v>1.092727</v>
      </c>
      <c r="J464" s="749">
        <f>+I464*(1+Assumptions!$AP$100)</f>
        <v>1.1255088100000001</v>
      </c>
      <c r="K464" s="749">
        <f>+J464*(1+Assumptions!$AP$100)</f>
        <v>1.1592740743000001</v>
      </c>
      <c r="L464" s="749">
        <f>+K464*(1+Assumptions!$AP$100)</f>
        <v>1.1940522965290001</v>
      </c>
      <c r="M464" s="749">
        <f>+L464*(1+Assumptions!$AP$100)</f>
        <v>1.2298738654248702</v>
      </c>
      <c r="N464" s="749">
        <f>+M464*(1+Assumptions!$AP$100)</f>
        <v>1.2667700813876164</v>
      </c>
      <c r="O464" s="749">
        <f>+N464*(1+Assumptions!$AP$100)</f>
        <v>1.3047731838292449</v>
      </c>
      <c r="P464" s="749">
        <f>+O464*(1+Assumptions!$AP$100)</f>
        <v>1.3439163793441222</v>
      </c>
      <c r="Q464" s="749">
        <f>+P464*(1+Assumptions!$AP$100)</f>
        <v>1.3842338707244459</v>
      </c>
      <c r="R464" s="749">
        <f>+Q464*(1+Assumptions!$AP$100)</f>
        <v>1.4257608868461793</v>
      </c>
      <c r="S464" s="749">
        <f>+R464*(1+Assumptions!$AP$100)</f>
        <v>1.4685337134515648</v>
      </c>
      <c r="T464" s="749">
        <f>+S464*(1+Assumptions!$AP$100)</f>
        <v>1.5125897248551119</v>
      </c>
      <c r="U464" s="749">
        <f>+T464*(1+Assumptions!$AP$100)</f>
        <v>1.5579674166007653</v>
      </c>
      <c r="V464" s="749">
        <f>+U464*(1+Assumptions!$AP$100)</f>
        <v>1.6047064390987884</v>
      </c>
      <c r="W464" s="749">
        <f>+V464*(1+Assumptions!$AP$100)</f>
        <v>1.652847632271752</v>
      </c>
      <c r="X464" s="749">
        <f>+W464*(1+Assumptions!$AP$100)</f>
        <v>1.7024330612399046</v>
      </c>
      <c r="Y464" s="749">
        <f>+X464*(1+Assumptions!$AP$100)</f>
        <v>1.7535060530771018</v>
      </c>
      <c r="Z464" s="749">
        <f>+Y464*(1+Assumptions!$AP$100)</f>
        <v>1.806111234669415</v>
      </c>
      <c r="AA464" s="699"/>
      <c r="AB464" s="699"/>
      <c r="AC464" s="699"/>
      <c r="AD464" s="699"/>
      <c r="AE464" s="49"/>
      <c r="AF464" s="49"/>
      <c r="AG464" s="49"/>
      <c r="AH464" s="49"/>
      <c r="AI464" s="49"/>
      <c r="AJ464" s="49"/>
      <c r="AK464" s="49"/>
      <c r="AL464" s="49"/>
      <c r="AM464" s="49"/>
      <c r="AN464" s="49"/>
      <c r="AO464" s="49"/>
      <c r="AP464" s="49"/>
      <c r="AQ464" s="49"/>
      <c r="AR464" s="49"/>
      <c r="AS464" s="49"/>
      <c r="AT464" s="49"/>
      <c r="AU464" s="49"/>
      <c r="AV464" s="49"/>
      <c r="AW464" s="49"/>
      <c r="AX464" s="49"/>
      <c r="AY464" s="49"/>
      <c r="AZ464" s="49"/>
      <c r="BA464" s="49"/>
      <c r="BB464" s="49"/>
      <c r="BC464" s="49"/>
      <c r="BD464" s="49"/>
      <c r="BE464" s="49"/>
      <c r="BF464" s="49"/>
      <c r="BG464" s="49"/>
      <c r="BH464" s="49"/>
      <c r="BI464" s="49"/>
      <c r="BJ464" s="49"/>
      <c r="BK464" s="49"/>
      <c r="BL464" s="49"/>
      <c r="BM464" s="49"/>
      <c r="BN464" s="49"/>
    </row>
    <row r="465" spans="1:66">
      <c r="A465" s="699"/>
      <c r="B465" s="151"/>
      <c r="C465" s="151"/>
      <c r="D465" s="151"/>
      <c r="E465" s="151"/>
      <c r="F465" s="151"/>
      <c r="G465" s="151"/>
      <c r="H465" s="151"/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699"/>
      <c r="AB465" s="699"/>
      <c r="AC465" s="699"/>
      <c r="AD465" s="699"/>
      <c r="AE465" s="49"/>
      <c r="AF465" s="49"/>
      <c r="AG465" s="49"/>
      <c r="AH465" s="49"/>
      <c r="AI465" s="49"/>
      <c r="AJ465" s="49"/>
      <c r="AK465" s="49"/>
      <c r="AL465" s="49"/>
      <c r="AM465" s="49"/>
      <c r="AN465" s="49"/>
      <c r="AO465" s="49"/>
      <c r="AP465" s="49"/>
      <c r="AQ465" s="49"/>
      <c r="AR465" s="49"/>
      <c r="AS465" s="49"/>
      <c r="AT465" s="49"/>
      <c r="AU465" s="49"/>
      <c r="AV465" s="49"/>
      <c r="AW465" s="49"/>
      <c r="AX465" s="49"/>
      <c r="AY465" s="49"/>
      <c r="AZ465" s="49"/>
      <c r="BA465" s="49"/>
      <c r="BB465" s="49"/>
      <c r="BC465" s="49"/>
      <c r="BD465" s="49"/>
      <c r="BE465" s="49"/>
      <c r="BF465" s="49"/>
      <c r="BG465" s="49"/>
      <c r="BH465" s="49"/>
      <c r="BI465" s="49"/>
      <c r="BJ465" s="49"/>
      <c r="BK465" s="49"/>
      <c r="BL465" s="49"/>
      <c r="BM465" s="49"/>
      <c r="BN465" s="49"/>
    </row>
    <row r="466" spans="1:66">
      <c r="A466" s="699"/>
      <c r="B466" s="151" t="s">
        <v>1128</v>
      </c>
      <c r="C466" s="151"/>
      <c r="D466" s="151"/>
      <c r="E466" s="151"/>
      <c r="F466" s="822">
        <f>+F461*Assumptions!$AE$231*F463</f>
        <v>0</v>
      </c>
      <c r="G466" s="822">
        <f>+G461*Assumptions!$AE$231*G463</f>
        <v>0</v>
      </c>
      <c r="H466" s="822">
        <f>+H461*Assumptions!$AE$231*H463</f>
        <v>0</v>
      </c>
      <c r="I466" s="822">
        <f>+I461*Assumptions!$AE$231*I463</f>
        <v>0</v>
      </c>
      <c r="J466" s="822">
        <f>+J461*Assumptions!$AE$231*J463</f>
        <v>0</v>
      </c>
      <c r="K466" s="822">
        <f>+K461*Assumptions!$AE$231*K463</f>
        <v>0</v>
      </c>
      <c r="L466" s="822">
        <f>+L461*Assumptions!$AE$231*L463</f>
        <v>0</v>
      </c>
      <c r="M466" s="822">
        <f>+M461*Assumptions!$AE$231*M463</f>
        <v>0</v>
      </c>
      <c r="N466" s="822">
        <f>+N461*Assumptions!$AE$231*N463</f>
        <v>0</v>
      </c>
      <c r="O466" s="822">
        <f>+O461*Assumptions!$AE$231*O463</f>
        <v>0</v>
      </c>
      <c r="P466" s="822">
        <f>+P461*Assumptions!$AE$231*P463</f>
        <v>0</v>
      </c>
      <c r="Q466" s="822">
        <f>+Q461*Assumptions!$AE$231*Q463</f>
        <v>0</v>
      </c>
      <c r="R466" s="822">
        <f>+R461*Assumptions!$AE$231*R463</f>
        <v>0</v>
      </c>
      <c r="S466" s="822">
        <f>+S461*Assumptions!$AE$231*S463</f>
        <v>0</v>
      </c>
      <c r="T466" s="822">
        <f>+T461*Assumptions!$AE$231*T463</f>
        <v>0</v>
      </c>
      <c r="U466" s="822">
        <f>+U461*Assumptions!$AE$231*U463</f>
        <v>0</v>
      </c>
      <c r="V466" s="822">
        <f>+V461*Assumptions!$AE$231*V463</f>
        <v>0</v>
      </c>
      <c r="W466" s="822">
        <f>+W461*Assumptions!$AE$231*W463</f>
        <v>0</v>
      </c>
      <c r="X466" s="822">
        <f>+X461*Assumptions!$AE$231*X463</f>
        <v>0</v>
      </c>
      <c r="Y466" s="822">
        <f>+Y461*Assumptions!$AE$231*Y463</f>
        <v>0</v>
      </c>
      <c r="Z466" s="822">
        <f>+Z461*Assumptions!$AE$231*Z463</f>
        <v>0</v>
      </c>
      <c r="AA466" s="699"/>
      <c r="AB466" s="699"/>
      <c r="AC466" s="699"/>
      <c r="AD466" s="699"/>
      <c r="AE466" s="49"/>
      <c r="AF466" s="49"/>
      <c r="AG466" s="49"/>
      <c r="AH466" s="49"/>
      <c r="AI466" s="49"/>
      <c r="AJ466" s="49"/>
      <c r="AK466" s="49"/>
      <c r="AL466" s="49"/>
      <c r="AM466" s="49"/>
      <c r="AN466" s="49"/>
      <c r="AO466" s="49"/>
      <c r="AP466" s="49"/>
      <c r="AQ466" s="49"/>
      <c r="AR466" s="49"/>
      <c r="AS466" s="49"/>
      <c r="AT466" s="49"/>
      <c r="AU466" s="49"/>
      <c r="AV466" s="49"/>
      <c r="AW466" s="49"/>
      <c r="AX466" s="49"/>
      <c r="AY466" s="49"/>
      <c r="AZ466" s="49"/>
      <c r="BA466" s="49"/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</row>
    <row r="467" spans="1:66">
      <c r="A467" s="699"/>
      <c r="B467" s="151" t="s">
        <v>1130</v>
      </c>
      <c r="C467" s="151"/>
      <c r="D467" s="151"/>
      <c r="E467" s="151"/>
      <c r="F467" s="972">
        <f>-F466*Assumptions!$AP$80</f>
        <v>0</v>
      </c>
      <c r="G467" s="972">
        <f>-G466*Assumptions!$AP$80</f>
        <v>0</v>
      </c>
      <c r="H467" s="972">
        <f>-H466*Assumptions!$AP$80</f>
        <v>0</v>
      </c>
      <c r="I467" s="972">
        <f>-I466*Assumptions!$AP$80</f>
        <v>0</v>
      </c>
      <c r="J467" s="972">
        <f>-J466*Assumptions!$AP$80</f>
        <v>0</v>
      </c>
      <c r="K467" s="972">
        <f>-K466*Assumptions!$AP$80</f>
        <v>0</v>
      </c>
      <c r="L467" s="972">
        <f>-L466*Assumptions!$AP$80</f>
        <v>0</v>
      </c>
      <c r="M467" s="972">
        <f>-M466*Assumptions!$AP$80</f>
        <v>0</v>
      </c>
      <c r="N467" s="972">
        <f>-N466*Assumptions!$AP$80</f>
        <v>0</v>
      </c>
      <c r="O467" s="972">
        <f>-O466*Assumptions!$AP$80</f>
        <v>0</v>
      </c>
      <c r="P467" s="972">
        <f>-P466*Assumptions!$AP$80</f>
        <v>0</v>
      </c>
      <c r="Q467" s="972">
        <f>-Q466*Assumptions!$AP$80</f>
        <v>0</v>
      </c>
      <c r="R467" s="972">
        <f>-R466*Assumptions!$AP$80</f>
        <v>0</v>
      </c>
      <c r="S467" s="972">
        <f>-S466*Assumptions!$AP$80</f>
        <v>0</v>
      </c>
      <c r="T467" s="972">
        <f>-T466*Assumptions!$AP$80</f>
        <v>0</v>
      </c>
      <c r="U467" s="972">
        <f>-U466*Assumptions!$AP$80</f>
        <v>0</v>
      </c>
      <c r="V467" s="972">
        <f>-V466*Assumptions!$AP$80</f>
        <v>0</v>
      </c>
      <c r="W467" s="972">
        <f>-W466*Assumptions!$AP$80</f>
        <v>0</v>
      </c>
      <c r="X467" s="972">
        <f>-X466*Assumptions!$AP$80</f>
        <v>0</v>
      </c>
      <c r="Y467" s="972">
        <f>-Y466*Assumptions!$AP$80</f>
        <v>0</v>
      </c>
      <c r="Z467" s="972">
        <f>-Z466*Assumptions!$AP$80</f>
        <v>0</v>
      </c>
      <c r="AA467" s="699"/>
      <c r="AB467" s="699"/>
      <c r="AC467" s="699"/>
      <c r="AD467" s="699"/>
      <c r="AE467" s="49"/>
      <c r="AF467" s="49"/>
      <c r="AG467" s="49"/>
      <c r="AH467" s="49"/>
      <c r="AI467" s="49"/>
      <c r="AJ467" s="49"/>
      <c r="AK467" s="49"/>
      <c r="AL467" s="49"/>
      <c r="AM467" s="49"/>
      <c r="AN467" s="49"/>
      <c r="AO467" s="49"/>
      <c r="AP467" s="49"/>
      <c r="AQ467" s="49"/>
      <c r="AR467" s="49"/>
      <c r="AS467" s="49"/>
      <c r="AT467" s="49"/>
      <c r="AU467" s="49"/>
      <c r="AV467" s="49"/>
      <c r="AW467" s="49"/>
      <c r="AX467" s="49"/>
      <c r="AY467" s="49"/>
      <c r="AZ467" s="49"/>
      <c r="BA467" s="49"/>
      <c r="BB467" s="49"/>
      <c r="BC467" s="49"/>
      <c r="BD467" s="49"/>
      <c r="BE467" s="49"/>
      <c r="BF467" s="49"/>
      <c r="BG467" s="49"/>
      <c r="BH467" s="49"/>
      <c r="BI467" s="49"/>
      <c r="BJ467" s="49"/>
      <c r="BK467" s="49"/>
      <c r="BL467" s="49"/>
      <c r="BM467" s="49"/>
      <c r="BN467" s="49"/>
    </row>
    <row r="468" spans="1:66">
      <c r="A468" s="699"/>
      <c r="B468" s="151" t="s">
        <v>1139</v>
      </c>
      <c r="C468" s="151"/>
      <c r="D468" s="151"/>
      <c r="E468" s="151"/>
      <c r="F468" s="972">
        <f ca="1">+F473*Assumptions!$AP$108</f>
        <v>0</v>
      </c>
      <c r="G468" s="972">
        <f ca="1">+G473*Assumptions!$AP$108</f>
        <v>0</v>
      </c>
      <c r="H468" s="972">
        <f ca="1">+H473*Assumptions!$AP$108</f>
        <v>0</v>
      </c>
      <c r="I468" s="972">
        <f ca="1">+I473*Assumptions!$AP$108</f>
        <v>0</v>
      </c>
      <c r="J468" s="972">
        <f ca="1">+J473*Assumptions!$AP$108</f>
        <v>0</v>
      </c>
      <c r="K468" s="972">
        <f ca="1">+K473*Assumptions!$AP$108</f>
        <v>0</v>
      </c>
      <c r="L468" s="972">
        <f ca="1">+L473*Assumptions!$AP$108</f>
        <v>0</v>
      </c>
      <c r="M468" s="972">
        <f ca="1">+M473*Assumptions!$AP$108</f>
        <v>0</v>
      </c>
      <c r="N468" s="972">
        <f ca="1">+N473*Assumptions!$AP$108</f>
        <v>0</v>
      </c>
      <c r="O468" s="972">
        <f ca="1">+O473*Assumptions!$AP$108</f>
        <v>0</v>
      </c>
      <c r="P468" s="972">
        <f ca="1">+P473*Assumptions!$AP$108</f>
        <v>0</v>
      </c>
      <c r="Q468" s="972">
        <f ca="1">+Q473*Assumptions!$AP$108</f>
        <v>0</v>
      </c>
      <c r="R468" s="972">
        <f ca="1">+R473*Assumptions!$AP$108</f>
        <v>0</v>
      </c>
      <c r="S468" s="972">
        <f ca="1">+S473*Assumptions!$AP$108</f>
        <v>0</v>
      </c>
      <c r="T468" s="972">
        <f ca="1">+T473*Assumptions!$AP$108</f>
        <v>0</v>
      </c>
      <c r="U468" s="972">
        <f ca="1">+U473*Assumptions!$AP$108</f>
        <v>0</v>
      </c>
      <c r="V468" s="972">
        <f ca="1">+V473*Assumptions!$AP$108</f>
        <v>0</v>
      </c>
      <c r="W468" s="972">
        <f ca="1">+W473*Assumptions!$AP$108</f>
        <v>0</v>
      </c>
      <c r="X468" s="972">
        <f ca="1">+X473*Assumptions!$AP$108</f>
        <v>0</v>
      </c>
      <c r="Y468" s="972">
        <f ca="1">+Y473*Assumptions!$AP$108</f>
        <v>0</v>
      </c>
      <c r="Z468" s="972">
        <f ca="1">+Z473*Assumptions!$AP$108</f>
        <v>0</v>
      </c>
      <c r="AA468" s="699"/>
      <c r="AB468" s="699"/>
      <c r="AC468" s="699"/>
      <c r="AD468" s="699"/>
      <c r="AE468" s="49"/>
      <c r="AF468" s="49"/>
      <c r="AG468" s="49"/>
      <c r="AH468" s="49"/>
      <c r="AI468" s="49"/>
      <c r="AJ468" s="49"/>
      <c r="AK468" s="49"/>
      <c r="AL468" s="49"/>
      <c r="AM468" s="49"/>
      <c r="AN468" s="49"/>
      <c r="AO468" s="49"/>
      <c r="AP468" s="49"/>
      <c r="AQ468" s="49"/>
      <c r="AR468" s="49"/>
      <c r="AS468" s="49"/>
      <c r="AT468" s="49"/>
      <c r="AU468" s="49"/>
      <c r="AV468" s="49"/>
      <c r="AW468" s="49"/>
      <c r="AX468" s="49"/>
      <c r="AY468" s="49"/>
      <c r="AZ468" s="49"/>
      <c r="BA468" s="49"/>
      <c r="BB468" s="49"/>
      <c r="BC468" s="49"/>
      <c r="BD468" s="49"/>
      <c r="BE468" s="49"/>
      <c r="BF468" s="49"/>
      <c r="BG468" s="49"/>
      <c r="BH468" s="49"/>
      <c r="BI468" s="49"/>
      <c r="BJ468" s="49"/>
      <c r="BK468" s="49"/>
      <c r="BL468" s="49"/>
      <c r="BM468" s="49"/>
      <c r="BN468" s="49"/>
    </row>
    <row r="469" spans="1:66">
      <c r="A469" s="699"/>
      <c r="B469" s="151" t="s">
        <v>1131</v>
      </c>
      <c r="C469" s="151"/>
      <c r="D469" s="151"/>
      <c r="E469" s="151"/>
      <c r="F469" s="822">
        <f ca="1">SUM(F466:F468)</f>
        <v>0</v>
      </c>
      <c r="G469" s="822">
        <f t="shared" ref="G469:Z469" ca="1" si="824">SUM(G466:G468)</f>
        <v>0</v>
      </c>
      <c r="H469" s="822">
        <f t="shared" ca="1" si="824"/>
        <v>0</v>
      </c>
      <c r="I469" s="822">
        <f t="shared" ca="1" si="824"/>
        <v>0</v>
      </c>
      <c r="J469" s="822">
        <f t="shared" ca="1" si="824"/>
        <v>0</v>
      </c>
      <c r="K469" s="822">
        <f t="shared" ca="1" si="824"/>
        <v>0</v>
      </c>
      <c r="L469" s="822">
        <f t="shared" ca="1" si="824"/>
        <v>0</v>
      </c>
      <c r="M469" s="822">
        <f t="shared" ca="1" si="824"/>
        <v>0</v>
      </c>
      <c r="N469" s="822">
        <f t="shared" ca="1" si="824"/>
        <v>0</v>
      </c>
      <c r="O469" s="822">
        <f t="shared" ca="1" si="824"/>
        <v>0</v>
      </c>
      <c r="P469" s="822">
        <f t="shared" ca="1" si="824"/>
        <v>0</v>
      </c>
      <c r="Q469" s="822">
        <f t="shared" ca="1" si="824"/>
        <v>0</v>
      </c>
      <c r="R469" s="822">
        <f t="shared" ca="1" si="824"/>
        <v>0</v>
      </c>
      <c r="S469" s="822">
        <f t="shared" ca="1" si="824"/>
        <v>0</v>
      </c>
      <c r="T469" s="822">
        <f t="shared" ca="1" si="824"/>
        <v>0</v>
      </c>
      <c r="U469" s="822">
        <f t="shared" ca="1" si="824"/>
        <v>0</v>
      </c>
      <c r="V469" s="822">
        <f t="shared" ca="1" si="824"/>
        <v>0</v>
      </c>
      <c r="W469" s="822">
        <f t="shared" ca="1" si="824"/>
        <v>0</v>
      </c>
      <c r="X469" s="822">
        <f t="shared" ca="1" si="824"/>
        <v>0</v>
      </c>
      <c r="Y469" s="822">
        <f t="shared" ca="1" si="824"/>
        <v>0</v>
      </c>
      <c r="Z469" s="822">
        <f t="shared" ca="1" si="824"/>
        <v>0</v>
      </c>
      <c r="AA469" s="699"/>
      <c r="AB469" s="699"/>
      <c r="AC469" s="699"/>
      <c r="AD469" s="699"/>
      <c r="AE469" s="49"/>
      <c r="AF469" s="49"/>
      <c r="AG469" s="49"/>
      <c r="AH469" s="49"/>
      <c r="AI469" s="49"/>
      <c r="AJ469" s="49"/>
      <c r="AK469" s="49"/>
      <c r="AL469" s="49"/>
      <c r="AM469" s="49"/>
      <c r="AN469" s="49"/>
      <c r="AO469" s="49"/>
      <c r="AP469" s="49"/>
      <c r="AQ469" s="49"/>
      <c r="AR469" s="49"/>
      <c r="AS469" s="49"/>
      <c r="AT469" s="49"/>
      <c r="AU469" s="49"/>
      <c r="AV469" s="49"/>
      <c r="AW469" s="49"/>
      <c r="AX469" s="49"/>
      <c r="AY469" s="49"/>
      <c r="AZ469" s="49"/>
      <c r="BA469" s="49"/>
      <c r="BB469" s="49"/>
      <c r="BC469" s="49"/>
      <c r="BD469" s="49"/>
      <c r="BE469" s="49"/>
      <c r="BF469" s="49"/>
      <c r="BG469" s="49"/>
      <c r="BH469" s="49"/>
      <c r="BI469" s="49"/>
      <c r="BJ469" s="49"/>
      <c r="BK469" s="49"/>
      <c r="BL469" s="49"/>
      <c r="BM469" s="49"/>
      <c r="BN469" s="49"/>
    </row>
    <row r="470" spans="1:66">
      <c r="A470" s="699"/>
      <c r="B470" s="151"/>
      <c r="C470" s="151"/>
      <c r="D470" s="151"/>
      <c r="E470" s="151"/>
      <c r="F470" s="151"/>
      <c r="G470" s="151"/>
      <c r="H470" s="151"/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699"/>
      <c r="AB470" s="699"/>
      <c r="AC470" s="699"/>
      <c r="AD470" s="699"/>
      <c r="AE470" s="49"/>
      <c r="AF470" s="49"/>
      <c r="AG470" s="49"/>
      <c r="AH470" s="49"/>
      <c r="AI470" s="49"/>
      <c r="AJ470" s="49"/>
      <c r="AK470" s="49"/>
      <c r="AL470" s="49"/>
      <c r="AM470" s="49"/>
      <c r="AN470" s="49"/>
      <c r="AO470" s="49"/>
      <c r="AP470" s="49"/>
      <c r="AQ470" s="49"/>
      <c r="AR470" s="49"/>
      <c r="AS470" s="49"/>
      <c r="AT470" s="49"/>
      <c r="AU470" s="49"/>
      <c r="AV470" s="49"/>
      <c r="AW470" s="49"/>
      <c r="AX470" s="49"/>
      <c r="AY470" s="49"/>
      <c r="AZ470" s="49"/>
      <c r="BA470" s="49"/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</row>
    <row r="471" spans="1:66">
      <c r="A471" s="699"/>
      <c r="B471" s="151" t="s">
        <v>1132</v>
      </c>
      <c r="C471" s="151"/>
      <c r="D471" s="151"/>
      <c r="E471" s="151"/>
      <c r="F471" s="946">
        <f>+F460*Assumptions!$AP$106*F464</f>
        <v>0</v>
      </c>
      <c r="G471" s="946">
        <f>+G460*Assumptions!$AP$106*G464</f>
        <v>0</v>
      </c>
      <c r="H471" s="946">
        <f>+H460*Assumptions!$AP$106*H464</f>
        <v>0</v>
      </c>
      <c r="I471" s="946">
        <f>+I460*Assumptions!$AP$106*I464</f>
        <v>0</v>
      </c>
      <c r="J471" s="946">
        <f>+J460*Assumptions!$AP$106*J464</f>
        <v>0</v>
      </c>
      <c r="K471" s="946">
        <f>+K460*Assumptions!$AP$106*K464</f>
        <v>0</v>
      </c>
      <c r="L471" s="946">
        <f>+L460*Assumptions!$AP$106*L464</f>
        <v>0</v>
      </c>
      <c r="M471" s="946">
        <f>+M460*Assumptions!$AP$106*M464</f>
        <v>0</v>
      </c>
      <c r="N471" s="946">
        <f>+N460*Assumptions!$AP$106*N464</f>
        <v>0</v>
      </c>
      <c r="O471" s="946">
        <f>+O460*Assumptions!$AP$106*O464</f>
        <v>0</v>
      </c>
      <c r="P471" s="946">
        <f>+P460*Assumptions!$AP$106*P464</f>
        <v>0</v>
      </c>
      <c r="Q471" s="946">
        <f>+Q460*Assumptions!$AP$106*Q464</f>
        <v>0</v>
      </c>
      <c r="R471" s="946">
        <f>+R460*Assumptions!$AP$106*R464</f>
        <v>0</v>
      </c>
      <c r="S471" s="946">
        <f>+S460*Assumptions!$AP$106*S464</f>
        <v>0</v>
      </c>
      <c r="T471" s="946">
        <f>+T460*Assumptions!$AP$106*T464</f>
        <v>0</v>
      </c>
      <c r="U471" s="946">
        <f>+U460*Assumptions!$AP$106*U464</f>
        <v>0</v>
      </c>
      <c r="V471" s="946">
        <f>+V460*Assumptions!$AP$106*V464</f>
        <v>0</v>
      </c>
      <c r="W471" s="946">
        <f>+W460*Assumptions!$AP$106*W464</f>
        <v>0</v>
      </c>
      <c r="X471" s="946">
        <f>+X460*Assumptions!$AP$106*X464</f>
        <v>0</v>
      </c>
      <c r="Y471" s="946">
        <f>+Y460*Assumptions!$AP$106*Y464</f>
        <v>0</v>
      </c>
      <c r="Z471" s="946">
        <f>+Z460*Assumptions!$AP$106*Z464</f>
        <v>0</v>
      </c>
      <c r="AA471" s="699"/>
      <c r="AB471" s="699"/>
      <c r="AC471" s="699"/>
      <c r="AD471" s="699"/>
      <c r="AE471" s="49"/>
      <c r="AF471" s="49"/>
      <c r="AG471" s="49"/>
      <c r="AH471" s="49"/>
      <c r="AI471" s="49"/>
      <c r="AJ471" s="49"/>
      <c r="AK471" s="49"/>
      <c r="AL471" s="49"/>
      <c r="AM471" s="49"/>
      <c r="AN471" s="49"/>
      <c r="AO471" s="49"/>
      <c r="AP471" s="49"/>
      <c r="AQ471" s="49"/>
      <c r="AR471" s="49"/>
      <c r="AS471" s="49"/>
      <c r="AT471" s="49"/>
      <c r="AU471" s="49"/>
      <c r="AV471" s="49"/>
      <c r="AW471" s="49"/>
      <c r="AX471" s="49"/>
      <c r="AY471" s="49"/>
      <c r="AZ471" s="49"/>
      <c r="BA471" s="49"/>
      <c r="BB471" s="49"/>
      <c r="BC471" s="49"/>
      <c r="BD471" s="49"/>
      <c r="BE471" s="49"/>
      <c r="BF471" s="49"/>
      <c r="BG471" s="49"/>
      <c r="BH471" s="49"/>
      <c r="BI471" s="49"/>
      <c r="BJ471" s="49"/>
      <c r="BK471" s="49"/>
      <c r="BL471" s="49"/>
      <c r="BM471" s="49"/>
      <c r="BN471" s="49"/>
    </row>
    <row r="472" spans="1:66">
      <c r="A472" s="699"/>
      <c r="B472" s="151" t="s">
        <v>1133</v>
      </c>
      <c r="C472" s="151"/>
      <c r="D472" s="151"/>
      <c r="E472" s="151"/>
      <c r="F472" s="687">
        <f ca="1">+IFERROR(INDEX('Taxes and TIF'!$M$11:$M$45,MATCH('Phase 1 Pro Forma'!F$7,'Taxes and TIF'!$B$11:$B$45,0)),0)*'Loan Sizing'!$I$28*'Phase 1 Pro Forma'!F461</f>
        <v>0</v>
      </c>
      <c r="G472" s="687">
        <f ca="1">+IFERROR(INDEX('Taxes and TIF'!$M$11:$M$45,MATCH('Phase 1 Pro Forma'!G$7,'Taxes and TIF'!$B$11:$B$45,0)),0)*'Loan Sizing'!$I$28*'Phase 1 Pro Forma'!G461</f>
        <v>0</v>
      </c>
      <c r="H472" s="687">
        <f ca="1">+IFERROR(INDEX('Taxes and TIF'!$M$11:$M$45,MATCH('Phase 1 Pro Forma'!H$7,'Taxes and TIF'!$B$11:$B$45,0)),0)*'Loan Sizing'!$I$28*'Phase 1 Pro Forma'!H461</f>
        <v>0</v>
      </c>
      <c r="I472" s="687">
        <f ca="1">+IFERROR(INDEX('Taxes and TIF'!$M$11:$M$45,MATCH('Phase 1 Pro Forma'!I$7,'Taxes and TIF'!$B$11:$B$45,0)),0)*'Loan Sizing'!$I$28*'Phase 1 Pro Forma'!I461</f>
        <v>0</v>
      </c>
      <c r="J472" s="687">
        <f ca="1">+IFERROR(INDEX('Taxes and TIF'!$M$11:$M$45,MATCH('Phase 1 Pro Forma'!J$7,'Taxes and TIF'!$B$11:$B$45,0)),0)*'Loan Sizing'!$I$28*'Phase 1 Pro Forma'!J461</f>
        <v>0</v>
      </c>
      <c r="K472" s="687">
        <f ca="1">+IFERROR(INDEX('Taxes and TIF'!$M$11:$M$45,MATCH('Phase 1 Pro Forma'!K$7,'Taxes and TIF'!$B$11:$B$45,0)),0)*'Loan Sizing'!$I$28*'Phase 1 Pro Forma'!K461</f>
        <v>0</v>
      </c>
      <c r="L472" s="687">
        <f ca="1">+IFERROR(INDEX('Taxes and TIF'!$M$11:$M$45,MATCH('Phase 1 Pro Forma'!L$7,'Taxes and TIF'!$B$11:$B$45,0)),0)*'Loan Sizing'!$I$28*'Phase 1 Pro Forma'!L461</f>
        <v>0</v>
      </c>
      <c r="M472" s="687">
        <f ca="1">+IFERROR(INDEX('Taxes and TIF'!$M$11:$M$45,MATCH('Phase 1 Pro Forma'!M$7,'Taxes and TIF'!$B$11:$B$45,0)),0)*'Loan Sizing'!$I$28*'Phase 1 Pro Forma'!M461</f>
        <v>0</v>
      </c>
      <c r="N472" s="687">
        <f ca="1">+IFERROR(INDEX('Taxes and TIF'!$M$11:$M$45,MATCH('Phase 1 Pro Forma'!N$7,'Taxes and TIF'!$B$11:$B$45,0)),0)*'Loan Sizing'!$I$28*'Phase 1 Pro Forma'!N461</f>
        <v>0</v>
      </c>
      <c r="O472" s="687">
        <f ca="1">+IFERROR(INDEX('Taxes and TIF'!$M$11:$M$45,MATCH('Phase 1 Pro Forma'!O$7,'Taxes and TIF'!$B$11:$B$45,0)),0)*'Loan Sizing'!$I$28*'Phase 1 Pro Forma'!O461</f>
        <v>0</v>
      </c>
      <c r="P472" s="687">
        <f ca="1">+IFERROR(INDEX('Taxes and TIF'!$M$11:$M$45,MATCH('Phase 1 Pro Forma'!P$7,'Taxes and TIF'!$B$11:$B$45,0)),0)*'Loan Sizing'!$I$28*'Phase 1 Pro Forma'!P461</f>
        <v>0</v>
      </c>
      <c r="Q472" s="687">
        <f ca="1">+IFERROR(INDEX('Taxes and TIF'!$M$11:$M$45,MATCH('Phase 1 Pro Forma'!Q$7,'Taxes and TIF'!$B$11:$B$45,0)),0)*'Loan Sizing'!$I$28*'Phase 1 Pro Forma'!Q461</f>
        <v>0</v>
      </c>
      <c r="R472" s="687">
        <f ca="1">+IFERROR(INDEX('Taxes and TIF'!$M$11:$M$45,MATCH('Phase 1 Pro Forma'!R$7,'Taxes and TIF'!$B$11:$B$45,0)),0)*'Loan Sizing'!$I$28*'Phase 1 Pro Forma'!R461</f>
        <v>0</v>
      </c>
      <c r="S472" s="687">
        <f ca="1">+IFERROR(INDEX('Taxes and TIF'!$M$11:$M$45,MATCH('Phase 1 Pro Forma'!S$7,'Taxes and TIF'!$B$11:$B$45,0)),0)*'Loan Sizing'!$I$28*'Phase 1 Pro Forma'!S461</f>
        <v>0</v>
      </c>
      <c r="T472" s="687">
        <f ca="1">+IFERROR(INDEX('Taxes and TIF'!$M$11:$M$45,MATCH('Phase 1 Pro Forma'!T$7,'Taxes and TIF'!$B$11:$B$45,0)),0)*'Loan Sizing'!$I$28*'Phase 1 Pro Forma'!T461</f>
        <v>0</v>
      </c>
      <c r="U472" s="687">
        <f ca="1">+IFERROR(INDEX('Taxes and TIF'!$M$11:$M$45,MATCH('Phase 1 Pro Forma'!U$7,'Taxes and TIF'!$B$11:$B$45,0)),0)*'Loan Sizing'!$I$28*'Phase 1 Pro Forma'!U461</f>
        <v>0</v>
      </c>
      <c r="V472" s="687">
        <f ca="1">+IFERROR(INDEX('Taxes and TIF'!$M$11:$M$45,MATCH('Phase 1 Pro Forma'!V$7,'Taxes and TIF'!$B$11:$B$45,0)),0)*'Loan Sizing'!$I$28*'Phase 1 Pro Forma'!V461</f>
        <v>0</v>
      </c>
      <c r="W472" s="687">
        <f ca="1">+IFERROR(INDEX('Taxes and TIF'!$M$11:$M$45,MATCH('Phase 1 Pro Forma'!W$7,'Taxes and TIF'!$B$11:$B$45,0)),0)*'Loan Sizing'!$I$28*'Phase 1 Pro Forma'!W461</f>
        <v>0</v>
      </c>
      <c r="X472" s="687">
        <f ca="1">+IFERROR(INDEX('Taxes and TIF'!$M$11:$M$45,MATCH('Phase 1 Pro Forma'!X$7,'Taxes and TIF'!$B$11:$B$45,0)),0)*'Loan Sizing'!$I$28*'Phase 1 Pro Forma'!X461</f>
        <v>0</v>
      </c>
      <c r="Y472" s="687">
        <f ca="1">+IFERROR(INDEX('Taxes and TIF'!$M$11:$M$45,MATCH('Phase 1 Pro Forma'!Y$7,'Taxes and TIF'!$B$11:$B$45,0)),0)*'Loan Sizing'!$I$28*'Phase 1 Pro Forma'!Y461</f>
        <v>0</v>
      </c>
      <c r="Z472" s="687">
        <f ca="1">+IFERROR(INDEX('Taxes and TIF'!$M$11:$M$45,MATCH('Phase 1 Pro Forma'!Z$7,'Taxes and TIF'!$B$11:$B$45,0)),0)*'Loan Sizing'!$I$28*'Phase 1 Pro Forma'!Z461</f>
        <v>0</v>
      </c>
      <c r="AA472" s="699"/>
      <c r="AB472" s="699"/>
      <c r="AC472" s="699"/>
      <c r="AD472" s="699"/>
      <c r="AE472" s="49"/>
      <c r="AF472" s="49"/>
      <c r="AG472" s="49"/>
      <c r="AH472" s="49"/>
      <c r="AI472" s="49"/>
      <c r="AJ472" s="49"/>
      <c r="AK472" s="49"/>
      <c r="AL472" s="49"/>
      <c r="AM472" s="49"/>
      <c r="AN472" s="49"/>
      <c r="AO472" s="49"/>
      <c r="AP472" s="49"/>
      <c r="AQ472" s="49"/>
      <c r="AR472" s="49"/>
      <c r="AS472" s="49"/>
      <c r="AT472" s="49"/>
      <c r="AU472" s="49"/>
      <c r="AV472" s="49"/>
      <c r="AW472" s="49"/>
      <c r="AX472" s="49"/>
      <c r="AY472" s="49"/>
      <c r="AZ472" s="49"/>
      <c r="BA472" s="49"/>
      <c r="BB472" s="49"/>
      <c r="BC472" s="49"/>
      <c r="BD472" s="49"/>
      <c r="BE472" s="49"/>
      <c r="BF472" s="49"/>
      <c r="BG472" s="49"/>
      <c r="BH472" s="49"/>
      <c r="BI472" s="49"/>
      <c r="BJ472" s="49"/>
      <c r="BK472" s="49"/>
      <c r="BL472" s="49"/>
      <c r="BM472" s="49"/>
      <c r="BN472" s="49"/>
    </row>
    <row r="473" spans="1:66">
      <c r="A473" s="699" t="s">
        <v>511</v>
      </c>
      <c r="B473" s="151" t="s">
        <v>1134</v>
      </c>
      <c r="C473" s="151"/>
      <c r="D473" s="151"/>
      <c r="E473" s="151"/>
      <c r="F473" s="946">
        <f ca="1">+SUM(F471:F472)</f>
        <v>0</v>
      </c>
      <c r="G473" s="946">
        <f t="shared" ref="G473:Z473" ca="1" si="825">+SUM(G471:G472)</f>
        <v>0</v>
      </c>
      <c r="H473" s="946">
        <f t="shared" ca="1" si="825"/>
        <v>0</v>
      </c>
      <c r="I473" s="946">
        <f t="shared" ca="1" si="825"/>
        <v>0</v>
      </c>
      <c r="J473" s="946">
        <f t="shared" ca="1" si="825"/>
        <v>0</v>
      </c>
      <c r="K473" s="946">
        <f t="shared" ca="1" si="825"/>
        <v>0</v>
      </c>
      <c r="L473" s="946">
        <f t="shared" ca="1" si="825"/>
        <v>0</v>
      </c>
      <c r="M473" s="946">
        <f t="shared" ca="1" si="825"/>
        <v>0</v>
      </c>
      <c r="N473" s="946">
        <f t="shared" ca="1" si="825"/>
        <v>0</v>
      </c>
      <c r="O473" s="946">
        <f t="shared" ca="1" si="825"/>
        <v>0</v>
      </c>
      <c r="P473" s="946">
        <f t="shared" ca="1" si="825"/>
        <v>0</v>
      </c>
      <c r="Q473" s="946">
        <f t="shared" ca="1" si="825"/>
        <v>0</v>
      </c>
      <c r="R473" s="946">
        <f t="shared" ca="1" si="825"/>
        <v>0</v>
      </c>
      <c r="S473" s="946">
        <f t="shared" ca="1" si="825"/>
        <v>0</v>
      </c>
      <c r="T473" s="946">
        <f t="shared" ca="1" si="825"/>
        <v>0</v>
      </c>
      <c r="U473" s="946">
        <f t="shared" ca="1" si="825"/>
        <v>0</v>
      </c>
      <c r="V473" s="946">
        <f t="shared" ca="1" si="825"/>
        <v>0</v>
      </c>
      <c r="W473" s="946">
        <f t="shared" ca="1" si="825"/>
        <v>0</v>
      </c>
      <c r="X473" s="946">
        <f t="shared" ca="1" si="825"/>
        <v>0</v>
      </c>
      <c r="Y473" s="946">
        <f t="shared" ca="1" si="825"/>
        <v>0</v>
      </c>
      <c r="Z473" s="946">
        <f t="shared" ca="1" si="825"/>
        <v>0</v>
      </c>
      <c r="AA473" s="699"/>
      <c r="AB473" s="699"/>
      <c r="AC473" s="699"/>
      <c r="AD473" s="699"/>
      <c r="AE473" s="49"/>
      <c r="AF473" s="49"/>
      <c r="AG473" s="49"/>
      <c r="AH473" s="49"/>
      <c r="AI473" s="49"/>
      <c r="AJ473" s="49"/>
      <c r="AK473" s="49"/>
      <c r="AL473" s="49"/>
      <c r="AM473" s="49"/>
      <c r="AN473" s="49"/>
      <c r="AO473" s="49"/>
      <c r="AP473" s="49"/>
      <c r="AQ473" s="49"/>
      <c r="AR473" s="49"/>
      <c r="AS473" s="49"/>
      <c r="AT473" s="49"/>
      <c r="AU473" s="49"/>
      <c r="AV473" s="49"/>
      <c r="AW473" s="49"/>
      <c r="AX473" s="49"/>
      <c r="AY473" s="49"/>
      <c r="AZ473" s="49"/>
      <c r="BA473" s="49"/>
      <c r="BB473" s="49"/>
      <c r="BC473" s="49"/>
      <c r="BD473" s="49"/>
      <c r="BE473" s="49"/>
      <c r="BF473" s="49"/>
      <c r="BG473" s="49"/>
      <c r="BH473" s="49"/>
      <c r="BI473" s="49"/>
      <c r="BJ473" s="49"/>
      <c r="BK473" s="49"/>
      <c r="BL473" s="49"/>
      <c r="BM473" s="49"/>
      <c r="BN473" s="49"/>
    </row>
    <row r="474" spans="1:66">
      <c r="A474" s="699"/>
      <c r="B474" s="151"/>
      <c r="C474" s="151"/>
      <c r="D474" s="151"/>
      <c r="E474" s="151"/>
      <c r="F474" s="151"/>
      <c r="G474" s="151"/>
      <c r="H474" s="151"/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699"/>
      <c r="AB474" s="699"/>
      <c r="AC474" s="699"/>
      <c r="AD474" s="699"/>
      <c r="AE474" s="49"/>
      <c r="AF474" s="49"/>
      <c r="AG474" s="49"/>
      <c r="AH474" s="49"/>
      <c r="AI474" s="49"/>
      <c r="AJ474" s="49"/>
      <c r="AK474" s="49"/>
      <c r="AL474" s="49"/>
      <c r="AM474" s="49"/>
      <c r="AN474" s="49"/>
      <c r="AO474" s="49"/>
      <c r="AP474" s="49"/>
      <c r="AQ474" s="49"/>
      <c r="AR474" s="49"/>
      <c r="AS474" s="49"/>
      <c r="AT474" s="49"/>
      <c r="AU474" s="49"/>
      <c r="AV474" s="49"/>
      <c r="AW474" s="49"/>
      <c r="AX474" s="49"/>
      <c r="AY474" s="49"/>
      <c r="AZ474" s="49"/>
      <c r="BA474" s="49"/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</row>
    <row r="475" spans="1:66" ht="15.75">
      <c r="A475" s="699"/>
      <c r="B475" s="718" t="s">
        <v>1135</v>
      </c>
      <c r="C475" s="718"/>
      <c r="D475" s="718"/>
      <c r="E475" s="718"/>
      <c r="F475" s="948">
        <f ca="1">+F469-F473</f>
        <v>0</v>
      </c>
      <c r="G475" s="948">
        <f t="shared" ref="G475:Z475" ca="1" si="826">+G469-G473</f>
        <v>0</v>
      </c>
      <c r="H475" s="948">
        <f t="shared" ca="1" si="826"/>
        <v>0</v>
      </c>
      <c r="I475" s="948">
        <f t="shared" ca="1" si="826"/>
        <v>0</v>
      </c>
      <c r="J475" s="948">
        <f t="shared" ca="1" si="826"/>
        <v>0</v>
      </c>
      <c r="K475" s="948">
        <f t="shared" ca="1" si="826"/>
        <v>0</v>
      </c>
      <c r="L475" s="948">
        <f t="shared" ca="1" si="826"/>
        <v>0</v>
      </c>
      <c r="M475" s="948">
        <f t="shared" ca="1" si="826"/>
        <v>0</v>
      </c>
      <c r="N475" s="948">
        <f t="shared" ca="1" si="826"/>
        <v>0</v>
      </c>
      <c r="O475" s="948">
        <f t="shared" ca="1" si="826"/>
        <v>0</v>
      </c>
      <c r="P475" s="948">
        <f t="shared" ca="1" si="826"/>
        <v>0</v>
      </c>
      <c r="Q475" s="948">
        <f t="shared" ca="1" si="826"/>
        <v>0</v>
      </c>
      <c r="R475" s="948">
        <f t="shared" ca="1" si="826"/>
        <v>0</v>
      </c>
      <c r="S475" s="948">
        <f t="shared" ca="1" si="826"/>
        <v>0</v>
      </c>
      <c r="T475" s="948">
        <f t="shared" ca="1" si="826"/>
        <v>0</v>
      </c>
      <c r="U475" s="948">
        <f t="shared" ca="1" si="826"/>
        <v>0</v>
      </c>
      <c r="V475" s="948">
        <f t="shared" ca="1" si="826"/>
        <v>0</v>
      </c>
      <c r="W475" s="948">
        <f t="shared" ca="1" si="826"/>
        <v>0</v>
      </c>
      <c r="X475" s="948">
        <f t="shared" ca="1" si="826"/>
        <v>0</v>
      </c>
      <c r="Y475" s="948">
        <f t="shared" ca="1" si="826"/>
        <v>0</v>
      </c>
      <c r="Z475" s="948">
        <f t="shared" ca="1" si="826"/>
        <v>0</v>
      </c>
      <c r="AA475" s="699"/>
      <c r="AB475" s="699"/>
      <c r="AC475" s="699"/>
      <c r="AD475" s="699"/>
      <c r="AE475" s="49"/>
      <c r="AF475" s="49"/>
      <c r="AG475" s="49"/>
      <c r="AH475" s="49"/>
      <c r="AI475" s="49"/>
      <c r="AJ475" s="49"/>
      <c r="AK475" s="49"/>
      <c r="AL475" s="49"/>
      <c r="AM475" s="49"/>
      <c r="AN475" s="49"/>
      <c r="AO475" s="49"/>
      <c r="AP475" s="49"/>
      <c r="AQ475" s="49"/>
      <c r="AR475" s="49"/>
      <c r="AS475" s="49"/>
      <c r="AT475" s="49"/>
      <c r="AU475" s="49"/>
      <c r="AV475" s="49"/>
      <c r="AW475" s="49"/>
      <c r="AX475" s="49"/>
      <c r="AY475" s="49"/>
      <c r="AZ475" s="49"/>
      <c r="BA475" s="49"/>
      <c r="BB475" s="49"/>
      <c r="BC475" s="49"/>
      <c r="BD475" s="49"/>
      <c r="BE475" s="49"/>
      <c r="BF475" s="49"/>
      <c r="BG475" s="49"/>
      <c r="BH475" s="49"/>
      <c r="BI475" s="49"/>
      <c r="BJ475" s="49"/>
      <c r="BK475" s="49"/>
      <c r="BL475" s="49"/>
      <c r="BM475" s="49"/>
      <c r="BN475" s="49"/>
    </row>
    <row r="476" spans="1:66">
      <c r="A476" s="699"/>
      <c r="B476" s="826" t="s">
        <v>1136</v>
      </c>
      <c r="C476" s="826"/>
      <c r="D476" s="826"/>
      <c r="E476" s="826"/>
      <c r="F476" s="973" t="str">
        <f ca="1">+IFERROR(F475/F469,"")</f>
        <v/>
      </c>
      <c r="G476" s="973" t="str">
        <f t="shared" ref="G476" ca="1" si="827">+IFERROR(G475/G469,"")</f>
        <v/>
      </c>
      <c r="H476" s="973" t="str">
        <f t="shared" ref="H476" ca="1" si="828">+IFERROR(H475/H469,"")</f>
        <v/>
      </c>
      <c r="I476" s="973" t="str">
        <f t="shared" ref="I476" ca="1" si="829">+IFERROR(I475/I469,"")</f>
        <v/>
      </c>
      <c r="J476" s="973" t="str">
        <f t="shared" ref="J476" ca="1" si="830">+IFERROR(J475/J469,"")</f>
        <v/>
      </c>
      <c r="K476" s="973" t="str">
        <f t="shared" ref="K476" ca="1" si="831">+IFERROR(K475/K469,"")</f>
        <v/>
      </c>
      <c r="L476" s="973" t="str">
        <f t="shared" ref="L476" ca="1" si="832">+IFERROR(L475/L469,"")</f>
        <v/>
      </c>
      <c r="M476" s="973" t="str">
        <f t="shared" ref="M476" ca="1" si="833">+IFERROR(M475/M469,"")</f>
        <v/>
      </c>
      <c r="N476" s="973" t="str">
        <f t="shared" ref="N476" ca="1" si="834">+IFERROR(N475/N469,"")</f>
        <v/>
      </c>
      <c r="O476" s="973" t="str">
        <f t="shared" ref="O476" ca="1" si="835">+IFERROR(O475/O469,"")</f>
        <v/>
      </c>
      <c r="P476" s="973" t="str">
        <f t="shared" ref="P476" ca="1" si="836">+IFERROR(P475/P469,"")</f>
        <v/>
      </c>
      <c r="Q476" s="973" t="str">
        <f t="shared" ref="Q476" ca="1" si="837">+IFERROR(Q475/Q469,"")</f>
        <v/>
      </c>
      <c r="R476" s="973" t="str">
        <f t="shared" ref="R476" ca="1" si="838">+IFERROR(R475/R469,"")</f>
        <v/>
      </c>
      <c r="S476" s="973" t="str">
        <f t="shared" ref="S476" ca="1" si="839">+IFERROR(S475/S469,"")</f>
        <v/>
      </c>
      <c r="T476" s="973" t="str">
        <f t="shared" ref="T476" ca="1" si="840">+IFERROR(T475/T469,"")</f>
        <v/>
      </c>
      <c r="U476" s="973" t="str">
        <f t="shared" ref="U476" ca="1" si="841">+IFERROR(U475/U469,"")</f>
        <v/>
      </c>
      <c r="V476" s="973" t="str">
        <f t="shared" ref="V476" ca="1" si="842">+IFERROR(V475/V469,"")</f>
        <v/>
      </c>
      <c r="W476" s="973" t="str">
        <f t="shared" ref="W476" ca="1" si="843">+IFERROR(W475/W469,"")</f>
        <v/>
      </c>
      <c r="X476" s="973" t="str">
        <f t="shared" ref="X476" ca="1" si="844">+IFERROR(X475/X469,"")</f>
        <v/>
      </c>
      <c r="Y476" s="973" t="str">
        <f t="shared" ref="Y476" ca="1" si="845">+IFERROR(Y475/Y469,"")</f>
        <v/>
      </c>
      <c r="Z476" s="973" t="str">
        <f t="shared" ref="Z476" ca="1" si="846">+IFERROR(Z475/Z469,"")</f>
        <v/>
      </c>
      <c r="AA476" s="699"/>
      <c r="AB476" s="699"/>
      <c r="AC476" s="699"/>
      <c r="AD476" s="699"/>
      <c r="AE476" s="49"/>
      <c r="AF476" s="49"/>
      <c r="AG476" s="49"/>
      <c r="AH476" s="49"/>
      <c r="AI476" s="49"/>
      <c r="AJ476" s="49"/>
      <c r="AK476" s="49"/>
      <c r="AL476" s="49"/>
      <c r="AM476" s="49"/>
      <c r="AN476" s="49"/>
      <c r="AO476" s="49"/>
      <c r="AP476" s="49"/>
      <c r="AQ476" s="49"/>
      <c r="AR476" s="49"/>
      <c r="AS476" s="49"/>
      <c r="AT476" s="49"/>
      <c r="AU476" s="49"/>
      <c r="AV476" s="49"/>
      <c r="AW476" s="49"/>
      <c r="AX476" s="49"/>
      <c r="AY476" s="49"/>
      <c r="AZ476" s="49"/>
      <c r="BA476" s="49"/>
      <c r="BB476" s="49"/>
      <c r="BC476" s="49"/>
      <c r="BD476" s="49"/>
      <c r="BE476" s="49"/>
      <c r="BF476" s="49"/>
      <c r="BG476" s="49"/>
      <c r="BH476" s="49"/>
      <c r="BI476" s="49"/>
      <c r="BJ476" s="49"/>
      <c r="BK476" s="49"/>
      <c r="BL476" s="49"/>
      <c r="BM476" s="49"/>
      <c r="BN476" s="49"/>
    </row>
    <row r="477" spans="1:66">
      <c r="A477" s="699"/>
      <c r="B477" s="826" t="s">
        <v>1064</v>
      </c>
      <c r="C477" s="826"/>
      <c r="D477" s="826"/>
      <c r="E477" s="826"/>
      <c r="F477" s="974">
        <f ca="1">+F475/Assumptions!$AE$212</f>
        <v>0</v>
      </c>
      <c r="G477" s="974">
        <f ca="1">+G475/Assumptions!$AE$212</f>
        <v>0</v>
      </c>
      <c r="H477" s="974">
        <f ca="1">+H475/Assumptions!$AE$212</f>
        <v>0</v>
      </c>
      <c r="I477" s="974">
        <f ca="1">+I475/Assumptions!$AE$212</f>
        <v>0</v>
      </c>
      <c r="J477" s="974">
        <f ca="1">+J475/Assumptions!$AE$212</f>
        <v>0</v>
      </c>
      <c r="K477" s="974">
        <f ca="1">+K475/Assumptions!$AE$212</f>
        <v>0</v>
      </c>
      <c r="L477" s="974">
        <f ca="1">+L475/Assumptions!$AE$212</f>
        <v>0</v>
      </c>
      <c r="M477" s="974">
        <f ca="1">+M475/Assumptions!$AE$212</f>
        <v>0</v>
      </c>
      <c r="N477" s="974">
        <f ca="1">+N475/Assumptions!$AE$212</f>
        <v>0</v>
      </c>
      <c r="O477" s="974">
        <f ca="1">+O475/Assumptions!$AE$212</f>
        <v>0</v>
      </c>
      <c r="P477" s="974">
        <f ca="1">+P475/Assumptions!$AE$212</f>
        <v>0</v>
      </c>
      <c r="Q477" s="974">
        <f ca="1">+Q475/Assumptions!$AE$212</f>
        <v>0</v>
      </c>
      <c r="R477" s="974">
        <f ca="1">+R475/Assumptions!$AE$212</f>
        <v>0</v>
      </c>
      <c r="S477" s="974">
        <f ca="1">+S475/Assumptions!$AE$212</f>
        <v>0</v>
      </c>
      <c r="T477" s="974">
        <f ca="1">+T475/Assumptions!$AE$212</f>
        <v>0</v>
      </c>
      <c r="U477" s="974">
        <f ca="1">+U475/Assumptions!$AE$212</f>
        <v>0</v>
      </c>
      <c r="V477" s="974">
        <f ca="1">+V475/Assumptions!$AE$212</f>
        <v>0</v>
      </c>
      <c r="W477" s="974">
        <f ca="1">+W475/Assumptions!$AE$212</f>
        <v>0</v>
      </c>
      <c r="X477" s="974">
        <f ca="1">+X475/Assumptions!$AE$212</f>
        <v>0</v>
      </c>
      <c r="Y477" s="974">
        <f ca="1">+Y475/Assumptions!$AE$212</f>
        <v>0</v>
      </c>
      <c r="Z477" s="974">
        <f ca="1">+Z475/Assumptions!$AE$212</f>
        <v>0</v>
      </c>
      <c r="AA477" s="699"/>
      <c r="AB477" s="699"/>
      <c r="AC477" s="699"/>
      <c r="AD477" s="699"/>
      <c r="AE477" s="49"/>
      <c r="AF477" s="49"/>
      <c r="AG477" s="49"/>
      <c r="AH477" s="49"/>
      <c r="AI477" s="49"/>
      <c r="AJ477" s="49"/>
      <c r="AK477" s="49"/>
      <c r="AL477" s="49"/>
      <c r="AM477" s="49"/>
      <c r="AN477" s="49"/>
      <c r="AO477" s="49"/>
      <c r="AP477" s="49"/>
      <c r="AQ477" s="49"/>
      <c r="AR477" s="49"/>
      <c r="AS477" s="49"/>
      <c r="AT477" s="49"/>
      <c r="AU477" s="49"/>
      <c r="AV477" s="49"/>
      <c r="AW477" s="49"/>
      <c r="AX477" s="49"/>
      <c r="AY477" s="49"/>
      <c r="AZ477" s="49"/>
      <c r="BA477" s="49"/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</row>
    <row r="478" spans="1:66">
      <c r="A478" s="699"/>
      <c r="B478" s="699"/>
      <c r="C478" s="699"/>
      <c r="D478" s="699"/>
      <c r="E478" s="699"/>
      <c r="F478" s="699"/>
      <c r="G478" s="699"/>
      <c r="H478" s="699"/>
      <c r="I478" s="699"/>
      <c r="J478" s="699"/>
      <c r="K478" s="699"/>
      <c r="L478" s="699"/>
      <c r="M478" s="699"/>
      <c r="N478" s="699"/>
      <c r="O478" s="699"/>
      <c r="P478" s="699"/>
      <c r="Q478" s="699"/>
      <c r="R478" s="699"/>
      <c r="S478" s="699"/>
      <c r="T478" s="699"/>
      <c r="U478" s="699"/>
      <c r="V478" s="699"/>
      <c r="W478" s="699"/>
      <c r="X478" s="699"/>
      <c r="Y478" s="699"/>
      <c r="Z478" s="699"/>
      <c r="AA478" s="699"/>
      <c r="AB478" s="699"/>
      <c r="AC478" s="699"/>
      <c r="AD478" s="699"/>
      <c r="AE478" s="49"/>
      <c r="AF478" s="49"/>
      <c r="AG478" s="49"/>
      <c r="AH478" s="49"/>
      <c r="AI478" s="49"/>
      <c r="AJ478" s="49"/>
      <c r="AK478" s="49"/>
      <c r="AL478" s="49"/>
      <c r="AM478" s="49"/>
      <c r="AN478" s="49"/>
      <c r="AO478" s="49"/>
      <c r="AP478" s="49"/>
      <c r="AQ478" s="49"/>
      <c r="AR478" s="49"/>
      <c r="AS478" s="49"/>
      <c r="AT478" s="49"/>
      <c r="AU478" s="49"/>
      <c r="AV478" s="49"/>
      <c r="AW478" s="49"/>
      <c r="AX478" s="49"/>
      <c r="AY478" s="49"/>
      <c r="AZ478" s="49"/>
      <c r="BA478" s="49"/>
      <c r="BB478" s="49"/>
      <c r="BC478" s="49"/>
      <c r="BD478" s="49"/>
      <c r="BE478" s="49"/>
      <c r="BF478" s="49"/>
      <c r="BG478" s="49"/>
      <c r="BH478" s="49"/>
      <c r="BI478" s="49"/>
      <c r="BJ478" s="49"/>
      <c r="BK478" s="49"/>
      <c r="BL478" s="49"/>
      <c r="BM478" s="49"/>
      <c r="BN478" s="49"/>
    </row>
    <row r="479" spans="1:66">
      <c r="A479" s="699"/>
      <c r="B479" s="699"/>
      <c r="C479" s="699"/>
      <c r="D479" s="699"/>
      <c r="E479" s="699"/>
      <c r="F479" s="699"/>
      <c r="G479" s="699"/>
      <c r="H479" s="699"/>
      <c r="I479" s="699"/>
      <c r="J479" s="699"/>
      <c r="K479" s="699"/>
      <c r="L479" s="699"/>
      <c r="M479" s="699"/>
      <c r="N479" s="699"/>
      <c r="O479" s="699"/>
      <c r="P479" s="699"/>
      <c r="Q479" s="699"/>
      <c r="R479" s="699"/>
      <c r="S479" s="699"/>
      <c r="T479" s="699"/>
      <c r="U479" s="699"/>
      <c r="V479" s="699"/>
      <c r="W479" s="699"/>
      <c r="X479" s="699"/>
      <c r="Y479" s="699"/>
      <c r="Z479" s="699"/>
      <c r="AA479" s="699"/>
      <c r="AB479" s="699"/>
      <c r="AC479" s="699"/>
      <c r="AD479" s="699"/>
      <c r="AE479" s="49"/>
      <c r="AF479" s="49"/>
      <c r="AG479" s="49"/>
      <c r="AH479" s="49"/>
      <c r="AI479" s="49"/>
      <c r="AJ479" s="49"/>
      <c r="AK479" s="49"/>
      <c r="AL479" s="49"/>
      <c r="AM479" s="49"/>
      <c r="AN479" s="49"/>
      <c r="AO479" s="49"/>
      <c r="AP479" s="49"/>
      <c r="AQ479" s="49"/>
      <c r="AR479" s="49"/>
      <c r="AS479" s="49"/>
      <c r="AT479" s="49"/>
      <c r="AU479" s="49"/>
      <c r="AV479" s="49"/>
      <c r="AW479" s="49"/>
      <c r="AX479" s="49"/>
      <c r="AY479" s="49"/>
      <c r="AZ479" s="49"/>
      <c r="BA479" s="49"/>
      <c r="BB479" s="49"/>
      <c r="BC479" s="49"/>
      <c r="BD479" s="49"/>
      <c r="BE479" s="49"/>
      <c r="BF479" s="49"/>
      <c r="BG479" s="49"/>
      <c r="BH479" s="49"/>
      <c r="BI479" s="49"/>
      <c r="BJ479" s="49"/>
      <c r="BK479" s="49"/>
      <c r="BL479" s="49"/>
      <c r="BM479" s="49"/>
      <c r="BN479" s="49"/>
    </row>
    <row r="480" spans="1:66">
      <c r="A480" s="699"/>
      <c r="B480" s="699"/>
      <c r="C480" s="699"/>
      <c r="D480" s="699"/>
      <c r="E480" s="699"/>
      <c r="F480" s="699"/>
      <c r="G480" s="699"/>
      <c r="H480" s="699"/>
      <c r="I480" s="699"/>
      <c r="J480" s="699"/>
      <c r="K480" s="699"/>
      <c r="L480" s="699"/>
      <c r="M480" s="699"/>
      <c r="N480" s="699"/>
      <c r="O480" s="699"/>
      <c r="P480" s="699"/>
      <c r="Q480" s="699"/>
      <c r="R480" s="699"/>
      <c r="S480" s="699"/>
      <c r="T480" s="699"/>
      <c r="U480" s="699"/>
      <c r="V480" s="699"/>
      <c r="W480" s="699"/>
      <c r="X480" s="699"/>
      <c r="Y480" s="699"/>
      <c r="Z480" s="699"/>
      <c r="AA480" s="699"/>
      <c r="AB480" s="699"/>
      <c r="AC480" s="699"/>
      <c r="AD480" s="699"/>
      <c r="AE480" s="49"/>
      <c r="AF480" s="49"/>
      <c r="AG480" s="49"/>
      <c r="AH480" s="49"/>
      <c r="AI480" s="49"/>
      <c r="AJ480" s="49"/>
      <c r="AK480" s="49"/>
      <c r="AL480" s="49"/>
      <c r="AM480" s="49"/>
      <c r="AN480" s="49"/>
      <c r="AO480" s="49"/>
      <c r="AP480" s="49"/>
      <c r="AQ480" s="49"/>
      <c r="AR480" s="49"/>
      <c r="AS480" s="49"/>
      <c r="AT480" s="49"/>
      <c r="AU480" s="49"/>
      <c r="AV480" s="49"/>
      <c r="AW480" s="49"/>
      <c r="AX480" s="49"/>
      <c r="AY480" s="49"/>
      <c r="AZ480" s="49"/>
      <c r="BA480" s="49"/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</row>
    <row r="481" spans="31:66">
      <c r="AE481" s="49"/>
      <c r="AF481" s="49"/>
      <c r="AG481" s="49"/>
      <c r="AH481" s="49"/>
      <c r="AI481" s="49"/>
      <c r="AJ481" s="49"/>
      <c r="AK481" s="49"/>
      <c r="AL481" s="49"/>
      <c r="AM481" s="49"/>
      <c r="AN481" s="49"/>
      <c r="AO481" s="49"/>
      <c r="AP481" s="49"/>
      <c r="AQ481" s="49"/>
      <c r="AR481" s="49"/>
      <c r="AS481" s="49"/>
      <c r="AT481" s="49"/>
      <c r="AU481" s="49"/>
      <c r="AV481" s="49"/>
      <c r="AW481" s="49"/>
      <c r="AX481" s="49"/>
      <c r="AY481" s="49"/>
      <c r="AZ481" s="49"/>
      <c r="BA481" s="49"/>
      <c r="BB481" s="49"/>
      <c r="BC481" s="49"/>
      <c r="BD481" s="49"/>
      <c r="BE481" s="49"/>
      <c r="BF481" s="49"/>
      <c r="BG481" s="49"/>
      <c r="BH481" s="49"/>
      <c r="BI481" s="49"/>
      <c r="BJ481" s="49"/>
      <c r="BK481" s="49"/>
      <c r="BL481" s="49"/>
      <c r="BM481" s="49"/>
      <c r="BN481" s="49"/>
    </row>
    <row r="482" spans="31:66">
      <c r="AE482" s="49"/>
      <c r="AF482" s="49"/>
      <c r="AG482" s="49"/>
      <c r="AH482" s="49"/>
      <c r="AI482" s="49"/>
      <c r="AJ482" s="49"/>
      <c r="AK482" s="49"/>
      <c r="AL482" s="49"/>
      <c r="AM482" s="49"/>
      <c r="AN482" s="49"/>
      <c r="AO482" s="49"/>
      <c r="AP482" s="49"/>
      <c r="AQ482" s="49"/>
      <c r="AR482" s="49"/>
      <c r="AS482" s="49"/>
      <c r="AT482" s="49"/>
      <c r="AU482" s="49"/>
      <c r="AV482" s="49"/>
      <c r="AW482" s="49"/>
      <c r="AX482" s="49"/>
      <c r="AY482" s="49"/>
      <c r="AZ482" s="49"/>
      <c r="BA482" s="49"/>
      <c r="BB482" s="49"/>
      <c r="BC482" s="49"/>
      <c r="BD482" s="49"/>
      <c r="BE482" s="49"/>
      <c r="BF482" s="49"/>
      <c r="BG482" s="49"/>
      <c r="BH482" s="49"/>
      <c r="BI482" s="49"/>
      <c r="BJ482" s="49"/>
      <c r="BK482" s="49"/>
      <c r="BL482" s="49"/>
      <c r="BM482" s="49"/>
      <c r="BN482" s="49"/>
    </row>
    <row r="483" spans="31:66">
      <c r="AE483" s="49"/>
      <c r="AF483" s="49"/>
      <c r="AG483" s="49"/>
      <c r="AH483" s="49"/>
      <c r="AI483" s="49"/>
      <c r="AJ483" s="49"/>
      <c r="AK483" s="49"/>
      <c r="AL483" s="49"/>
      <c r="AM483" s="49"/>
      <c r="AN483" s="49"/>
      <c r="AO483" s="49"/>
      <c r="AP483" s="49"/>
      <c r="AQ483" s="49"/>
      <c r="AR483" s="49"/>
      <c r="AS483" s="49"/>
      <c r="AT483" s="49"/>
      <c r="AU483" s="49"/>
      <c r="AV483" s="49"/>
      <c r="AW483" s="49"/>
      <c r="AX483" s="49"/>
      <c r="AY483" s="49"/>
      <c r="AZ483" s="49"/>
      <c r="BA483" s="49"/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</row>
    <row r="484" spans="31:66">
      <c r="AE484" s="49"/>
      <c r="AF484" s="49"/>
      <c r="AG484" s="49"/>
      <c r="AH484" s="49"/>
      <c r="AI484" s="49"/>
      <c r="AJ484" s="49"/>
      <c r="AK484" s="49"/>
      <c r="AL484" s="49"/>
      <c r="AM484" s="49"/>
      <c r="AN484" s="49"/>
      <c r="AO484" s="49"/>
      <c r="AP484" s="49"/>
      <c r="AQ484" s="49"/>
      <c r="AR484" s="49"/>
      <c r="AS484" s="49"/>
      <c r="AT484" s="49"/>
      <c r="AU484" s="49"/>
      <c r="AV484" s="49"/>
      <c r="AW484" s="49"/>
      <c r="AX484" s="49"/>
      <c r="AY484" s="49"/>
      <c r="AZ484" s="49"/>
      <c r="BA484" s="49"/>
      <c r="BB484" s="49"/>
      <c r="BC484" s="49"/>
      <c r="BD484" s="49"/>
      <c r="BE484" s="49"/>
      <c r="BF484" s="49"/>
      <c r="BG484" s="49"/>
      <c r="BH484" s="49"/>
      <c r="BI484" s="49"/>
      <c r="BJ484" s="49"/>
      <c r="BK484" s="49"/>
      <c r="BL484" s="49"/>
      <c r="BM484" s="49"/>
      <c r="BN484" s="49"/>
    </row>
    <row r="485" spans="31:66">
      <c r="AE485" s="49"/>
      <c r="AF485" s="49"/>
      <c r="AG485" s="49"/>
      <c r="AH485" s="49"/>
      <c r="AI485" s="49"/>
      <c r="AJ485" s="49"/>
      <c r="AK485" s="49"/>
      <c r="AL485" s="49"/>
      <c r="AM485" s="49"/>
      <c r="AN485" s="49"/>
      <c r="AO485" s="49"/>
      <c r="AP485" s="49"/>
      <c r="AQ485" s="49"/>
      <c r="AR485" s="49"/>
      <c r="AS485" s="49"/>
      <c r="AT485" s="49"/>
      <c r="AU485" s="49"/>
      <c r="AV485" s="49"/>
      <c r="AW485" s="49"/>
      <c r="AX485" s="49"/>
      <c r="AY485" s="49"/>
      <c r="AZ485" s="49"/>
      <c r="BA485" s="49"/>
      <c r="BB485" s="49"/>
      <c r="BC485" s="49"/>
      <c r="BD485" s="49"/>
      <c r="BE485" s="49"/>
      <c r="BF485" s="49"/>
      <c r="BG485" s="49"/>
      <c r="BH485" s="49"/>
      <c r="BI485" s="49"/>
      <c r="BJ485" s="49"/>
      <c r="BK485" s="49"/>
      <c r="BL485" s="49"/>
      <c r="BM485" s="49"/>
      <c r="BN485" s="49"/>
    </row>
    <row r="486" spans="31:66">
      <c r="AE486" s="49"/>
      <c r="AF486" s="49"/>
      <c r="AG486" s="49"/>
      <c r="AH486" s="49"/>
      <c r="AI486" s="49"/>
      <c r="AJ486" s="49"/>
      <c r="AK486" s="49"/>
      <c r="AL486" s="49"/>
      <c r="AM486" s="49"/>
      <c r="AN486" s="49"/>
      <c r="AO486" s="49"/>
      <c r="AP486" s="49"/>
      <c r="AQ486" s="49"/>
      <c r="AR486" s="49"/>
      <c r="AS486" s="49"/>
      <c r="AT486" s="49"/>
      <c r="AU486" s="49"/>
      <c r="AV486" s="49"/>
      <c r="AW486" s="49"/>
      <c r="AX486" s="49"/>
      <c r="AY486" s="49"/>
      <c r="AZ486" s="49"/>
      <c r="BA486" s="49"/>
      <c r="BB486" s="49"/>
      <c r="BC486" s="49"/>
      <c r="BD486" s="49"/>
      <c r="BE486" s="49"/>
      <c r="BF486" s="49"/>
      <c r="BG486" s="49"/>
      <c r="BH486" s="49"/>
      <c r="BI486" s="49"/>
      <c r="BJ486" s="49"/>
      <c r="BK486" s="49"/>
      <c r="BL486" s="49"/>
      <c r="BM486" s="49"/>
      <c r="BN486" s="49"/>
    </row>
    <row r="487" spans="31:66">
      <c r="AE487" s="49"/>
      <c r="AF487" s="49"/>
      <c r="AG487" s="49"/>
      <c r="AH487" s="49"/>
      <c r="AI487" s="49"/>
      <c r="AJ487" s="49"/>
      <c r="AK487" s="49"/>
      <c r="AL487" s="49"/>
      <c r="AM487" s="49"/>
      <c r="AN487" s="49"/>
      <c r="AO487" s="49"/>
      <c r="AP487" s="49"/>
      <c r="AQ487" s="49"/>
      <c r="AR487" s="49"/>
      <c r="AS487" s="49"/>
      <c r="AT487" s="49"/>
      <c r="AU487" s="49"/>
      <c r="AV487" s="49"/>
      <c r="AW487" s="49"/>
      <c r="AX487" s="49"/>
      <c r="AY487" s="49"/>
      <c r="AZ487" s="49"/>
      <c r="BA487" s="49"/>
      <c r="BB487" s="49"/>
      <c r="BC487" s="49"/>
      <c r="BD487" s="49"/>
      <c r="BE487" s="49"/>
      <c r="BF487" s="49"/>
      <c r="BG487" s="49"/>
      <c r="BH487" s="49"/>
      <c r="BI487" s="49"/>
      <c r="BJ487" s="49"/>
      <c r="BK487" s="49"/>
      <c r="BL487" s="49"/>
      <c r="BM487" s="49"/>
      <c r="BN487" s="49"/>
    </row>
    <row r="488" spans="31:66">
      <c r="AE488" s="49"/>
      <c r="AF488" s="49"/>
      <c r="AG488" s="49"/>
      <c r="AH488" s="49"/>
      <c r="AI488" s="49"/>
      <c r="AJ488" s="49"/>
      <c r="AK488" s="49"/>
      <c r="AL488" s="49"/>
      <c r="AM488" s="49"/>
      <c r="AN488" s="49"/>
      <c r="AO488" s="49"/>
      <c r="AP488" s="49"/>
      <c r="AQ488" s="49"/>
      <c r="AR488" s="49"/>
      <c r="AS488" s="49"/>
      <c r="AT488" s="49"/>
      <c r="AU488" s="49"/>
      <c r="AV488" s="49"/>
      <c r="AW488" s="49"/>
      <c r="AX488" s="49"/>
      <c r="AY488" s="49"/>
      <c r="AZ488" s="49"/>
      <c r="BA488" s="49"/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</row>
    <row r="489" spans="31:66">
      <c r="AE489" s="49"/>
      <c r="AF489" s="49"/>
      <c r="AG489" s="49"/>
      <c r="AH489" s="49"/>
      <c r="AI489" s="49"/>
      <c r="AJ489" s="49"/>
      <c r="AK489" s="49"/>
      <c r="AL489" s="49"/>
      <c r="AM489" s="49"/>
      <c r="AN489" s="49"/>
      <c r="AO489" s="49"/>
      <c r="AP489" s="49"/>
      <c r="AQ489" s="49"/>
      <c r="AR489" s="49"/>
      <c r="AS489" s="49"/>
      <c r="AT489" s="49"/>
      <c r="AU489" s="49"/>
      <c r="AV489" s="49"/>
      <c r="AW489" s="49"/>
      <c r="AX489" s="49"/>
      <c r="AY489" s="49"/>
      <c r="AZ489" s="49"/>
      <c r="BA489" s="49"/>
      <c r="BB489" s="49"/>
      <c r="BC489" s="49"/>
      <c r="BD489" s="49"/>
      <c r="BE489" s="49"/>
      <c r="BF489" s="49"/>
      <c r="BG489" s="49"/>
      <c r="BH489" s="49"/>
      <c r="BI489" s="49"/>
      <c r="BJ489" s="49"/>
      <c r="BK489" s="49"/>
      <c r="BL489" s="49"/>
      <c r="BM489" s="49"/>
      <c r="BN489" s="49"/>
    </row>
    <row r="490" spans="31:66">
      <c r="AE490" s="49"/>
      <c r="AF490" s="49"/>
      <c r="AG490" s="49"/>
      <c r="AH490" s="49"/>
      <c r="AI490" s="49"/>
      <c r="AJ490" s="49"/>
      <c r="AK490" s="49"/>
      <c r="AL490" s="49"/>
      <c r="AM490" s="49"/>
      <c r="AN490" s="49"/>
      <c r="AO490" s="49"/>
      <c r="AP490" s="49"/>
      <c r="AQ490" s="49"/>
      <c r="AR490" s="49"/>
      <c r="AS490" s="49"/>
      <c r="AT490" s="49"/>
      <c r="AU490" s="49"/>
      <c r="AV490" s="49"/>
      <c r="AW490" s="49"/>
      <c r="AX490" s="49"/>
      <c r="AY490" s="49"/>
      <c r="AZ490" s="49"/>
      <c r="BA490" s="49"/>
      <c r="BB490" s="49"/>
      <c r="BC490" s="49"/>
      <c r="BD490" s="49"/>
      <c r="BE490" s="49"/>
      <c r="BF490" s="49"/>
      <c r="BG490" s="49"/>
      <c r="BH490" s="49"/>
      <c r="BI490" s="49"/>
      <c r="BJ490" s="49"/>
      <c r="BK490" s="49"/>
      <c r="BL490" s="49"/>
      <c r="BM490" s="49"/>
      <c r="BN490" s="49"/>
    </row>
    <row r="491" spans="31:66" hidden="1">
      <c r="AE491" s="49"/>
      <c r="AF491" s="49"/>
      <c r="AG491" s="49"/>
      <c r="AH491" s="49"/>
      <c r="AI491" s="49"/>
      <c r="AJ491" s="49"/>
      <c r="AK491" s="49"/>
      <c r="AL491" s="49"/>
      <c r="AM491" s="49"/>
      <c r="AN491" s="49"/>
      <c r="AO491" s="49"/>
      <c r="AP491" s="49"/>
      <c r="AQ491" s="49"/>
      <c r="AR491" s="49"/>
      <c r="AS491" s="49"/>
      <c r="AT491" s="49"/>
      <c r="AU491" s="49"/>
      <c r="AV491" s="49"/>
      <c r="AW491" s="49"/>
      <c r="AX491" s="49"/>
      <c r="AY491" s="49"/>
      <c r="AZ491" s="49"/>
      <c r="BA491" s="49"/>
      <c r="BB491" s="49"/>
      <c r="BC491" s="49"/>
      <c r="BD491" s="49"/>
      <c r="BE491" s="49"/>
      <c r="BF491" s="49"/>
      <c r="BG491" s="49"/>
      <c r="BH491" s="49"/>
      <c r="BI491" s="49"/>
      <c r="BJ491" s="49"/>
      <c r="BK491" s="49"/>
      <c r="BL491" s="49"/>
      <c r="BM491" s="49"/>
      <c r="BN491" s="49"/>
    </row>
    <row r="492" spans="31:66">
      <c r="AE492" s="49"/>
      <c r="AF492" s="49"/>
      <c r="AG492" s="49"/>
      <c r="AH492" s="49"/>
      <c r="AI492" s="49"/>
      <c r="AJ492" s="49"/>
      <c r="AK492" s="49"/>
      <c r="AL492" s="49"/>
      <c r="AM492" s="49"/>
      <c r="AN492" s="49"/>
      <c r="AO492" s="49"/>
      <c r="AP492" s="49"/>
      <c r="AQ492" s="49"/>
      <c r="AR492" s="49"/>
      <c r="AS492" s="49"/>
      <c r="AT492" s="49"/>
      <c r="AU492" s="49"/>
      <c r="AV492" s="49"/>
      <c r="AW492" s="49"/>
      <c r="AX492" s="49"/>
      <c r="AY492" s="49"/>
      <c r="AZ492" s="49"/>
      <c r="BA492" s="49"/>
      <c r="BB492" s="49"/>
      <c r="BC492" s="49"/>
      <c r="BD492" s="49"/>
      <c r="BE492" s="49"/>
      <c r="BF492" s="49"/>
      <c r="BG492" s="49"/>
      <c r="BH492" s="49"/>
      <c r="BI492" s="49"/>
      <c r="BJ492" s="49"/>
      <c r="BK492" s="49"/>
      <c r="BL492" s="49"/>
      <c r="BM492" s="49"/>
      <c r="BN492" s="49"/>
    </row>
    <row r="493" spans="31:66">
      <c r="AE493" s="49"/>
      <c r="AF493" s="49"/>
      <c r="AG493" s="49"/>
      <c r="AH493" s="49"/>
      <c r="AI493" s="49"/>
      <c r="AJ493" s="49"/>
      <c r="AK493" s="49"/>
      <c r="AL493" s="49"/>
      <c r="AM493" s="49"/>
      <c r="AN493" s="49"/>
      <c r="AO493" s="49"/>
      <c r="AP493" s="49"/>
      <c r="AQ493" s="49"/>
      <c r="AR493" s="49"/>
      <c r="AS493" s="49"/>
      <c r="AT493" s="49"/>
      <c r="AU493" s="49"/>
      <c r="AV493" s="49"/>
      <c r="AW493" s="49"/>
      <c r="AX493" s="49"/>
      <c r="AY493" s="49"/>
      <c r="AZ493" s="49"/>
      <c r="BA493" s="49"/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</row>
    <row r="494" spans="31:66">
      <c r="AE494" s="49"/>
      <c r="AF494" s="49"/>
      <c r="AG494" s="49"/>
      <c r="AH494" s="49"/>
      <c r="AI494" s="49"/>
      <c r="AJ494" s="49"/>
      <c r="AK494" s="49"/>
      <c r="AL494" s="49"/>
      <c r="AM494" s="49"/>
      <c r="AN494" s="49"/>
      <c r="AO494" s="49"/>
      <c r="AP494" s="49"/>
      <c r="AQ494" s="49"/>
      <c r="AR494" s="49"/>
      <c r="AS494" s="49"/>
      <c r="AT494" s="49"/>
      <c r="AU494" s="49"/>
      <c r="AV494" s="49"/>
      <c r="AW494" s="49"/>
      <c r="AX494" s="49"/>
      <c r="AY494" s="49"/>
      <c r="AZ494" s="49"/>
      <c r="BA494" s="49"/>
      <c r="BB494" s="49"/>
      <c r="BC494" s="49"/>
      <c r="BD494" s="49"/>
      <c r="BE494" s="49"/>
      <c r="BF494" s="49"/>
      <c r="BG494" s="49"/>
      <c r="BH494" s="49"/>
      <c r="BI494" s="49"/>
      <c r="BJ494" s="49"/>
      <c r="BK494" s="49"/>
      <c r="BL494" s="49"/>
      <c r="BM494" s="49"/>
      <c r="BN494" s="49"/>
    </row>
    <row r="495" spans="31:66">
      <c r="AE495" s="49"/>
      <c r="AF495" s="49"/>
      <c r="AG495" s="49"/>
      <c r="AH495" s="49"/>
      <c r="AI495" s="49"/>
      <c r="AJ495" s="49"/>
      <c r="AK495" s="49"/>
      <c r="AL495" s="49"/>
      <c r="AM495" s="49"/>
      <c r="AN495" s="49"/>
      <c r="AO495" s="49"/>
      <c r="AP495" s="49"/>
      <c r="AQ495" s="49"/>
      <c r="AR495" s="49"/>
      <c r="AS495" s="49"/>
      <c r="AT495" s="49"/>
      <c r="AU495" s="49"/>
      <c r="AV495" s="49"/>
      <c r="AW495" s="49"/>
      <c r="AX495" s="49"/>
      <c r="AY495" s="49"/>
      <c r="AZ495" s="49"/>
      <c r="BA495" s="49"/>
      <c r="BB495" s="49"/>
      <c r="BC495" s="49"/>
      <c r="BD495" s="49"/>
      <c r="BE495" s="49"/>
      <c r="BF495" s="49"/>
      <c r="BG495" s="49"/>
      <c r="BH495" s="49"/>
      <c r="BI495" s="49"/>
      <c r="BJ495" s="49"/>
      <c r="BK495" s="49"/>
      <c r="BL495" s="49"/>
      <c r="BM495" s="49"/>
      <c r="BN495" s="49"/>
    </row>
    <row r="496" spans="31:66">
      <c r="AE496" s="49"/>
      <c r="AF496" s="49"/>
      <c r="AG496" s="49"/>
      <c r="AH496" s="49"/>
      <c r="AI496" s="49"/>
      <c r="AJ496" s="49"/>
      <c r="AK496" s="49"/>
      <c r="AL496" s="49"/>
      <c r="AM496" s="49"/>
      <c r="AN496" s="49"/>
      <c r="AO496" s="49"/>
      <c r="AP496" s="49"/>
      <c r="AQ496" s="49"/>
      <c r="AR496" s="49"/>
      <c r="AS496" s="49"/>
      <c r="AT496" s="49"/>
      <c r="AU496" s="49"/>
      <c r="AV496" s="49"/>
      <c r="AW496" s="49"/>
      <c r="AX496" s="49"/>
      <c r="AY496" s="49"/>
      <c r="AZ496" s="49"/>
      <c r="BA496" s="49"/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49"/>
      <c r="BM496" s="49"/>
      <c r="BN496" s="49"/>
    </row>
    <row r="497" spans="1:66">
      <c r="A497" s="699"/>
      <c r="B497" s="699"/>
      <c r="C497" s="699"/>
      <c r="D497" s="699"/>
      <c r="E497" s="699"/>
      <c r="F497" s="699"/>
      <c r="G497" s="699"/>
      <c r="H497" s="699"/>
      <c r="I497" s="699"/>
      <c r="J497" s="699"/>
      <c r="K497" s="699"/>
      <c r="L497" s="699"/>
      <c r="M497" s="699"/>
      <c r="N497" s="699"/>
      <c r="O497" s="699"/>
      <c r="P497" s="699"/>
      <c r="Q497" s="699"/>
      <c r="R497" s="699"/>
      <c r="S497" s="699"/>
      <c r="T497" s="699"/>
      <c r="U497" s="699"/>
      <c r="V497" s="699"/>
      <c r="W497" s="699"/>
      <c r="X497" s="699"/>
      <c r="Y497" s="699"/>
      <c r="Z497" s="699"/>
      <c r="AA497" s="699"/>
      <c r="AB497" s="699"/>
      <c r="AC497" s="699"/>
      <c r="AD497" s="699"/>
      <c r="AE497" s="49"/>
      <c r="AF497" s="49"/>
      <c r="AG497" s="49"/>
      <c r="AH497" s="49"/>
      <c r="AI497" s="49"/>
      <c r="AJ497" s="49"/>
      <c r="AK497" s="49"/>
      <c r="AL497" s="49"/>
      <c r="AM497" s="49"/>
      <c r="AN497" s="49"/>
      <c r="AO497" s="49"/>
      <c r="AP497" s="49"/>
      <c r="AQ497" s="49"/>
      <c r="AR497" s="49"/>
      <c r="AS497" s="49"/>
      <c r="AT497" s="49"/>
      <c r="AU497" s="49"/>
      <c r="AV497" s="49"/>
      <c r="AW497" s="49"/>
      <c r="AX497" s="49"/>
      <c r="AY497" s="49"/>
      <c r="AZ497" s="49"/>
      <c r="BA497" s="49"/>
      <c r="BB497" s="49"/>
      <c r="BC497" s="49"/>
      <c r="BD497" s="49"/>
      <c r="BE497" s="49"/>
      <c r="BF497" s="49"/>
      <c r="BG497" s="49"/>
      <c r="BH497" s="49"/>
      <c r="BI497" s="49"/>
      <c r="BJ497" s="49"/>
      <c r="BK497" s="49"/>
      <c r="BL497" s="49"/>
      <c r="BM497" s="49"/>
      <c r="BN497" s="49"/>
    </row>
    <row r="498" spans="1:66">
      <c r="A498" s="699"/>
      <c r="B498" s="699"/>
      <c r="C498" s="699"/>
      <c r="D498" s="699"/>
      <c r="E498" s="699"/>
      <c r="F498" s="699"/>
      <c r="G498" s="699"/>
      <c r="H498" s="699"/>
      <c r="I498" s="699"/>
      <c r="J498" s="699"/>
      <c r="K498" s="699"/>
      <c r="L498" s="699"/>
      <c r="M498" s="699"/>
      <c r="N498" s="699"/>
      <c r="O498" s="699"/>
      <c r="P498" s="699"/>
      <c r="Q498" s="699"/>
      <c r="R498" s="699"/>
      <c r="S498" s="699"/>
      <c r="T498" s="699"/>
      <c r="U498" s="699"/>
      <c r="V498" s="699"/>
      <c r="W498" s="699"/>
      <c r="X498" s="699"/>
      <c r="Y498" s="699"/>
      <c r="Z498" s="699"/>
      <c r="AA498" s="699"/>
      <c r="AB498" s="699"/>
      <c r="AC498" s="699"/>
      <c r="AD498" s="699"/>
      <c r="AE498" s="49"/>
      <c r="AF498" s="49"/>
      <c r="AG498" s="49"/>
      <c r="AH498" s="49"/>
      <c r="AI498" s="49"/>
      <c r="AJ498" s="49"/>
      <c r="AK498" s="49"/>
      <c r="AL498" s="49"/>
      <c r="AM498" s="49"/>
      <c r="AN498" s="49"/>
      <c r="AO498" s="49"/>
      <c r="AP498" s="49"/>
      <c r="AQ498" s="49"/>
      <c r="AR498" s="49"/>
      <c r="AS498" s="49"/>
      <c r="AT498" s="49"/>
      <c r="AU498" s="49"/>
      <c r="AV498" s="49"/>
      <c r="AW498" s="49"/>
      <c r="AX498" s="49"/>
      <c r="AY498" s="49"/>
      <c r="AZ498" s="49"/>
      <c r="BA498" s="49"/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49"/>
      <c r="BM498" s="49"/>
      <c r="BN498" s="49"/>
    </row>
    <row r="499" spans="1:66">
      <c r="A499" s="699" t="s">
        <v>511</v>
      </c>
      <c r="B499" s="699"/>
      <c r="C499" s="699"/>
      <c r="D499" s="699"/>
      <c r="E499" s="699"/>
      <c r="F499" s="699"/>
      <c r="G499" s="699"/>
      <c r="H499" s="699"/>
      <c r="I499" s="699"/>
      <c r="J499" s="699"/>
      <c r="K499" s="699"/>
      <c r="L499" s="699"/>
      <c r="M499" s="699"/>
      <c r="N499" s="699"/>
      <c r="O499" s="699"/>
      <c r="P499" s="699"/>
      <c r="Q499" s="699"/>
      <c r="R499" s="699"/>
      <c r="S499" s="699"/>
      <c r="T499" s="699"/>
      <c r="U499" s="699"/>
      <c r="V499" s="699"/>
      <c r="W499" s="699"/>
      <c r="X499" s="699"/>
      <c r="Y499" s="699"/>
      <c r="Z499" s="699"/>
      <c r="AA499" s="699"/>
      <c r="AB499" s="699"/>
      <c r="AC499" s="699"/>
      <c r="AD499" s="699"/>
      <c r="AE499" s="49"/>
      <c r="AF499" s="49"/>
      <c r="AG499" s="49"/>
      <c r="AH499" s="49"/>
      <c r="AI499" s="49"/>
      <c r="AJ499" s="49"/>
      <c r="AK499" s="49"/>
      <c r="AL499" s="49"/>
      <c r="AM499" s="49"/>
      <c r="AN499" s="49"/>
      <c r="AO499" s="49"/>
      <c r="AP499" s="49"/>
      <c r="AQ499" s="49"/>
      <c r="AR499" s="49"/>
      <c r="AS499" s="49"/>
      <c r="AT499" s="49"/>
      <c r="AU499" s="49"/>
      <c r="AV499" s="49"/>
      <c r="AW499" s="49"/>
      <c r="AX499" s="49"/>
      <c r="AY499" s="49"/>
      <c r="AZ499" s="49"/>
      <c r="BA499" s="49"/>
      <c r="BB499" s="49"/>
      <c r="BC499" s="49"/>
      <c r="BD499" s="49"/>
      <c r="BE499" s="49"/>
      <c r="BF499" s="49"/>
      <c r="BG499" s="49"/>
      <c r="BH499" s="49"/>
      <c r="BI499" s="49"/>
      <c r="BJ499" s="49"/>
      <c r="BK499" s="49"/>
      <c r="BL499" s="49"/>
      <c r="BM499" s="49"/>
      <c r="BN499" s="49"/>
    </row>
    <row r="500" spans="1:66">
      <c r="A500" s="699"/>
      <c r="B500" s="699"/>
      <c r="C500" s="699"/>
      <c r="D500" s="699"/>
      <c r="E500" s="699"/>
      <c r="F500" s="699"/>
      <c r="G500" s="699"/>
      <c r="H500" s="699"/>
      <c r="I500" s="699"/>
      <c r="J500" s="699"/>
      <c r="K500" s="699"/>
      <c r="L500" s="699"/>
      <c r="M500" s="699"/>
      <c r="N500" s="699"/>
      <c r="O500" s="699"/>
      <c r="P500" s="699"/>
      <c r="Q500" s="699"/>
      <c r="R500" s="699"/>
      <c r="S500" s="699"/>
      <c r="T500" s="699"/>
      <c r="U500" s="699"/>
      <c r="V500" s="699"/>
      <c r="W500" s="699"/>
      <c r="X500" s="699"/>
      <c r="Y500" s="699"/>
      <c r="Z500" s="699"/>
      <c r="AA500" s="699"/>
      <c r="AB500" s="699"/>
      <c r="AC500" s="699"/>
      <c r="AD500" s="699"/>
      <c r="AE500" s="49"/>
      <c r="AF500" s="49"/>
      <c r="AG500" s="49"/>
      <c r="AH500" s="49"/>
      <c r="AI500" s="49"/>
      <c r="AJ500" s="49"/>
      <c r="AK500" s="49"/>
      <c r="AL500" s="49"/>
      <c r="AM500" s="49"/>
      <c r="AN500" s="49"/>
      <c r="AO500" s="49"/>
      <c r="AP500" s="49"/>
      <c r="AQ500" s="49"/>
      <c r="AR500" s="49"/>
      <c r="AS500" s="49"/>
      <c r="AT500" s="49"/>
      <c r="AU500" s="49"/>
      <c r="AV500" s="49"/>
      <c r="AW500" s="49"/>
      <c r="AX500" s="49"/>
      <c r="AY500" s="49"/>
      <c r="AZ500" s="49"/>
      <c r="BA500" s="49"/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49"/>
      <c r="BM500" s="49"/>
      <c r="BN500" s="49"/>
    </row>
    <row r="501" spans="1:66">
      <c r="A501" s="699"/>
      <c r="B501" s="699"/>
      <c r="C501" s="699"/>
      <c r="D501" s="699"/>
      <c r="E501" s="699"/>
      <c r="F501" s="699"/>
      <c r="G501" s="699"/>
      <c r="H501" s="699"/>
      <c r="I501" s="699"/>
      <c r="J501" s="699"/>
      <c r="K501" s="699"/>
      <c r="L501" s="699"/>
      <c r="M501" s="699"/>
      <c r="N501" s="699"/>
      <c r="O501" s="699"/>
      <c r="P501" s="699"/>
      <c r="Q501" s="699"/>
      <c r="R501" s="699"/>
      <c r="S501" s="699"/>
      <c r="T501" s="699"/>
      <c r="U501" s="699"/>
      <c r="V501" s="699"/>
      <c r="W501" s="699"/>
      <c r="X501" s="699"/>
      <c r="Y501" s="699"/>
      <c r="Z501" s="699"/>
      <c r="AA501" s="699"/>
      <c r="AB501" s="699"/>
      <c r="AC501" s="699"/>
      <c r="AD501" s="699"/>
      <c r="AE501" s="49"/>
      <c r="AF501" s="49"/>
      <c r="AG501" s="49"/>
      <c r="AH501" s="49"/>
      <c r="AI501" s="49"/>
      <c r="AJ501" s="49"/>
      <c r="AK501" s="49"/>
      <c r="AL501" s="49"/>
      <c r="AM501" s="49"/>
      <c r="AN501" s="49"/>
      <c r="AO501" s="49"/>
      <c r="AP501" s="49"/>
      <c r="AQ501" s="49"/>
      <c r="AR501" s="49"/>
      <c r="AS501" s="49"/>
      <c r="AT501" s="49"/>
      <c r="AU501" s="49"/>
      <c r="AV501" s="49"/>
      <c r="AW501" s="49"/>
      <c r="AX501" s="49"/>
      <c r="AY501" s="49"/>
      <c r="AZ501" s="49"/>
      <c r="BA501" s="49"/>
      <c r="BB501" s="49"/>
      <c r="BC501" s="49"/>
      <c r="BD501" s="49"/>
      <c r="BE501" s="49"/>
      <c r="BF501" s="49"/>
      <c r="BG501" s="49"/>
      <c r="BH501" s="49"/>
      <c r="BI501" s="49"/>
      <c r="BJ501" s="49"/>
      <c r="BK501" s="49"/>
      <c r="BL501" s="49"/>
      <c r="BM501" s="49"/>
      <c r="BN501" s="49"/>
    </row>
    <row r="502" spans="1:66">
      <c r="A502" s="699"/>
      <c r="B502" s="699"/>
      <c r="C502" s="699"/>
      <c r="D502" s="699"/>
      <c r="E502" s="699"/>
      <c r="F502" s="699"/>
      <c r="G502" s="699"/>
      <c r="H502" s="699"/>
      <c r="I502" s="699"/>
      <c r="J502" s="699"/>
      <c r="K502" s="699"/>
      <c r="L502" s="699"/>
      <c r="M502" s="699"/>
      <c r="N502" s="699"/>
      <c r="O502" s="699"/>
      <c r="P502" s="699"/>
      <c r="Q502" s="699"/>
      <c r="R502" s="699"/>
      <c r="S502" s="699"/>
      <c r="T502" s="699"/>
      <c r="U502" s="699"/>
      <c r="V502" s="699"/>
      <c r="W502" s="699"/>
      <c r="X502" s="699"/>
      <c r="Y502" s="699"/>
      <c r="Z502" s="699"/>
      <c r="AA502" s="699"/>
      <c r="AB502" s="699"/>
      <c r="AC502" s="699"/>
      <c r="AD502" s="699"/>
      <c r="AE502" s="49"/>
      <c r="AF502" s="49"/>
      <c r="AG502" s="49"/>
      <c r="AH502" s="49"/>
      <c r="AI502" s="49"/>
      <c r="AJ502" s="49"/>
      <c r="AK502" s="49"/>
      <c r="AL502" s="49"/>
      <c r="AM502" s="49"/>
      <c r="AN502" s="49"/>
      <c r="AO502" s="49"/>
      <c r="AP502" s="49"/>
      <c r="AQ502" s="49"/>
      <c r="AR502" s="49"/>
      <c r="AS502" s="49"/>
      <c r="AT502" s="49"/>
      <c r="AU502" s="49"/>
      <c r="AV502" s="49"/>
      <c r="AW502" s="49"/>
      <c r="AX502" s="49"/>
      <c r="AY502" s="49"/>
      <c r="AZ502" s="49"/>
      <c r="BA502" s="49"/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49"/>
      <c r="BM502" s="49"/>
      <c r="BN502" s="49"/>
    </row>
    <row r="503" spans="1:66">
      <c r="A503" s="699"/>
      <c r="B503" s="699"/>
      <c r="C503" s="699"/>
      <c r="D503" s="699"/>
      <c r="E503" s="699"/>
      <c r="F503" s="699"/>
      <c r="G503" s="699"/>
      <c r="H503" s="699"/>
      <c r="I503" s="699"/>
      <c r="J503" s="699"/>
      <c r="K503" s="699"/>
      <c r="L503" s="699"/>
      <c r="M503" s="699"/>
      <c r="N503" s="699"/>
      <c r="O503" s="699"/>
      <c r="P503" s="699"/>
      <c r="Q503" s="699"/>
      <c r="R503" s="699"/>
      <c r="S503" s="699"/>
      <c r="T503" s="699"/>
      <c r="U503" s="699"/>
      <c r="V503" s="699"/>
      <c r="W503" s="699"/>
      <c r="X503" s="699"/>
      <c r="Y503" s="699"/>
      <c r="Z503" s="699"/>
      <c r="AA503" s="699"/>
      <c r="AB503" s="699"/>
      <c r="AC503" s="699"/>
      <c r="AD503" s="699"/>
      <c r="AE503" s="49"/>
      <c r="AF503" s="49"/>
      <c r="AG503" s="49"/>
      <c r="AH503" s="49"/>
      <c r="AI503" s="49"/>
      <c r="AJ503" s="49"/>
      <c r="AK503" s="49"/>
      <c r="AL503" s="49"/>
      <c r="AM503" s="49"/>
      <c r="AN503" s="49"/>
      <c r="AO503" s="49"/>
      <c r="AP503" s="49"/>
      <c r="AQ503" s="49"/>
      <c r="AR503" s="49"/>
      <c r="AS503" s="49"/>
      <c r="AT503" s="49"/>
      <c r="AU503" s="49"/>
      <c r="AV503" s="49"/>
      <c r="AW503" s="49"/>
      <c r="AX503" s="49"/>
      <c r="AY503" s="49"/>
      <c r="AZ503" s="49"/>
      <c r="BA503" s="49"/>
      <c r="BB503" s="49"/>
      <c r="BC503" s="49"/>
      <c r="BD503" s="49"/>
      <c r="BE503" s="49"/>
      <c r="BF503" s="49"/>
      <c r="BG503" s="49"/>
      <c r="BH503" s="49"/>
      <c r="BI503" s="49"/>
      <c r="BJ503" s="49"/>
      <c r="BK503" s="49"/>
      <c r="BL503" s="49"/>
      <c r="BM503" s="49"/>
      <c r="BN503" s="49"/>
    </row>
    <row r="504" spans="1:66">
      <c r="A504" s="699"/>
      <c r="B504" s="699"/>
      <c r="C504" s="699"/>
      <c r="D504" s="699"/>
      <c r="E504" s="699"/>
      <c r="F504" s="699"/>
      <c r="G504" s="699"/>
      <c r="H504" s="699"/>
      <c r="I504" s="699"/>
      <c r="J504" s="699"/>
      <c r="K504" s="699"/>
      <c r="L504" s="699"/>
      <c r="M504" s="699"/>
      <c r="N504" s="699"/>
      <c r="O504" s="699"/>
      <c r="P504" s="699"/>
      <c r="Q504" s="699"/>
      <c r="R504" s="699"/>
      <c r="S504" s="699"/>
      <c r="T504" s="699"/>
      <c r="U504" s="699"/>
      <c r="V504" s="699"/>
      <c r="W504" s="699"/>
      <c r="X504" s="699"/>
      <c r="Y504" s="699"/>
      <c r="Z504" s="699"/>
      <c r="AA504" s="699"/>
      <c r="AB504" s="699"/>
      <c r="AC504" s="699"/>
      <c r="AD504" s="699"/>
      <c r="AE504" s="49"/>
      <c r="AF504" s="49"/>
      <c r="AG504" s="49"/>
      <c r="AH504" s="49"/>
      <c r="AI504" s="49"/>
      <c r="AJ504" s="49"/>
      <c r="AK504" s="49"/>
      <c r="AL504" s="49"/>
      <c r="AM504" s="49"/>
      <c r="AN504" s="49"/>
      <c r="AO504" s="49"/>
      <c r="AP504" s="49"/>
      <c r="AQ504" s="49"/>
      <c r="AR504" s="49"/>
      <c r="AS504" s="49"/>
      <c r="AT504" s="49"/>
      <c r="AU504" s="49"/>
      <c r="AV504" s="49"/>
      <c r="AW504" s="49"/>
      <c r="AX504" s="49"/>
      <c r="AY504" s="49"/>
      <c r="AZ504" s="49"/>
      <c r="BA504" s="49"/>
      <c r="BB504" s="49"/>
      <c r="BC504" s="49"/>
      <c r="BD504" s="49"/>
      <c r="BE504" s="49"/>
      <c r="BF504" s="49"/>
      <c r="BG504" s="49"/>
      <c r="BH504" s="49"/>
      <c r="BI504" s="49"/>
      <c r="BJ504" s="49"/>
      <c r="BK504" s="49"/>
      <c r="BL504" s="49"/>
      <c r="BM504" s="49"/>
      <c r="BN504" s="49"/>
    </row>
    <row r="505" spans="1:66">
      <c r="A505" s="699"/>
      <c r="B505" s="699"/>
      <c r="C505" s="699"/>
      <c r="D505" s="699"/>
      <c r="E505" s="699"/>
      <c r="F505" s="699"/>
      <c r="G505" s="699"/>
      <c r="H505" s="699"/>
      <c r="I505" s="699"/>
      <c r="J505" s="699"/>
      <c r="K505" s="699"/>
      <c r="L505" s="699"/>
      <c r="M505" s="699"/>
      <c r="N505" s="699"/>
      <c r="O505" s="699"/>
      <c r="P505" s="699"/>
      <c r="Q505" s="699"/>
      <c r="R505" s="699"/>
      <c r="S505" s="699"/>
      <c r="T505" s="699"/>
      <c r="U505" s="699"/>
      <c r="V505" s="699"/>
      <c r="W505" s="699"/>
      <c r="X505" s="699"/>
      <c r="Y505" s="699"/>
      <c r="Z505" s="699"/>
      <c r="AA505" s="699"/>
      <c r="AB505" s="699"/>
      <c r="AC505" s="699"/>
      <c r="AD505" s="699"/>
      <c r="AE505" s="49"/>
      <c r="AF505" s="49"/>
      <c r="AG505" s="49"/>
      <c r="AH505" s="49"/>
      <c r="AI505" s="49"/>
      <c r="AJ505" s="49"/>
      <c r="AK505" s="49"/>
      <c r="AL505" s="49"/>
      <c r="AM505" s="49"/>
      <c r="AN505" s="49"/>
      <c r="AO505" s="49"/>
      <c r="AP505" s="49"/>
      <c r="AQ505" s="49"/>
      <c r="AR505" s="49"/>
      <c r="AS505" s="49"/>
      <c r="AT505" s="49"/>
      <c r="AU505" s="49"/>
      <c r="AV505" s="49"/>
      <c r="AW505" s="49"/>
      <c r="AX505" s="49"/>
      <c r="AY505" s="49"/>
      <c r="AZ505" s="49"/>
      <c r="BA505" s="49"/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</row>
    <row r="506" spans="1:66">
      <c r="A506" s="699"/>
      <c r="B506" s="699"/>
      <c r="C506" s="699"/>
      <c r="D506" s="699"/>
      <c r="E506" s="699"/>
      <c r="F506" s="699"/>
      <c r="G506" s="699"/>
      <c r="H506" s="699"/>
      <c r="I506" s="699"/>
      <c r="J506" s="699"/>
      <c r="K506" s="699"/>
      <c r="L506" s="699"/>
      <c r="M506" s="699"/>
      <c r="N506" s="699"/>
      <c r="O506" s="699"/>
      <c r="P506" s="699"/>
      <c r="Q506" s="699"/>
      <c r="R506" s="699"/>
      <c r="S506" s="699"/>
      <c r="T506" s="699"/>
      <c r="U506" s="699"/>
      <c r="V506" s="699"/>
      <c r="W506" s="699"/>
      <c r="X506" s="699"/>
      <c r="Y506" s="699"/>
      <c r="Z506" s="699"/>
      <c r="AA506" s="699"/>
      <c r="AB506" s="699"/>
      <c r="AC506" s="699"/>
      <c r="AD506" s="699"/>
      <c r="AE506" s="49"/>
      <c r="AF506" s="49"/>
      <c r="AG506" s="49"/>
      <c r="AH506" s="49"/>
      <c r="AI506" s="49"/>
      <c r="AJ506" s="49"/>
      <c r="AK506" s="49"/>
      <c r="AL506" s="49"/>
      <c r="AM506" s="49"/>
      <c r="AN506" s="49"/>
      <c r="AO506" s="49"/>
      <c r="AP506" s="49"/>
      <c r="AQ506" s="49"/>
      <c r="AR506" s="49"/>
      <c r="AS506" s="49"/>
      <c r="AT506" s="49"/>
      <c r="AU506" s="49"/>
      <c r="AV506" s="49"/>
      <c r="AW506" s="49"/>
      <c r="AX506" s="49"/>
      <c r="AY506" s="49"/>
      <c r="AZ506" s="49"/>
      <c r="BA506" s="49"/>
      <c r="BB506" s="49"/>
      <c r="BC506" s="49"/>
      <c r="BD506" s="49"/>
      <c r="BE506" s="49"/>
      <c r="BF506" s="49"/>
      <c r="BG506" s="49"/>
      <c r="BH506" s="49"/>
      <c r="BI506" s="49"/>
      <c r="BJ506" s="49"/>
      <c r="BK506" s="49"/>
      <c r="BL506" s="49"/>
      <c r="BM506" s="49"/>
      <c r="BN506" s="49"/>
    </row>
    <row r="507" spans="1:66">
      <c r="A507" s="699"/>
      <c r="B507" s="699"/>
      <c r="C507" s="699"/>
      <c r="D507" s="699"/>
      <c r="E507" s="699"/>
      <c r="F507" s="699"/>
      <c r="G507" s="699"/>
      <c r="H507" s="699"/>
      <c r="I507" s="699"/>
      <c r="J507" s="699"/>
      <c r="K507" s="699"/>
      <c r="L507" s="699"/>
      <c r="M507" s="699"/>
      <c r="N507" s="699"/>
      <c r="O507" s="699"/>
      <c r="P507" s="699"/>
      <c r="Q507" s="699"/>
      <c r="R507" s="699"/>
      <c r="S507" s="699"/>
      <c r="T507" s="699"/>
      <c r="U507" s="699"/>
      <c r="V507" s="699"/>
      <c r="W507" s="699"/>
      <c r="X507" s="699"/>
      <c r="Y507" s="699"/>
      <c r="Z507" s="699"/>
      <c r="AA507" s="699"/>
      <c r="AB507" s="699"/>
      <c r="AC507" s="699"/>
      <c r="AD507" s="699"/>
      <c r="AE507" s="49"/>
      <c r="AF507" s="49"/>
      <c r="AG507" s="49"/>
      <c r="AH507" s="49"/>
      <c r="AI507" s="49"/>
      <c r="AJ507" s="49"/>
      <c r="AK507" s="49"/>
      <c r="AL507" s="49"/>
      <c r="AM507" s="49"/>
      <c r="AN507" s="49"/>
      <c r="AO507" s="49"/>
      <c r="AP507" s="49"/>
      <c r="AQ507" s="49"/>
      <c r="AR507" s="49"/>
      <c r="AS507" s="49"/>
      <c r="AT507" s="49"/>
      <c r="AU507" s="49"/>
      <c r="AV507" s="49"/>
      <c r="AW507" s="49"/>
      <c r="AX507" s="49"/>
      <c r="AY507" s="49"/>
      <c r="AZ507" s="49"/>
      <c r="BA507" s="49"/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</row>
    <row r="508" spans="1:66">
      <c r="A508" s="699"/>
      <c r="B508" s="699"/>
      <c r="C508" s="699"/>
      <c r="D508" s="699"/>
      <c r="E508" s="699"/>
      <c r="F508" s="699"/>
      <c r="G508" s="699"/>
      <c r="H508" s="699"/>
      <c r="I508" s="699"/>
      <c r="J508" s="699"/>
      <c r="K508" s="699"/>
      <c r="L508" s="699"/>
      <c r="M508" s="699"/>
      <c r="N508" s="699"/>
      <c r="O508" s="699"/>
      <c r="P508" s="699"/>
      <c r="Q508" s="699"/>
      <c r="R508" s="699"/>
      <c r="S508" s="699"/>
      <c r="T508" s="699"/>
      <c r="U508" s="699"/>
      <c r="V508" s="699"/>
      <c r="W508" s="699"/>
      <c r="X508" s="699"/>
      <c r="Y508" s="699"/>
      <c r="Z508" s="699"/>
      <c r="AA508" s="699"/>
      <c r="AB508" s="699"/>
      <c r="AC508" s="699"/>
      <c r="AD508" s="699"/>
      <c r="AE508" s="49"/>
      <c r="AF508" s="49"/>
      <c r="AG508" s="49"/>
      <c r="AH508" s="49"/>
      <c r="AI508" s="49"/>
      <c r="AJ508" s="49"/>
      <c r="AK508" s="49"/>
      <c r="AL508" s="49"/>
      <c r="AM508" s="49"/>
      <c r="AN508" s="49"/>
      <c r="AO508" s="49"/>
      <c r="AP508" s="49"/>
      <c r="AQ508" s="49"/>
      <c r="AR508" s="49"/>
      <c r="AS508" s="49"/>
      <c r="AT508" s="49"/>
      <c r="AU508" s="49"/>
      <c r="AV508" s="49"/>
      <c r="AW508" s="49"/>
      <c r="AX508" s="49"/>
      <c r="AY508" s="49"/>
      <c r="AZ508" s="49"/>
      <c r="BA508" s="49"/>
      <c r="BB508" s="49"/>
      <c r="BC508" s="49"/>
      <c r="BD508" s="49"/>
      <c r="BE508" s="49"/>
      <c r="BF508" s="49"/>
      <c r="BG508" s="49"/>
      <c r="BH508" s="49"/>
      <c r="BI508" s="49"/>
      <c r="BJ508" s="49"/>
      <c r="BK508" s="49"/>
      <c r="BL508" s="49"/>
      <c r="BM508" s="49"/>
      <c r="BN508" s="49"/>
    </row>
    <row r="509" spans="1:66">
      <c r="A509" s="699"/>
      <c r="B509" s="699"/>
      <c r="C509" s="699"/>
      <c r="D509" s="699"/>
      <c r="E509" s="699"/>
      <c r="F509" s="699"/>
      <c r="G509" s="699"/>
      <c r="H509" s="699"/>
      <c r="I509" s="699"/>
      <c r="J509" s="699"/>
      <c r="K509" s="699"/>
      <c r="L509" s="699"/>
      <c r="M509" s="699"/>
      <c r="N509" s="699"/>
      <c r="O509" s="699"/>
      <c r="P509" s="699"/>
      <c r="Q509" s="699"/>
      <c r="R509" s="699"/>
      <c r="S509" s="699"/>
      <c r="T509" s="699"/>
      <c r="U509" s="699"/>
      <c r="V509" s="699"/>
      <c r="W509" s="699"/>
      <c r="X509" s="699"/>
      <c r="Y509" s="699"/>
      <c r="Z509" s="699"/>
      <c r="AA509" s="699"/>
      <c r="AB509" s="699"/>
      <c r="AC509" s="699"/>
      <c r="AD509" s="699"/>
      <c r="AE509" s="49"/>
      <c r="AF509" s="49"/>
      <c r="AG509" s="49"/>
      <c r="AH509" s="49"/>
      <c r="AI509" s="49"/>
      <c r="AJ509" s="49"/>
      <c r="AK509" s="49"/>
      <c r="AL509" s="49"/>
      <c r="AM509" s="49"/>
      <c r="AN509" s="49"/>
      <c r="AO509" s="49"/>
      <c r="AP509" s="49"/>
      <c r="AQ509" s="49"/>
      <c r="AR509" s="49"/>
      <c r="AS509" s="49"/>
      <c r="AT509" s="49"/>
      <c r="AU509" s="49"/>
      <c r="AV509" s="49"/>
      <c r="AW509" s="49"/>
      <c r="AX509" s="49"/>
      <c r="AY509" s="49"/>
      <c r="AZ509" s="49"/>
      <c r="BA509" s="49"/>
      <c r="BB509" s="49"/>
      <c r="BC509" s="49"/>
      <c r="BD509" s="49"/>
      <c r="BE509" s="49"/>
      <c r="BF509" s="49"/>
      <c r="BG509" s="49"/>
      <c r="BH509" s="49"/>
      <c r="BI509" s="49"/>
      <c r="BJ509" s="49"/>
      <c r="BK509" s="49"/>
      <c r="BL509" s="49"/>
      <c r="BM509" s="49"/>
      <c r="BN509" s="49"/>
    </row>
    <row r="510" spans="1:66">
      <c r="A510" s="699"/>
      <c r="B510" s="699"/>
      <c r="C510" s="699"/>
      <c r="D510" s="699"/>
      <c r="E510" s="699"/>
      <c r="F510" s="699"/>
      <c r="G510" s="699"/>
      <c r="H510" s="699"/>
      <c r="I510" s="699"/>
      <c r="J510" s="699"/>
      <c r="K510" s="699"/>
      <c r="L510" s="699"/>
      <c r="M510" s="699"/>
      <c r="N510" s="699"/>
      <c r="O510" s="699"/>
      <c r="P510" s="699"/>
      <c r="Q510" s="699"/>
      <c r="R510" s="699"/>
      <c r="S510" s="699"/>
      <c r="T510" s="699"/>
      <c r="U510" s="699"/>
      <c r="V510" s="699"/>
      <c r="W510" s="699"/>
      <c r="X510" s="699"/>
      <c r="Y510" s="699"/>
      <c r="Z510" s="699"/>
      <c r="AA510" s="699"/>
      <c r="AB510" s="699"/>
      <c r="AC510" s="699"/>
      <c r="AD510" s="699"/>
      <c r="AE510" s="49"/>
      <c r="AF510" s="49"/>
      <c r="AG510" s="49"/>
      <c r="AH510" s="49"/>
      <c r="AI510" s="49"/>
      <c r="AJ510" s="49"/>
      <c r="AK510" s="49"/>
      <c r="AL510" s="49"/>
      <c r="AM510" s="49"/>
      <c r="AN510" s="49"/>
      <c r="AO510" s="49"/>
      <c r="AP510" s="49"/>
      <c r="AQ510" s="49"/>
      <c r="AR510" s="49"/>
      <c r="AS510" s="49"/>
      <c r="AT510" s="49"/>
      <c r="AU510" s="49"/>
      <c r="AV510" s="49"/>
      <c r="AW510" s="49"/>
      <c r="AX510" s="49"/>
      <c r="AY510" s="49"/>
      <c r="AZ510" s="49"/>
      <c r="BA510" s="49"/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</row>
    <row r="511" spans="1:66">
      <c r="A511" s="699"/>
      <c r="B511" s="699"/>
      <c r="C511" s="699"/>
      <c r="D511" s="699"/>
      <c r="E511" s="699"/>
      <c r="F511" s="699"/>
      <c r="G511" s="699"/>
      <c r="H511" s="699"/>
      <c r="I511" s="699"/>
      <c r="J511" s="699"/>
      <c r="K511" s="699"/>
      <c r="L511" s="699"/>
      <c r="M511" s="699"/>
      <c r="N511" s="699"/>
      <c r="O511" s="699"/>
      <c r="P511" s="699"/>
      <c r="Q511" s="699"/>
      <c r="R511" s="699"/>
      <c r="S511" s="699"/>
      <c r="T511" s="699"/>
      <c r="U511" s="699"/>
      <c r="V511" s="699"/>
      <c r="W511" s="699"/>
      <c r="X511" s="699"/>
      <c r="Y511" s="699"/>
      <c r="Z511" s="699"/>
      <c r="AA511" s="699"/>
      <c r="AB511" s="699"/>
      <c r="AC511" s="699"/>
      <c r="AD511" s="699"/>
      <c r="AE511" s="49"/>
      <c r="AF511" s="49"/>
      <c r="AG511" s="49"/>
      <c r="AH511" s="49"/>
      <c r="AI511" s="49"/>
      <c r="AJ511" s="49"/>
      <c r="AK511" s="49"/>
      <c r="AL511" s="49"/>
      <c r="AM511" s="49"/>
      <c r="AN511" s="49"/>
      <c r="AO511" s="49"/>
      <c r="AP511" s="49"/>
      <c r="AQ511" s="49"/>
      <c r="AR511" s="49"/>
      <c r="AS511" s="49"/>
      <c r="AT511" s="49"/>
      <c r="AU511" s="49"/>
      <c r="AV511" s="49"/>
      <c r="AW511" s="49"/>
      <c r="AX511" s="49"/>
      <c r="AY511" s="49"/>
      <c r="AZ511" s="49"/>
      <c r="BA511" s="49"/>
      <c r="BB511" s="49"/>
      <c r="BC511" s="49"/>
      <c r="BD511" s="49"/>
      <c r="BE511" s="49"/>
      <c r="BF511" s="49"/>
      <c r="BG511" s="49"/>
      <c r="BH511" s="49"/>
      <c r="BI511" s="49"/>
      <c r="BJ511" s="49"/>
      <c r="BK511" s="49"/>
      <c r="BL511" s="49"/>
      <c r="BM511" s="49"/>
      <c r="BN511" s="49"/>
    </row>
    <row r="512" spans="1:66">
      <c r="A512" s="699"/>
      <c r="B512" s="699"/>
      <c r="C512" s="699"/>
      <c r="D512" s="699"/>
      <c r="E512" s="699"/>
      <c r="F512" s="699"/>
      <c r="G512" s="699"/>
      <c r="H512" s="699"/>
      <c r="I512" s="699"/>
      <c r="J512" s="699"/>
      <c r="K512" s="699"/>
      <c r="L512" s="699"/>
      <c r="M512" s="699"/>
      <c r="N512" s="699"/>
      <c r="O512" s="699"/>
      <c r="P512" s="699"/>
      <c r="Q512" s="699"/>
      <c r="R512" s="699"/>
      <c r="S512" s="699"/>
      <c r="T512" s="699"/>
      <c r="U512" s="699"/>
      <c r="V512" s="699"/>
      <c r="W512" s="699"/>
      <c r="X512" s="699"/>
      <c r="Y512" s="699"/>
      <c r="Z512" s="699"/>
      <c r="AA512" s="699"/>
      <c r="AB512" s="699"/>
      <c r="AC512" s="699"/>
      <c r="AD512" s="699"/>
      <c r="AE512" s="49"/>
      <c r="AF512" s="49"/>
      <c r="AG512" s="49"/>
      <c r="AH512" s="49"/>
      <c r="AI512" s="49"/>
      <c r="AJ512" s="49"/>
      <c r="AK512" s="49"/>
      <c r="AL512" s="49"/>
      <c r="AM512" s="49"/>
      <c r="AN512" s="49"/>
      <c r="AO512" s="49"/>
      <c r="AP512" s="49"/>
      <c r="AQ512" s="49"/>
      <c r="AR512" s="49"/>
      <c r="AS512" s="49"/>
      <c r="AT512" s="49"/>
      <c r="AU512" s="49"/>
      <c r="AV512" s="49"/>
      <c r="AW512" s="49"/>
      <c r="AX512" s="49"/>
      <c r="AY512" s="49"/>
      <c r="AZ512" s="49"/>
      <c r="BA512" s="49"/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</row>
    <row r="513" spans="1:66">
      <c r="A513" s="699"/>
      <c r="B513" s="699"/>
      <c r="C513" s="699"/>
      <c r="D513" s="699"/>
      <c r="E513" s="699"/>
      <c r="F513" s="699"/>
      <c r="G513" s="699"/>
      <c r="H513" s="699"/>
      <c r="I513" s="699"/>
      <c r="J513" s="699"/>
      <c r="K513" s="699"/>
      <c r="L513" s="699"/>
      <c r="M513" s="699"/>
      <c r="N513" s="699"/>
      <c r="O513" s="699"/>
      <c r="P513" s="699"/>
      <c r="Q513" s="699"/>
      <c r="R513" s="699"/>
      <c r="S513" s="699"/>
      <c r="T513" s="699"/>
      <c r="U513" s="699"/>
      <c r="V513" s="699"/>
      <c r="W513" s="699"/>
      <c r="X513" s="699"/>
      <c r="Y513" s="699"/>
      <c r="Z513" s="699"/>
      <c r="AA513" s="699"/>
      <c r="AB513" s="699"/>
      <c r="AC513" s="699"/>
      <c r="AD513" s="699"/>
      <c r="AE513" s="49"/>
      <c r="AF513" s="49"/>
      <c r="AG513" s="49"/>
      <c r="AH513" s="49"/>
      <c r="AI513" s="49"/>
      <c r="AJ513" s="49"/>
      <c r="AK513" s="49"/>
      <c r="AL513" s="49"/>
      <c r="AM513" s="49"/>
      <c r="AN513" s="49"/>
      <c r="AO513" s="49"/>
      <c r="AP513" s="49"/>
      <c r="AQ513" s="49"/>
      <c r="AR513" s="49"/>
      <c r="AS513" s="49"/>
      <c r="AT513" s="49"/>
      <c r="AU513" s="49"/>
      <c r="AV513" s="49"/>
      <c r="AW513" s="49"/>
      <c r="AX513" s="49"/>
      <c r="AY513" s="49"/>
      <c r="AZ513" s="49"/>
      <c r="BA513" s="49"/>
      <c r="BB513" s="49"/>
      <c r="BC513" s="49"/>
      <c r="BD513" s="49"/>
      <c r="BE513" s="49"/>
      <c r="BF513" s="49"/>
      <c r="BG513" s="49"/>
      <c r="BH513" s="49"/>
      <c r="BI513" s="49"/>
      <c r="BJ513" s="49"/>
      <c r="BK513" s="49"/>
      <c r="BL513" s="49"/>
      <c r="BM513" s="49"/>
      <c r="BN513" s="49"/>
    </row>
    <row r="514" spans="1:66">
      <c r="A514" s="699"/>
      <c r="B514" s="699"/>
      <c r="C514" s="699"/>
      <c r="D514" s="699"/>
      <c r="E514" s="699"/>
      <c r="F514" s="699"/>
      <c r="G514" s="699"/>
      <c r="H514" s="699"/>
      <c r="I514" s="699"/>
      <c r="J514" s="699"/>
      <c r="K514" s="699"/>
      <c r="L514" s="699"/>
      <c r="M514" s="699"/>
      <c r="N514" s="699"/>
      <c r="O514" s="699"/>
      <c r="P514" s="699"/>
      <c r="Q514" s="699"/>
      <c r="R514" s="699"/>
      <c r="S514" s="699"/>
      <c r="T514" s="699"/>
      <c r="U514" s="699"/>
      <c r="V514" s="699"/>
      <c r="W514" s="699"/>
      <c r="X514" s="699"/>
      <c r="Y514" s="699"/>
      <c r="Z514" s="699"/>
      <c r="AA514" s="699"/>
      <c r="AB514" s="699"/>
      <c r="AC514" s="699"/>
      <c r="AD514" s="699"/>
      <c r="AE514" s="49"/>
      <c r="AF514" s="49"/>
      <c r="AG514" s="49"/>
      <c r="AH514" s="49"/>
      <c r="AI514" s="49"/>
      <c r="AJ514" s="49"/>
      <c r="AK514" s="49"/>
      <c r="AL514" s="49"/>
      <c r="AM514" s="49"/>
      <c r="AN514" s="49"/>
      <c r="AO514" s="49"/>
      <c r="AP514" s="49"/>
      <c r="AQ514" s="49"/>
      <c r="AR514" s="49"/>
      <c r="AS514" s="49"/>
      <c r="AT514" s="49"/>
      <c r="AU514" s="49"/>
      <c r="AV514" s="49"/>
      <c r="AW514" s="49"/>
      <c r="AX514" s="49"/>
      <c r="AY514" s="49"/>
      <c r="AZ514" s="49"/>
      <c r="BA514" s="49"/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</row>
    <row r="515" spans="1:66" hidden="1">
      <c r="A515" s="699"/>
      <c r="B515" s="699"/>
      <c r="C515" s="699"/>
      <c r="D515" s="699"/>
      <c r="E515" s="699"/>
      <c r="F515" s="699"/>
      <c r="G515" s="699"/>
      <c r="H515" s="699"/>
      <c r="I515" s="699"/>
      <c r="J515" s="699"/>
      <c r="K515" s="699"/>
      <c r="L515" s="699"/>
      <c r="M515" s="699"/>
      <c r="N515" s="699"/>
      <c r="O515" s="699"/>
      <c r="P515" s="699"/>
      <c r="Q515" s="699"/>
      <c r="R515" s="699"/>
      <c r="S515" s="699"/>
      <c r="T515" s="699"/>
      <c r="U515" s="699"/>
      <c r="V515" s="699"/>
      <c r="W515" s="699"/>
      <c r="X515" s="699"/>
      <c r="Y515" s="699"/>
      <c r="Z515" s="699"/>
      <c r="AA515" s="699"/>
      <c r="AB515" s="699"/>
      <c r="AC515" s="699"/>
      <c r="AD515" s="699"/>
      <c r="AE515" s="49"/>
      <c r="AF515" s="49"/>
      <c r="AG515" s="49"/>
      <c r="AH515" s="49"/>
      <c r="AI515" s="49"/>
      <c r="AJ515" s="49"/>
      <c r="AK515" s="49"/>
      <c r="AL515" s="49"/>
      <c r="AM515" s="49"/>
      <c r="AN515" s="49"/>
      <c r="AO515" s="49"/>
      <c r="AP515" s="49"/>
      <c r="AQ515" s="49"/>
      <c r="AR515" s="49"/>
      <c r="AS515" s="49"/>
      <c r="AT515" s="49"/>
      <c r="AU515" s="49"/>
      <c r="AV515" s="49"/>
      <c r="AW515" s="49"/>
      <c r="AX515" s="49"/>
      <c r="AY515" s="49"/>
      <c r="AZ515" s="49"/>
      <c r="BA515" s="49"/>
      <c r="BB515" s="49"/>
      <c r="BC515" s="49"/>
      <c r="BD515" s="49"/>
      <c r="BE515" s="49"/>
      <c r="BF515" s="49"/>
      <c r="BG515" s="49"/>
      <c r="BH515" s="49"/>
      <c r="BI515" s="49"/>
      <c r="BJ515" s="49"/>
      <c r="BK515" s="49"/>
      <c r="BL515" s="49"/>
      <c r="BM515" s="49"/>
      <c r="BN515" s="49"/>
    </row>
    <row r="516" spans="1:66">
      <c r="A516" s="699"/>
      <c r="B516" s="699"/>
      <c r="C516" s="699"/>
      <c r="D516" s="699"/>
      <c r="E516" s="699"/>
      <c r="F516" s="699"/>
      <c r="G516" s="699"/>
      <c r="H516" s="699"/>
      <c r="I516" s="699"/>
      <c r="J516" s="699"/>
      <c r="K516" s="699"/>
      <c r="L516" s="699"/>
      <c r="M516" s="699"/>
      <c r="N516" s="699"/>
      <c r="O516" s="699"/>
      <c r="P516" s="699"/>
      <c r="Q516" s="699"/>
      <c r="R516" s="699"/>
      <c r="S516" s="699"/>
      <c r="T516" s="699"/>
      <c r="U516" s="699"/>
      <c r="V516" s="699"/>
      <c r="W516" s="699"/>
      <c r="X516" s="699"/>
      <c r="Y516" s="699"/>
      <c r="Z516" s="699"/>
      <c r="AA516" s="699"/>
      <c r="AB516" s="699"/>
      <c r="AC516" s="699"/>
      <c r="AD516" s="699"/>
      <c r="AE516" s="49"/>
      <c r="AF516" s="49"/>
      <c r="AG516" s="49"/>
      <c r="AH516" s="49"/>
      <c r="AI516" s="49"/>
      <c r="AJ516" s="49"/>
      <c r="AK516" s="49"/>
      <c r="AL516" s="49"/>
      <c r="AM516" s="49"/>
      <c r="AN516" s="49"/>
      <c r="AO516" s="49"/>
      <c r="AP516" s="49"/>
      <c r="AQ516" s="49"/>
      <c r="AR516" s="49"/>
      <c r="AS516" s="49"/>
      <c r="AT516" s="49"/>
      <c r="AU516" s="49"/>
      <c r="AV516" s="49"/>
      <c r="AW516" s="49"/>
      <c r="AX516" s="49"/>
      <c r="AY516" s="49"/>
      <c r="AZ516" s="49"/>
      <c r="BA516" s="49"/>
      <c r="BB516" s="49"/>
      <c r="BC516" s="49"/>
      <c r="BD516" s="49"/>
      <c r="BE516" s="49"/>
      <c r="BF516" s="49"/>
      <c r="BG516" s="49"/>
      <c r="BH516" s="49"/>
      <c r="BI516" s="49"/>
      <c r="BJ516" s="49"/>
      <c r="BK516" s="49"/>
      <c r="BL516" s="49"/>
      <c r="BM516" s="49"/>
      <c r="BN516" s="49"/>
    </row>
    <row r="517" spans="1:66">
      <c r="A517" s="699"/>
      <c r="B517" s="699"/>
      <c r="C517" s="699"/>
      <c r="D517" s="699"/>
      <c r="E517" s="699"/>
      <c r="F517" s="699"/>
      <c r="G517" s="699"/>
      <c r="H517" s="699"/>
      <c r="I517" s="699"/>
      <c r="J517" s="699"/>
      <c r="K517" s="699"/>
      <c r="L517" s="699"/>
      <c r="M517" s="699"/>
      <c r="N517" s="699"/>
      <c r="O517" s="699"/>
      <c r="P517" s="699"/>
      <c r="Q517" s="699"/>
      <c r="R517" s="699"/>
      <c r="S517" s="699"/>
      <c r="T517" s="699"/>
      <c r="U517" s="699"/>
      <c r="V517" s="699"/>
      <c r="W517" s="699"/>
      <c r="X517" s="699"/>
      <c r="Y517" s="699"/>
      <c r="Z517" s="699"/>
      <c r="AA517" s="699"/>
      <c r="AB517" s="699"/>
      <c r="AC517" s="699"/>
      <c r="AD517" s="699"/>
      <c r="AE517" s="49"/>
      <c r="AF517" s="49"/>
      <c r="AG517" s="49"/>
      <c r="AH517" s="49"/>
      <c r="AI517" s="49"/>
      <c r="AJ517" s="49"/>
      <c r="AK517" s="49"/>
      <c r="AL517" s="49"/>
      <c r="AM517" s="49"/>
      <c r="AN517" s="49"/>
      <c r="AO517" s="49"/>
      <c r="AP517" s="49"/>
      <c r="AQ517" s="49"/>
      <c r="AR517" s="49"/>
      <c r="AS517" s="49"/>
      <c r="AT517" s="49"/>
      <c r="AU517" s="49"/>
      <c r="AV517" s="49"/>
      <c r="AW517" s="49"/>
      <c r="AX517" s="49"/>
      <c r="AY517" s="49"/>
      <c r="AZ517" s="49"/>
      <c r="BA517" s="49"/>
      <c r="BB517" s="49"/>
      <c r="BC517" s="49"/>
      <c r="BD517" s="49"/>
      <c r="BE517" s="49"/>
      <c r="BF517" s="49"/>
      <c r="BG517" s="49"/>
      <c r="BH517" s="49"/>
      <c r="BI517" s="49"/>
      <c r="BJ517" s="49"/>
      <c r="BK517" s="49"/>
      <c r="BL517" s="49"/>
      <c r="BM517" s="49"/>
      <c r="BN517" s="49"/>
    </row>
    <row r="518" spans="1:66">
      <c r="A518" s="699" t="s">
        <v>511</v>
      </c>
      <c r="B518" s="699"/>
      <c r="C518" s="699"/>
      <c r="D518" s="699"/>
      <c r="E518" s="699"/>
      <c r="F518" s="699"/>
      <c r="G518" s="699"/>
      <c r="H518" s="699"/>
      <c r="I518" s="699"/>
      <c r="J518" s="699"/>
      <c r="K518" s="699"/>
      <c r="L518" s="699"/>
      <c r="M518" s="699"/>
      <c r="N518" s="699"/>
      <c r="O518" s="699"/>
      <c r="P518" s="699"/>
      <c r="Q518" s="699"/>
      <c r="R518" s="699"/>
      <c r="S518" s="699"/>
      <c r="T518" s="699"/>
      <c r="U518" s="699"/>
      <c r="V518" s="699"/>
      <c r="W518" s="699"/>
      <c r="X518" s="699"/>
      <c r="Y518" s="699"/>
      <c r="Z518" s="699"/>
      <c r="AA518" s="699"/>
      <c r="AB518" s="699"/>
      <c r="AC518" s="699"/>
      <c r="AD518" s="699"/>
      <c r="AE518" s="49"/>
      <c r="AF518" s="49"/>
      <c r="AG518" s="49"/>
      <c r="AH518" s="49"/>
      <c r="AI518" s="49"/>
      <c r="AJ518" s="49"/>
      <c r="AK518" s="49"/>
      <c r="AL518" s="49"/>
      <c r="AM518" s="49"/>
      <c r="AN518" s="49"/>
      <c r="AO518" s="49"/>
      <c r="AP518" s="49"/>
      <c r="AQ518" s="49"/>
      <c r="AR518" s="49"/>
      <c r="AS518" s="49"/>
      <c r="AT518" s="49"/>
      <c r="AU518" s="49"/>
      <c r="AV518" s="49"/>
      <c r="AW518" s="49"/>
      <c r="AX518" s="49"/>
      <c r="AY518" s="49"/>
      <c r="AZ518" s="49"/>
      <c r="BA518" s="49"/>
      <c r="BB518" s="49"/>
      <c r="BC518" s="49"/>
      <c r="BD518" s="49"/>
      <c r="BE518" s="49"/>
      <c r="BF518" s="49"/>
      <c r="BG518" s="49"/>
      <c r="BH518" s="49"/>
      <c r="BI518" s="49"/>
      <c r="BJ518" s="49"/>
      <c r="BK518" s="49"/>
      <c r="BL518" s="49"/>
      <c r="BM518" s="49"/>
      <c r="BN518" s="49"/>
    </row>
    <row r="519" spans="1:66">
      <c r="A519" s="699"/>
      <c r="B519" s="699"/>
      <c r="C519" s="699"/>
      <c r="D519" s="699"/>
      <c r="E519" s="699"/>
      <c r="F519" s="699"/>
      <c r="G519" s="699"/>
      <c r="H519" s="699"/>
      <c r="I519" s="699"/>
      <c r="J519" s="699"/>
      <c r="K519" s="699"/>
      <c r="L519" s="699"/>
      <c r="M519" s="699"/>
      <c r="N519" s="699"/>
      <c r="O519" s="699"/>
      <c r="P519" s="699"/>
      <c r="Q519" s="699"/>
      <c r="R519" s="699"/>
      <c r="S519" s="699"/>
      <c r="T519" s="699"/>
      <c r="U519" s="699"/>
      <c r="V519" s="699"/>
      <c r="W519" s="699"/>
      <c r="X519" s="699"/>
      <c r="Y519" s="699"/>
      <c r="Z519" s="699"/>
      <c r="AA519" s="699"/>
      <c r="AB519" s="699"/>
      <c r="AC519" s="699"/>
      <c r="AD519" s="699"/>
      <c r="AE519" s="49"/>
      <c r="AF519" s="49"/>
      <c r="AG519" s="49"/>
      <c r="AH519" s="49"/>
      <c r="AI519" s="49"/>
      <c r="AJ519" s="49"/>
      <c r="AK519" s="49"/>
      <c r="AL519" s="49"/>
      <c r="AM519" s="49"/>
      <c r="AN519" s="49"/>
      <c r="AO519" s="49"/>
      <c r="AP519" s="49"/>
      <c r="AQ519" s="49"/>
      <c r="AR519" s="49"/>
      <c r="AS519" s="49"/>
      <c r="AT519" s="49"/>
      <c r="AU519" s="49"/>
      <c r="AV519" s="49"/>
      <c r="AW519" s="49"/>
      <c r="AX519" s="49"/>
      <c r="AY519" s="49"/>
      <c r="AZ519" s="49"/>
      <c r="BA519" s="49"/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</row>
    <row r="520" spans="1:66">
      <c r="A520" s="699"/>
      <c r="B520" s="699"/>
      <c r="C520" s="699"/>
      <c r="D520" s="699"/>
      <c r="E520" s="699"/>
      <c r="F520" s="699"/>
      <c r="G520" s="699"/>
      <c r="H520" s="699"/>
      <c r="I520" s="699"/>
      <c r="J520" s="699"/>
      <c r="K520" s="699"/>
      <c r="L520" s="699"/>
      <c r="M520" s="699"/>
      <c r="N520" s="699"/>
      <c r="O520" s="699"/>
      <c r="P520" s="699"/>
      <c r="Q520" s="699"/>
      <c r="R520" s="699"/>
      <c r="S520" s="699"/>
      <c r="T520" s="699"/>
      <c r="U520" s="699"/>
      <c r="V520" s="699"/>
      <c r="W520" s="699"/>
      <c r="X520" s="699"/>
      <c r="Y520" s="699"/>
      <c r="Z520" s="699"/>
      <c r="AA520" s="699"/>
      <c r="AB520" s="699"/>
      <c r="AC520" s="699"/>
      <c r="AD520" s="699"/>
      <c r="AE520" s="49"/>
      <c r="AF520" s="49"/>
      <c r="AG520" s="49"/>
      <c r="AH520" s="49"/>
      <c r="AI520" s="49"/>
      <c r="AJ520" s="49"/>
      <c r="AK520" s="49"/>
      <c r="AL520" s="49"/>
      <c r="AM520" s="49"/>
      <c r="AN520" s="49"/>
      <c r="AO520" s="49"/>
      <c r="AP520" s="49"/>
      <c r="AQ520" s="49"/>
      <c r="AR520" s="49"/>
      <c r="AS520" s="49"/>
      <c r="AT520" s="49"/>
      <c r="AU520" s="49"/>
      <c r="AV520" s="49"/>
      <c r="AW520" s="49"/>
      <c r="AX520" s="49"/>
      <c r="AY520" s="49"/>
      <c r="AZ520" s="49"/>
      <c r="BA520" s="49"/>
      <c r="BB520" s="49"/>
      <c r="BC520" s="49"/>
      <c r="BD520" s="49"/>
      <c r="BE520" s="49"/>
      <c r="BF520" s="49"/>
      <c r="BG520" s="49"/>
      <c r="BH520" s="49"/>
      <c r="BI520" s="49"/>
      <c r="BJ520" s="49"/>
      <c r="BK520" s="49"/>
      <c r="BL520" s="49"/>
      <c r="BM520" s="49"/>
      <c r="BN520" s="49"/>
    </row>
    <row r="521" spans="1:66">
      <c r="A521" s="699"/>
      <c r="B521" s="699"/>
      <c r="C521" s="699"/>
      <c r="D521" s="699"/>
      <c r="E521" s="699"/>
      <c r="F521" s="699"/>
      <c r="G521" s="699"/>
      <c r="H521" s="699"/>
      <c r="I521" s="699"/>
      <c r="J521" s="699"/>
      <c r="K521" s="699"/>
      <c r="L521" s="699"/>
      <c r="M521" s="699"/>
      <c r="N521" s="699"/>
      <c r="O521" s="699"/>
      <c r="P521" s="699"/>
      <c r="Q521" s="699"/>
      <c r="R521" s="699"/>
      <c r="S521" s="699"/>
      <c r="T521" s="699"/>
      <c r="U521" s="699"/>
      <c r="V521" s="699"/>
      <c r="W521" s="699"/>
      <c r="X521" s="699"/>
      <c r="Y521" s="699"/>
      <c r="Z521" s="699"/>
      <c r="AA521" s="699"/>
      <c r="AB521" s="699"/>
      <c r="AC521" s="699"/>
      <c r="AD521" s="699"/>
      <c r="AE521" s="49"/>
      <c r="AF521" s="49"/>
      <c r="AG521" s="49"/>
      <c r="AH521" s="49"/>
      <c r="AI521" s="49"/>
      <c r="AJ521" s="49"/>
      <c r="AK521" s="49"/>
      <c r="AL521" s="49"/>
      <c r="AM521" s="49"/>
      <c r="AN521" s="49"/>
      <c r="AO521" s="49"/>
      <c r="AP521" s="49"/>
      <c r="AQ521" s="49"/>
      <c r="AR521" s="49"/>
      <c r="AS521" s="49"/>
      <c r="AT521" s="49"/>
      <c r="AU521" s="49"/>
      <c r="AV521" s="49"/>
      <c r="AW521" s="49"/>
      <c r="AX521" s="49"/>
      <c r="AY521" s="49"/>
      <c r="AZ521" s="49"/>
      <c r="BA521" s="49"/>
      <c r="BB521" s="49"/>
      <c r="BC521" s="49"/>
      <c r="BD521" s="49"/>
      <c r="BE521" s="49"/>
      <c r="BF521" s="49"/>
      <c r="BG521" s="49"/>
      <c r="BH521" s="49"/>
      <c r="BI521" s="49"/>
      <c r="BJ521" s="49"/>
      <c r="BK521" s="49"/>
      <c r="BL521" s="49"/>
      <c r="BM521" s="49"/>
      <c r="BN521" s="49"/>
    </row>
    <row r="522" spans="1:66">
      <c r="A522" s="699"/>
      <c r="B522" s="699"/>
      <c r="C522" s="699"/>
      <c r="D522" s="699"/>
      <c r="E522" s="699"/>
      <c r="F522" s="699"/>
      <c r="G522" s="699"/>
      <c r="H522" s="699"/>
      <c r="I522" s="699"/>
      <c r="J522" s="699"/>
      <c r="K522" s="699"/>
      <c r="L522" s="699"/>
      <c r="M522" s="699"/>
      <c r="N522" s="699"/>
      <c r="O522" s="699"/>
      <c r="P522" s="699"/>
      <c r="Q522" s="699"/>
      <c r="R522" s="699"/>
      <c r="S522" s="699"/>
      <c r="T522" s="699"/>
      <c r="U522" s="699"/>
      <c r="V522" s="699"/>
      <c r="W522" s="699"/>
      <c r="X522" s="699"/>
      <c r="Y522" s="699"/>
      <c r="Z522" s="699"/>
      <c r="AA522" s="699"/>
      <c r="AB522" s="699"/>
      <c r="AC522" s="699"/>
      <c r="AD522" s="699"/>
      <c r="AE522" s="49"/>
      <c r="AF522" s="49"/>
      <c r="AG522" s="49"/>
      <c r="AH522" s="49"/>
      <c r="AI522" s="49"/>
      <c r="AJ522" s="49"/>
      <c r="AK522" s="49"/>
      <c r="AL522" s="49"/>
      <c r="AM522" s="49"/>
      <c r="AN522" s="49"/>
      <c r="AO522" s="49"/>
      <c r="AP522" s="49"/>
      <c r="AQ522" s="49"/>
      <c r="AR522" s="49"/>
      <c r="AS522" s="49"/>
      <c r="AT522" s="49"/>
      <c r="AU522" s="49"/>
      <c r="AV522" s="49"/>
      <c r="AW522" s="49"/>
      <c r="AX522" s="49"/>
      <c r="AY522" s="49"/>
      <c r="AZ522" s="49"/>
      <c r="BA522" s="49"/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</row>
    <row r="523" spans="1:66">
      <c r="A523" s="699"/>
      <c r="B523" s="699"/>
      <c r="C523" s="699"/>
      <c r="D523" s="699"/>
      <c r="E523" s="699"/>
      <c r="F523" s="699"/>
      <c r="G523" s="699"/>
      <c r="H523" s="699"/>
      <c r="I523" s="699"/>
      <c r="J523" s="699"/>
      <c r="K523" s="699"/>
      <c r="L523" s="699"/>
      <c r="M523" s="699"/>
      <c r="N523" s="699"/>
      <c r="O523" s="699"/>
      <c r="P523" s="699"/>
      <c r="Q523" s="699"/>
      <c r="R523" s="699"/>
      <c r="S523" s="699"/>
      <c r="T523" s="699"/>
      <c r="U523" s="699"/>
      <c r="V523" s="699"/>
      <c r="W523" s="699"/>
      <c r="X523" s="699"/>
      <c r="Y523" s="699"/>
      <c r="Z523" s="699"/>
      <c r="AA523" s="699"/>
      <c r="AB523" s="699"/>
      <c r="AC523" s="699"/>
      <c r="AD523" s="699"/>
      <c r="AE523" s="49"/>
      <c r="AF523" s="49"/>
      <c r="AG523" s="49"/>
      <c r="AH523" s="49"/>
      <c r="AI523" s="49"/>
      <c r="AJ523" s="49"/>
      <c r="AK523" s="49"/>
      <c r="AL523" s="49"/>
      <c r="AM523" s="49"/>
      <c r="AN523" s="49"/>
      <c r="AO523" s="49"/>
      <c r="AP523" s="49"/>
      <c r="AQ523" s="49"/>
      <c r="AR523" s="49"/>
      <c r="AS523" s="49"/>
      <c r="AT523" s="49"/>
      <c r="AU523" s="49"/>
      <c r="AV523" s="49"/>
      <c r="AW523" s="49"/>
      <c r="AX523" s="49"/>
      <c r="AY523" s="49"/>
      <c r="AZ523" s="49"/>
      <c r="BA523" s="49"/>
      <c r="BB523" s="49"/>
      <c r="BC523" s="49"/>
      <c r="BD523" s="49"/>
      <c r="BE523" s="49"/>
      <c r="BF523" s="49"/>
      <c r="BG523" s="49"/>
      <c r="BH523" s="49"/>
      <c r="BI523" s="49"/>
      <c r="BJ523" s="49"/>
      <c r="BK523" s="49"/>
      <c r="BL523" s="49"/>
      <c r="BM523" s="49"/>
      <c r="BN523" s="49"/>
    </row>
    <row r="524" spans="1:66">
      <c r="A524" s="699"/>
      <c r="B524" s="699"/>
      <c r="C524" s="699"/>
      <c r="D524" s="699"/>
      <c r="E524" s="699"/>
      <c r="F524" s="699"/>
      <c r="G524" s="699"/>
      <c r="H524" s="699"/>
      <c r="I524" s="699"/>
      <c r="J524" s="699"/>
      <c r="K524" s="699"/>
      <c r="L524" s="699"/>
      <c r="M524" s="699"/>
      <c r="N524" s="699"/>
      <c r="O524" s="699"/>
      <c r="P524" s="699"/>
      <c r="Q524" s="699"/>
      <c r="R524" s="699"/>
      <c r="S524" s="699"/>
      <c r="T524" s="699"/>
      <c r="U524" s="699"/>
      <c r="V524" s="699"/>
      <c r="W524" s="699"/>
      <c r="X524" s="699"/>
      <c r="Y524" s="699"/>
      <c r="Z524" s="699"/>
      <c r="AA524" s="699"/>
      <c r="AB524" s="699"/>
      <c r="AC524" s="699"/>
      <c r="AD524" s="699"/>
      <c r="AE524" s="49"/>
      <c r="AF524" s="49"/>
      <c r="AG524" s="49"/>
      <c r="AH524" s="49"/>
      <c r="AI524" s="49"/>
      <c r="AJ524" s="49"/>
      <c r="AK524" s="49"/>
      <c r="AL524" s="49"/>
      <c r="AM524" s="49"/>
      <c r="AN524" s="49"/>
      <c r="AO524" s="49"/>
      <c r="AP524" s="49"/>
      <c r="AQ524" s="49"/>
      <c r="AR524" s="49"/>
      <c r="AS524" s="49"/>
      <c r="AT524" s="49"/>
      <c r="AU524" s="49"/>
      <c r="AV524" s="49"/>
      <c r="AW524" s="49"/>
      <c r="AX524" s="49"/>
      <c r="AY524" s="49"/>
      <c r="AZ524" s="49"/>
      <c r="BA524" s="49"/>
      <c r="BB524" s="49"/>
      <c r="BC524" s="49"/>
      <c r="BD524" s="49"/>
      <c r="BE524" s="49"/>
      <c r="BF524" s="49"/>
      <c r="BG524" s="49"/>
      <c r="BH524" s="49"/>
      <c r="BI524" s="49"/>
      <c r="BJ524" s="49"/>
      <c r="BK524" s="49"/>
      <c r="BL524" s="49"/>
      <c r="BM524" s="49"/>
      <c r="BN524" s="49"/>
    </row>
    <row r="525" spans="1:66">
      <c r="A525" s="699"/>
      <c r="B525" s="699"/>
      <c r="C525" s="699"/>
      <c r="D525" s="699"/>
      <c r="E525" s="699"/>
      <c r="F525" s="699"/>
      <c r="G525" s="699"/>
      <c r="H525" s="699"/>
      <c r="I525" s="699"/>
      <c r="J525" s="699"/>
      <c r="K525" s="699"/>
      <c r="L525" s="699"/>
      <c r="M525" s="699"/>
      <c r="N525" s="699"/>
      <c r="O525" s="699"/>
      <c r="P525" s="699"/>
      <c r="Q525" s="699"/>
      <c r="R525" s="699"/>
      <c r="S525" s="699"/>
      <c r="T525" s="699"/>
      <c r="U525" s="699"/>
      <c r="V525" s="699"/>
      <c r="W525" s="699"/>
      <c r="X525" s="699"/>
      <c r="Y525" s="699"/>
      <c r="Z525" s="699"/>
      <c r="AA525" s="699"/>
      <c r="AB525" s="699"/>
      <c r="AC525" s="699"/>
      <c r="AD525" s="699"/>
      <c r="AE525" s="49"/>
      <c r="AF525" s="49"/>
      <c r="AG525" s="49"/>
      <c r="AH525" s="49"/>
      <c r="AI525" s="49"/>
      <c r="AJ525" s="49"/>
      <c r="AK525" s="49"/>
      <c r="AL525" s="49"/>
      <c r="AM525" s="49"/>
      <c r="AN525" s="49"/>
      <c r="AO525" s="49"/>
      <c r="AP525" s="49"/>
      <c r="AQ525" s="49"/>
      <c r="AR525" s="49"/>
      <c r="AS525" s="49"/>
      <c r="AT525" s="49"/>
      <c r="AU525" s="49"/>
      <c r="AV525" s="49"/>
      <c r="AW525" s="49"/>
      <c r="AX525" s="49"/>
      <c r="AY525" s="49"/>
      <c r="AZ525" s="49"/>
      <c r="BA525" s="49"/>
      <c r="BB525" s="49"/>
      <c r="BC525" s="49"/>
      <c r="BD525" s="49"/>
      <c r="BE525" s="49"/>
      <c r="BF525" s="49"/>
      <c r="BG525" s="49"/>
      <c r="BH525" s="49"/>
      <c r="BI525" s="49"/>
      <c r="BJ525" s="49"/>
      <c r="BK525" s="49"/>
      <c r="BL525" s="49"/>
      <c r="BM525" s="49"/>
      <c r="BN525" s="49"/>
    </row>
    <row r="526" spans="1:66">
      <c r="A526" s="699"/>
      <c r="B526" s="699"/>
      <c r="C526" s="699"/>
      <c r="D526" s="699"/>
      <c r="E526" s="699"/>
      <c r="F526" s="699"/>
      <c r="G526" s="699"/>
      <c r="H526" s="699"/>
      <c r="I526" s="699"/>
      <c r="J526" s="699"/>
      <c r="K526" s="699"/>
      <c r="L526" s="699"/>
      <c r="M526" s="699"/>
      <c r="N526" s="699"/>
      <c r="O526" s="699"/>
      <c r="P526" s="699"/>
      <c r="Q526" s="699"/>
      <c r="R526" s="699"/>
      <c r="S526" s="699"/>
      <c r="T526" s="699"/>
      <c r="U526" s="699"/>
      <c r="V526" s="699"/>
      <c r="W526" s="699"/>
      <c r="X526" s="699"/>
      <c r="Y526" s="699"/>
      <c r="Z526" s="699"/>
      <c r="AA526" s="699"/>
      <c r="AB526" s="699"/>
      <c r="AC526" s="699"/>
      <c r="AD526" s="699"/>
      <c r="AE526" s="49"/>
      <c r="AF526" s="49"/>
      <c r="AG526" s="49"/>
      <c r="AH526" s="49"/>
      <c r="AI526" s="49"/>
      <c r="AJ526" s="49"/>
      <c r="AK526" s="49"/>
      <c r="AL526" s="49"/>
      <c r="AM526" s="49"/>
      <c r="AN526" s="49"/>
      <c r="AO526" s="49"/>
      <c r="AP526" s="49"/>
      <c r="AQ526" s="49"/>
      <c r="AR526" s="49"/>
      <c r="AS526" s="49"/>
      <c r="AT526" s="49"/>
      <c r="AU526" s="49"/>
      <c r="AV526" s="49"/>
      <c r="AW526" s="49"/>
      <c r="AX526" s="49"/>
      <c r="AY526" s="49"/>
      <c r="AZ526" s="49"/>
      <c r="BA526" s="49"/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</row>
    <row r="527" spans="1:66">
      <c r="A527" s="699"/>
      <c r="B527" s="699"/>
      <c r="C527" s="699"/>
      <c r="D527" s="699"/>
      <c r="E527" s="699"/>
      <c r="F527" s="699"/>
      <c r="G527" s="699"/>
      <c r="H527" s="699"/>
      <c r="I527" s="699"/>
      <c r="J527" s="699"/>
      <c r="K527" s="699"/>
      <c r="L527" s="699"/>
      <c r="M527" s="699"/>
      <c r="N527" s="699"/>
      <c r="O527" s="699"/>
      <c r="P527" s="699"/>
      <c r="Q527" s="699"/>
      <c r="R527" s="699"/>
      <c r="S527" s="699"/>
      <c r="T527" s="699"/>
      <c r="U527" s="699"/>
      <c r="V527" s="699"/>
      <c r="W527" s="699"/>
      <c r="X527" s="699"/>
      <c r="Y527" s="699"/>
      <c r="Z527" s="699"/>
      <c r="AA527" s="699"/>
      <c r="AB527" s="699"/>
      <c r="AC527" s="699"/>
      <c r="AD527" s="699"/>
      <c r="AE527" s="49"/>
      <c r="AF527" s="49"/>
      <c r="AG527" s="49"/>
      <c r="AH527" s="49"/>
      <c r="AI527" s="49"/>
      <c r="AJ527" s="49"/>
      <c r="AK527" s="49"/>
      <c r="AL527" s="49"/>
      <c r="AM527" s="49"/>
      <c r="AN527" s="49"/>
      <c r="AO527" s="49"/>
      <c r="AP527" s="49"/>
      <c r="AQ527" s="49"/>
      <c r="AR527" s="49"/>
      <c r="AS527" s="49"/>
      <c r="AT527" s="49"/>
      <c r="AU527" s="49"/>
      <c r="AV527" s="49"/>
      <c r="AW527" s="49"/>
      <c r="AX527" s="49"/>
      <c r="AY527" s="49"/>
      <c r="AZ527" s="49"/>
      <c r="BA527" s="49"/>
      <c r="BB527" s="49"/>
      <c r="BC527" s="49"/>
      <c r="BD527" s="49"/>
      <c r="BE527" s="49"/>
      <c r="BF527" s="49"/>
      <c r="BG527" s="49"/>
      <c r="BH527" s="49"/>
      <c r="BI527" s="49"/>
      <c r="BJ527" s="49"/>
      <c r="BK527" s="49"/>
      <c r="BL527" s="49"/>
      <c r="BM527" s="49"/>
      <c r="BN527" s="49"/>
    </row>
    <row r="528" spans="1:66">
      <c r="A528" s="699"/>
      <c r="B528" s="699"/>
      <c r="C528" s="699"/>
      <c r="D528" s="699"/>
      <c r="E528" s="699"/>
      <c r="F528" s="699"/>
      <c r="G528" s="699"/>
      <c r="H528" s="699"/>
      <c r="I528" s="699"/>
      <c r="J528" s="699"/>
      <c r="K528" s="699"/>
      <c r="L528" s="699"/>
      <c r="M528" s="699"/>
      <c r="N528" s="699"/>
      <c r="O528" s="699"/>
      <c r="P528" s="699"/>
      <c r="Q528" s="699"/>
      <c r="R528" s="699"/>
      <c r="S528" s="699"/>
      <c r="T528" s="699"/>
      <c r="U528" s="699"/>
      <c r="V528" s="699"/>
      <c r="W528" s="699"/>
      <c r="X528" s="699"/>
      <c r="Y528" s="699"/>
      <c r="Z528" s="699"/>
      <c r="AA528" s="699"/>
      <c r="AB528" s="699"/>
      <c r="AC528" s="699"/>
      <c r="AD528" s="699"/>
      <c r="AE528" s="49"/>
      <c r="AF528" s="49"/>
      <c r="AG528" s="49"/>
      <c r="AH528" s="49"/>
      <c r="AI528" s="49"/>
      <c r="AJ528" s="49"/>
      <c r="AK528" s="49"/>
      <c r="AL528" s="49"/>
      <c r="AM528" s="49"/>
      <c r="AN528" s="49"/>
      <c r="AO528" s="49"/>
      <c r="AP528" s="49"/>
      <c r="AQ528" s="49"/>
      <c r="AR528" s="49"/>
      <c r="AS528" s="49"/>
      <c r="AT528" s="49"/>
      <c r="AU528" s="49"/>
      <c r="AV528" s="49"/>
      <c r="AW528" s="49"/>
      <c r="AX528" s="49"/>
      <c r="AY528" s="49"/>
      <c r="AZ528" s="49"/>
      <c r="BA528" s="49"/>
      <c r="BB528" s="49"/>
      <c r="BC528" s="49"/>
      <c r="BD528" s="49"/>
      <c r="BE528" s="49"/>
      <c r="BF528" s="49"/>
      <c r="BG528" s="49"/>
      <c r="BH528" s="49"/>
      <c r="BI528" s="49"/>
      <c r="BJ528" s="49"/>
      <c r="BK528" s="49"/>
      <c r="BL528" s="49"/>
      <c r="BM528" s="49"/>
      <c r="BN528" s="49"/>
    </row>
    <row r="529" spans="31:66">
      <c r="AE529" s="49"/>
      <c r="AF529" s="49"/>
      <c r="AG529" s="49"/>
      <c r="AH529" s="49"/>
      <c r="AI529" s="49"/>
      <c r="AJ529" s="49"/>
      <c r="AK529" s="49"/>
      <c r="AL529" s="49"/>
      <c r="AM529" s="49"/>
      <c r="AN529" s="49"/>
      <c r="AO529" s="49"/>
      <c r="AP529" s="49"/>
      <c r="AQ529" s="49"/>
      <c r="AR529" s="49"/>
      <c r="AS529" s="49"/>
      <c r="AT529" s="49"/>
      <c r="AU529" s="49"/>
      <c r="AV529" s="49"/>
      <c r="AW529" s="49"/>
      <c r="AX529" s="49"/>
      <c r="AY529" s="49"/>
      <c r="AZ529" s="49"/>
      <c r="BA529" s="49"/>
      <c r="BB529" s="49"/>
      <c r="BC529" s="49"/>
      <c r="BD529" s="49"/>
      <c r="BE529" s="49"/>
      <c r="BF529" s="49"/>
      <c r="BG529" s="49"/>
      <c r="BH529" s="49"/>
      <c r="BI529" s="49"/>
      <c r="BJ529" s="49"/>
      <c r="BK529" s="49"/>
      <c r="BL529" s="49"/>
      <c r="BM529" s="49"/>
      <c r="BN529" s="49"/>
    </row>
    <row r="530" spans="31:66">
      <c r="AE530" s="49"/>
      <c r="AF530" s="49"/>
      <c r="AG530" s="49"/>
      <c r="AH530" s="49"/>
      <c r="AI530" s="49"/>
      <c r="AJ530" s="49"/>
      <c r="AK530" s="49"/>
      <c r="AL530" s="49"/>
      <c r="AM530" s="49"/>
      <c r="AN530" s="49"/>
      <c r="AO530" s="49"/>
      <c r="AP530" s="49"/>
      <c r="AQ530" s="49"/>
      <c r="AR530" s="49"/>
      <c r="AS530" s="49"/>
      <c r="AT530" s="49"/>
      <c r="AU530" s="49"/>
      <c r="AV530" s="49"/>
      <c r="AW530" s="49"/>
      <c r="AX530" s="49"/>
      <c r="AY530" s="49"/>
      <c r="AZ530" s="49"/>
      <c r="BA530" s="49"/>
      <c r="BB530" s="49"/>
      <c r="BC530" s="49"/>
      <c r="BD530" s="49"/>
      <c r="BE530" s="49"/>
      <c r="BF530" s="49"/>
      <c r="BG530" s="49"/>
      <c r="BH530" s="49"/>
      <c r="BI530" s="49"/>
      <c r="BJ530" s="49"/>
      <c r="BK530" s="49"/>
      <c r="BL530" s="49"/>
      <c r="BM530" s="49"/>
      <c r="BN530" s="49"/>
    </row>
    <row r="531" spans="31:66">
      <c r="AE531" s="49"/>
      <c r="AF531" s="49"/>
      <c r="AG531" s="49"/>
      <c r="AH531" s="49"/>
      <c r="AI531" s="49"/>
      <c r="AJ531" s="49"/>
      <c r="AK531" s="49"/>
      <c r="AL531" s="49"/>
      <c r="AM531" s="49"/>
      <c r="AN531" s="49"/>
      <c r="AO531" s="49"/>
      <c r="AP531" s="49"/>
      <c r="AQ531" s="49"/>
      <c r="AR531" s="49"/>
      <c r="AS531" s="49"/>
      <c r="AT531" s="49"/>
      <c r="AU531" s="49"/>
      <c r="AV531" s="49"/>
      <c r="AW531" s="49"/>
      <c r="AX531" s="49"/>
      <c r="AY531" s="49"/>
      <c r="AZ531" s="49"/>
      <c r="BA531" s="49"/>
      <c r="BB531" s="49"/>
      <c r="BC531" s="49"/>
      <c r="BD531" s="49"/>
      <c r="BE531" s="49"/>
      <c r="BF531" s="49"/>
      <c r="BG531" s="49"/>
      <c r="BH531" s="49"/>
      <c r="BI531" s="49"/>
      <c r="BJ531" s="49"/>
      <c r="BK531" s="49"/>
      <c r="BL531" s="49"/>
      <c r="BM531" s="49"/>
      <c r="BN531" s="49"/>
    </row>
    <row r="532" spans="31:66">
      <c r="AE532" s="49"/>
      <c r="AF532" s="49"/>
      <c r="AG532" s="49"/>
      <c r="AH532" s="49"/>
      <c r="AI532" s="49"/>
      <c r="AJ532" s="49"/>
      <c r="AK532" s="49"/>
      <c r="AL532" s="49"/>
      <c r="AM532" s="49"/>
      <c r="AN532" s="49"/>
      <c r="AO532" s="49"/>
      <c r="AP532" s="49"/>
      <c r="AQ532" s="49"/>
      <c r="AR532" s="49"/>
      <c r="AS532" s="49"/>
      <c r="AT532" s="49"/>
      <c r="AU532" s="49"/>
      <c r="AV532" s="49"/>
      <c r="AW532" s="49"/>
      <c r="AX532" s="49"/>
      <c r="AY532" s="49"/>
      <c r="AZ532" s="49"/>
      <c r="BA532" s="49"/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</row>
    <row r="533" spans="31:66">
      <c r="AE533" s="49"/>
      <c r="AF533" s="49"/>
      <c r="AG533" s="49"/>
      <c r="AH533" s="49"/>
      <c r="AI533" s="49"/>
      <c r="AJ533" s="49"/>
      <c r="AK533" s="49"/>
      <c r="AL533" s="49"/>
      <c r="AM533" s="49"/>
      <c r="AN533" s="49"/>
      <c r="AO533" s="49"/>
      <c r="AP533" s="49"/>
      <c r="AQ533" s="49"/>
      <c r="AR533" s="49"/>
      <c r="AS533" s="49"/>
      <c r="AT533" s="49"/>
      <c r="AU533" s="49"/>
      <c r="AV533" s="49"/>
      <c r="AW533" s="49"/>
      <c r="AX533" s="49"/>
      <c r="AY533" s="49"/>
      <c r="AZ533" s="49"/>
      <c r="BA533" s="49"/>
      <c r="BB533" s="49"/>
      <c r="BC533" s="49"/>
      <c r="BD533" s="49"/>
      <c r="BE533" s="49"/>
      <c r="BF533" s="49"/>
      <c r="BG533" s="49"/>
      <c r="BH533" s="49"/>
      <c r="BI533" s="49"/>
      <c r="BJ533" s="49"/>
      <c r="BK533" s="49"/>
      <c r="BL533" s="49"/>
      <c r="BM533" s="49"/>
      <c r="BN533" s="49"/>
    </row>
    <row r="534" spans="31:66">
      <c r="AE534" s="49"/>
      <c r="AF534" s="49"/>
      <c r="AG534" s="49"/>
      <c r="AH534" s="49"/>
      <c r="AI534" s="49"/>
      <c r="AJ534" s="49"/>
      <c r="AK534" s="49"/>
      <c r="AL534" s="49"/>
      <c r="AM534" s="49"/>
      <c r="AN534" s="49"/>
      <c r="AO534" s="49"/>
      <c r="AP534" s="49"/>
      <c r="AQ534" s="49"/>
      <c r="AR534" s="49"/>
      <c r="AS534" s="49"/>
      <c r="AT534" s="49"/>
      <c r="AU534" s="49"/>
      <c r="AV534" s="49"/>
      <c r="AW534" s="49"/>
      <c r="AX534" s="49"/>
      <c r="AY534" s="49"/>
      <c r="AZ534" s="49"/>
      <c r="BA534" s="49"/>
      <c r="BB534" s="49"/>
      <c r="BC534" s="49"/>
      <c r="BD534" s="49"/>
      <c r="BE534" s="49"/>
      <c r="BF534" s="49"/>
      <c r="BG534" s="49"/>
      <c r="BH534" s="49"/>
      <c r="BI534" s="49"/>
      <c r="BJ534" s="49"/>
      <c r="BK534" s="49"/>
      <c r="BL534" s="49"/>
      <c r="BM534" s="49"/>
      <c r="BN534" s="49"/>
    </row>
    <row r="535" spans="31:66">
      <c r="AE535" s="49"/>
      <c r="AF535" s="49"/>
      <c r="AG535" s="49"/>
      <c r="AH535" s="49"/>
      <c r="AI535" s="49"/>
      <c r="AJ535" s="49"/>
      <c r="AK535" s="49"/>
      <c r="AL535" s="49"/>
      <c r="AM535" s="49"/>
      <c r="AN535" s="49"/>
      <c r="AO535" s="49"/>
      <c r="AP535" s="49"/>
      <c r="AQ535" s="49"/>
      <c r="AR535" s="49"/>
      <c r="AS535" s="49"/>
      <c r="AT535" s="49"/>
      <c r="AU535" s="49"/>
      <c r="AV535" s="49"/>
      <c r="AW535" s="49"/>
      <c r="AX535" s="49"/>
      <c r="AY535" s="49"/>
      <c r="AZ535" s="49"/>
      <c r="BA535" s="49"/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</row>
    <row r="536" spans="31:66">
      <c r="AE536" s="49"/>
      <c r="AF536" s="49"/>
      <c r="AG536" s="49"/>
      <c r="AH536" s="49"/>
      <c r="AI536" s="49"/>
      <c r="AJ536" s="49"/>
      <c r="AK536" s="49"/>
      <c r="AL536" s="49"/>
      <c r="AM536" s="49"/>
      <c r="AN536" s="49"/>
      <c r="AO536" s="49"/>
      <c r="AP536" s="49"/>
      <c r="AQ536" s="49"/>
      <c r="AR536" s="49"/>
      <c r="AS536" s="49"/>
      <c r="AT536" s="49"/>
      <c r="AU536" s="49"/>
      <c r="AV536" s="49"/>
      <c r="AW536" s="49"/>
      <c r="AX536" s="49"/>
      <c r="AY536" s="49"/>
      <c r="AZ536" s="49"/>
      <c r="BA536" s="49"/>
      <c r="BB536" s="49"/>
      <c r="BC536" s="49"/>
      <c r="BD536" s="49"/>
      <c r="BE536" s="49"/>
      <c r="BF536" s="49"/>
      <c r="BG536" s="49"/>
      <c r="BH536" s="49"/>
      <c r="BI536" s="49"/>
      <c r="BJ536" s="49"/>
      <c r="BK536" s="49"/>
      <c r="BL536" s="49"/>
      <c r="BM536" s="49"/>
      <c r="BN536" s="49"/>
    </row>
    <row r="537" spans="31:66">
      <c r="AE537" s="49"/>
      <c r="AF537" s="49"/>
      <c r="AG537" s="49"/>
      <c r="AH537" s="49"/>
      <c r="AI537" s="49"/>
      <c r="AJ537" s="49"/>
      <c r="AK537" s="49"/>
      <c r="AL537" s="49"/>
      <c r="AM537" s="49"/>
      <c r="AN537" s="49"/>
      <c r="AO537" s="49"/>
      <c r="AP537" s="49"/>
      <c r="AQ537" s="49"/>
      <c r="AR537" s="49"/>
      <c r="AS537" s="49"/>
      <c r="AT537" s="49"/>
      <c r="AU537" s="49"/>
      <c r="AV537" s="49"/>
      <c r="AW537" s="49"/>
      <c r="AX537" s="49"/>
      <c r="AY537" s="49"/>
      <c r="AZ537" s="49"/>
      <c r="BA537" s="49"/>
      <c r="BB537" s="49"/>
      <c r="BC537" s="49"/>
      <c r="BD537" s="49"/>
      <c r="BE537" s="49"/>
      <c r="BF537" s="49"/>
      <c r="BG537" s="49"/>
      <c r="BH537" s="49"/>
      <c r="BI537" s="49"/>
      <c r="BJ537" s="49"/>
      <c r="BK537" s="49"/>
      <c r="BL537" s="49"/>
      <c r="BM537" s="49"/>
      <c r="BN537" s="49"/>
    </row>
    <row r="538" spans="31:66">
      <c r="AE538" s="49"/>
      <c r="AF538" s="49"/>
      <c r="AG538" s="49"/>
      <c r="AH538" s="49"/>
      <c r="AI538" s="49"/>
      <c r="AJ538" s="49"/>
      <c r="AK538" s="49"/>
      <c r="AL538" s="49"/>
      <c r="AM538" s="49"/>
      <c r="AN538" s="49"/>
      <c r="AO538" s="49"/>
      <c r="AP538" s="49"/>
      <c r="AQ538" s="49"/>
      <c r="AR538" s="49"/>
      <c r="AS538" s="49"/>
      <c r="AT538" s="49"/>
      <c r="AU538" s="49"/>
      <c r="AV538" s="49"/>
      <c r="AW538" s="49"/>
      <c r="AX538" s="49"/>
      <c r="AY538" s="49"/>
      <c r="AZ538" s="49"/>
      <c r="BA538" s="49"/>
      <c r="BB538" s="49"/>
      <c r="BC538" s="49"/>
      <c r="BD538" s="49"/>
      <c r="BE538" s="49"/>
      <c r="BF538" s="49"/>
      <c r="BG538" s="49"/>
      <c r="BH538" s="49"/>
      <c r="BI538" s="49"/>
      <c r="BJ538" s="49"/>
      <c r="BK538" s="49"/>
      <c r="BL538" s="49"/>
      <c r="BM538" s="49"/>
      <c r="BN538" s="49"/>
    </row>
    <row r="539" spans="31:66">
      <c r="AE539" s="49"/>
      <c r="AF539" s="49"/>
      <c r="AG539" s="49"/>
      <c r="AH539" s="49"/>
      <c r="AI539" s="49"/>
      <c r="AJ539" s="49"/>
      <c r="AK539" s="49"/>
      <c r="AL539" s="49"/>
      <c r="AM539" s="49"/>
      <c r="AN539" s="49"/>
      <c r="AO539" s="49"/>
      <c r="AP539" s="49"/>
      <c r="AQ539" s="49"/>
      <c r="AR539" s="49"/>
      <c r="AS539" s="49"/>
      <c r="AT539" s="49"/>
      <c r="AU539" s="49"/>
      <c r="AV539" s="49"/>
      <c r="AW539" s="49"/>
      <c r="AX539" s="49"/>
      <c r="AY539" s="49"/>
      <c r="AZ539" s="49"/>
      <c r="BA539" s="49"/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</row>
    <row r="540" spans="31:66">
      <c r="AE540" s="49"/>
      <c r="AF540" s="49"/>
      <c r="AG540" s="49"/>
      <c r="AH540" s="49"/>
      <c r="AI540" s="49"/>
      <c r="AJ540" s="49"/>
      <c r="AK540" s="49"/>
      <c r="AL540" s="49"/>
      <c r="AM540" s="49"/>
      <c r="AN540" s="49"/>
      <c r="AO540" s="49"/>
      <c r="AP540" s="49"/>
      <c r="AQ540" s="49"/>
      <c r="AR540" s="49"/>
      <c r="AS540" s="49"/>
      <c r="AT540" s="49"/>
      <c r="AU540" s="49"/>
      <c r="AV540" s="49"/>
      <c r="AW540" s="49"/>
      <c r="AX540" s="49"/>
      <c r="AY540" s="49"/>
      <c r="AZ540" s="49"/>
      <c r="BA540" s="49"/>
      <c r="BB540" s="49"/>
      <c r="BC540" s="49"/>
      <c r="BD540" s="49"/>
      <c r="BE540" s="49"/>
      <c r="BF540" s="49"/>
      <c r="BG540" s="49"/>
      <c r="BH540" s="49"/>
      <c r="BI540" s="49"/>
      <c r="BJ540" s="49"/>
      <c r="BK540" s="49"/>
      <c r="BL540" s="49"/>
      <c r="BM540" s="49"/>
      <c r="BN540" s="49"/>
    </row>
    <row r="541" spans="31:66">
      <c r="AE541" s="49"/>
      <c r="AF541" s="49"/>
      <c r="AG541" s="49"/>
      <c r="AH541" s="49"/>
      <c r="AI541" s="49"/>
      <c r="AJ541" s="49"/>
      <c r="AK541" s="49"/>
      <c r="AL541" s="49"/>
      <c r="AM541" s="49"/>
      <c r="AN541" s="49"/>
      <c r="AO541" s="49"/>
      <c r="AP541" s="49"/>
      <c r="AQ541" s="49"/>
      <c r="AR541" s="49"/>
      <c r="AS541" s="49"/>
      <c r="AT541" s="49"/>
      <c r="AU541" s="49"/>
      <c r="AV541" s="49"/>
      <c r="AW541" s="49"/>
      <c r="AX541" s="49"/>
      <c r="AY541" s="49"/>
      <c r="AZ541" s="49"/>
      <c r="BA541" s="49"/>
      <c r="BB541" s="49"/>
      <c r="BC541" s="49"/>
      <c r="BD541" s="49"/>
      <c r="BE541" s="49"/>
      <c r="BF541" s="49"/>
      <c r="BG541" s="49"/>
      <c r="BH541" s="49"/>
      <c r="BI541" s="49"/>
      <c r="BJ541" s="49"/>
      <c r="BK541" s="49"/>
      <c r="BL541" s="49"/>
      <c r="BM541" s="49"/>
      <c r="BN541" s="49"/>
    </row>
    <row r="542" spans="31:66">
      <c r="AE542" s="49"/>
      <c r="AF542" s="49"/>
      <c r="AG542" s="49"/>
      <c r="AH542" s="49"/>
      <c r="AI542" s="49"/>
      <c r="AJ542" s="49"/>
      <c r="AK542" s="49"/>
      <c r="AL542" s="49"/>
      <c r="AM542" s="49"/>
      <c r="AN542" s="49"/>
      <c r="AO542" s="49"/>
      <c r="AP542" s="49"/>
      <c r="AQ542" s="49"/>
      <c r="AR542" s="49"/>
      <c r="AS542" s="49"/>
      <c r="AT542" s="49"/>
      <c r="AU542" s="49"/>
      <c r="AV542" s="49"/>
      <c r="AW542" s="49"/>
      <c r="AX542" s="49"/>
      <c r="AY542" s="49"/>
      <c r="AZ542" s="49"/>
      <c r="BA542" s="49"/>
      <c r="BB542" s="49"/>
      <c r="BC542" s="49"/>
      <c r="BD542" s="49"/>
      <c r="BE542" s="49"/>
      <c r="BF542" s="49"/>
      <c r="BG542" s="49"/>
      <c r="BH542" s="49"/>
      <c r="BI542" s="49"/>
      <c r="BJ542" s="49"/>
      <c r="BK542" s="49"/>
      <c r="BL542" s="49"/>
      <c r="BM542" s="49"/>
      <c r="BN542" s="49"/>
    </row>
    <row r="543" spans="31:66">
      <c r="AE543" s="49"/>
      <c r="AF543" s="49"/>
      <c r="AG543" s="49"/>
      <c r="AH543" s="49"/>
      <c r="AI543" s="49"/>
      <c r="AJ543" s="49"/>
      <c r="AK543" s="49"/>
      <c r="AL543" s="49"/>
      <c r="AM543" s="49"/>
      <c r="AN543" s="49"/>
      <c r="AO543" s="49"/>
      <c r="AP543" s="49"/>
      <c r="AQ543" s="49"/>
      <c r="AR543" s="49"/>
      <c r="AS543" s="49"/>
      <c r="AT543" s="49"/>
      <c r="AU543" s="49"/>
      <c r="AV543" s="49"/>
      <c r="AW543" s="49"/>
      <c r="AX543" s="49"/>
      <c r="AY543" s="49"/>
      <c r="AZ543" s="49"/>
      <c r="BA543" s="49"/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</row>
    <row r="544" spans="31:66">
      <c r="AE544" s="49"/>
      <c r="AF544" s="49"/>
      <c r="AG544" s="49"/>
      <c r="AH544" s="49"/>
      <c r="AI544" s="49"/>
      <c r="AJ544" s="49"/>
      <c r="AK544" s="49"/>
      <c r="AL544" s="49"/>
      <c r="AM544" s="49"/>
      <c r="AN544" s="49"/>
      <c r="AO544" s="49"/>
      <c r="AP544" s="49"/>
      <c r="AQ544" s="49"/>
      <c r="AR544" s="49"/>
      <c r="AS544" s="49"/>
      <c r="AT544" s="49"/>
      <c r="AU544" s="49"/>
      <c r="AV544" s="49"/>
      <c r="AW544" s="49"/>
      <c r="AX544" s="49"/>
      <c r="AY544" s="49"/>
      <c r="AZ544" s="49"/>
      <c r="BA544" s="49"/>
      <c r="BB544" s="49"/>
      <c r="BC544" s="49"/>
      <c r="BD544" s="49"/>
      <c r="BE544" s="49"/>
      <c r="BF544" s="49"/>
      <c r="BG544" s="49"/>
      <c r="BH544" s="49"/>
      <c r="BI544" s="49"/>
      <c r="BJ544" s="49"/>
      <c r="BK544" s="49"/>
      <c r="BL544" s="49"/>
      <c r="BM544" s="49"/>
      <c r="BN544" s="49"/>
    </row>
    <row r="545" spans="1:66">
      <c r="A545" s="699"/>
      <c r="B545" s="699"/>
      <c r="C545" s="699"/>
      <c r="D545" s="699"/>
      <c r="E545" s="699"/>
      <c r="F545" s="699"/>
      <c r="G545" s="699"/>
      <c r="H545" s="699"/>
      <c r="I545" s="699"/>
      <c r="J545" s="699"/>
      <c r="K545" s="699"/>
      <c r="L545" s="699"/>
      <c r="M545" s="699"/>
      <c r="N545" s="699"/>
      <c r="O545" s="699"/>
      <c r="P545" s="699"/>
      <c r="Q545" s="699"/>
      <c r="R545" s="699"/>
      <c r="S545" s="699"/>
      <c r="T545" s="699"/>
      <c r="U545" s="699"/>
      <c r="V545" s="699"/>
      <c r="W545" s="699"/>
      <c r="X545" s="699"/>
      <c r="Y545" s="699"/>
      <c r="Z545" s="699"/>
      <c r="AA545" s="699"/>
      <c r="AB545" s="699"/>
      <c r="AC545" s="699"/>
      <c r="AD545" s="699"/>
      <c r="AE545" s="49"/>
      <c r="AF545" s="49"/>
      <c r="AG545" s="49"/>
      <c r="AH545" s="49"/>
      <c r="AI545" s="49"/>
      <c r="AJ545" s="49"/>
      <c r="AK545" s="49"/>
      <c r="AL545" s="49"/>
      <c r="AM545" s="49"/>
      <c r="AN545" s="49"/>
      <c r="AO545" s="49"/>
      <c r="AP545" s="49"/>
      <c r="AQ545" s="49"/>
      <c r="AR545" s="49"/>
      <c r="AS545" s="49"/>
      <c r="AT545" s="49"/>
      <c r="AU545" s="49"/>
      <c r="AV545" s="49"/>
      <c r="AW545" s="49"/>
      <c r="AX545" s="49"/>
      <c r="AY545" s="49"/>
      <c r="AZ545" s="49"/>
      <c r="BA545" s="49"/>
      <c r="BB545" s="49"/>
      <c r="BC545" s="49"/>
      <c r="BD545" s="49"/>
      <c r="BE545" s="49"/>
      <c r="BF545" s="49"/>
      <c r="BG545" s="49"/>
      <c r="BH545" s="49"/>
      <c r="BI545" s="49"/>
      <c r="BJ545" s="49"/>
      <c r="BK545" s="49"/>
      <c r="BL545" s="49"/>
      <c r="BM545" s="49"/>
      <c r="BN545" s="49"/>
    </row>
    <row r="546" spans="1:66">
      <c r="A546" s="699"/>
      <c r="B546" s="699"/>
      <c r="C546" s="699"/>
      <c r="D546" s="699"/>
      <c r="E546" s="699"/>
      <c r="F546" s="699"/>
      <c r="G546" s="699"/>
      <c r="H546" s="699"/>
      <c r="I546" s="699"/>
      <c r="J546" s="699"/>
      <c r="K546" s="699"/>
      <c r="L546" s="699"/>
      <c r="M546" s="699"/>
      <c r="N546" s="699"/>
      <c r="O546" s="699"/>
      <c r="P546" s="699"/>
      <c r="Q546" s="699"/>
      <c r="R546" s="699"/>
      <c r="S546" s="699"/>
      <c r="T546" s="699"/>
      <c r="U546" s="699"/>
      <c r="V546" s="699"/>
      <c r="W546" s="699"/>
      <c r="X546" s="699"/>
      <c r="Y546" s="699"/>
      <c r="Z546" s="699"/>
      <c r="AA546" s="699"/>
      <c r="AB546" s="699"/>
      <c r="AC546" s="699"/>
      <c r="AD546" s="699"/>
      <c r="AE546" s="49"/>
      <c r="AF546" s="49"/>
      <c r="AG546" s="49"/>
      <c r="AH546" s="49"/>
      <c r="AI546" s="49"/>
      <c r="AJ546" s="49"/>
      <c r="AK546" s="49"/>
      <c r="AL546" s="49"/>
      <c r="AM546" s="49"/>
      <c r="AN546" s="49"/>
      <c r="AO546" s="49"/>
      <c r="AP546" s="49"/>
      <c r="AQ546" s="49"/>
      <c r="AR546" s="49"/>
      <c r="AS546" s="49"/>
      <c r="AT546" s="49"/>
      <c r="AU546" s="49"/>
      <c r="AV546" s="49"/>
      <c r="AW546" s="49"/>
      <c r="AX546" s="49"/>
      <c r="AY546" s="49"/>
      <c r="AZ546" s="49"/>
      <c r="BA546" s="49"/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</row>
    <row r="547" spans="1:66">
      <c r="A547" s="699"/>
      <c r="B547" s="699"/>
      <c r="C547" s="699"/>
      <c r="D547" s="699"/>
      <c r="E547" s="699"/>
      <c r="F547" s="699"/>
      <c r="G547" s="699"/>
      <c r="H547" s="699"/>
      <c r="I547" s="699"/>
      <c r="J547" s="699"/>
      <c r="K547" s="699"/>
      <c r="L547" s="699"/>
      <c r="M547" s="699"/>
      <c r="N547" s="699"/>
      <c r="O547" s="699"/>
      <c r="P547" s="699"/>
      <c r="Q547" s="699"/>
      <c r="R547" s="699"/>
      <c r="S547" s="699"/>
      <c r="T547" s="699"/>
      <c r="U547" s="699"/>
      <c r="V547" s="699"/>
      <c r="W547" s="699"/>
      <c r="X547" s="699"/>
      <c r="Y547" s="699"/>
      <c r="Z547" s="699"/>
      <c r="AA547" s="699"/>
      <c r="AB547" s="699"/>
      <c r="AC547" s="699"/>
      <c r="AD547" s="699"/>
      <c r="AE547" s="49"/>
      <c r="AF547" s="49"/>
      <c r="AG547" s="49"/>
      <c r="AH547" s="49"/>
      <c r="AI547" s="49"/>
      <c r="AJ547" s="49"/>
      <c r="AK547" s="49"/>
      <c r="AL547" s="49"/>
      <c r="AM547" s="49"/>
      <c r="AN547" s="49"/>
      <c r="AO547" s="49"/>
      <c r="AP547" s="49"/>
      <c r="AQ547" s="49"/>
      <c r="AR547" s="49"/>
      <c r="AS547" s="49"/>
      <c r="AT547" s="49"/>
      <c r="AU547" s="49"/>
      <c r="AV547" s="49"/>
      <c r="AW547" s="49"/>
      <c r="AX547" s="49"/>
      <c r="AY547" s="49"/>
      <c r="AZ547" s="49"/>
      <c r="BA547" s="49"/>
      <c r="BB547" s="49"/>
      <c r="BC547" s="49"/>
      <c r="BD547" s="49"/>
      <c r="BE547" s="49"/>
      <c r="BF547" s="49"/>
      <c r="BG547" s="49"/>
      <c r="BH547" s="49"/>
      <c r="BI547" s="49"/>
      <c r="BJ547" s="49"/>
      <c r="BK547" s="49"/>
      <c r="BL547" s="49"/>
      <c r="BM547" s="49"/>
      <c r="BN547" s="49"/>
    </row>
    <row r="548" spans="1:66">
      <c r="A548" s="699"/>
      <c r="B548" s="699"/>
      <c r="C548" s="699"/>
      <c r="D548" s="699"/>
      <c r="E548" s="699"/>
      <c r="F548" s="699"/>
      <c r="G548" s="699"/>
      <c r="H548" s="699"/>
      <c r="I548" s="699"/>
      <c r="J548" s="699"/>
      <c r="K548" s="699"/>
      <c r="L548" s="699"/>
      <c r="M548" s="699"/>
      <c r="N548" s="699"/>
      <c r="O548" s="699"/>
      <c r="P548" s="699"/>
      <c r="Q548" s="699"/>
      <c r="R548" s="699"/>
      <c r="S548" s="699"/>
      <c r="T548" s="699"/>
      <c r="U548" s="699"/>
      <c r="V548" s="699"/>
      <c r="W548" s="699"/>
      <c r="X548" s="699"/>
      <c r="Y548" s="699"/>
      <c r="Z548" s="699"/>
      <c r="AA548" s="699"/>
      <c r="AB548" s="699"/>
      <c r="AC548" s="699"/>
      <c r="AD548" s="699"/>
      <c r="AE548" s="49"/>
      <c r="AF548" s="49"/>
      <c r="AG548" s="49"/>
      <c r="AH548" s="49"/>
      <c r="AI548" s="49"/>
      <c r="AJ548" s="49"/>
      <c r="AK548" s="49"/>
      <c r="AL548" s="49"/>
      <c r="AM548" s="49"/>
      <c r="AN548" s="49"/>
      <c r="AO548" s="49"/>
      <c r="AP548" s="49"/>
      <c r="AQ548" s="49"/>
      <c r="AR548" s="49"/>
      <c r="AS548" s="49"/>
      <c r="AT548" s="49"/>
      <c r="AU548" s="49"/>
      <c r="AV548" s="49"/>
      <c r="AW548" s="49"/>
      <c r="AX548" s="49"/>
      <c r="AY548" s="49"/>
      <c r="AZ548" s="49"/>
      <c r="BA548" s="49"/>
      <c r="BB548" s="49"/>
      <c r="BC548" s="49"/>
      <c r="BD548" s="49"/>
      <c r="BE548" s="49"/>
      <c r="BF548" s="49"/>
      <c r="BG548" s="49"/>
      <c r="BH548" s="49"/>
      <c r="BI548" s="49"/>
      <c r="BJ548" s="49"/>
      <c r="BK548" s="49"/>
      <c r="BL548" s="49"/>
      <c r="BM548" s="49"/>
      <c r="BN548" s="49"/>
    </row>
    <row r="549" spans="1:66">
      <c r="A549" s="699"/>
      <c r="B549" s="699"/>
      <c r="C549" s="699"/>
      <c r="D549" s="699"/>
      <c r="E549" s="699"/>
      <c r="F549" s="699"/>
      <c r="G549" s="699"/>
      <c r="H549" s="699"/>
      <c r="I549" s="699"/>
      <c r="J549" s="699"/>
      <c r="K549" s="699"/>
      <c r="L549" s="699"/>
      <c r="M549" s="699"/>
      <c r="N549" s="699"/>
      <c r="O549" s="699"/>
      <c r="P549" s="699"/>
      <c r="Q549" s="699"/>
      <c r="R549" s="699"/>
      <c r="S549" s="699"/>
      <c r="T549" s="699"/>
      <c r="U549" s="699"/>
      <c r="V549" s="699"/>
      <c r="W549" s="699"/>
      <c r="X549" s="699"/>
      <c r="Y549" s="699"/>
      <c r="Z549" s="699"/>
      <c r="AA549" s="699"/>
      <c r="AB549" s="699"/>
      <c r="AC549" s="699"/>
      <c r="AD549" s="699"/>
      <c r="AE549" s="49"/>
      <c r="AF549" s="49"/>
      <c r="AG549" s="49"/>
      <c r="AH549" s="49"/>
      <c r="AI549" s="49"/>
      <c r="AJ549" s="49"/>
      <c r="AK549" s="49"/>
      <c r="AL549" s="49"/>
      <c r="AM549" s="49"/>
      <c r="AN549" s="49"/>
      <c r="AO549" s="49"/>
      <c r="AP549" s="49"/>
      <c r="AQ549" s="49"/>
      <c r="AR549" s="49"/>
      <c r="AS549" s="49"/>
      <c r="AT549" s="49"/>
      <c r="AU549" s="49"/>
      <c r="AV549" s="49"/>
      <c r="AW549" s="49"/>
      <c r="AX549" s="49"/>
      <c r="AY549" s="49"/>
      <c r="AZ549" s="49"/>
      <c r="BA549" s="49"/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</row>
    <row r="550" spans="1:66">
      <c r="A550" s="699"/>
      <c r="B550" s="699"/>
      <c r="C550" s="699"/>
      <c r="D550" s="699"/>
      <c r="E550" s="699"/>
      <c r="F550" s="699"/>
      <c r="G550" s="699"/>
      <c r="H550" s="699"/>
      <c r="I550" s="699"/>
      <c r="J550" s="699"/>
      <c r="K550" s="699"/>
      <c r="L550" s="699"/>
      <c r="M550" s="699"/>
      <c r="N550" s="699"/>
      <c r="O550" s="699"/>
      <c r="P550" s="699"/>
      <c r="Q550" s="699"/>
      <c r="R550" s="699"/>
      <c r="S550" s="699"/>
      <c r="T550" s="699"/>
      <c r="U550" s="699"/>
      <c r="V550" s="699"/>
      <c r="W550" s="699"/>
      <c r="X550" s="699"/>
      <c r="Y550" s="699"/>
      <c r="Z550" s="699"/>
      <c r="AA550" s="699"/>
      <c r="AB550" s="699"/>
      <c r="AC550" s="699"/>
      <c r="AD550" s="699"/>
      <c r="AE550" s="49"/>
      <c r="AF550" s="49"/>
      <c r="AG550" s="49"/>
      <c r="AH550" s="49"/>
      <c r="AI550" s="49"/>
      <c r="AJ550" s="49"/>
      <c r="AK550" s="49"/>
      <c r="AL550" s="49"/>
      <c r="AM550" s="49"/>
      <c r="AN550" s="49"/>
      <c r="AO550" s="49"/>
      <c r="AP550" s="49"/>
      <c r="AQ550" s="49"/>
      <c r="AR550" s="49"/>
      <c r="AS550" s="49"/>
      <c r="AT550" s="49"/>
      <c r="AU550" s="49"/>
      <c r="AV550" s="49"/>
      <c r="AW550" s="49"/>
      <c r="AX550" s="49"/>
      <c r="AY550" s="49"/>
      <c r="AZ550" s="49"/>
      <c r="BA550" s="49"/>
      <c r="BB550" s="49"/>
      <c r="BC550" s="49"/>
      <c r="BD550" s="49"/>
      <c r="BE550" s="49"/>
      <c r="BF550" s="49"/>
      <c r="BG550" s="49"/>
      <c r="BH550" s="49"/>
      <c r="BI550" s="49"/>
      <c r="BJ550" s="49"/>
      <c r="BK550" s="49"/>
      <c r="BL550" s="49"/>
      <c r="BM550" s="49"/>
      <c r="BN550" s="49"/>
    </row>
    <row r="551" spans="1:66">
      <c r="A551" s="699"/>
      <c r="B551" s="699"/>
      <c r="C551" s="699"/>
      <c r="D551" s="699"/>
      <c r="E551" s="699"/>
      <c r="F551" s="699"/>
      <c r="G551" s="699"/>
      <c r="H551" s="699"/>
      <c r="I551" s="699"/>
      <c r="J551" s="699"/>
      <c r="K551" s="699"/>
      <c r="L551" s="699"/>
      <c r="M551" s="699"/>
      <c r="N551" s="699"/>
      <c r="O551" s="699"/>
      <c r="P551" s="699"/>
      <c r="Q551" s="699"/>
      <c r="R551" s="699"/>
      <c r="S551" s="699"/>
      <c r="T551" s="699"/>
      <c r="U551" s="699"/>
      <c r="V551" s="699"/>
      <c r="W551" s="699"/>
      <c r="X551" s="699"/>
      <c r="Y551" s="699"/>
      <c r="Z551" s="699"/>
      <c r="AA551" s="699"/>
      <c r="AB551" s="699"/>
      <c r="AC551" s="699"/>
      <c r="AD551" s="699"/>
      <c r="AE551" s="49"/>
      <c r="AF551" s="49"/>
      <c r="AG551" s="49"/>
      <c r="AH551" s="49"/>
      <c r="AI551" s="49"/>
      <c r="AJ551" s="49"/>
      <c r="AK551" s="49"/>
      <c r="AL551" s="49"/>
      <c r="AM551" s="49"/>
      <c r="AN551" s="49"/>
      <c r="AO551" s="49"/>
      <c r="AP551" s="49"/>
      <c r="AQ551" s="49"/>
      <c r="AR551" s="49"/>
      <c r="AS551" s="49"/>
      <c r="AT551" s="49"/>
      <c r="AU551" s="49"/>
      <c r="AV551" s="49"/>
      <c r="AW551" s="49"/>
      <c r="AX551" s="49"/>
      <c r="AY551" s="49"/>
      <c r="AZ551" s="49"/>
      <c r="BA551" s="49"/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</row>
    <row r="552" spans="1:66">
      <c r="A552" s="699"/>
      <c r="B552" s="699"/>
      <c r="C552" s="699"/>
      <c r="D552" s="699"/>
      <c r="E552" s="699"/>
      <c r="F552" s="699"/>
      <c r="G552" s="699"/>
      <c r="H552" s="699"/>
      <c r="I552" s="699"/>
      <c r="J552" s="699"/>
      <c r="K552" s="699"/>
      <c r="L552" s="699"/>
      <c r="M552" s="699"/>
      <c r="N552" s="699"/>
      <c r="O552" s="699"/>
      <c r="P552" s="699"/>
      <c r="Q552" s="699"/>
      <c r="R552" s="699"/>
      <c r="S552" s="699"/>
      <c r="T552" s="699"/>
      <c r="U552" s="699"/>
      <c r="V552" s="699"/>
      <c r="W552" s="699"/>
      <c r="X552" s="699"/>
      <c r="Y552" s="699"/>
      <c r="Z552" s="699"/>
      <c r="AA552" s="699"/>
      <c r="AB552" s="699"/>
      <c r="AC552" s="699"/>
      <c r="AD552" s="699"/>
      <c r="AE552" s="49"/>
      <c r="AF552" s="49"/>
      <c r="AG552" s="49"/>
      <c r="AH552" s="49"/>
      <c r="AI552" s="49"/>
      <c r="AJ552" s="49"/>
      <c r="AK552" s="49"/>
      <c r="AL552" s="49"/>
      <c r="AM552" s="49"/>
      <c r="AN552" s="49"/>
      <c r="AO552" s="49"/>
      <c r="AP552" s="49"/>
      <c r="AQ552" s="49"/>
      <c r="AR552" s="49"/>
      <c r="AS552" s="49"/>
      <c r="AT552" s="49"/>
      <c r="AU552" s="49"/>
      <c r="AV552" s="49"/>
      <c r="AW552" s="49"/>
      <c r="AX552" s="49"/>
      <c r="AY552" s="49"/>
      <c r="AZ552" s="49"/>
      <c r="BA552" s="49"/>
      <c r="BB552" s="49"/>
      <c r="BC552" s="49"/>
      <c r="BD552" s="49"/>
      <c r="BE552" s="49"/>
      <c r="BF552" s="49"/>
      <c r="BG552" s="49"/>
      <c r="BH552" s="49"/>
      <c r="BI552" s="49"/>
      <c r="BJ552" s="49"/>
      <c r="BK552" s="49"/>
      <c r="BL552" s="49"/>
      <c r="BM552" s="49"/>
      <c r="BN552" s="49"/>
    </row>
    <row r="553" spans="1:66">
      <c r="A553" s="699"/>
      <c r="B553" s="699"/>
      <c r="C553" s="699"/>
      <c r="D553" s="699"/>
      <c r="E553" s="699"/>
      <c r="F553" s="699"/>
      <c r="G553" s="699"/>
      <c r="H553" s="699"/>
      <c r="I553" s="699"/>
      <c r="J553" s="699"/>
      <c r="K553" s="699"/>
      <c r="L553" s="699"/>
      <c r="M553" s="699"/>
      <c r="N553" s="699"/>
      <c r="O553" s="699"/>
      <c r="P553" s="699"/>
      <c r="Q553" s="699"/>
      <c r="R553" s="699"/>
      <c r="S553" s="699"/>
      <c r="T553" s="699"/>
      <c r="U553" s="699"/>
      <c r="V553" s="699"/>
      <c r="W553" s="699"/>
      <c r="X553" s="699"/>
      <c r="Y553" s="699"/>
      <c r="Z553" s="699"/>
      <c r="AA553" s="699"/>
      <c r="AB553" s="699"/>
      <c r="AC553" s="699"/>
      <c r="AD553" s="699"/>
      <c r="AE553" s="49"/>
      <c r="AF553" s="49"/>
      <c r="AG553" s="49"/>
      <c r="AH553" s="49"/>
      <c r="AI553" s="49"/>
      <c r="AJ553" s="49"/>
      <c r="AK553" s="49"/>
      <c r="AL553" s="49"/>
      <c r="AM553" s="49"/>
      <c r="AN553" s="49"/>
      <c r="AO553" s="49"/>
      <c r="AP553" s="49"/>
      <c r="AQ553" s="49"/>
      <c r="AR553" s="49"/>
      <c r="AS553" s="49"/>
      <c r="AT553" s="49"/>
      <c r="AU553" s="49"/>
      <c r="AV553" s="49"/>
      <c r="AW553" s="49"/>
      <c r="AX553" s="49"/>
      <c r="AY553" s="49"/>
      <c r="AZ553" s="49"/>
      <c r="BA553" s="49"/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</row>
    <row r="554" spans="1:66">
      <c r="A554" s="699"/>
      <c r="B554" s="699"/>
      <c r="C554" s="699"/>
      <c r="D554" s="699"/>
      <c r="E554" s="699"/>
      <c r="F554" s="699"/>
      <c r="G554" s="699"/>
      <c r="H554" s="699"/>
      <c r="I554" s="699"/>
      <c r="J554" s="699"/>
      <c r="K554" s="699"/>
      <c r="L554" s="699"/>
      <c r="M554" s="699"/>
      <c r="N554" s="699"/>
      <c r="O554" s="699"/>
      <c r="P554" s="699"/>
      <c r="Q554" s="699"/>
      <c r="R554" s="699"/>
      <c r="S554" s="699"/>
      <c r="T554" s="699"/>
      <c r="U554" s="699"/>
      <c r="V554" s="699"/>
      <c r="W554" s="699"/>
      <c r="X554" s="699"/>
      <c r="Y554" s="699"/>
      <c r="Z554" s="699"/>
      <c r="AA554" s="699"/>
      <c r="AB554" s="699"/>
      <c r="AC554" s="699"/>
      <c r="AD554" s="699"/>
      <c r="AE554" s="49"/>
      <c r="AF554" s="49"/>
      <c r="AG554" s="49"/>
      <c r="AH554" s="49"/>
      <c r="AI554" s="49"/>
      <c r="AJ554" s="49"/>
      <c r="AK554" s="49"/>
      <c r="AL554" s="49"/>
      <c r="AM554" s="49"/>
      <c r="AN554" s="49"/>
      <c r="AO554" s="49"/>
      <c r="AP554" s="49"/>
      <c r="AQ554" s="49"/>
      <c r="AR554" s="49"/>
      <c r="AS554" s="49"/>
      <c r="AT554" s="49"/>
      <c r="AU554" s="49"/>
      <c r="AV554" s="49"/>
      <c r="AW554" s="49"/>
      <c r="AX554" s="49"/>
      <c r="AY554" s="49"/>
      <c r="AZ554" s="49"/>
      <c r="BA554" s="49"/>
      <c r="BB554" s="49"/>
      <c r="BC554" s="49"/>
      <c r="BD554" s="49"/>
      <c r="BE554" s="49"/>
      <c r="BF554" s="49"/>
      <c r="BG554" s="49"/>
      <c r="BH554" s="49"/>
      <c r="BI554" s="49"/>
      <c r="BJ554" s="49"/>
      <c r="BK554" s="49"/>
      <c r="BL554" s="49"/>
      <c r="BM554" s="49"/>
      <c r="BN554" s="49"/>
    </row>
    <row r="555" spans="1:66">
      <c r="A555" s="699"/>
      <c r="B555" s="699"/>
      <c r="C555" s="699"/>
      <c r="D555" s="699"/>
      <c r="E555" s="699"/>
      <c r="F555" s="699"/>
      <c r="G555" s="699"/>
      <c r="H555" s="699"/>
      <c r="I555" s="699"/>
      <c r="J555" s="699"/>
      <c r="K555" s="699"/>
      <c r="L555" s="699"/>
      <c r="M555" s="699"/>
      <c r="N555" s="699"/>
      <c r="O555" s="699"/>
      <c r="P555" s="699"/>
      <c r="Q555" s="699"/>
      <c r="R555" s="699"/>
      <c r="S555" s="699"/>
      <c r="T555" s="699"/>
      <c r="U555" s="699"/>
      <c r="V555" s="699"/>
      <c r="W555" s="699"/>
      <c r="X555" s="699"/>
      <c r="Y555" s="699"/>
      <c r="Z555" s="699"/>
      <c r="AA555" s="699"/>
      <c r="AB555" s="699"/>
      <c r="AC555" s="699"/>
      <c r="AD555" s="699"/>
      <c r="AE555" s="49"/>
      <c r="AF555" s="49"/>
      <c r="AG555" s="49"/>
      <c r="AH555" s="49"/>
      <c r="AI555" s="49"/>
      <c r="AJ555" s="49"/>
      <c r="AK555" s="49"/>
      <c r="AL555" s="49"/>
      <c r="AM555" s="49"/>
      <c r="AN555" s="49"/>
      <c r="AO555" s="49"/>
      <c r="AP555" s="49"/>
      <c r="AQ555" s="49"/>
      <c r="AR555" s="49"/>
      <c r="AS555" s="49"/>
      <c r="AT555" s="49"/>
      <c r="AU555" s="49"/>
      <c r="AV555" s="49"/>
      <c r="AW555" s="49"/>
      <c r="AX555" s="49"/>
      <c r="AY555" s="49"/>
      <c r="AZ555" s="49"/>
      <c r="BA555" s="49"/>
      <c r="BB555" s="49"/>
      <c r="BC555" s="49"/>
      <c r="BD555" s="49"/>
      <c r="BE555" s="49"/>
      <c r="BF555" s="49"/>
      <c r="BG555" s="49"/>
      <c r="BH555" s="49"/>
      <c r="BI555" s="49"/>
      <c r="BJ555" s="49"/>
      <c r="BK555" s="49"/>
      <c r="BL555" s="49"/>
      <c r="BM555" s="49"/>
      <c r="BN555" s="49"/>
    </row>
    <row r="556" spans="1:66">
      <c r="A556" s="699"/>
      <c r="B556" s="699"/>
      <c r="C556" s="699"/>
      <c r="D556" s="699"/>
      <c r="E556" s="699"/>
      <c r="F556" s="699"/>
      <c r="G556" s="699"/>
      <c r="H556" s="699"/>
      <c r="I556" s="699"/>
      <c r="J556" s="699"/>
      <c r="K556" s="699"/>
      <c r="L556" s="699"/>
      <c r="M556" s="699"/>
      <c r="N556" s="699"/>
      <c r="O556" s="699"/>
      <c r="P556" s="699"/>
      <c r="Q556" s="699"/>
      <c r="R556" s="699"/>
      <c r="S556" s="699"/>
      <c r="T556" s="699"/>
      <c r="U556" s="699"/>
      <c r="V556" s="699"/>
      <c r="W556" s="699"/>
      <c r="X556" s="699"/>
      <c r="Y556" s="699"/>
      <c r="Z556" s="699"/>
      <c r="AA556" s="699"/>
      <c r="AB556" s="699"/>
      <c r="AC556" s="699"/>
      <c r="AD556" s="699"/>
      <c r="AE556" s="49"/>
      <c r="AF556" s="49"/>
      <c r="AG556" s="49"/>
      <c r="AH556" s="49"/>
      <c r="AI556" s="49"/>
      <c r="AJ556" s="49"/>
      <c r="AK556" s="49"/>
      <c r="AL556" s="49"/>
      <c r="AM556" s="49"/>
      <c r="AN556" s="49"/>
      <c r="AO556" s="49"/>
      <c r="AP556" s="49"/>
      <c r="AQ556" s="49"/>
      <c r="AR556" s="49"/>
      <c r="AS556" s="49"/>
      <c r="AT556" s="49"/>
      <c r="AU556" s="49"/>
      <c r="AV556" s="49"/>
      <c r="AW556" s="49"/>
      <c r="AX556" s="49"/>
      <c r="AY556" s="49"/>
      <c r="AZ556" s="49"/>
      <c r="BA556" s="49"/>
      <c r="BB556" s="49"/>
      <c r="BC556" s="49"/>
      <c r="BD556" s="49"/>
      <c r="BE556" s="49"/>
      <c r="BF556" s="49"/>
      <c r="BG556" s="49"/>
      <c r="BH556" s="49"/>
      <c r="BI556" s="49"/>
      <c r="BJ556" s="49"/>
      <c r="BK556" s="49"/>
      <c r="BL556" s="49"/>
      <c r="BM556" s="49"/>
      <c r="BN556" s="49"/>
    </row>
    <row r="557" spans="1:66">
      <c r="A557" s="699"/>
      <c r="B557" s="699"/>
      <c r="C557" s="699"/>
      <c r="D557" s="699"/>
      <c r="E557" s="699"/>
      <c r="F557" s="699"/>
      <c r="G557" s="699"/>
      <c r="H557" s="699"/>
      <c r="I557" s="699"/>
      <c r="J557" s="699"/>
      <c r="K557" s="699"/>
      <c r="L557" s="699"/>
      <c r="M557" s="699"/>
      <c r="N557" s="699"/>
      <c r="O557" s="699"/>
      <c r="P557" s="699"/>
      <c r="Q557" s="699"/>
      <c r="R557" s="699"/>
      <c r="S557" s="699"/>
      <c r="T557" s="699"/>
      <c r="U557" s="699"/>
      <c r="V557" s="699"/>
      <c r="W557" s="699"/>
      <c r="X557" s="699"/>
      <c r="Y557" s="699"/>
      <c r="Z557" s="699"/>
      <c r="AA557" s="699"/>
      <c r="AB557" s="699"/>
      <c r="AC557" s="699"/>
      <c r="AD557" s="699"/>
      <c r="AE557" s="49"/>
      <c r="AF557" s="49"/>
      <c r="AG557" s="49"/>
      <c r="AH557" s="49"/>
      <c r="AI557" s="49"/>
      <c r="AJ557" s="49"/>
      <c r="AK557" s="49"/>
      <c r="AL557" s="49"/>
      <c r="AM557" s="49"/>
      <c r="AN557" s="49"/>
      <c r="AO557" s="49"/>
      <c r="AP557" s="49"/>
      <c r="AQ557" s="49"/>
      <c r="AR557" s="49"/>
      <c r="AS557" s="49"/>
      <c r="AT557" s="49"/>
      <c r="AU557" s="49"/>
      <c r="AV557" s="49"/>
      <c r="AW557" s="49"/>
      <c r="AX557" s="49"/>
      <c r="AY557" s="49"/>
      <c r="AZ557" s="49"/>
      <c r="BA557" s="49"/>
      <c r="BB557" s="49"/>
      <c r="BC557" s="49"/>
      <c r="BD557" s="49"/>
      <c r="BE557" s="49"/>
      <c r="BF557" s="49"/>
      <c r="BG557" s="49"/>
      <c r="BH557" s="49"/>
      <c r="BI557" s="49"/>
      <c r="BJ557" s="49"/>
      <c r="BK557" s="49"/>
      <c r="BL557" s="49"/>
      <c r="BM557" s="49"/>
      <c r="BN557" s="49"/>
    </row>
    <row r="558" spans="1:66">
      <c r="A558" s="699"/>
      <c r="B558" s="699"/>
      <c r="C558" s="699"/>
      <c r="D558" s="699"/>
      <c r="E558" s="699"/>
      <c r="F558" s="699"/>
      <c r="G558" s="699"/>
      <c r="H558" s="699"/>
      <c r="I558" s="699"/>
      <c r="J558" s="699"/>
      <c r="K558" s="699"/>
      <c r="L558" s="699"/>
      <c r="M558" s="699"/>
      <c r="N558" s="699"/>
      <c r="O558" s="699"/>
      <c r="P558" s="699"/>
      <c r="Q558" s="699"/>
      <c r="R558" s="699"/>
      <c r="S558" s="699"/>
      <c r="T558" s="699"/>
      <c r="U558" s="699"/>
      <c r="V558" s="699"/>
      <c r="W558" s="699"/>
      <c r="X558" s="699"/>
      <c r="Y558" s="699"/>
      <c r="Z558" s="699"/>
      <c r="AA558" s="699"/>
      <c r="AB558" s="699"/>
      <c r="AC558" s="699"/>
      <c r="AD558" s="699"/>
      <c r="AE558" s="49"/>
      <c r="AF558" s="49"/>
      <c r="AG558" s="49"/>
      <c r="AH558" s="49"/>
      <c r="AI558" s="49"/>
      <c r="AJ558" s="49"/>
      <c r="AK558" s="49"/>
      <c r="AL558" s="49"/>
      <c r="AM558" s="49"/>
      <c r="AN558" s="49"/>
      <c r="AO558" s="49"/>
      <c r="AP558" s="49"/>
      <c r="AQ558" s="49"/>
      <c r="AR558" s="49"/>
      <c r="AS558" s="49"/>
      <c r="AT558" s="49"/>
      <c r="AU558" s="49"/>
      <c r="AV558" s="49"/>
      <c r="AW558" s="49"/>
      <c r="AX558" s="49"/>
      <c r="AY558" s="49"/>
      <c r="AZ558" s="49"/>
      <c r="BA558" s="49"/>
      <c r="BB558" s="49"/>
      <c r="BC558" s="49"/>
      <c r="BD558" s="49"/>
      <c r="BE558" s="49"/>
      <c r="BF558" s="49"/>
      <c r="BG558" s="49"/>
      <c r="BH558" s="49"/>
      <c r="BI558" s="49"/>
      <c r="BJ558" s="49"/>
      <c r="BK558" s="49"/>
      <c r="BL558" s="49"/>
      <c r="BM558" s="49"/>
      <c r="BN558" s="49"/>
    </row>
    <row r="559" spans="1:66">
      <c r="A559" s="699"/>
      <c r="B559" s="699"/>
      <c r="C559" s="699"/>
      <c r="D559" s="699"/>
      <c r="E559" s="699"/>
      <c r="F559" s="699"/>
      <c r="G559" s="699"/>
      <c r="H559" s="699"/>
      <c r="I559" s="699"/>
      <c r="J559" s="699"/>
      <c r="K559" s="699"/>
      <c r="L559" s="699"/>
      <c r="M559" s="699"/>
      <c r="N559" s="699"/>
      <c r="O559" s="699"/>
      <c r="P559" s="699"/>
      <c r="Q559" s="699"/>
      <c r="R559" s="699"/>
      <c r="S559" s="699"/>
      <c r="T559" s="699"/>
      <c r="U559" s="699"/>
      <c r="V559" s="699"/>
      <c r="W559" s="699"/>
      <c r="X559" s="699"/>
      <c r="Y559" s="699"/>
      <c r="Z559" s="699"/>
      <c r="AA559" s="699"/>
      <c r="AB559" s="699"/>
      <c r="AC559" s="699"/>
      <c r="AD559" s="699"/>
      <c r="AE559" s="49"/>
      <c r="AF559" s="49"/>
      <c r="AG559" s="49"/>
      <c r="AH559" s="49"/>
      <c r="AI559" s="49"/>
      <c r="AJ559" s="49"/>
      <c r="AK559" s="49"/>
      <c r="AL559" s="49"/>
      <c r="AM559" s="49"/>
      <c r="AN559" s="49"/>
      <c r="AO559" s="49"/>
      <c r="AP559" s="49"/>
      <c r="AQ559" s="49"/>
      <c r="AR559" s="49"/>
      <c r="AS559" s="49"/>
      <c r="AT559" s="49"/>
      <c r="AU559" s="49"/>
      <c r="AV559" s="49"/>
      <c r="AW559" s="49"/>
      <c r="AX559" s="49"/>
      <c r="AY559" s="49"/>
      <c r="AZ559" s="49"/>
      <c r="BA559" s="49"/>
      <c r="BB559" s="49"/>
      <c r="BC559" s="49"/>
      <c r="BD559" s="49"/>
      <c r="BE559" s="49"/>
      <c r="BF559" s="49"/>
      <c r="BG559" s="49"/>
      <c r="BH559" s="49"/>
      <c r="BI559" s="49"/>
      <c r="BJ559" s="49"/>
      <c r="BK559" s="49"/>
      <c r="BL559" s="49"/>
      <c r="BM559" s="49"/>
      <c r="BN559" s="49"/>
    </row>
    <row r="560" spans="1:66">
      <c r="A560" s="699" t="s">
        <v>511</v>
      </c>
      <c r="B560" s="699"/>
      <c r="C560" s="699"/>
      <c r="D560" s="699"/>
      <c r="E560" s="699"/>
      <c r="F560" s="699"/>
      <c r="G560" s="699"/>
      <c r="H560" s="699"/>
      <c r="I560" s="699"/>
      <c r="J560" s="699"/>
      <c r="K560" s="699"/>
      <c r="L560" s="699"/>
      <c r="M560" s="699"/>
      <c r="N560" s="699"/>
      <c r="O560" s="699"/>
      <c r="P560" s="699"/>
      <c r="Q560" s="699"/>
      <c r="R560" s="699"/>
      <c r="S560" s="699"/>
      <c r="T560" s="699"/>
      <c r="U560" s="699"/>
      <c r="V560" s="699"/>
      <c r="W560" s="699"/>
      <c r="X560" s="699"/>
      <c r="Y560" s="699"/>
      <c r="Z560" s="699"/>
      <c r="AA560" s="699"/>
      <c r="AB560" s="699"/>
      <c r="AC560" s="699"/>
      <c r="AD560" s="699"/>
      <c r="AE560" s="49"/>
      <c r="AF560" s="49"/>
      <c r="AG560" s="49"/>
      <c r="AH560" s="49"/>
      <c r="AI560" s="49"/>
      <c r="AJ560" s="49"/>
      <c r="AK560" s="49"/>
      <c r="AL560" s="49"/>
      <c r="AM560" s="49"/>
      <c r="AN560" s="49"/>
      <c r="AO560" s="49"/>
      <c r="AP560" s="49"/>
      <c r="AQ560" s="49"/>
      <c r="AR560" s="49"/>
      <c r="AS560" s="49"/>
      <c r="AT560" s="49"/>
      <c r="AU560" s="49"/>
      <c r="AV560" s="49"/>
      <c r="AW560" s="49"/>
      <c r="AX560" s="49"/>
      <c r="AY560" s="49"/>
      <c r="AZ560" s="49"/>
      <c r="BA560" s="49"/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</row>
    <row r="561" spans="31:66">
      <c r="AE561" s="49"/>
      <c r="AF561" s="49"/>
      <c r="AG561" s="49"/>
      <c r="AH561" s="49"/>
      <c r="AI561" s="49"/>
      <c r="AJ561" s="49"/>
      <c r="AK561" s="49"/>
      <c r="AL561" s="49"/>
      <c r="AM561" s="49"/>
      <c r="AN561" s="49"/>
      <c r="AO561" s="49"/>
      <c r="AP561" s="49"/>
      <c r="AQ561" s="49"/>
      <c r="AR561" s="49"/>
      <c r="AS561" s="49"/>
      <c r="AT561" s="49"/>
      <c r="AU561" s="49"/>
      <c r="AV561" s="49"/>
      <c r="AW561" s="49"/>
      <c r="AX561" s="49"/>
      <c r="AY561" s="49"/>
      <c r="AZ561" s="49"/>
      <c r="BA561" s="49"/>
      <c r="BB561" s="49"/>
      <c r="BC561" s="49"/>
      <c r="BD561" s="49"/>
      <c r="BE561" s="49"/>
      <c r="BF561" s="49"/>
      <c r="BG561" s="49"/>
      <c r="BH561" s="49"/>
      <c r="BI561" s="49"/>
      <c r="BJ561" s="49"/>
      <c r="BK561" s="49"/>
      <c r="BL561" s="49"/>
      <c r="BM561" s="49"/>
      <c r="BN561" s="49"/>
    </row>
    <row r="562" spans="31:66">
      <c r="AE562" s="49"/>
      <c r="AF562" s="49"/>
      <c r="AG562" s="49"/>
      <c r="AH562" s="49"/>
      <c r="AI562" s="49"/>
      <c r="AJ562" s="49"/>
      <c r="AK562" s="49"/>
      <c r="AL562" s="49"/>
      <c r="AM562" s="49"/>
      <c r="AN562" s="49"/>
      <c r="AO562" s="49"/>
      <c r="AP562" s="49"/>
      <c r="AQ562" s="49"/>
      <c r="AR562" s="49"/>
      <c r="AS562" s="49"/>
      <c r="AT562" s="49"/>
      <c r="AU562" s="49"/>
      <c r="AV562" s="49"/>
      <c r="AW562" s="49"/>
      <c r="AX562" s="49"/>
      <c r="AY562" s="49"/>
      <c r="AZ562" s="49"/>
      <c r="BA562" s="49"/>
      <c r="BB562" s="49"/>
      <c r="BC562" s="49"/>
      <c r="BD562" s="49"/>
      <c r="BE562" s="49"/>
      <c r="BF562" s="49"/>
      <c r="BG562" s="49"/>
      <c r="BH562" s="49"/>
      <c r="BI562" s="49"/>
      <c r="BJ562" s="49"/>
      <c r="BK562" s="49"/>
      <c r="BL562" s="49"/>
      <c r="BM562" s="49"/>
      <c r="BN562" s="49"/>
    </row>
    <row r="563" spans="31:66">
      <c r="AE563" s="49"/>
      <c r="AF563" s="49"/>
      <c r="AG563" s="49"/>
      <c r="AH563" s="49"/>
      <c r="AI563" s="49"/>
      <c r="AJ563" s="49"/>
      <c r="AK563" s="49"/>
      <c r="AL563" s="49"/>
      <c r="AM563" s="49"/>
      <c r="AN563" s="49"/>
      <c r="AO563" s="49"/>
      <c r="AP563" s="49"/>
      <c r="AQ563" s="49"/>
      <c r="AR563" s="49"/>
      <c r="AS563" s="49"/>
      <c r="AT563" s="49"/>
      <c r="AU563" s="49"/>
      <c r="AV563" s="49"/>
      <c r="AW563" s="49"/>
      <c r="AX563" s="49"/>
      <c r="AY563" s="49"/>
      <c r="AZ563" s="49"/>
      <c r="BA563" s="49"/>
      <c r="BB563" s="49"/>
      <c r="BC563" s="49"/>
      <c r="BD563" s="49"/>
      <c r="BE563" s="49"/>
      <c r="BF563" s="49"/>
      <c r="BG563" s="49"/>
      <c r="BH563" s="49"/>
      <c r="BI563" s="49"/>
      <c r="BJ563" s="49"/>
      <c r="BK563" s="49"/>
      <c r="BL563" s="49"/>
      <c r="BM563" s="49"/>
      <c r="BN563" s="49"/>
    </row>
    <row r="564" spans="31:66" hidden="1">
      <c r="AE564" s="49"/>
      <c r="AF564" s="49"/>
      <c r="AG564" s="49"/>
      <c r="AH564" s="49"/>
      <c r="AI564" s="49"/>
      <c r="AJ564" s="49"/>
      <c r="AK564" s="49"/>
      <c r="AL564" s="49"/>
      <c r="AM564" s="49"/>
      <c r="AN564" s="49"/>
      <c r="AO564" s="49"/>
      <c r="AP564" s="49"/>
      <c r="AQ564" s="49"/>
      <c r="AR564" s="49"/>
      <c r="AS564" s="49"/>
      <c r="AT564" s="49"/>
      <c r="AU564" s="49"/>
      <c r="AV564" s="49"/>
      <c r="AW564" s="49"/>
      <c r="AX564" s="49"/>
      <c r="AY564" s="49"/>
      <c r="AZ564" s="49"/>
      <c r="BA564" s="49"/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49"/>
      <c r="BM564" s="49"/>
      <c r="BN564" s="49"/>
    </row>
    <row r="565" spans="31:66">
      <c r="AE565" s="49"/>
      <c r="AF565" s="49"/>
      <c r="AG565" s="49"/>
      <c r="AH565" s="49"/>
      <c r="AI565" s="49"/>
      <c r="AJ565" s="49"/>
      <c r="AK565" s="49"/>
      <c r="AL565" s="49"/>
      <c r="AM565" s="49"/>
      <c r="AN565" s="49"/>
      <c r="AO565" s="49"/>
      <c r="AP565" s="49"/>
      <c r="AQ565" s="49"/>
      <c r="AR565" s="49"/>
      <c r="AS565" s="49"/>
      <c r="AT565" s="49"/>
      <c r="AU565" s="49"/>
      <c r="AV565" s="49"/>
      <c r="AW565" s="49"/>
      <c r="AX565" s="49"/>
      <c r="AY565" s="49"/>
      <c r="AZ565" s="49"/>
      <c r="BA565" s="49"/>
      <c r="BB565" s="49"/>
      <c r="BC565" s="49"/>
      <c r="BD565" s="49"/>
      <c r="BE565" s="49"/>
      <c r="BF565" s="49"/>
      <c r="BG565" s="49"/>
      <c r="BH565" s="49"/>
      <c r="BI565" s="49"/>
      <c r="BJ565" s="49"/>
      <c r="BK565" s="49"/>
      <c r="BL565" s="49"/>
      <c r="BM565" s="49"/>
      <c r="BN565" s="49"/>
    </row>
    <row r="566" spans="31:66">
      <c r="AE566" s="49"/>
      <c r="AF566" s="49"/>
      <c r="AG566" s="49"/>
      <c r="AH566" s="49"/>
      <c r="AI566" s="49"/>
      <c r="AJ566" s="49"/>
      <c r="AK566" s="49"/>
      <c r="AL566" s="49"/>
      <c r="AM566" s="49"/>
      <c r="AN566" s="49"/>
      <c r="AO566" s="49"/>
      <c r="AP566" s="49"/>
      <c r="AQ566" s="49"/>
      <c r="AR566" s="49"/>
      <c r="AS566" s="49"/>
      <c r="AT566" s="49"/>
      <c r="AU566" s="49"/>
      <c r="AV566" s="49"/>
      <c r="AW566" s="49"/>
      <c r="AX566" s="49"/>
      <c r="AY566" s="49"/>
      <c r="AZ566" s="49"/>
      <c r="BA566" s="49"/>
      <c r="BB566" s="49"/>
      <c r="BC566" s="49"/>
      <c r="BD566" s="49"/>
      <c r="BE566" s="49"/>
      <c r="BF566" s="49"/>
      <c r="BG566" s="49"/>
      <c r="BH566" s="49"/>
      <c r="BI566" s="49"/>
      <c r="BJ566" s="49"/>
      <c r="BK566" s="49"/>
      <c r="BL566" s="49"/>
      <c r="BM566" s="49"/>
      <c r="BN566" s="49"/>
    </row>
    <row r="567" spans="31:66">
      <c r="AE567" s="49"/>
      <c r="AF567" s="49"/>
      <c r="AG567" s="49"/>
      <c r="AH567" s="49"/>
      <c r="AI567" s="49"/>
      <c r="AJ567" s="49"/>
      <c r="AK567" s="49"/>
      <c r="AL567" s="49"/>
      <c r="AM567" s="49"/>
      <c r="AN567" s="49"/>
      <c r="AO567" s="49"/>
      <c r="AP567" s="49"/>
      <c r="AQ567" s="49"/>
      <c r="AR567" s="49"/>
      <c r="AS567" s="49"/>
      <c r="AT567" s="49"/>
      <c r="AU567" s="49"/>
      <c r="AV567" s="49"/>
      <c r="AW567" s="49"/>
      <c r="AX567" s="49"/>
      <c r="AY567" s="49"/>
      <c r="AZ567" s="49"/>
      <c r="BA567" s="49"/>
      <c r="BB567" s="49"/>
      <c r="BC567" s="49"/>
      <c r="BD567" s="49"/>
      <c r="BE567" s="49"/>
      <c r="BF567" s="49"/>
      <c r="BG567" s="49"/>
      <c r="BH567" s="49"/>
      <c r="BI567" s="49"/>
      <c r="BJ567" s="49"/>
      <c r="BK567" s="49"/>
      <c r="BL567" s="49"/>
      <c r="BM567" s="49"/>
      <c r="BN567" s="49"/>
    </row>
    <row r="568" spans="31:66">
      <c r="AE568" s="49"/>
      <c r="AF568" s="49"/>
      <c r="AG568" s="49"/>
      <c r="AH568" s="49"/>
      <c r="AI568" s="49"/>
      <c r="AJ568" s="49"/>
      <c r="AK568" s="49"/>
      <c r="AL568" s="49"/>
      <c r="AM568" s="49"/>
      <c r="AN568" s="49"/>
      <c r="AO568" s="49"/>
      <c r="AP568" s="49"/>
      <c r="AQ568" s="49"/>
      <c r="AR568" s="49"/>
      <c r="AS568" s="49"/>
      <c r="AT568" s="49"/>
      <c r="AU568" s="49"/>
      <c r="AV568" s="49"/>
      <c r="AW568" s="49"/>
      <c r="AX568" s="49"/>
      <c r="AY568" s="49"/>
      <c r="AZ568" s="49"/>
      <c r="BA568" s="49"/>
      <c r="BB568" s="49"/>
      <c r="BC568" s="49"/>
      <c r="BD568" s="49"/>
      <c r="BE568" s="49"/>
      <c r="BF568" s="49"/>
      <c r="BG568" s="49"/>
      <c r="BH568" s="49"/>
      <c r="BI568" s="49"/>
      <c r="BJ568" s="49"/>
      <c r="BK568" s="49"/>
      <c r="BL568" s="49"/>
      <c r="BM568" s="49"/>
      <c r="BN568" s="49"/>
    </row>
    <row r="569" spans="31:66">
      <c r="AE569" s="49"/>
      <c r="AF569" s="49"/>
      <c r="AG569" s="49"/>
      <c r="AH569" s="49"/>
      <c r="AI569" s="49"/>
      <c r="AJ569" s="49"/>
      <c r="AK569" s="49"/>
      <c r="AL569" s="49"/>
      <c r="AM569" s="49"/>
      <c r="AN569" s="49"/>
      <c r="AO569" s="49"/>
      <c r="AP569" s="49"/>
      <c r="AQ569" s="49"/>
      <c r="AR569" s="49"/>
      <c r="AS569" s="49"/>
      <c r="AT569" s="49"/>
      <c r="AU569" s="49"/>
      <c r="AV569" s="49"/>
      <c r="AW569" s="49"/>
      <c r="AX569" s="49"/>
      <c r="AY569" s="49"/>
      <c r="AZ569" s="49"/>
      <c r="BA569" s="49"/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49"/>
      <c r="BM569" s="49"/>
      <c r="BN569" s="49"/>
    </row>
    <row r="570" spans="31:66">
      <c r="AE570" s="49"/>
      <c r="AF570" s="49"/>
      <c r="AG570" s="49"/>
      <c r="AH570" s="49"/>
      <c r="AI570" s="49"/>
      <c r="AJ570" s="49"/>
      <c r="AK570" s="49"/>
      <c r="AL570" s="49"/>
      <c r="AM570" s="49"/>
      <c r="AN570" s="49"/>
      <c r="AO570" s="49"/>
      <c r="AP570" s="49"/>
      <c r="AQ570" s="49"/>
      <c r="AR570" s="49"/>
      <c r="AS570" s="49"/>
      <c r="AT570" s="49"/>
      <c r="AU570" s="49"/>
      <c r="AV570" s="49"/>
      <c r="AW570" s="49"/>
      <c r="AX570" s="49"/>
      <c r="AY570" s="49"/>
      <c r="AZ570" s="49"/>
      <c r="BA570" s="49"/>
      <c r="BB570" s="49"/>
      <c r="BC570" s="49"/>
      <c r="BD570" s="49"/>
      <c r="BE570" s="49"/>
      <c r="BF570" s="49"/>
      <c r="BG570" s="49"/>
      <c r="BH570" s="49"/>
      <c r="BI570" s="49"/>
      <c r="BJ570" s="49"/>
      <c r="BK570" s="49"/>
      <c r="BL570" s="49"/>
      <c r="BM570" s="49"/>
      <c r="BN570" s="49"/>
    </row>
    <row r="571" spans="31:66">
      <c r="AE571" s="49"/>
      <c r="AF571" s="49"/>
      <c r="AG571" s="49"/>
      <c r="AH571" s="49"/>
      <c r="AI571" s="49"/>
      <c r="AJ571" s="49"/>
      <c r="AK571" s="49"/>
      <c r="AL571" s="49"/>
      <c r="AM571" s="49"/>
      <c r="AN571" s="49"/>
      <c r="AO571" s="49"/>
      <c r="AP571" s="49"/>
      <c r="AQ571" s="49"/>
      <c r="AR571" s="49"/>
      <c r="AS571" s="49"/>
      <c r="AT571" s="49"/>
      <c r="AU571" s="49"/>
      <c r="AV571" s="49"/>
      <c r="AW571" s="49"/>
      <c r="AX571" s="49"/>
      <c r="AY571" s="49"/>
      <c r="AZ571" s="49"/>
      <c r="BA571" s="49"/>
      <c r="BB571" s="49"/>
      <c r="BC571" s="49"/>
      <c r="BD571" s="49"/>
      <c r="BE571" s="49"/>
      <c r="BF571" s="49"/>
      <c r="BG571" s="49"/>
      <c r="BH571" s="49"/>
      <c r="BI571" s="49"/>
      <c r="BJ571" s="49"/>
      <c r="BK571" s="49"/>
      <c r="BL571" s="49"/>
      <c r="BM571" s="49"/>
      <c r="BN571" s="49"/>
    </row>
    <row r="572" spans="31:66">
      <c r="AE572" s="49"/>
      <c r="AF572" s="49"/>
      <c r="AG572" s="49"/>
      <c r="AH572" s="49"/>
      <c r="AI572" s="49"/>
      <c r="AJ572" s="49"/>
      <c r="AK572" s="49"/>
      <c r="AL572" s="49"/>
      <c r="AM572" s="49"/>
      <c r="AN572" s="49"/>
      <c r="AO572" s="49"/>
      <c r="AP572" s="49"/>
      <c r="AQ572" s="49"/>
      <c r="AR572" s="49"/>
      <c r="AS572" s="49"/>
      <c r="AT572" s="49"/>
      <c r="AU572" s="49"/>
      <c r="AV572" s="49"/>
      <c r="AW572" s="49"/>
      <c r="AX572" s="49"/>
      <c r="AY572" s="49"/>
      <c r="AZ572" s="49"/>
      <c r="BA572" s="49"/>
      <c r="BB572" s="49"/>
      <c r="BC572" s="49"/>
      <c r="BD572" s="49"/>
      <c r="BE572" s="49"/>
      <c r="BF572" s="49"/>
      <c r="BG572" s="49"/>
      <c r="BH572" s="49"/>
      <c r="BI572" s="49"/>
      <c r="BJ572" s="49"/>
      <c r="BK572" s="49"/>
      <c r="BL572" s="49"/>
      <c r="BM572" s="49"/>
      <c r="BN572" s="49"/>
    </row>
    <row r="573" spans="31:66">
      <c r="AE573" s="49"/>
      <c r="AF573" s="49"/>
      <c r="AG573" s="49"/>
      <c r="AH573" s="49"/>
      <c r="AI573" s="49"/>
      <c r="AJ573" s="49"/>
      <c r="AK573" s="49"/>
      <c r="AL573" s="49"/>
      <c r="AM573" s="49"/>
      <c r="AN573" s="49"/>
      <c r="AO573" s="49"/>
      <c r="AP573" s="49"/>
      <c r="AQ573" s="49"/>
      <c r="AR573" s="49"/>
      <c r="AS573" s="49"/>
      <c r="AT573" s="49"/>
      <c r="AU573" s="49"/>
      <c r="AV573" s="49"/>
      <c r="AW573" s="49"/>
      <c r="AX573" s="49"/>
      <c r="AY573" s="49"/>
      <c r="AZ573" s="49"/>
      <c r="BA573" s="49"/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</row>
    <row r="574" spans="31:66">
      <c r="AE574" s="49"/>
      <c r="AF574" s="49"/>
      <c r="AG574" s="49"/>
      <c r="AH574" s="49"/>
      <c r="AI574" s="49"/>
      <c r="AJ574" s="49"/>
      <c r="AK574" s="49"/>
      <c r="AL574" s="49"/>
      <c r="AM574" s="49"/>
      <c r="AN574" s="49"/>
      <c r="AO574" s="49"/>
      <c r="AP574" s="49"/>
      <c r="AQ574" s="49"/>
      <c r="AR574" s="49"/>
      <c r="AS574" s="49"/>
      <c r="AT574" s="49"/>
      <c r="AU574" s="49"/>
      <c r="AV574" s="49"/>
      <c r="AW574" s="49"/>
      <c r="AX574" s="49"/>
      <c r="AY574" s="49"/>
      <c r="AZ574" s="49"/>
      <c r="BA574" s="49"/>
      <c r="BB574" s="49"/>
      <c r="BC574" s="49"/>
      <c r="BD574" s="49"/>
      <c r="BE574" s="49"/>
      <c r="BF574" s="49"/>
      <c r="BG574" s="49"/>
      <c r="BH574" s="49"/>
      <c r="BI574" s="49"/>
      <c r="BJ574" s="49"/>
      <c r="BK574" s="49"/>
      <c r="BL574" s="49"/>
      <c r="BM574" s="49"/>
      <c r="BN574" s="49"/>
    </row>
    <row r="575" spans="31:66">
      <c r="AE575" s="49"/>
      <c r="AF575" s="49"/>
      <c r="AG575" s="49"/>
      <c r="AH575" s="49"/>
      <c r="AI575" s="49"/>
      <c r="AJ575" s="49"/>
      <c r="AK575" s="49"/>
      <c r="AL575" s="49"/>
      <c r="AM575" s="49"/>
      <c r="AN575" s="49"/>
      <c r="AO575" s="49"/>
      <c r="AP575" s="49"/>
      <c r="AQ575" s="49"/>
      <c r="AR575" s="49"/>
      <c r="AS575" s="49"/>
      <c r="AT575" s="49"/>
      <c r="AU575" s="49"/>
      <c r="AV575" s="49"/>
      <c r="AW575" s="49"/>
      <c r="AX575" s="49"/>
      <c r="AY575" s="49"/>
      <c r="AZ575" s="49"/>
      <c r="BA575" s="49"/>
      <c r="BB575" s="49"/>
      <c r="BC575" s="49"/>
      <c r="BD575" s="49"/>
      <c r="BE575" s="49"/>
      <c r="BF575" s="49"/>
      <c r="BG575" s="49"/>
      <c r="BH575" s="49"/>
      <c r="BI575" s="49"/>
      <c r="BJ575" s="49"/>
      <c r="BK575" s="49"/>
      <c r="BL575" s="49"/>
      <c r="BM575" s="49"/>
      <c r="BN575" s="49"/>
    </row>
    <row r="576" spans="31:66">
      <c r="AE576" s="49"/>
      <c r="AF576" s="49"/>
      <c r="AG576" s="49"/>
      <c r="AH576" s="49"/>
      <c r="AI576" s="49"/>
      <c r="AJ576" s="49"/>
      <c r="AK576" s="49"/>
      <c r="AL576" s="49"/>
      <c r="AM576" s="49"/>
      <c r="AN576" s="49"/>
      <c r="AO576" s="49"/>
      <c r="AP576" s="49"/>
      <c r="AQ576" s="49"/>
      <c r="AR576" s="49"/>
      <c r="AS576" s="49"/>
      <c r="AT576" s="49"/>
      <c r="AU576" s="49"/>
      <c r="AV576" s="49"/>
      <c r="AW576" s="49"/>
      <c r="AX576" s="49"/>
      <c r="AY576" s="49"/>
      <c r="AZ576" s="49"/>
      <c r="BA576" s="49"/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</row>
    <row r="577" spans="31:66">
      <c r="AE577" s="49"/>
      <c r="AF577" s="49"/>
      <c r="AG577" s="49"/>
      <c r="AH577" s="49"/>
      <c r="AI577" s="49"/>
      <c r="AJ577" s="49"/>
      <c r="AK577" s="49"/>
      <c r="AL577" s="49"/>
      <c r="AM577" s="49"/>
      <c r="AN577" s="49"/>
      <c r="AO577" s="49"/>
      <c r="AP577" s="49"/>
      <c r="AQ577" s="49"/>
      <c r="AR577" s="49"/>
      <c r="AS577" s="49"/>
      <c r="AT577" s="49"/>
      <c r="AU577" s="49"/>
      <c r="AV577" s="49"/>
      <c r="AW577" s="49"/>
      <c r="AX577" s="49"/>
      <c r="AY577" s="49"/>
      <c r="AZ577" s="49"/>
      <c r="BA577" s="49"/>
      <c r="BB577" s="49"/>
      <c r="BC577" s="49"/>
      <c r="BD577" s="49"/>
      <c r="BE577" s="49"/>
      <c r="BF577" s="49"/>
      <c r="BG577" s="49"/>
      <c r="BH577" s="49"/>
      <c r="BI577" s="49"/>
      <c r="BJ577" s="49"/>
      <c r="BK577" s="49"/>
      <c r="BL577" s="49"/>
      <c r="BM577" s="49"/>
      <c r="BN577" s="49"/>
    </row>
    <row r="578" spans="31:66">
      <c r="AE578" s="49"/>
      <c r="AF578" s="49"/>
      <c r="AG578" s="49"/>
      <c r="AH578" s="49"/>
      <c r="AI578" s="49"/>
      <c r="AJ578" s="49"/>
      <c r="AK578" s="49"/>
      <c r="AL578" s="49"/>
      <c r="AM578" s="49"/>
      <c r="AN578" s="49"/>
      <c r="AO578" s="49"/>
      <c r="AP578" s="49"/>
      <c r="AQ578" s="49"/>
      <c r="AR578" s="49"/>
      <c r="AS578" s="49"/>
      <c r="AT578" s="49"/>
      <c r="AU578" s="49"/>
      <c r="AV578" s="49"/>
      <c r="AW578" s="49"/>
      <c r="AX578" s="49"/>
      <c r="AY578" s="49"/>
      <c r="AZ578" s="49"/>
      <c r="BA578" s="49"/>
      <c r="BB578" s="49"/>
      <c r="BC578" s="49"/>
      <c r="BD578" s="49"/>
      <c r="BE578" s="49"/>
      <c r="BF578" s="49"/>
      <c r="BG578" s="49"/>
      <c r="BH578" s="49"/>
      <c r="BI578" s="49"/>
      <c r="BJ578" s="49"/>
      <c r="BK578" s="49"/>
      <c r="BL578" s="49"/>
      <c r="BM578" s="49"/>
      <c r="BN578" s="49"/>
    </row>
    <row r="579" spans="31:66">
      <c r="AE579" s="49"/>
      <c r="AF579" s="49"/>
      <c r="AG579" s="49"/>
      <c r="AH579" s="49"/>
      <c r="AI579" s="49"/>
      <c r="AJ579" s="49"/>
      <c r="AK579" s="49"/>
      <c r="AL579" s="49"/>
      <c r="AM579" s="49"/>
      <c r="AN579" s="49"/>
      <c r="AO579" s="49"/>
      <c r="AP579" s="49"/>
      <c r="AQ579" s="49"/>
      <c r="AR579" s="49"/>
      <c r="AS579" s="49"/>
      <c r="AT579" s="49"/>
      <c r="AU579" s="49"/>
      <c r="AV579" s="49"/>
      <c r="AW579" s="49"/>
      <c r="AX579" s="49"/>
      <c r="AY579" s="49"/>
      <c r="AZ579" s="49"/>
      <c r="BA579" s="49"/>
      <c r="BB579" s="49"/>
      <c r="BC579" s="49"/>
      <c r="BD579" s="49"/>
      <c r="BE579" s="49"/>
      <c r="BF579" s="49"/>
      <c r="BG579" s="49"/>
      <c r="BH579" s="49"/>
      <c r="BI579" s="49"/>
      <c r="BJ579" s="49"/>
      <c r="BK579" s="49"/>
      <c r="BL579" s="49"/>
      <c r="BM579" s="49"/>
      <c r="BN579" s="49"/>
    </row>
    <row r="580" spans="31:66">
      <c r="AE580" s="49"/>
      <c r="AF580" s="49"/>
      <c r="AG580" s="49"/>
      <c r="AH580" s="49"/>
      <c r="AI580" s="49"/>
      <c r="AJ580" s="49"/>
      <c r="AK580" s="49"/>
      <c r="AL580" s="49"/>
      <c r="AM580" s="49"/>
      <c r="AN580" s="49"/>
      <c r="AO580" s="49"/>
      <c r="AP580" s="49"/>
      <c r="AQ580" s="49"/>
      <c r="AR580" s="49"/>
      <c r="AS580" s="49"/>
      <c r="AT580" s="49"/>
      <c r="AU580" s="49"/>
      <c r="AV580" s="49"/>
      <c r="AW580" s="49"/>
      <c r="AX580" s="49"/>
      <c r="AY580" s="49"/>
      <c r="AZ580" s="49"/>
      <c r="BA580" s="49"/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</row>
    <row r="581" spans="31:66">
      <c r="AE581" s="49"/>
      <c r="AF581" s="49"/>
      <c r="AG581" s="49"/>
      <c r="AH581" s="49"/>
      <c r="AI581" s="49"/>
      <c r="AJ581" s="49"/>
      <c r="AK581" s="49"/>
      <c r="AL581" s="49"/>
      <c r="AM581" s="49"/>
      <c r="AN581" s="49"/>
      <c r="AO581" s="49"/>
      <c r="AP581" s="49"/>
      <c r="AQ581" s="49"/>
      <c r="AR581" s="49"/>
      <c r="AS581" s="49"/>
      <c r="AT581" s="49"/>
      <c r="AU581" s="49"/>
      <c r="AV581" s="49"/>
      <c r="AW581" s="49"/>
      <c r="AX581" s="49"/>
      <c r="AY581" s="49"/>
      <c r="AZ581" s="49"/>
      <c r="BA581" s="49"/>
      <c r="BB581" s="49"/>
      <c r="BC581" s="49"/>
      <c r="BD581" s="49"/>
      <c r="BE581" s="49"/>
      <c r="BF581" s="49"/>
      <c r="BG581" s="49"/>
      <c r="BH581" s="49"/>
      <c r="BI581" s="49"/>
      <c r="BJ581" s="49"/>
      <c r="BK581" s="49"/>
      <c r="BL581" s="49"/>
      <c r="BM581" s="49"/>
      <c r="BN581" s="49"/>
    </row>
    <row r="582" spans="31:66">
      <c r="AE582" s="49"/>
      <c r="AF582" s="49"/>
      <c r="AG582" s="49"/>
      <c r="AH582" s="49"/>
      <c r="AI582" s="49"/>
      <c r="AJ582" s="49"/>
      <c r="AK582" s="49"/>
      <c r="AL582" s="49"/>
      <c r="AM582" s="49"/>
      <c r="AN582" s="49"/>
      <c r="AO582" s="49"/>
      <c r="AP582" s="49"/>
      <c r="AQ582" s="49"/>
      <c r="AR582" s="49"/>
      <c r="AS582" s="49"/>
      <c r="AT582" s="49"/>
      <c r="AU582" s="49"/>
      <c r="AV582" s="49"/>
      <c r="AW582" s="49"/>
      <c r="AX582" s="49"/>
      <c r="AY582" s="49"/>
      <c r="AZ582" s="49"/>
      <c r="BA582" s="49"/>
      <c r="BB582" s="49"/>
      <c r="BC582" s="49"/>
      <c r="BD582" s="49"/>
      <c r="BE582" s="49"/>
      <c r="BF582" s="49"/>
      <c r="BG582" s="49"/>
      <c r="BH582" s="49"/>
      <c r="BI582" s="49"/>
      <c r="BJ582" s="49"/>
      <c r="BK582" s="49"/>
      <c r="BL582" s="49"/>
      <c r="BM582" s="49"/>
      <c r="BN582" s="49"/>
    </row>
    <row r="583" spans="31:66">
      <c r="AE583" s="49"/>
      <c r="AF583" s="49"/>
      <c r="AG583" s="49"/>
      <c r="AH583" s="49"/>
      <c r="AI583" s="49"/>
      <c r="AJ583" s="49"/>
      <c r="AK583" s="49"/>
      <c r="AL583" s="49"/>
      <c r="AM583" s="49"/>
      <c r="AN583" s="49"/>
      <c r="AO583" s="49"/>
      <c r="AP583" s="49"/>
      <c r="AQ583" s="49"/>
      <c r="AR583" s="49"/>
      <c r="AS583" s="49"/>
      <c r="AT583" s="49"/>
      <c r="AU583" s="49"/>
      <c r="AV583" s="49"/>
      <c r="AW583" s="49"/>
      <c r="AX583" s="49"/>
      <c r="AY583" s="49"/>
      <c r="AZ583" s="49"/>
      <c r="BA583" s="49"/>
      <c r="BB583" s="49"/>
      <c r="BC583" s="49"/>
      <c r="BD583" s="49"/>
      <c r="BE583" s="49"/>
      <c r="BF583" s="49"/>
      <c r="BG583" s="49"/>
      <c r="BH583" s="49"/>
      <c r="BI583" s="49"/>
      <c r="BJ583" s="49"/>
      <c r="BK583" s="49"/>
      <c r="BL583" s="49"/>
      <c r="BM583" s="49"/>
      <c r="BN583" s="49"/>
    </row>
    <row r="584" spans="31:66">
      <c r="AE584" s="49"/>
      <c r="AF584" s="49"/>
      <c r="AG584" s="49"/>
      <c r="AH584" s="49"/>
      <c r="AI584" s="49"/>
      <c r="AJ584" s="49"/>
      <c r="AK584" s="49"/>
      <c r="AL584" s="49"/>
      <c r="AM584" s="49"/>
      <c r="AN584" s="49"/>
      <c r="AO584" s="49"/>
      <c r="AP584" s="49"/>
      <c r="AQ584" s="49"/>
      <c r="AR584" s="49"/>
      <c r="AS584" s="49"/>
      <c r="AT584" s="49"/>
      <c r="AU584" s="49"/>
      <c r="AV584" s="49"/>
      <c r="AW584" s="49"/>
      <c r="AX584" s="49"/>
      <c r="AY584" s="49"/>
      <c r="AZ584" s="49"/>
      <c r="BA584" s="49"/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</row>
    <row r="585" spans="31:66">
      <c r="AE585" s="49"/>
      <c r="AF585" s="49"/>
      <c r="AG585" s="49"/>
      <c r="AH585" s="49"/>
      <c r="AI585" s="49"/>
      <c r="AJ585" s="49"/>
      <c r="AK585" s="49"/>
      <c r="AL585" s="49"/>
      <c r="AM585" s="49"/>
      <c r="AN585" s="49"/>
      <c r="AO585" s="49"/>
      <c r="AP585" s="49"/>
      <c r="AQ585" s="49"/>
      <c r="AR585" s="49"/>
      <c r="AS585" s="49"/>
      <c r="AT585" s="49"/>
      <c r="AU585" s="49"/>
      <c r="AV585" s="49"/>
      <c r="AW585" s="49"/>
      <c r="AX585" s="49"/>
      <c r="AY585" s="49"/>
      <c r="AZ585" s="49"/>
      <c r="BA585" s="49"/>
      <c r="BB585" s="49"/>
      <c r="BC585" s="49"/>
      <c r="BD585" s="49"/>
      <c r="BE585" s="49"/>
      <c r="BF585" s="49"/>
      <c r="BG585" s="49"/>
      <c r="BH585" s="49"/>
      <c r="BI585" s="49"/>
      <c r="BJ585" s="49"/>
      <c r="BK585" s="49"/>
      <c r="BL585" s="49"/>
      <c r="BM585" s="49"/>
      <c r="BN585" s="49"/>
    </row>
    <row r="586" spans="31:66">
      <c r="AE586" s="49"/>
      <c r="AF586" s="49"/>
      <c r="AG586" s="49"/>
      <c r="AH586" s="49"/>
      <c r="AI586" s="49"/>
      <c r="AJ586" s="49"/>
      <c r="AK586" s="49"/>
      <c r="AL586" s="49"/>
      <c r="AM586" s="49"/>
      <c r="AN586" s="49"/>
      <c r="AO586" s="49"/>
      <c r="AP586" s="49"/>
      <c r="AQ586" s="49"/>
      <c r="AR586" s="49"/>
      <c r="AS586" s="49"/>
      <c r="AT586" s="49"/>
      <c r="AU586" s="49"/>
      <c r="AV586" s="49"/>
      <c r="AW586" s="49"/>
      <c r="AX586" s="49"/>
      <c r="AY586" s="49"/>
      <c r="AZ586" s="49"/>
      <c r="BA586" s="49"/>
      <c r="BB586" s="49"/>
      <c r="BC586" s="49"/>
      <c r="BD586" s="49"/>
      <c r="BE586" s="49"/>
      <c r="BF586" s="49"/>
      <c r="BG586" s="49"/>
      <c r="BH586" s="49"/>
      <c r="BI586" s="49"/>
      <c r="BJ586" s="49"/>
      <c r="BK586" s="49"/>
      <c r="BL586" s="49"/>
      <c r="BM586" s="49"/>
      <c r="BN586" s="49"/>
    </row>
    <row r="587" spans="31:66">
      <c r="AE587" s="49"/>
      <c r="AF587" s="49"/>
      <c r="AG587" s="49"/>
      <c r="AH587" s="49"/>
      <c r="AI587" s="49"/>
      <c r="AJ587" s="49"/>
      <c r="AK587" s="49"/>
      <c r="AL587" s="49"/>
      <c r="AM587" s="49"/>
      <c r="AN587" s="49"/>
      <c r="AO587" s="49"/>
      <c r="AP587" s="49"/>
      <c r="AQ587" s="49"/>
      <c r="AR587" s="49"/>
      <c r="AS587" s="49"/>
      <c r="AT587" s="49"/>
      <c r="AU587" s="49"/>
      <c r="AV587" s="49"/>
      <c r="AW587" s="49"/>
      <c r="AX587" s="49"/>
      <c r="AY587" s="49"/>
      <c r="AZ587" s="49"/>
      <c r="BA587" s="49"/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</row>
    <row r="588" spans="31:66">
      <c r="AE588" s="49"/>
      <c r="AF588" s="49"/>
      <c r="AG588" s="49"/>
      <c r="AH588" s="49"/>
      <c r="AI588" s="49"/>
      <c r="AJ588" s="49"/>
      <c r="AK588" s="49"/>
      <c r="AL588" s="49"/>
      <c r="AM588" s="49"/>
      <c r="AN588" s="49"/>
      <c r="AO588" s="49"/>
      <c r="AP588" s="49"/>
      <c r="AQ588" s="49"/>
      <c r="AR588" s="49"/>
      <c r="AS588" s="49"/>
      <c r="AT588" s="49"/>
      <c r="AU588" s="49"/>
      <c r="AV588" s="49"/>
      <c r="AW588" s="49"/>
      <c r="AX588" s="49"/>
      <c r="AY588" s="49"/>
      <c r="AZ588" s="49"/>
      <c r="BA588" s="49"/>
      <c r="BB588" s="49"/>
      <c r="BC588" s="49"/>
      <c r="BD588" s="49"/>
      <c r="BE588" s="49"/>
      <c r="BF588" s="49"/>
      <c r="BG588" s="49"/>
      <c r="BH588" s="49"/>
      <c r="BI588" s="49"/>
      <c r="BJ588" s="49"/>
      <c r="BK588" s="49"/>
      <c r="BL588" s="49"/>
      <c r="BM588" s="49"/>
      <c r="BN588" s="49"/>
    </row>
    <row r="589" spans="31:66">
      <c r="AE589" s="49"/>
      <c r="AF589" s="49"/>
      <c r="AG589" s="49"/>
      <c r="AH589" s="49"/>
      <c r="AI589" s="49"/>
      <c r="AJ589" s="49"/>
      <c r="AK589" s="49"/>
      <c r="AL589" s="49"/>
      <c r="AM589" s="49"/>
      <c r="AN589" s="49"/>
      <c r="AO589" s="49"/>
      <c r="AP589" s="49"/>
      <c r="AQ589" s="49"/>
      <c r="AR589" s="49"/>
      <c r="AS589" s="49"/>
      <c r="AT589" s="49"/>
      <c r="AU589" s="49"/>
      <c r="AV589" s="49"/>
      <c r="AW589" s="49"/>
      <c r="AX589" s="49"/>
      <c r="AY589" s="49"/>
      <c r="AZ589" s="49"/>
      <c r="BA589" s="49"/>
      <c r="BB589" s="49"/>
      <c r="BC589" s="49"/>
      <c r="BD589" s="49"/>
      <c r="BE589" s="49"/>
      <c r="BF589" s="49"/>
      <c r="BG589" s="49"/>
      <c r="BH589" s="49"/>
      <c r="BI589" s="49"/>
      <c r="BJ589" s="49"/>
      <c r="BK589" s="49"/>
      <c r="BL589" s="49"/>
      <c r="BM589" s="49"/>
      <c r="BN589" s="49"/>
    </row>
    <row r="590" spans="31:66">
      <c r="AE590" s="49"/>
      <c r="AF590" s="49"/>
      <c r="AG590" s="49"/>
      <c r="AH590" s="49"/>
      <c r="AI590" s="49"/>
      <c r="AJ590" s="49"/>
      <c r="AK590" s="49"/>
      <c r="AL590" s="49"/>
      <c r="AM590" s="49"/>
      <c r="AN590" s="49"/>
      <c r="AO590" s="49"/>
      <c r="AP590" s="49"/>
      <c r="AQ590" s="49"/>
      <c r="AR590" s="49"/>
      <c r="AS590" s="49"/>
      <c r="AT590" s="49"/>
      <c r="AU590" s="49"/>
      <c r="AV590" s="49"/>
      <c r="AW590" s="49"/>
      <c r="AX590" s="49"/>
      <c r="AY590" s="49"/>
      <c r="AZ590" s="49"/>
      <c r="BA590" s="49"/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</row>
    <row r="591" spans="31:66">
      <c r="AE591" s="49"/>
      <c r="AF591" s="49"/>
      <c r="AG591" s="49"/>
      <c r="AH591" s="49"/>
      <c r="AI591" s="49"/>
      <c r="AJ591" s="49"/>
      <c r="AK591" s="49"/>
      <c r="AL591" s="49"/>
      <c r="AM591" s="49"/>
      <c r="AN591" s="49"/>
      <c r="AO591" s="49"/>
      <c r="AP591" s="49"/>
      <c r="AQ591" s="49"/>
      <c r="AR591" s="49"/>
      <c r="AS591" s="49"/>
      <c r="AT591" s="49"/>
      <c r="AU591" s="49"/>
      <c r="AV591" s="49"/>
      <c r="AW591" s="49"/>
      <c r="AX591" s="49"/>
      <c r="AY591" s="49"/>
      <c r="AZ591" s="49"/>
      <c r="BA591" s="49"/>
      <c r="BB591" s="49"/>
      <c r="BC591" s="49"/>
      <c r="BD591" s="49"/>
      <c r="BE591" s="49"/>
      <c r="BF591" s="49"/>
      <c r="BG591" s="49"/>
      <c r="BH591" s="49"/>
      <c r="BI591" s="49"/>
      <c r="BJ591" s="49"/>
      <c r="BK591" s="49"/>
      <c r="BL591" s="49"/>
      <c r="BM591" s="49"/>
      <c r="BN591" s="49"/>
    </row>
    <row r="592" spans="31:66">
      <c r="AE592" s="49"/>
      <c r="AF592" s="49"/>
      <c r="AG592" s="49"/>
      <c r="AH592" s="49"/>
      <c r="AI592" s="49"/>
      <c r="AJ592" s="49"/>
      <c r="AK592" s="49"/>
      <c r="AL592" s="49"/>
      <c r="AM592" s="49"/>
      <c r="AN592" s="49"/>
      <c r="AO592" s="49"/>
      <c r="AP592" s="49"/>
      <c r="AQ592" s="49"/>
      <c r="AR592" s="49"/>
      <c r="AS592" s="49"/>
      <c r="AT592" s="49"/>
      <c r="AU592" s="49"/>
      <c r="AV592" s="49"/>
      <c r="AW592" s="49"/>
      <c r="AX592" s="49"/>
      <c r="AY592" s="49"/>
      <c r="AZ592" s="49"/>
      <c r="BA592" s="49"/>
      <c r="BB592" s="49"/>
      <c r="BC592" s="49"/>
      <c r="BD592" s="49"/>
      <c r="BE592" s="49"/>
      <c r="BF592" s="49"/>
      <c r="BG592" s="49"/>
      <c r="BH592" s="49"/>
      <c r="BI592" s="49"/>
      <c r="BJ592" s="49"/>
      <c r="BK592" s="49"/>
      <c r="BL592" s="49"/>
      <c r="BM592" s="49"/>
      <c r="BN592" s="49"/>
    </row>
    <row r="593" spans="1:66">
      <c r="A593" s="699"/>
      <c r="B593" s="699"/>
      <c r="C593" s="699"/>
      <c r="D593" s="699"/>
      <c r="E593" s="699"/>
      <c r="F593" s="699"/>
      <c r="G593" s="699"/>
      <c r="H593" s="699"/>
      <c r="I593" s="699"/>
      <c r="J593" s="699"/>
      <c r="K593" s="699"/>
      <c r="L593" s="699"/>
      <c r="M593" s="699"/>
      <c r="N593" s="699"/>
      <c r="O593" s="699"/>
      <c r="P593" s="699"/>
      <c r="Q593" s="699"/>
      <c r="R593" s="699"/>
      <c r="S593" s="699"/>
      <c r="T593" s="699"/>
      <c r="U593" s="699"/>
      <c r="V593" s="699"/>
      <c r="W593" s="699"/>
      <c r="X593" s="699"/>
      <c r="Y593" s="699"/>
      <c r="Z593" s="699"/>
      <c r="AA593" s="699"/>
      <c r="AB593" s="699"/>
      <c r="AC593" s="699"/>
      <c r="AD593" s="699"/>
      <c r="AE593" s="49"/>
      <c r="AF593" s="49"/>
      <c r="AG593" s="49"/>
      <c r="AH593" s="49"/>
      <c r="AI593" s="49"/>
      <c r="AJ593" s="49"/>
      <c r="AK593" s="49"/>
      <c r="AL593" s="49"/>
      <c r="AM593" s="49"/>
      <c r="AN593" s="49"/>
      <c r="AO593" s="49"/>
      <c r="AP593" s="49"/>
      <c r="AQ593" s="49"/>
      <c r="AR593" s="49"/>
      <c r="AS593" s="49"/>
      <c r="AT593" s="49"/>
      <c r="AU593" s="49"/>
      <c r="AV593" s="49"/>
      <c r="AW593" s="49"/>
      <c r="AX593" s="49"/>
      <c r="AY593" s="49"/>
      <c r="AZ593" s="49"/>
      <c r="BA593" s="49"/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</row>
    <row r="594" spans="1:66">
      <c r="A594" s="699"/>
      <c r="B594" s="699"/>
      <c r="C594" s="699"/>
      <c r="D594" s="699"/>
      <c r="E594" s="699"/>
      <c r="F594" s="699"/>
      <c r="G594" s="699"/>
      <c r="H594" s="699"/>
      <c r="I594" s="699"/>
      <c r="J594" s="699"/>
      <c r="K594" s="699"/>
      <c r="L594" s="699"/>
      <c r="M594" s="699"/>
      <c r="N594" s="699"/>
      <c r="O594" s="699"/>
      <c r="P594" s="699"/>
      <c r="Q594" s="699"/>
      <c r="R594" s="699"/>
      <c r="S594" s="699"/>
      <c r="T594" s="699"/>
      <c r="U594" s="699"/>
      <c r="V594" s="699"/>
      <c r="W594" s="699"/>
      <c r="X594" s="699"/>
      <c r="Y594" s="699"/>
      <c r="Z594" s="699"/>
      <c r="AA594" s="699"/>
      <c r="AB594" s="699"/>
      <c r="AC594" s="699"/>
      <c r="AD594" s="699"/>
      <c r="AE594" s="49"/>
      <c r="AF594" s="49"/>
      <c r="AG594" s="49"/>
      <c r="AH594" s="49"/>
      <c r="AI594" s="49"/>
      <c r="AJ594" s="49"/>
      <c r="AK594" s="49"/>
      <c r="AL594" s="49"/>
      <c r="AM594" s="49"/>
      <c r="AN594" s="49"/>
      <c r="AO594" s="49"/>
      <c r="AP594" s="49"/>
      <c r="AQ594" s="49"/>
      <c r="AR594" s="49"/>
      <c r="AS594" s="49"/>
      <c r="AT594" s="49"/>
      <c r="AU594" s="49"/>
      <c r="AV594" s="49"/>
      <c r="AW594" s="49"/>
      <c r="AX594" s="49"/>
      <c r="AY594" s="49"/>
      <c r="AZ594" s="49"/>
      <c r="BA594" s="49"/>
      <c r="BB594" s="49"/>
      <c r="BC594" s="49"/>
      <c r="BD594" s="49"/>
      <c r="BE594" s="49"/>
      <c r="BF594" s="49"/>
      <c r="BG594" s="49"/>
      <c r="BH594" s="49"/>
      <c r="BI594" s="49"/>
      <c r="BJ594" s="49"/>
      <c r="BK594" s="49"/>
      <c r="BL594" s="49"/>
      <c r="BM594" s="49"/>
      <c r="BN594" s="49"/>
    </row>
    <row r="595" spans="1:66">
      <c r="A595" s="699"/>
      <c r="B595" s="699"/>
      <c r="C595" s="699"/>
      <c r="D595" s="699"/>
      <c r="E595" s="699"/>
      <c r="F595" s="699"/>
      <c r="G595" s="699"/>
      <c r="H595" s="699"/>
      <c r="I595" s="699"/>
      <c r="J595" s="699"/>
      <c r="K595" s="699"/>
      <c r="L595" s="699"/>
      <c r="M595" s="699"/>
      <c r="N595" s="699"/>
      <c r="O595" s="699"/>
      <c r="P595" s="699"/>
      <c r="Q595" s="699"/>
      <c r="R595" s="699"/>
      <c r="S595" s="699"/>
      <c r="T595" s="699"/>
      <c r="U595" s="699"/>
      <c r="V595" s="699"/>
      <c r="W595" s="699"/>
      <c r="X595" s="699"/>
      <c r="Y595" s="699"/>
      <c r="Z595" s="699"/>
      <c r="AA595" s="699"/>
      <c r="AB595" s="699"/>
      <c r="AC595" s="699"/>
      <c r="AD595" s="699"/>
      <c r="AE595" s="49"/>
      <c r="AF595" s="49"/>
      <c r="AG595" s="49"/>
      <c r="AH595" s="49"/>
      <c r="AI595" s="49"/>
      <c r="AJ595" s="49"/>
      <c r="AK595" s="49"/>
      <c r="AL595" s="49"/>
      <c r="AM595" s="49"/>
      <c r="AN595" s="49"/>
      <c r="AO595" s="49"/>
      <c r="AP595" s="49"/>
      <c r="AQ595" s="49"/>
      <c r="AR595" s="49"/>
      <c r="AS595" s="49"/>
      <c r="AT595" s="49"/>
      <c r="AU595" s="49"/>
      <c r="AV595" s="49"/>
      <c r="AW595" s="49"/>
      <c r="AX595" s="49"/>
      <c r="AY595" s="49"/>
      <c r="AZ595" s="49"/>
      <c r="BA595" s="49"/>
      <c r="BB595" s="49"/>
      <c r="BC595" s="49"/>
      <c r="BD595" s="49"/>
      <c r="BE595" s="49"/>
      <c r="BF595" s="49"/>
      <c r="BG595" s="49"/>
      <c r="BH595" s="49"/>
      <c r="BI595" s="49"/>
      <c r="BJ595" s="49"/>
      <c r="BK595" s="49"/>
      <c r="BL595" s="49"/>
      <c r="BM595" s="49"/>
      <c r="BN595" s="49"/>
    </row>
    <row r="596" spans="1:66">
      <c r="A596" s="699"/>
      <c r="B596" s="699"/>
      <c r="C596" s="699"/>
      <c r="D596" s="699"/>
      <c r="E596" s="699"/>
      <c r="F596" s="699"/>
      <c r="G596" s="699"/>
      <c r="H596" s="699"/>
      <c r="I596" s="699"/>
      <c r="J596" s="699"/>
      <c r="K596" s="699"/>
      <c r="L596" s="699"/>
      <c r="M596" s="699"/>
      <c r="N596" s="699"/>
      <c r="O596" s="699"/>
      <c r="P596" s="699"/>
      <c r="Q596" s="699"/>
      <c r="R596" s="699"/>
      <c r="S596" s="699"/>
      <c r="T596" s="699"/>
      <c r="U596" s="699"/>
      <c r="V596" s="699"/>
      <c r="W596" s="699"/>
      <c r="X596" s="699"/>
      <c r="Y596" s="699"/>
      <c r="Z596" s="699"/>
      <c r="AA596" s="699"/>
      <c r="AB596" s="699"/>
      <c r="AC596" s="699"/>
      <c r="AD596" s="699"/>
      <c r="AE596" s="49"/>
      <c r="AF596" s="49"/>
      <c r="AG596" s="49"/>
      <c r="AH596" s="49"/>
      <c r="AI596" s="49"/>
      <c r="AJ596" s="49"/>
      <c r="AK596" s="49"/>
      <c r="AL596" s="49"/>
      <c r="AM596" s="49"/>
      <c r="AN596" s="49"/>
      <c r="AO596" s="49"/>
      <c r="AP596" s="49"/>
      <c r="AQ596" s="49"/>
      <c r="AR596" s="49"/>
      <c r="AS596" s="49"/>
      <c r="AT596" s="49"/>
      <c r="AU596" s="49"/>
      <c r="AV596" s="49"/>
      <c r="AW596" s="49"/>
      <c r="AX596" s="49"/>
      <c r="AY596" s="49"/>
      <c r="AZ596" s="49"/>
      <c r="BA596" s="49"/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</row>
    <row r="597" spans="1:66">
      <c r="A597" s="699"/>
      <c r="B597" s="699"/>
      <c r="C597" s="699"/>
      <c r="D597" s="699"/>
      <c r="E597" s="699"/>
      <c r="F597" s="699"/>
      <c r="G597" s="699"/>
      <c r="H597" s="699"/>
      <c r="I597" s="699"/>
      <c r="J597" s="699"/>
      <c r="K597" s="699"/>
      <c r="L597" s="699"/>
      <c r="M597" s="699"/>
      <c r="N597" s="699"/>
      <c r="O597" s="699"/>
      <c r="P597" s="699"/>
      <c r="Q597" s="699"/>
      <c r="R597" s="699"/>
      <c r="S597" s="699"/>
      <c r="T597" s="699"/>
      <c r="U597" s="699"/>
      <c r="V597" s="699"/>
      <c r="W597" s="699"/>
      <c r="X597" s="699"/>
      <c r="Y597" s="699"/>
      <c r="Z597" s="699"/>
      <c r="AA597" s="699"/>
      <c r="AB597" s="699"/>
      <c r="AC597" s="699"/>
      <c r="AD597" s="699"/>
      <c r="AE597" s="49"/>
      <c r="AF597" s="49"/>
      <c r="AG597" s="49"/>
      <c r="AH597" s="49"/>
      <c r="AI597" s="49"/>
      <c r="AJ597" s="49"/>
      <c r="AK597" s="49"/>
      <c r="AL597" s="49"/>
      <c r="AM597" s="49"/>
      <c r="AN597" s="49"/>
      <c r="AO597" s="49"/>
      <c r="AP597" s="49"/>
      <c r="AQ597" s="49"/>
      <c r="AR597" s="49"/>
      <c r="AS597" s="49"/>
      <c r="AT597" s="49"/>
      <c r="AU597" s="49"/>
      <c r="AV597" s="49"/>
      <c r="AW597" s="49"/>
      <c r="AX597" s="49"/>
      <c r="AY597" s="49"/>
      <c r="AZ597" s="49"/>
      <c r="BA597" s="49"/>
      <c r="BB597" s="49"/>
      <c r="BC597" s="49"/>
      <c r="BD597" s="49"/>
      <c r="BE597" s="49"/>
      <c r="BF597" s="49"/>
      <c r="BG597" s="49"/>
      <c r="BH597" s="49"/>
      <c r="BI597" s="49"/>
      <c r="BJ597" s="49"/>
      <c r="BK597" s="49"/>
      <c r="BL597" s="49"/>
      <c r="BM597" s="49"/>
      <c r="BN597" s="49"/>
    </row>
    <row r="598" spans="1:66">
      <c r="A598" s="699"/>
      <c r="B598" s="699"/>
      <c r="C598" s="699"/>
      <c r="D598" s="699"/>
      <c r="E598" s="699"/>
      <c r="F598" s="699"/>
      <c r="G598" s="699"/>
      <c r="H598" s="699"/>
      <c r="I598" s="699"/>
      <c r="J598" s="699"/>
      <c r="K598" s="699"/>
      <c r="L598" s="699"/>
      <c r="M598" s="699"/>
      <c r="N598" s="699"/>
      <c r="O598" s="699"/>
      <c r="P598" s="699"/>
      <c r="Q598" s="699"/>
      <c r="R598" s="699"/>
      <c r="S598" s="699"/>
      <c r="T598" s="699"/>
      <c r="U598" s="699"/>
      <c r="V598" s="699"/>
      <c r="W598" s="699"/>
      <c r="X598" s="699"/>
      <c r="Y598" s="699"/>
      <c r="Z598" s="699"/>
      <c r="AA598" s="699"/>
      <c r="AB598" s="699"/>
      <c r="AC598" s="699"/>
      <c r="AD598" s="699"/>
      <c r="AE598" s="49"/>
      <c r="AF598" s="49"/>
      <c r="AG598" s="49"/>
      <c r="AH598" s="49"/>
      <c r="AI598" s="49"/>
      <c r="AJ598" s="49"/>
      <c r="AK598" s="49"/>
      <c r="AL598" s="49"/>
      <c r="AM598" s="49"/>
      <c r="AN598" s="49"/>
      <c r="AO598" s="49"/>
      <c r="AP598" s="49"/>
      <c r="AQ598" s="49"/>
      <c r="AR598" s="49"/>
      <c r="AS598" s="49"/>
      <c r="AT598" s="49"/>
      <c r="AU598" s="49"/>
      <c r="AV598" s="49"/>
      <c r="AW598" s="49"/>
      <c r="AX598" s="49"/>
      <c r="AY598" s="49"/>
      <c r="AZ598" s="49"/>
      <c r="BA598" s="49"/>
      <c r="BB598" s="49"/>
      <c r="BC598" s="49"/>
      <c r="BD598" s="49"/>
      <c r="BE598" s="49"/>
      <c r="BF598" s="49"/>
      <c r="BG598" s="49"/>
      <c r="BH598" s="49"/>
      <c r="BI598" s="49"/>
      <c r="BJ598" s="49"/>
      <c r="BK598" s="49"/>
      <c r="BL598" s="49"/>
      <c r="BM598" s="49"/>
      <c r="BN598" s="49"/>
    </row>
    <row r="599" spans="1:66">
      <c r="A599" s="699"/>
      <c r="B599" s="699"/>
      <c r="C599" s="699"/>
      <c r="D599" s="699"/>
      <c r="E599" s="699"/>
      <c r="F599" s="699"/>
      <c r="G599" s="699"/>
      <c r="H599" s="699"/>
      <c r="I599" s="699"/>
      <c r="J599" s="699"/>
      <c r="K599" s="699"/>
      <c r="L599" s="699"/>
      <c r="M599" s="699"/>
      <c r="N599" s="699"/>
      <c r="O599" s="699"/>
      <c r="P599" s="699"/>
      <c r="Q599" s="699"/>
      <c r="R599" s="699"/>
      <c r="S599" s="699"/>
      <c r="T599" s="699"/>
      <c r="U599" s="699"/>
      <c r="V599" s="699"/>
      <c r="W599" s="699"/>
      <c r="X599" s="699"/>
      <c r="Y599" s="699"/>
      <c r="Z599" s="699"/>
      <c r="AA599" s="699"/>
      <c r="AB599" s="699"/>
      <c r="AC599" s="699"/>
      <c r="AD599" s="699"/>
      <c r="AE599" s="49"/>
      <c r="AF599" s="49"/>
      <c r="AG599" s="49"/>
      <c r="AH599" s="49"/>
      <c r="AI599" s="49"/>
      <c r="AJ599" s="49"/>
      <c r="AK599" s="49"/>
      <c r="AL599" s="49"/>
      <c r="AM599" s="49"/>
      <c r="AN599" s="49"/>
      <c r="AO599" s="49"/>
      <c r="AP599" s="49"/>
      <c r="AQ599" s="49"/>
      <c r="AR599" s="49"/>
      <c r="AS599" s="49"/>
      <c r="AT599" s="49"/>
      <c r="AU599" s="49"/>
      <c r="AV599" s="49"/>
      <c r="AW599" s="49"/>
      <c r="AX599" s="49"/>
      <c r="AY599" s="49"/>
      <c r="AZ599" s="49"/>
      <c r="BA599" s="49"/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</row>
    <row r="600" spans="1:66">
      <c r="A600" s="699" t="s">
        <v>511</v>
      </c>
      <c r="B600" s="699"/>
      <c r="C600" s="699"/>
      <c r="D600" s="699"/>
      <c r="E600" s="699"/>
      <c r="F600" s="699"/>
      <c r="G600" s="699"/>
      <c r="H600" s="699"/>
      <c r="I600" s="699"/>
      <c r="J600" s="699"/>
      <c r="K600" s="699"/>
      <c r="L600" s="699"/>
      <c r="M600" s="699"/>
      <c r="N600" s="699"/>
      <c r="O600" s="699"/>
      <c r="P600" s="699"/>
      <c r="Q600" s="699"/>
      <c r="R600" s="699"/>
      <c r="S600" s="699"/>
      <c r="T600" s="699"/>
      <c r="U600" s="699"/>
      <c r="V600" s="699"/>
      <c r="W600" s="699"/>
      <c r="X600" s="699"/>
      <c r="Y600" s="699"/>
      <c r="Z600" s="699"/>
      <c r="AA600" s="699"/>
      <c r="AB600" s="699"/>
      <c r="AC600" s="699"/>
      <c r="AD600" s="699"/>
      <c r="AE600" s="49"/>
      <c r="AF600" s="49"/>
      <c r="AG600" s="49"/>
      <c r="AH600" s="49"/>
      <c r="AI600" s="49"/>
      <c r="AJ600" s="49"/>
      <c r="AK600" s="49"/>
      <c r="AL600" s="49"/>
      <c r="AM600" s="49"/>
      <c r="AN600" s="49"/>
      <c r="AO600" s="49"/>
      <c r="AP600" s="49"/>
      <c r="AQ600" s="49"/>
      <c r="AR600" s="49"/>
      <c r="AS600" s="49"/>
      <c r="AT600" s="49"/>
      <c r="AU600" s="49"/>
      <c r="AV600" s="49"/>
      <c r="AW600" s="49"/>
      <c r="AX600" s="49"/>
      <c r="AY600" s="49"/>
      <c r="AZ600" s="49"/>
      <c r="BA600" s="49"/>
      <c r="BB600" s="49"/>
      <c r="BC600" s="49"/>
      <c r="BD600" s="49"/>
      <c r="BE600" s="49"/>
      <c r="BF600" s="49"/>
      <c r="BG600" s="49"/>
      <c r="BH600" s="49"/>
      <c r="BI600" s="49"/>
      <c r="BJ600" s="49"/>
      <c r="BK600" s="49"/>
      <c r="BL600" s="49"/>
      <c r="BM600" s="49"/>
      <c r="BN600" s="49"/>
    </row>
    <row r="601" spans="1:66">
      <c r="A601" s="699"/>
      <c r="B601" s="699"/>
      <c r="C601" s="699"/>
      <c r="D601" s="699"/>
      <c r="E601" s="699"/>
      <c r="F601" s="699"/>
      <c r="G601" s="699"/>
      <c r="H601" s="699"/>
      <c r="I601" s="699"/>
      <c r="J601" s="699"/>
      <c r="K601" s="699"/>
      <c r="L601" s="699"/>
      <c r="M601" s="699"/>
      <c r="N601" s="699"/>
      <c r="O601" s="699"/>
      <c r="P601" s="699"/>
      <c r="Q601" s="699"/>
      <c r="R601" s="699"/>
      <c r="S601" s="699"/>
      <c r="T601" s="699"/>
      <c r="U601" s="699"/>
      <c r="V601" s="699"/>
      <c r="W601" s="699"/>
      <c r="X601" s="699"/>
      <c r="Y601" s="699"/>
      <c r="Z601" s="699"/>
      <c r="AA601" s="699"/>
      <c r="AB601" s="699"/>
      <c r="AC601" s="699"/>
      <c r="AD601" s="699"/>
      <c r="AE601" s="49"/>
      <c r="AF601" s="49"/>
      <c r="AG601" s="49"/>
      <c r="AH601" s="49"/>
      <c r="AI601" s="49"/>
      <c r="AJ601" s="49"/>
      <c r="AK601" s="49"/>
      <c r="AL601" s="49"/>
      <c r="AM601" s="49"/>
      <c r="AN601" s="49"/>
      <c r="AO601" s="49"/>
      <c r="AP601" s="49"/>
      <c r="AQ601" s="49"/>
      <c r="AR601" s="49"/>
      <c r="AS601" s="49"/>
      <c r="AT601" s="49"/>
      <c r="AU601" s="49"/>
      <c r="AV601" s="49"/>
      <c r="AW601" s="49"/>
      <c r="AX601" s="49"/>
      <c r="AY601" s="49"/>
      <c r="AZ601" s="49"/>
      <c r="BA601" s="49"/>
      <c r="BB601" s="49"/>
      <c r="BC601" s="49"/>
      <c r="BD601" s="49"/>
      <c r="BE601" s="49"/>
      <c r="BF601" s="49"/>
      <c r="BG601" s="49"/>
      <c r="BH601" s="49"/>
      <c r="BI601" s="49"/>
      <c r="BJ601" s="49"/>
      <c r="BK601" s="49"/>
      <c r="BL601" s="49"/>
      <c r="BM601" s="49"/>
      <c r="BN601" s="49"/>
    </row>
    <row r="602" spans="1:66">
      <c r="A602" s="699"/>
      <c r="B602" s="699"/>
      <c r="C602" s="699"/>
      <c r="D602" s="699"/>
      <c r="E602" s="699"/>
      <c r="F602" s="699"/>
      <c r="G602" s="699"/>
      <c r="H602" s="699"/>
      <c r="I602" s="699"/>
      <c r="J602" s="699"/>
      <c r="K602" s="699"/>
      <c r="L602" s="699"/>
      <c r="M602" s="699"/>
      <c r="N602" s="699"/>
      <c r="O602" s="699"/>
      <c r="P602" s="699"/>
      <c r="Q602" s="699"/>
      <c r="R602" s="699"/>
      <c r="S602" s="699"/>
      <c r="T602" s="699"/>
      <c r="U602" s="699"/>
      <c r="V602" s="699"/>
      <c r="W602" s="699"/>
      <c r="X602" s="699"/>
      <c r="Y602" s="699"/>
      <c r="Z602" s="699"/>
      <c r="AA602" s="699"/>
      <c r="AB602" s="699"/>
      <c r="AC602" s="699"/>
      <c r="AD602" s="699"/>
      <c r="AE602" s="49"/>
      <c r="AF602" s="49"/>
      <c r="AG602" s="49"/>
      <c r="AH602" s="49"/>
      <c r="AI602" s="49"/>
      <c r="AJ602" s="49"/>
      <c r="AK602" s="49"/>
      <c r="AL602" s="49"/>
      <c r="AM602" s="49"/>
      <c r="AN602" s="49"/>
      <c r="AO602" s="49"/>
      <c r="AP602" s="49"/>
      <c r="AQ602" s="49"/>
      <c r="AR602" s="49"/>
      <c r="AS602" s="49"/>
      <c r="AT602" s="49"/>
      <c r="AU602" s="49"/>
      <c r="AV602" s="49"/>
      <c r="AW602" s="49"/>
      <c r="AX602" s="49"/>
      <c r="AY602" s="49"/>
      <c r="AZ602" s="49"/>
      <c r="BA602" s="49"/>
      <c r="BB602" s="49"/>
      <c r="BC602" s="49"/>
      <c r="BD602" s="49"/>
      <c r="BE602" s="49"/>
      <c r="BF602" s="49"/>
      <c r="BG602" s="49"/>
      <c r="BH602" s="49"/>
      <c r="BI602" s="49"/>
      <c r="BJ602" s="49"/>
      <c r="BK602" s="49"/>
      <c r="BL602" s="49"/>
      <c r="BM602" s="49"/>
      <c r="BN602" s="49"/>
    </row>
    <row r="603" spans="1:66">
      <c r="A603" s="699"/>
      <c r="B603" s="699"/>
      <c r="C603" s="699"/>
      <c r="D603" s="699"/>
      <c r="E603" s="699"/>
      <c r="F603" s="699"/>
      <c r="G603" s="699"/>
      <c r="H603" s="699"/>
      <c r="I603" s="699"/>
      <c r="J603" s="699"/>
      <c r="K603" s="699"/>
      <c r="L603" s="699"/>
      <c r="M603" s="699"/>
      <c r="N603" s="699"/>
      <c r="O603" s="699"/>
      <c r="P603" s="699"/>
      <c r="Q603" s="699"/>
      <c r="R603" s="699"/>
      <c r="S603" s="699"/>
      <c r="T603" s="699"/>
      <c r="U603" s="699"/>
      <c r="V603" s="699"/>
      <c r="W603" s="699"/>
      <c r="X603" s="699"/>
      <c r="Y603" s="699"/>
      <c r="Z603" s="699"/>
      <c r="AA603" s="699"/>
      <c r="AB603" s="699"/>
      <c r="AC603" s="699"/>
      <c r="AD603" s="699"/>
      <c r="AE603" s="49"/>
      <c r="AF603" s="49"/>
      <c r="AG603" s="49"/>
      <c r="AH603" s="49"/>
      <c r="AI603" s="49"/>
      <c r="AJ603" s="49"/>
      <c r="AK603" s="49"/>
      <c r="AL603" s="49"/>
      <c r="AM603" s="49"/>
      <c r="AN603" s="49"/>
      <c r="AO603" s="49"/>
      <c r="AP603" s="49"/>
      <c r="AQ603" s="49"/>
      <c r="AR603" s="49"/>
      <c r="AS603" s="49"/>
      <c r="AT603" s="49"/>
      <c r="AU603" s="49"/>
      <c r="AV603" s="49"/>
      <c r="AW603" s="49"/>
      <c r="AX603" s="49"/>
      <c r="AY603" s="49"/>
      <c r="AZ603" s="49"/>
      <c r="BA603" s="49"/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</row>
    <row r="604" spans="1:66">
      <c r="A604" s="699"/>
      <c r="B604" s="699"/>
      <c r="C604" s="699"/>
      <c r="D604" s="699"/>
      <c r="E604" s="699"/>
      <c r="F604" s="699"/>
      <c r="G604" s="699"/>
      <c r="H604" s="699"/>
      <c r="I604" s="699"/>
      <c r="J604" s="699"/>
      <c r="K604" s="699"/>
      <c r="L604" s="699"/>
      <c r="M604" s="699"/>
      <c r="N604" s="699"/>
      <c r="O604" s="699"/>
      <c r="P604" s="699"/>
      <c r="Q604" s="699"/>
      <c r="R604" s="699"/>
      <c r="S604" s="699"/>
      <c r="T604" s="699"/>
      <c r="U604" s="699"/>
      <c r="V604" s="699"/>
      <c r="W604" s="699"/>
      <c r="X604" s="699"/>
      <c r="Y604" s="699"/>
      <c r="Z604" s="699"/>
      <c r="AA604" s="699"/>
      <c r="AB604" s="699"/>
      <c r="AC604" s="699"/>
      <c r="AD604" s="699"/>
      <c r="AE604" s="49"/>
      <c r="AF604" s="49"/>
      <c r="AG604" s="49"/>
      <c r="AH604" s="49"/>
      <c r="AI604" s="49"/>
      <c r="AJ604" s="49"/>
      <c r="AK604" s="49"/>
      <c r="AL604" s="49"/>
      <c r="AM604" s="49"/>
      <c r="AN604" s="49"/>
      <c r="AO604" s="49"/>
      <c r="AP604" s="49"/>
      <c r="AQ604" s="49"/>
      <c r="AR604" s="49"/>
      <c r="AS604" s="49"/>
      <c r="AT604" s="49"/>
      <c r="AU604" s="49"/>
      <c r="AV604" s="49"/>
      <c r="AW604" s="49"/>
      <c r="AX604" s="49"/>
      <c r="AY604" s="49"/>
      <c r="AZ604" s="49"/>
      <c r="BA604" s="49"/>
      <c r="BB604" s="49"/>
      <c r="BC604" s="49"/>
      <c r="BD604" s="49"/>
      <c r="BE604" s="49"/>
      <c r="BF604" s="49"/>
      <c r="BG604" s="49"/>
      <c r="BH604" s="49"/>
      <c r="BI604" s="49"/>
      <c r="BJ604" s="49"/>
      <c r="BK604" s="49"/>
      <c r="BL604" s="49"/>
      <c r="BM604" s="49"/>
      <c r="BN604" s="49"/>
    </row>
    <row r="605" spans="1:66">
      <c r="A605" s="699"/>
      <c r="B605" s="699"/>
      <c r="C605" s="699"/>
      <c r="D605" s="699"/>
      <c r="E605" s="699"/>
      <c r="F605" s="699"/>
      <c r="G605" s="699"/>
      <c r="H605" s="699"/>
      <c r="I605" s="699"/>
      <c r="J605" s="699"/>
      <c r="K605" s="699"/>
      <c r="L605" s="699"/>
      <c r="M605" s="699"/>
      <c r="N605" s="699"/>
      <c r="O605" s="699"/>
      <c r="P605" s="699"/>
      <c r="Q605" s="699"/>
      <c r="R605" s="699"/>
      <c r="S605" s="699"/>
      <c r="T605" s="699"/>
      <c r="U605" s="699"/>
      <c r="V605" s="699"/>
      <c r="W605" s="699"/>
      <c r="X605" s="699"/>
      <c r="Y605" s="699"/>
      <c r="Z605" s="699"/>
      <c r="AA605" s="699"/>
      <c r="AB605" s="699"/>
      <c r="AC605" s="699"/>
      <c r="AD605" s="699"/>
      <c r="AE605" s="49"/>
      <c r="AF605" s="49"/>
      <c r="AG605" s="49"/>
      <c r="AH605" s="49"/>
      <c r="AI605" s="49"/>
      <c r="AJ605" s="49"/>
      <c r="AK605" s="49"/>
      <c r="AL605" s="49"/>
      <c r="AM605" s="49"/>
      <c r="AN605" s="49"/>
      <c r="AO605" s="49"/>
      <c r="AP605" s="49"/>
      <c r="AQ605" s="49"/>
      <c r="AR605" s="49"/>
      <c r="AS605" s="49"/>
      <c r="AT605" s="49"/>
      <c r="AU605" s="49"/>
      <c r="AV605" s="49"/>
      <c r="AW605" s="49"/>
      <c r="AX605" s="49"/>
      <c r="AY605" s="49"/>
      <c r="AZ605" s="49"/>
      <c r="BA605" s="49"/>
      <c r="BB605" s="49"/>
      <c r="BC605" s="49"/>
      <c r="BD605" s="49"/>
      <c r="BE605" s="49"/>
      <c r="BF605" s="49"/>
      <c r="BG605" s="49"/>
      <c r="BH605" s="49"/>
      <c r="BI605" s="49"/>
      <c r="BJ605" s="49"/>
      <c r="BK605" s="49"/>
      <c r="BL605" s="49"/>
      <c r="BM605" s="49"/>
      <c r="BN605" s="49"/>
    </row>
    <row r="606" spans="1:66">
      <c r="A606" s="699"/>
      <c r="B606" s="699"/>
      <c r="C606" s="699"/>
      <c r="D606" s="699"/>
      <c r="E606" s="699"/>
      <c r="F606" s="699"/>
      <c r="G606" s="699"/>
      <c r="H606" s="699"/>
      <c r="I606" s="699"/>
      <c r="J606" s="699"/>
      <c r="K606" s="699"/>
      <c r="L606" s="699"/>
      <c r="M606" s="699"/>
      <c r="N606" s="699"/>
      <c r="O606" s="699"/>
      <c r="P606" s="699"/>
      <c r="Q606" s="699"/>
      <c r="R606" s="699"/>
      <c r="S606" s="699"/>
      <c r="T606" s="699"/>
      <c r="U606" s="699"/>
      <c r="V606" s="699"/>
      <c r="W606" s="699"/>
      <c r="X606" s="699"/>
      <c r="Y606" s="699"/>
      <c r="Z606" s="699"/>
      <c r="AA606" s="699"/>
      <c r="AB606" s="699"/>
      <c r="AC606" s="699"/>
      <c r="AD606" s="699"/>
      <c r="AE606" s="49"/>
      <c r="AF606" s="49"/>
      <c r="AG606" s="49"/>
      <c r="AH606" s="49"/>
      <c r="AI606" s="49"/>
      <c r="AJ606" s="49"/>
      <c r="AK606" s="49"/>
      <c r="AL606" s="49"/>
      <c r="AM606" s="49"/>
      <c r="AN606" s="49"/>
      <c r="AO606" s="49"/>
      <c r="AP606" s="49"/>
      <c r="AQ606" s="49"/>
      <c r="AR606" s="49"/>
      <c r="AS606" s="49"/>
      <c r="AT606" s="49"/>
      <c r="AU606" s="49"/>
      <c r="AV606" s="49"/>
      <c r="AW606" s="49"/>
      <c r="AX606" s="49"/>
      <c r="AY606" s="49"/>
      <c r="AZ606" s="49"/>
      <c r="BA606" s="49"/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</row>
    <row r="607" spans="1:66">
      <c r="A607" s="699"/>
      <c r="B607" s="699"/>
      <c r="C607" s="699"/>
      <c r="D607" s="699"/>
      <c r="E607" s="699"/>
      <c r="F607" s="699"/>
      <c r="G607" s="699"/>
      <c r="H607" s="699"/>
      <c r="I607" s="699"/>
      <c r="J607" s="699"/>
      <c r="K607" s="699"/>
      <c r="L607" s="699"/>
      <c r="M607" s="699"/>
      <c r="N607" s="699"/>
      <c r="O607" s="699"/>
      <c r="P607" s="699"/>
      <c r="Q607" s="699"/>
      <c r="R607" s="699"/>
      <c r="S607" s="699"/>
      <c r="T607" s="699"/>
      <c r="U607" s="699"/>
      <c r="V607" s="699"/>
      <c r="W607" s="699"/>
      <c r="X607" s="699"/>
      <c r="Y607" s="699"/>
      <c r="Z607" s="699"/>
      <c r="AA607" s="699"/>
      <c r="AB607" s="699"/>
      <c r="AC607" s="699"/>
      <c r="AD607" s="699"/>
      <c r="AE607" s="49"/>
      <c r="AF607" s="49"/>
      <c r="AG607" s="49"/>
      <c r="AH607" s="49"/>
      <c r="AI607" s="49"/>
      <c r="AJ607" s="49"/>
      <c r="AK607" s="49"/>
      <c r="AL607" s="49"/>
      <c r="AM607" s="49"/>
      <c r="AN607" s="49"/>
      <c r="AO607" s="49"/>
      <c r="AP607" s="49"/>
      <c r="AQ607" s="49"/>
      <c r="AR607" s="49"/>
      <c r="AS607" s="49"/>
      <c r="AT607" s="49"/>
      <c r="AU607" s="49"/>
      <c r="AV607" s="49"/>
      <c r="AW607" s="49"/>
      <c r="AX607" s="49"/>
      <c r="AY607" s="49"/>
      <c r="AZ607" s="49"/>
      <c r="BA607" s="49"/>
      <c r="BB607" s="49"/>
      <c r="BC607" s="49"/>
      <c r="BD607" s="49"/>
      <c r="BE607" s="49"/>
      <c r="BF607" s="49"/>
      <c r="BG607" s="49"/>
      <c r="BH607" s="49"/>
      <c r="BI607" s="49"/>
      <c r="BJ607" s="49"/>
      <c r="BK607" s="49"/>
      <c r="BL607" s="49"/>
      <c r="BM607" s="49"/>
      <c r="BN607" s="49"/>
    </row>
    <row r="608" spans="1:66">
      <c r="A608" s="699"/>
      <c r="B608" s="699"/>
      <c r="C608" s="699"/>
      <c r="D608" s="699"/>
      <c r="E608" s="699"/>
      <c r="F608" s="699"/>
      <c r="G608" s="699"/>
      <c r="H608" s="699"/>
      <c r="I608" s="699"/>
      <c r="J608" s="699"/>
      <c r="K608" s="699"/>
      <c r="L608" s="699"/>
      <c r="M608" s="699"/>
      <c r="N608" s="699"/>
      <c r="O608" s="699"/>
      <c r="P608" s="699"/>
      <c r="Q608" s="699"/>
      <c r="R608" s="699"/>
      <c r="S608" s="699"/>
      <c r="T608" s="699"/>
      <c r="U608" s="699"/>
      <c r="V608" s="699"/>
      <c r="W608" s="699"/>
      <c r="X608" s="699"/>
      <c r="Y608" s="699"/>
      <c r="Z608" s="699"/>
      <c r="AA608" s="699"/>
      <c r="AB608" s="699"/>
      <c r="AC608" s="699"/>
      <c r="AD608" s="699"/>
      <c r="AE608" s="49"/>
      <c r="AF608" s="49"/>
      <c r="AG608" s="49"/>
      <c r="AH608" s="49"/>
      <c r="AI608" s="49"/>
      <c r="AJ608" s="49"/>
      <c r="AK608" s="49"/>
      <c r="AL608" s="49"/>
      <c r="AM608" s="49"/>
      <c r="AN608" s="49"/>
      <c r="AO608" s="49"/>
      <c r="AP608" s="49"/>
      <c r="AQ608" s="49"/>
      <c r="AR608" s="49"/>
      <c r="AS608" s="49"/>
      <c r="AT608" s="49"/>
      <c r="AU608" s="49"/>
      <c r="AV608" s="49"/>
      <c r="AW608" s="49"/>
      <c r="AX608" s="49"/>
      <c r="AY608" s="49"/>
      <c r="AZ608" s="49"/>
      <c r="BA608" s="49"/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</row>
    <row r="609" spans="31:66">
      <c r="AE609" s="49"/>
      <c r="AF609" s="49"/>
      <c r="AG609" s="49"/>
      <c r="AH609" s="49"/>
      <c r="AI609" s="49"/>
      <c r="AJ609" s="49"/>
      <c r="AK609" s="49"/>
      <c r="AL609" s="49"/>
      <c r="AM609" s="49"/>
      <c r="AN609" s="49"/>
      <c r="AO609" s="49"/>
      <c r="AP609" s="49"/>
      <c r="AQ609" s="49"/>
      <c r="AR609" s="49"/>
      <c r="AS609" s="49"/>
      <c r="AT609" s="49"/>
      <c r="AU609" s="49"/>
      <c r="AV609" s="49"/>
      <c r="AW609" s="49"/>
      <c r="AX609" s="49"/>
      <c r="AY609" s="49"/>
      <c r="AZ609" s="49"/>
      <c r="BA609" s="49"/>
      <c r="BB609" s="49"/>
      <c r="BC609" s="49"/>
      <c r="BD609" s="49"/>
      <c r="BE609" s="49"/>
      <c r="BF609" s="49"/>
      <c r="BG609" s="49"/>
      <c r="BH609" s="49"/>
      <c r="BI609" s="49"/>
      <c r="BJ609" s="49"/>
      <c r="BK609" s="49"/>
      <c r="BL609" s="49"/>
      <c r="BM609" s="49"/>
      <c r="BN609" s="49"/>
    </row>
    <row r="610" spans="31:66">
      <c r="AE610" s="49"/>
      <c r="AF610" s="49"/>
      <c r="AG610" s="49"/>
      <c r="AH610" s="49"/>
      <c r="AI610" s="49"/>
      <c r="AJ610" s="49"/>
      <c r="AK610" s="49"/>
      <c r="AL610" s="49"/>
      <c r="AM610" s="49"/>
      <c r="AN610" s="49"/>
      <c r="AO610" s="49"/>
      <c r="AP610" s="49"/>
      <c r="AQ610" s="49"/>
      <c r="AR610" s="49"/>
      <c r="AS610" s="49"/>
      <c r="AT610" s="49"/>
      <c r="AU610" s="49"/>
      <c r="AV610" s="49"/>
      <c r="AW610" s="49"/>
      <c r="AX610" s="49"/>
      <c r="AY610" s="49"/>
      <c r="AZ610" s="49"/>
      <c r="BA610" s="49"/>
      <c r="BB610" s="49"/>
      <c r="BC610" s="49"/>
      <c r="BD610" s="49"/>
      <c r="BE610" s="49"/>
      <c r="BF610" s="49"/>
      <c r="BG610" s="49"/>
      <c r="BH610" s="49"/>
      <c r="BI610" s="49"/>
      <c r="BJ610" s="49"/>
      <c r="BK610" s="49"/>
      <c r="BL610" s="49"/>
      <c r="BM610" s="49"/>
      <c r="BN610" s="49"/>
    </row>
    <row r="611" spans="31:66">
      <c r="AE611" s="49"/>
      <c r="AF611" s="49"/>
      <c r="AG611" s="49"/>
      <c r="AH611" s="49"/>
      <c r="AI611" s="49"/>
      <c r="AJ611" s="49"/>
      <c r="AK611" s="49"/>
      <c r="AL611" s="49"/>
      <c r="AM611" s="49"/>
      <c r="AN611" s="49"/>
      <c r="AO611" s="49"/>
      <c r="AP611" s="49"/>
      <c r="AQ611" s="49"/>
      <c r="AR611" s="49"/>
      <c r="AS611" s="49"/>
      <c r="AT611" s="49"/>
      <c r="AU611" s="49"/>
      <c r="AV611" s="49"/>
      <c r="AW611" s="49"/>
      <c r="AX611" s="49"/>
      <c r="AY611" s="49"/>
      <c r="AZ611" s="49"/>
      <c r="BA611" s="49"/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</row>
    <row r="612" spans="31:66">
      <c r="AE612" s="49"/>
      <c r="AF612" s="49"/>
      <c r="AG612" s="49"/>
      <c r="AH612" s="49"/>
      <c r="AI612" s="49"/>
      <c r="AJ612" s="49"/>
      <c r="AK612" s="49"/>
      <c r="AL612" s="49"/>
      <c r="AM612" s="49"/>
      <c r="AN612" s="49"/>
      <c r="AO612" s="49"/>
      <c r="AP612" s="49"/>
      <c r="AQ612" s="49"/>
      <c r="AR612" s="49"/>
      <c r="AS612" s="49"/>
      <c r="AT612" s="49"/>
      <c r="AU612" s="49"/>
      <c r="AV612" s="49"/>
      <c r="AW612" s="49"/>
      <c r="AX612" s="49"/>
      <c r="AY612" s="49"/>
      <c r="AZ612" s="49"/>
      <c r="BA612" s="49"/>
      <c r="BB612" s="49"/>
      <c r="BC612" s="49"/>
      <c r="BD612" s="49"/>
      <c r="BE612" s="49"/>
      <c r="BF612" s="49"/>
      <c r="BG612" s="49"/>
      <c r="BH612" s="49"/>
      <c r="BI612" s="49"/>
      <c r="BJ612" s="49"/>
      <c r="BK612" s="49"/>
      <c r="BL612" s="49"/>
      <c r="BM612" s="49"/>
      <c r="BN612" s="49"/>
    </row>
    <row r="613" spans="31:66">
      <c r="AE613" s="49"/>
      <c r="AF613" s="49"/>
      <c r="AG613" s="49"/>
      <c r="AH613" s="49"/>
      <c r="AI613" s="49"/>
      <c r="AJ613" s="49"/>
      <c r="AK613" s="49"/>
      <c r="AL613" s="49"/>
      <c r="AM613" s="49"/>
      <c r="AN613" s="49"/>
      <c r="AO613" s="49"/>
      <c r="AP613" s="49"/>
      <c r="AQ613" s="49"/>
      <c r="AR613" s="49"/>
      <c r="AS613" s="49"/>
      <c r="AT613" s="49"/>
      <c r="AU613" s="49"/>
      <c r="AV613" s="49"/>
      <c r="AW613" s="49"/>
      <c r="AX613" s="49"/>
      <c r="AY613" s="49"/>
      <c r="AZ613" s="49"/>
      <c r="BA613" s="49"/>
      <c r="BB613" s="49"/>
      <c r="BC613" s="49"/>
      <c r="BD613" s="49"/>
      <c r="BE613" s="49"/>
      <c r="BF613" s="49"/>
      <c r="BG613" s="49"/>
      <c r="BH613" s="49"/>
      <c r="BI613" s="49"/>
      <c r="BJ613" s="49"/>
      <c r="BK613" s="49"/>
      <c r="BL613" s="49"/>
      <c r="BM613" s="49"/>
      <c r="BN613" s="49"/>
    </row>
    <row r="614" spans="31:66">
      <c r="AE614" s="49"/>
      <c r="AF614" s="49"/>
      <c r="AG614" s="49"/>
      <c r="AH614" s="49"/>
      <c r="AI614" s="49"/>
      <c r="AJ614" s="49"/>
      <c r="AK614" s="49"/>
      <c r="AL614" s="49"/>
      <c r="AM614" s="49"/>
      <c r="AN614" s="49"/>
      <c r="AO614" s="49"/>
      <c r="AP614" s="49"/>
      <c r="AQ614" s="49"/>
      <c r="AR614" s="49"/>
      <c r="AS614" s="49"/>
      <c r="AT614" s="49"/>
      <c r="AU614" s="49"/>
      <c r="AV614" s="49"/>
      <c r="AW614" s="49"/>
      <c r="AX614" s="49"/>
      <c r="AY614" s="49"/>
      <c r="AZ614" s="49"/>
      <c r="BA614" s="49"/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</row>
    <row r="615" spans="31:66">
      <c r="AE615" s="49"/>
      <c r="AF615" s="49"/>
      <c r="AG615" s="49"/>
      <c r="AH615" s="49"/>
      <c r="AI615" s="49"/>
      <c r="AJ615" s="49"/>
      <c r="AK615" s="49"/>
      <c r="AL615" s="49"/>
      <c r="AM615" s="49"/>
      <c r="AN615" s="49"/>
      <c r="AO615" s="49"/>
      <c r="AP615" s="49"/>
      <c r="AQ615" s="49"/>
      <c r="AR615" s="49"/>
      <c r="AS615" s="49"/>
      <c r="AT615" s="49"/>
      <c r="AU615" s="49"/>
      <c r="AV615" s="49"/>
      <c r="AW615" s="49"/>
      <c r="AX615" s="49"/>
      <c r="AY615" s="49"/>
      <c r="AZ615" s="49"/>
      <c r="BA615" s="49"/>
      <c r="BB615" s="49"/>
      <c r="BC615" s="49"/>
      <c r="BD615" s="49"/>
      <c r="BE615" s="49"/>
      <c r="BF615" s="49"/>
      <c r="BG615" s="49"/>
      <c r="BH615" s="49"/>
      <c r="BI615" s="49"/>
      <c r="BJ615" s="49"/>
      <c r="BK615" s="49"/>
      <c r="BL615" s="49"/>
      <c r="BM615" s="49"/>
      <c r="BN615" s="49"/>
    </row>
    <row r="616" spans="31:66">
      <c r="AE616" s="49"/>
      <c r="AF616" s="49"/>
      <c r="AG616" s="49"/>
      <c r="AH616" s="49"/>
      <c r="AI616" s="49"/>
      <c r="AJ616" s="49"/>
      <c r="AK616" s="49"/>
      <c r="AL616" s="49"/>
      <c r="AM616" s="49"/>
      <c r="AN616" s="49"/>
      <c r="AO616" s="49"/>
      <c r="AP616" s="49"/>
      <c r="AQ616" s="49"/>
      <c r="AR616" s="49"/>
      <c r="AS616" s="49"/>
      <c r="AT616" s="49"/>
      <c r="AU616" s="49"/>
      <c r="AV616" s="49"/>
      <c r="AW616" s="49"/>
      <c r="AX616" s="49"/>
      <c r="AY616" s="49"/>
      <c r="AZ616" s="49"/>
      <c r="BA616" s="49"/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</row>
    <row r="617" spans="31:66">
      <c r="AE617" s="49"/>
      <c r="AF617" s="49"/>
      <c r="AG617" s="49"/>
      <c r="AH617" s="49"/>
      <c r="AI617" s="49"/>
      <c r="AJ617" s="49"/>
      <c r="AK617" s="49"/>
      <c r="AL617" s="49"/>
      <c r="AM617" s="49"/>
      <c r="AN617" s="49"/>
      <c r="AO617" s="49"/>
      <c r="AP617" s="49"/>
      <c r="AQ617" s="49"/>
      <c r="AR617" s="49"/>
      <c r="AS617" s="49"/>
      <c r="AT617" s="49"/>
      <c r="AU617" s="49"/>
      <c r="AV617" s="49"/>
      <c r="AW617" s="49"/>
      <c r="AX617" s="49"/>
      <c r="AY617" s="49"/>
      <c r="AZ617" s="49"/>
      <c r="BA617" s="49"/>
      <c r="BB617" s="49"/>
      <c r="BC617" s="49"/>
      <c r="BD617" s="49"/>
      <c r="BE617" s="49"/>
      <c r="BF617" s="49"/>
      <c r="BG617" s="49"/>
      <c r="BH617" s="49"/>
      <c r="BI617" s="49"/>
      <c r="BJ617" s="49"/>
      <c r="BK617" s="49"/>
      <c r="BL617" s="49"/>
      <c r="BM617" s="49"/>
      <c r="BN617" s="49"/>
    </row>
    <row r="618" spans="31:66">
      <c r="AE618" s="49"/>
      <c r="AF618" s="49"/>
      <c r="AG618" s="49"/>
      <c r="AH618" s="49"/>
      <c r="AI618" s="49"/>
      <c r="AJ618" s="49"/>
      <c r="AK618" s="49"/>
      <c r="AL618" s="49"/>
      <c r="AM618" s="49"/>
      <c r="AN618" s="49"/>
      <c r="AO618" s="49"/>
      <c r="AP618" s="49"/>
      <c r="AQ618" s="49"/>
      <c r="AR618" s="49"/>
      <c r="AS618" s="49"/>
      <c r="AT618" s="49"/>
      <c r="AU618" s="49"/>
      <c r="AV618" s="49"/>
      <c r="AW618" s="49"/>
      <c r="AX618" s="49"/>
      <c r="AY618" s="49"/>
      <c r="AZ618" s="49"/>
      <c r="BA618" s="49"/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</row>
    <row r="619" spans="31:66">
      <c r="AE619" s="49"/>
      <c r="AF619" s="49"/>
      <c r="AG619" s="49"/>
      <c r="AH619" s="49"/>
      <c r="AI619" s="49"/>
      <c r="AJ619" s="49"/>
      <c r="AK619" s="49"/>
      <c r="AL619" s="49"/>
      <c r="AM619" s="49"/>
      <c r="AN619" s="49"/>
      <c r="AO619" s="49"/>
      <c r="AP619" s="49"/>
      <c r="AQ619" s="49"/>
      <c r="AR619" s="49"/>
      <c r="AS619" s="49"/>
      <c r="AT619" s="49"/>
      <c r="AU619" s="49"/>
      <c r="AV619" s="49"/>
      <c r="AW619" s="49"/>
      <c r="AX619" s="49"/>
      <c r="AY619" s="49"/>
      <c r="AZ619" s="49"/>
      <c r="BA619" s="49"/>
      <c r="BB619" s="49"/>
      <c r="BC619" s="49"/>
      <c r="BD619" s="49"/>
      <c r="BE619" s="49"/>
      <c r="BF619" s="49"/>
      <c r="BG619" s="49"/>
      <c r="BH619" s="49"/>
      <c r="BI619" s="49"/>
      <c r="BJ619" s="49"/>
      <c r="BK619" s="49"/>
      <c r="BL619" s="49"/>
      <c r="BM619" s="49"/>
      <c r="BN619" s="49"/>
    </row>
    <row r="620" spans="31:66">
      <c r="AE620" s="49"/>
      <c r="AF620" s="49"/>
      <c r="AG620" s="49"/>
      <c r="AH620" s="49"/>
      <c r="AI620" s="49"/>
      <c r="AJ620" s="49"/>
      <c r="AK620" s="49"/>
      <c r="AL620" s="49"/>
      <c r="AM620" s="49"/>
      <c r="AN620" s="49"/>
      <c r="AO620" s="49"/>
      <c r="AP620" s="49"/>
      <c r="AQ620" s="49"/>
      <c r="AR620" s="49"/>
      <c r="AS620" s="49"/>
      <c r="AT620" s="49"/>
      <c r="AU620" s="49"/>
      <c r="AV620" s="49"/>
      <c r="AW620" s="49"/>
      <c r="AX620" s="49"/>
      <c r="AY620" s="49"/>
      <c r="AZ620" s="49"/>
      <c r="BA620" s="49"/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</row>
    <row r="621" spans="31:66">
      <c r="AE621" s="49"/>
      <c r="AF621" s="49"/>
      <c r="AG621" s="49"/>
      <c r="AH621" s="49"/>
      <c r="AI621" s="49"/>
      <c r="AJ621" s="49"/>
      <c r="AK621" s="49"/>
      <c r="AL621" s="49"/>
      <c r="AM621" s="699"/>
      <c r="AN621" s="699"/>
      <c r="AO621" s="699"/>
      <c r="AP621" s="699"/>
      <c r="AQ621" s="699"/>
      <c r="AR621" s="699"/>
      <c r="AS621" s="699"/>
      <c r="AT621" s="699"/>
      <c r="AU621" s="699"/>
      <c r="AV621" s="699"/>
      <c r="AW621" s="699"/>
      <c r="AX621" s="699"/>
      <c r="AY621" s="699"/>
      <c r="AZ621" s="699"/>
      <c r="BA621" s="699"/>
      <c r="BB621" s="699"/>
      <c r="BC621" s="699"/>
      <c r="BD621" s="699"/>
      <c r="BE621" s="699"/>
      <c r="BF621" s="699"/>
      <c r="BG621" s="699"/>
      <c r="BH621" s="699"/>
      <c r="BI621" s="699"/>
      <c r="BJ621" s="699"/>
      <c r="BK621" s="699"/>
      <c r="BL621" s="49"/>
      <c r="BM621" s="49"/>
      <c r="BN621" s="49"/>
    </row>
    <row r="622" spans="31:66">
      <c r="AE622" s="49"/>
      <c r="AF622" s="49"/>
      <c r="AG622" s="49"/>
      <c r="AH622" s="49"/>
      <c r="AI622" s="49"/>
      <c r="AJ622" s="49"/>
      <c r="AK622" s="49"/>
      <c r="AL622" s="49"/>
      <c r="AM622" s="699"/>
      <c r="AN622" s="699"/>
      <c r="AO622" s="699"/>
      <c r="AP622" s="699"/>
      <c r="AQ622" s="699"/>
      <c r="AR622" s="699"/>
      <c r="AS622" s="699"/>
      <c r="AT622" s="699"/>
      <c r="AU622" s="699"/>
      <c r="AV622" s="699"/>
      <c r="AW622" s="699"/>
      <c r="AX622" s="699"/>
      <c r="AY622" s="699"/>
      <c r="AZ622" s="699"/>
      <c r="BA622" s="699"/>
      <c r="BB622" s="699"/>
      <c r="BC622" s="699"/>
      <c r="BD622" s="699"/>
      <c r="BE622" s="699"/>
      <c r="BF622" s="699"/>
      <c r="BG622" s="699"/>
      <c r="BH622" s="699"/>
      <c r="BI622" s="699"/>
      <c r="BJ622" s="699"/>
      <c r="BK622" s="699"/>
      <c r="BL622" s="49"/>
      <c r="BM622" s="49"/>
      <c r="BN622" s="49"/>
    </row>
    <row r="623" spans="31:66">
      <c r="AE623" s="49"/>
      <c r="AF623" s="49"/>
      <c r="AG623" s="49"/>
      <c r="AH623" s="49"/>
      <c r="AI623" s="49"/>
      <c r="AJ623" s="49"/>
      <c r="AK623" s="49"/>
      <c r="AL623" s="49"/>
      <c r="AM623" s="699"/>
      <c r="AN623" s="699"/>
      <c r="AO623" s="699"/>
      <c r="AP623" s="699"/>
      <c r="AQ623" s="699"/>
      <c r="AR623" s="699"/>
      <c r="AS623" s="699"/>
      <c r="AT623" s="699"/>
      <c r="AU623" s="699"/>
      <c r="AV623" s="699"/>
      <c r="AW623" s="699"/>
      <c r="AX623" s="699"/>
      <c r="AY623" s="699"/>
      <c r="AZ623" s="699"/>
      <c r="BA623" s="699"/>
      <c r="BB623" s="699"/>
      <c r="BC623" s="699"/>
      <c r="BD623" s="699"/>
      <c r="BE623" s="699"/>
      <c r="BF623" s="699"/>
      <c r="BG623" s="699"/>
      <c r="BH623" s="699"/>
      <c r="BI623" s="699"/>
      <c r="BJ623" s="699"/>
      <c r="BK623" s="699"/>
      <c r="BL623" s="49"/>
      <c r="BM623" s="49"/>
      <c r="BN623" s="49"/>
    </row>
    <row r="624" spans="31:66">
      <c r="AE624" s="49"/>
      <c r="AF624" s="49"/>
      <c r="AG624" s="49"/>
      <c r="AH624" s="49"/>
      <c r="AI624" s="49"/>
      <c r="AJ624" s="49"/>
      <c r="AK624" s="49"/>
      <c r="AL624" s="49"/>
      <c r="AM624" s="699"/>
      <c r="AN624" s="699"/>
      <c r="AO624" s="699"/>
      <c r="AP624" s="699"/>
      <c r="AQ624" s="699"/>
      <c r="AR624" s="699"/>
      <c r="AS624" s="699"/>
      <c r="AT624" s="699"/>
      <c r="AU624" s="699"/>
      <c r="AV624" s="699"/>
      <c r="AW624" s="699"/>
      <c r="AX624" s="699"/>
      <c r="AY624" s="699"/>
      <c r="AZ624" s="699"/>
      <c r="BA624" s="699"/>
      <c r="BB624" s="699"/>
      <c r="BC624" s="699"/>
      <c r="BD624" s="699"/>
      <c r="BE624" s="699"/>
      <c r="BF624" s="699"/>
      <c r="BG624" s="699"/>
      <c r="BH624" s="699"/>
      <c r="BI624" s="699"/>
      <c r="BJ624" s="699"/>
      <c r="BK624" s="699"/>
      <c r="BL624" s="49"/>
      <c r="BM624" s="49"/>
      <c r="BN624" s="49"/>
    </row>
    <row r="625" spans="1:66">
      <c r="A625" s="699"/>
      <c r="B625" s="699"/>
      <c r="C625" s="699"/>
      <c r="D625" s="699"/>
      <c r="E625" s="699"/>
      <c r="F625" s="699"/>
      <c r="G625" s="699"/>
      <c r="H625" s="699"/>
      <c r="I625" s="699"/>
      <c r="J625" s="699"/>
      <c r="K625" s="699"/>
      <c r="L625" s="699"/>
      <c r="M625" s="699"/>
      <c r="N625" s="699"/>
      <c r="O625" s="699"/>
      <c r="P625" s="699"/>
      <c r="Q625" s="699"/>
      <c r="R625" s="699"/>
      <c r="S625" s="699"/>
      <c r="T625" s="699"/>
      <c r="U625" s="699"/>
      <c r="V625" s="699"/>
      <c r="W625" s="699"/>
      <c r="X625" s="699"/>
      <c r="Y625" s="699"/>
      <c r="Z625" s="699"/>
      <c r="AA625" s="699"/>
      <c r="AB625" s="699"/>
      <c r="AC625" s="699"/>
      <c r="AD625" s="699"/>
      <c r="AE625" s="49"/>
      <c r="AF625" s="49"/>
      <c r="AG625" s="49"/>
      <c r="AH625" s="49"/>
      <c r="AI625" s="49"/>
      <c r="AJ625" s="49"/>
      <c r="AK625" s="49"/>
      <c r="AL625" s="49"/>
      <c r="AM625" s="699"/>
      <c r="AN625" s="699"/>
      <c r="AO625" s="699"/>
      <c r="AP625" s="699"/>
      <c r="AQ625" s="699"/>
      <c r="AR625" s="699"/>
      <c r="AS625" s="699"/>
      <c r="AT625" s="699"/>
      <c r="AU625" s="699"/>
      <c r="AV625" s="699"/>
      <c r="AW625" s="699"/>
      <c r="AX625" s="699"/>
      <c r="AY625" s="699"/>
      <c r="AZ625" s="699"/>
      <c r="BA625" s="699"/>
      <c r="BB625" s="699"/>
      <c r="BC625" s="699"/>
      <c r="BD625" s="699"/>
      <c r="BE625" s="699"/>
      <c r="BF625" s="699"/>
      <c r="BG625" s="699"/>
      <c r="BH625" s="699"/>
      <c r="BI625" s="699"/>
      <c r="BJ625" s="699"/>
      <c r="BK625" s="699"/>
      <c r="BL625" s="49"/>
      <c r="BM625" s="49"/>
      <c r="BN625" s="49"/>
    </row>
    <row r="626" spans="1:66">
      <c r="A626" s="699"/>
      <c r="B626" s="699"/>
      <c r="C626" s="699"/>
      <c r="D626" s="699"/>
      <c r="E626" s="699"/>
      <c r="F626" s="699"/>
      <c r="G626" s="699"/>
      <c r="H626" s="699"/>
      <c r="I626" s="699"/>
      <c r="J626" s="699"/>
      <c r="K626" s="699"/>
      <c r="L626" s="699"/>
      <c r="M626" s="699"/>
      <c r="N626" s="699"/>
      <c r="O626" s="699"/>
      <c r="P626" s="699"/>
      <c r="Q626" s="699"/>
      <c r="R626" s="699"/>
      <c r="S626" s="699"/>
      <c r="T626" s="699"/>
      <c r="U626" s="699"/>
      <c r="V626" s="699"/>
      <c r="W626" s="699"/>
      <c r="X626" s="699"/>
      <c r="Y626" s="699"/>
      <c r="Z626" s="699"/>
      <c r="AA626" s="699"/>
      <c r="AB626" s="699"/>
      <c r="AC626" s="699"/>
      <c r="AD626" s="699"/>
      <c r="AE626" s="49"/>
      <c r="AF626" s="49"/>
      <c r="AG626" s="49"/>
      <c r="AH626" s="49"/>
      <c r="AI626" s="49"/>
      <c r="AJ626" s="49"/>
      <c r="AK626" s="49"/>
      <c r="AL626" s="49"/>
      <c r="AM626" s="699"/>
      <c r="AN626" s="699"/>
      <c r="AO626" s="699"/>
      <c r="AP626" s="699"/>
      <c r="AQ626" s="699"/>
      <c r="AR626" s="699"/>
      <c r="AS626" s="699"/>
      <c r="AT626" s="699"/>
      <c r="AU626" s="699"/>
      <c r="AV626" s="699"/>
      <c r="AW626" s="699"/>
      <c r="AX626" s="699"/>
      <c r="AY626" s="699"/>
      <c r="AZ626" s="699"/>
      <c r="BA626" s="699"/>
      <c r="BB626" s="699"/>
      <c r="BC626" s="699"/>
      <c r="BD626" s="699"/>
      <c r="BE626" s="699"/>
      <c r="BF626" s="699"/>
      <c r="BG626" s="699"/>
      <c r="BH626" s="699"/>
      <c r="BI626" s="699"/>
      <c r="BJ626" s="699"/>
      <c r="BK626" s="699"/>
      <c r="BL626" s="49"/>
      <c r="BM626" s="49"/>
      <c r="BN626" s="49"/>
    </row>
    <row r="627" spans="1:66">
      <c r="A627" s="699"/>
      <c r="B627" s="699"/>
      <c r="C627" s="699"/>
      <c r="D627" s="699"/>
      <c r="E627" s="699"/>
      <c r="F627" s="699"/>
      <c r="G627" s="699"/>
      <c r="H627" s="699"/>
      <c r="I627" s="699"/>
      <c r="J627" s="699"/>
      <c r="K627" s="699"/>
      <c r="L627" s="699"/>
      <c r="M627" s="699"/>
      <c r="N627" s="699"/>
      <c r="O627" s="699"/>
      <c r="P627" s="699"/>
      <c r="Q627" s="699"/>
      <c r="R627" s="699"/>
      <c r="S627" s="699"/>
      <c r="T627" s="699"/>
      <c r="U627" s="699"/>
      <c r="V627" s="699"/>
      <c r="W627" s="699"/>
      <c r="X627" s="699"/>
      <c r="Y627" s="699"/>
      <c r="Z627" s="699"/>
      <c r="AA627" s="699"/>
      <c r="AB627" s="699"/>
      <c r="AC627" s="699"/>
      <c r="AD627" s="699"/>
      <c r="AE627" s="49"/>
      <c r="AF627" s="49"/>
      <c r="AG627" s="49"/>
      <c r="AH627" s="49"/>
      <c r="AI627" s="49"/>
      <c r="AJ627" s="49"/>
      <c r="AK627" s="49"/>
      <c r="AL627" s="49"/>
      <c r="AM627" s="699"/>
      <c r="AN627" s="699"/>
      <c r="AO627" s="699"/>
      <c r="AP627" s="699"/>
      <c r="AQ627" s="699"/>
      <c r="AR627" s="699"/>
      <c r="AS627" s="699"/>
      <c r="AT627" s="699"/>
      <c r="AU627" s="699"/>
      <c r="AV627" s="699"/>
      <c r="AW627" s="699"/>
      <c r="AX627" s="699"/>
      <c r="AY627" s="699"/>
      <c r="AZ627" s="699"/>
      <c r="BA627" s="699"/>
      <c r="BB627" s="699"/>
      <c r="BC627" s="699"/>
      <c r="BD627" s="699"/>
      <c r="BE627" s="699"/>
      <c r="BF627" s="699"/>
      <c r="BG627" s="699"/>
      <c r="BH627" s="699"/>
      <c r="BI627" s="699"/>
      <c r="BJ627" s="699"/>
      <c r="BK627" s="699"/>
      <c r="BL627" s="49"/>
      <c r="BM627" s="49"/>
      <c r="BN627" s="49"/>
    </row>
    <row r="628" spans="1:66">
      <c r="A628" s="699"/>
      <c r="B628" s="699"/>
      <c r="C628" s="699"/>
      <c r="D628" s="699"/>
      <c r="E628" s="699"/>
      <c r="F628" s="699"/>
      <c r="G628" s="699"/>
      <c r="H628" s="699"/>
      <c r="I628" s="699"/>
      <c r="J628" s="699"/>
      <c r="K628" s="699"/>
      <c r="L628" s="699"/>
      <c r="M628" s="699"/>
      <c r="N628" s="699"/>
      <c r="O628" s="699"/>
      <c r="P628" s="699"/>
      <c r="Q628" s="699"/>
      <c r="R628" s="699"/>
      <c r="S628" s="699"/>
      <c r="T628" s="699"/>
      <c r="U628" s="699"/>
      <c r="V628" s="699"/>
      <c r="W628" s="699"/>
      <c r="X628" s="699"/>
      <c r="Y628" s="699"/>
      <c r="Z628" s="699"/>
      <c r="AA628" s="699"/>
      <c r="AB628" s="699"/>
      <c r="AC628" s="699"/>
      <c r="AD628" s="699"/>
      <c r="AE628" s="49"/>
      <c r="AF628" s="49"/>
      <c r="AG628" s="49"/>
      <c r="AH628" s="49"/>
      <c r="AI628" s="49"/>
      <c r="AJ628" s="49"/>
      <c r="AK628" s="49"/>
      <c r="AL628" s="49"/>
      <c r="AM628" s="699"/>
      <c r="AN628" s="699"/>
      <c r="AO628" s="699"/>
      <c r="AP628" s="699"/>
      <c r="AQ628" s="699"/>
      <c r="AR628" s="699"/>
      <c r="AS628" s="699"/>
      <c r="AT628" s="699"/>
      <c r="AU628" s="699"/>
      <c r="AV628" s="699"/>
      <c r="AW628" s="699"/>
      <c r="AX628" s="699"/>
      <c r="AY628" s="699"/>
      <c r="AZ628" s="699"/>
      <c r="BA628" s="699"/>
      <c r="BB628" s="699"/>
      <c r="BC628" s="699"/>
      <c r="BD628" s="699"/>
      <c r="BE628" s="699"/>
      <c r="BF628" s="699"/>
      <c r="BG628" s="699"/>
      <c r="BH628" s="699"/>
      <c r="BI628" s="699"/>
      <c r="BJ628" s="699"/>
      <c r="BK628" s="699"/>
      <c r="BL628" s="49"/>
      <c r="BM628" s="49"/>
      <c r="BN628" s="49"/>
    </row>
    <row r="629" spans="1:66">
      <c r="A629" s="699"/>
      <c r="B629" s="699"/>
      <c r="C629" s="699"/>
      <c r="D629" s="699"/>
      <c r="E629" s="699"/>
      <c r="F629" s="699"/>
      <c r="G629" s="699"/>
      <c r="H629" s="699"/>
      <c r="I629" s="699"/>
      <c r="J629" s="699"/>
      <c r="K629" s="699"/>
      <c r="L629" s="699"/>
      <c r="M629" s="699"/>
      <c r="N629" s="699"/>
      <c r="O629" s="699"/>
      <c r="P629" s="699"/>
      <c r="Q629" s="699"/>
      <c r="R629" s="699"/>
      <c r="S629" s="699"/>
      <c r="T629" s="699"/>
      <c r="U629" s="699"/>
      <c r="V629" s="699"/>
      <c r="W629" s="699"/>
      <c r="X629" s="699"/>
      <c r="Y629" s="699"/>
      <c r="Z629" s="699"/>
      <c r="AA629" s="699"/>
      <c r="AB629" s="699"/>
      <c r="AC629" s="699"/>
      <c r="AD629" s="699"/>
      <c r="AE629" s="49"/>
      <c r="AF629" s="49"/>
      <c r="AG629" s="49"/>
      <c r="AH629" s="49"/>
      <c r="AI629" s="49"/>
      <c r="AJ629" s="49"/>
      <c r="AK629" s="49"/>
      <c r="AL629" s="49"/>
      <c r="AM629" s="699"/>
      <c r="AN629" s="699"/>
      <c r="AO629" s="699"/>
      <c r="AP629" s="699"/>
      <c r="AQ629" s="699"/>
      <c r="AR629" s="699"/>
      <c r="AS629" s="699"/>
      <c r="AT629" s="699"/>
      <c r="AU629" s="699"/>
      <c r="AV629" s="699"/>
      <c r="AW629" s="699"/>
      <c r="AX629" s="699"/>
      <c r="AY629" s="699"/>
      <c r="AZ629" s="699"/>
      <c r="BA629" s="699"/>
      <c r="BB629" s="699"/>
      <c r="BC629" s="699"/>
      <c r="BD629" s="699"/>
      <c r="BE629" s="699"/>
      <c r="BF629" s="699"/>
      <c r="BG629" s="699"/>
      <c r="BH629" s="699"/>
      <c r="BI629" s="699"/>
      <c r="BJ629" s="699"/>
      <c r="BK629" s="699"/>
      <c r="BL629" s="49"/>
      <c r="BM629" s="49"/>
      <c r="BN629" s="49"/>
    </row>
    <row r="630" spans="1:66">
      <c r="A630" s="699"/>
      <c r="B630" s="699"/>
      <c r="C630" s="699"/>
      <c r="D630" s="699"/>
      <c r="E630" s="699"/>
      <c r="F630" s="699"/>
      <c r="G630" s="699"/>
      <c r="H630" s="699"/>
      <c r="I630" s="699"/>
      <c r="J630" s="699"/>
      <c r="K630" s="699"/>
      <c r="L630" s="699"/>
      <c r="M630" s="699"/>
      <c r="N630" s="699"/>
      <c r="O630" s="699"/>
      <c r="P630" s="699"/>
      <c r="Q630" s="699"/>
      <c r="R630" s="699"/>
      <c r="S630" s="699"/>
      <c r="T630" s="699"/>
      <c r="U630" s="699"/>
      <c r="V630" s="699"/>
      <c r="W630" s="699"/>
      <c r="X630" s="699"/>
      <c r="Y630" s="699"/>
      <c r="Z630" s="699"/>
      <c r="AA630" s="699"/>
      <c r="AB630" s="699"/>
      <c r="AC630" s="699"/>
      <c r="AD630" s="699"/>
      <c r="AE630" s="49"/>
      <c r="AF630" s="49"/>
      <c r="AG630" s="49"/>
      <c r="AH630" s="49"/>
      <c r="AI630" s="49"/>
      <c r="AJ630" s="49"/>
      <c r="AK630" s="49"/>
      <c r="AL630" s="49"/>
      <c r="AM630" s="699"/>
      <c r="AN630" s="699"/>
      <c r="AO630" s="699"/>
      <c r="AP630" s="699"/>
      <c r="AQ630" s="699"/>
      <c r="AR630" s="699"/>
      <c r="AS630" s="699"/>
      <c r="AT630" s="699"/>
      <c r="AU630" s="699"/>
      <c r="AV630" s="699"/>
      <c r="AW630" s="699"/>
      <c r="AX630" s="699"/>
      <c r="AY630" s="699"/>
      <c r="AZ630" s="699"/>
      <c r="BA630" s="699"/>
      <c r="BB630" s="699"/>
      <c r="BC630" s="699"/>
      <c r="BD630" s="699"/>
      <c r="BE630" s="699"/>
      <c r="BF630" s="699"/>
      <c r="BG630" s="699"/>
      <c r="BH630" s="699"/>
      <c r="BI630" s="699"/>
      <c r="BJ630" s="699"/>
      <c r="BK630" s="699"/>
      <c r="BL630" s="49"/>
      <c r="BM630" s="49"/>
      <c r="BN630" s="49"/>
    </row>
    <row r="631" spans="1:66">
      <c r="A631" s="699"/>
      <c r="B631" s="699"/>
      <c r="C631" s="699"/>
      <c r="D631" s="699"/>
      <c r="E631" s="699"/>
      <c r="F631" s="699"/>
      <c r="G631" s="699"/>
      <c r="H631" s="699"/>
      <c r="I631" s="699"/>
      <c r="J631" s="699"/>
      <c r="K631" s="699"/>
      <c r="L631" s="699"/>
      <c r="M631" s="699"/>
      <c r="N631" s="699"/>
      <c r="O631" s="699"/>
      <c r="P631" s="699"/>
      <c r="Q631" s="699"/>
      <c r="R631" s="699"/>
      <c r="S631" s="699"/>
      <c r="T631" s="699"/>
      <c r="U631" s="699"/>
      <c r="V631" s="699"/>
      <c r="W631" s="699"/>
      <c r="X631" s="699"/>
      <c r="Y631" s="699"/>
      <c r="Z631" s="699"/>
      <c r="AA631" s="699"/>
      <c r="AB631" s="699"/>
      <c r="AC631" s="699"/>
      <c r="AD631" s="699"/>
      <c r="AE631" s="49"/>
      <c r="AF631" s="49"/>
      <c r="AG631" s="49"/>
      <c r="AH631" s="49"/>
      <c r="AI631" s="49"/>
      <c r="AJ631" s="49"/>
      <c r="AK631" s="49"/>
      <c r="AL631" s="49"/>
      <c r="AM631" s="699"/>
      <c r="AN631" s="699"/>
      <c r="AO631" s="699"/>
      <c r="AP631" s="699"/>
      <c r="AQ631" s="699"/>
      <c r="AR631" s="699"/>
      <c r="AS631" s="699"/>
      <c r="AT631" s="699"/>
      <c r="AU631" s="699"/>
      <c r="AV631" s="699"/>
      <c r="AW631" s="699"/>
      <c r="AX631" s="699"/>
      <c r="AY631" s="699"/>
      <c r="AZ631" s="699"/>
      <c r="BA631" s="699"/>
      <c r="BB631" s="699"/>
      <c r="BC631" s="699"/>
      <c r="BD631" s="699"/>
      <c r="BE631" s="699"/>
      <c r="BF631" s="699"/>
      <c r="BG631" s="699"/>
      <c r="BH631" s="699"/>
      <c r="BI631" s="699"/>
      <c r="BJ631" s="699"/>
      <c r="BK631" s="699"/>
      <c r="BL631" s="49"/>
      <c r="BM631" s="49"/>
      <c r="BN631" s="49"/>
    </row>
    <row r="632" spans="1:66">
      <c r="A632" s="699"/>
      <c r="B632" s="699"/>
      <c r="C632" s="699"/>
      <c r="D632" s="699"/>
      <c r="E632" s="699"/>
      <c r="F632" s="699"/>
      <c r="G632" s="699"/>
      <c r="H632" s="699"/>
      <c r="I632" s="699"/>
      <c r="J632" s="699"/>
      <c r="K632" s="699"/>
      <c r="L632" s="699"/>
      <c r="M632" s="699"/>
      <c r="N632" s="699"/>
      <c r="O632" s="699"/>
      <c r="P632" s="699"/>
      <c r="Q632" s="699"/>
      <c r="R632" s="699"/>
      <c r="S632" s="699"/>
      <c r="T632" s="699"/>
      <c r="U632" s="699"/>
      <c r="V632" s="699"/>
      <c r="W632" s="699"/>
      <c r="X632" s="699"/>
      <c r="Y632" s="699"/>
      <c r="Z632" s="699"/>
      <c r="AA632" s="699"/>
      <c r="AB632" s="699"/>
      <c r="AC632" s="699"/>
      <c r="AD632" s="699"/>
      <c r="AE632" s="49"/>
      <c r="AF632" s="49"/>
      <c r="AG632" s="49"/>
      <c r="AH632" s="49"/>
      <c r="AI632" s="49"/>
      <c r="AJ632" s="49"/>
      <c r="AK632" s="49"/>
      <c r="AL632" s="49"/>
      <c r="AM632" s="699"/>
      <c r="AN632" s="699"/>
      <c r="AO632" s="699"/>
      <c r="AP632" s="699"/>
      <c r="AQ632" s="699"/>
      <c r="AR632" s="699"/>
      <c r="AS632" s="699"/>
      <c r="AT632" s="699"/>
      <c r="AU632" s="699"/>
      <c r="AV632" s="699"/>
      <c r="AW632" s="699"/>
      <c r="AX632" s="699"/>
      <c r="AY632" s="699"/>
      <c r="AZ632" s="699"/>
      <c r="BA632" s="699"/>
      <c r="BB632" s="699"/>
      <c r="BC632" s="699"/>
      <c r="BD632" s="699"/>
      <c r="BE632" s="699"/>
      <c r="BF632" s="699"/>
      <c r="BG632" s="699"/>
      <c r="BH632" s="699"/>
      <c r="BI632" s="699"/>
      <c r="BJ632" s="699"/>
      <c r="BK632" s="699"/>
      <c r="BL632" s="49"/>
      <c r="BM632" s="49"/>
      <c r="BN632" s="49"/>
    </row>
    <row r="633" spans="1:66">
      <c r="A633" s="699"/>
      <c r="B633" s="699"/>
      <c r="C633" s="699"/>
      <c r="D633" s="699"/>
      <c r="E633" s="699"/>
      <c r="F633" s="699"/>
      <c r="G633" s="699"/>
      <c r="H633" s="699"/>
      <c r="I633" s="699"/>
      <c r="J633" s="699"/>
      <c r="K633" s="699"/>
      <c r="L633" s="699"/>
      <c r="M633" s="699"/>
      <c r="N633" s="699"/>
      <c r="O633" s="699"/>
      <c r="P633" s="699"/>
      <c r="Q633" s="699"/>
      <c r="R633" s="699"/>
      <c r="S633" s="699"/>
      <c r="T633" s="699"/>
      <c r="U633" s="699"/>
      <c r="V633" s="699"/>
      <c r="W633" s="699"/>
      <c r="X633" s="699"/>
      <c r="Y633" s="699"/>
      <c r="Z633" s="699"/>
      <c r="AA633" s="699"/>
      <c r="AB633" s="699"/>
      <c r="AC633" s="699"/>
      <c r="AD633" s="699"/>
      <c r="AE633" s="49"/>
      <c r="AF633" s="49"/>
      <c r="AG633" s="49"/>
      <c r="AH633" s="49"/>
      <c r="AI633" s="49"/>
      <c r="AJ633" s="49"/>
      <c r="AK633" s="49"/>
      <c r="AL633" s="49"/>
      <c r="AM633" s="699"/>
      <c r="AN633" s="699"/>
      <c r="AO633" s="699"/>
      <c r="AP633" s="699"/>
      <c r="AQ633" s="699"/>
      <c r="AR633" s="699"/>
      <c r="AS633" s="699"/>
      <c r="AT633" s="699"/>
      <c r="AU633" s="699"/>
      <c r="AV633" s="699"/>
      <c r="AW633" s="699"/>
      <c r="AX633" s="699"/>
      <c r="AY633" s="699"/>
      <c r="AZ633" s="699"/>
      <c r="BA633" s="699"/>
      <c r="BB633" s="699"/>
      <c r="BC633" s="699"/>
      <c r="BD633" s="699"/>
      <c r="BE633" s="699"/>
      <c r="BF633" s="699"/>
      <c r="BG633" s="699"/>
      <c r="BH633" s="699"/>
      <c r="BI633" s="699"/>
      <c r="BJ633" s="699"/>
      <c r="BK633" s="699"/>
      <c r="BL633" s="49"/>
      <c r="BM633" s="49"/>
      <c r="BN633" s="49"/>
    </row>
    <row r="634" spans="1:66">
      <c r="A634" s="699"/>
      <c r="B634" s="699"/>
      <c r="C634" s="699"/>
      <c r="D634" s="699"/>
      <c r="E634" s="699"/>
      <c r="F634" s="699"/>
      <c r="G634" s="699"/>
      <c r="H634" s="699"/>
      <c r="I634" s="699"/>
      <c r="J634" s="699"/>
      <c r="K634" s="699"/>
      <c r="L634" s="699"/>
      <c r="M634" s="699"/>
      <c r="N634" s="699"/>
      <c r="O634" s="699"/>
      <c r="P634" s="699"/>
      <c r="Q634" s="699"/>
      <c r="R634" s="699"/>
      <c r="S634" s="699"/>
      <c r="T634" s="699"/>
      <c r="U634" s="699"/>
      <c r="V634" s="699"/>
      <c r="W634" s="699"/>
      <c r="X634" s="699"/>
      <c r="Y634" s="699"/>
      <c r="Z634" s="699"/>
      <c r="AA634" s="699"/>
      <c r="AB634" s="699"/>
      <c r="AC634" s="699"/>
      <c r="AD634" s="699"/>
      <c r="AE634" s="49"/>
      <c r="AF634" s="49"/>
      <c r="AG634" s="49"/>
      <c r="AH634" s="49"/>
      <c r="AI634" s="49"/>
      <c r="AJ634" s="49"/>
      <c r="AK634" s="49"/>
      <c r="AL634" s="49"/>
      <c r="AM634" s="699"/>
      <c r="AN634" s="699"/>
      <c r="AO634" s="699"/>
      <c r="AP634" s="699"/>
      <c r="AQ634" s="699"/>
      <c r="AR634" s="699"/>
      <c r="AS634" s="699"/>
      <c r="AT634" s="699"/>
      <c r="AU634" s="699"/>
      <c r="AV634" s="699"/>
      <c r="AW634" s="699"/>
      <c r="AX634" s="699"/>
      <c r="AY634" s="699"/>
      <c r="AZ634" s="699"/>
      <c r="BA634" s="699"/>
      <c r="BB634" s="699"/>
      <c r="BC634" s="699"/>
      <c r="BD634" s="699"/>
      <c r="BE634" s="699"/>
      <c r="BF634" s="699"/>
      <c r="BG634" s="699"/>
      <c r="BH634" s="699"/>
      <c r="BI634" s="699"/>
      <c r="BJ634" s="699"/>
      <c r="BK634" s="699"/>
      <c r="BL634" s="49"/>
      <c r="BM634" s="49"/>
      <c r="BN634" s="49"/>
    </row>
    <row r="635" spans="1:66">
      <c r="A635" s="699"/>
      <c r="B635" s="699"/>
      <c r="C635" s="699"/>
      <c r="D635" s="699"/>
      <c r="E635" s="699"/>
      <c r="F635" s="699"/>
      <c r="G635" s="699"/>
      <c r="H635" s="699"/>
      <c r="I635" s="699"/>
      <c r="J635" s="699"/>
      <c r="K635" s="699"/>
      <c r="L635" s="699"/>
      <c r="M635" s="699"/>
      <c r="N635" s="699"/>
      <c r="O635" s="699"/>
      <c r="P635" s="699"/>
      <c r="Q635" s="699"/>
      <c r="R635" s="699"/>
      <c r="S635" s="699"/>
      <c r="T635" s="699"/>
      <c r="U635" s="699"/>
      <c r="V635" s="699"/>
      <c r="W635" s="699"/>
      <c r="X635" s="699"/>
      <c r="Y635" s="699"/>
      <c r="Z635" s="699"/>
      <c r="AA635" s="699"/>
      <c r="AB635" s="699"/>
      <c r="AC635" s="699"/>
      <c r="AD635" s="699"/>
      <c r="AE635" s="49"/>
      <c r="AF635" s="49"/>
      <c r="AG635" s="49"/>
      <c r="AH635" s="49"/>
      <c r="AI635" s="49"/>
      <c r="AJ635" s="49"/>
      <c r="AK635" s="49"/>
      <c r="AL635" s="49"/>
      <c r="AM635" s="699"/>
      <c r="AN635" s="699"/>
      <c r="AO635" s="699"/>
      <c r="AP635" s="699"/>
      <c r="AQ635" s="699"/>
      <c r="AR635" s="699"/>
      <c r="AS635" s="699"/>
      <c r="AT635" s="699"/>
      <c r="AU635" s="699"/>
      <c r="AV635" s="699"/>
      <c r="AW635" s="699"/>
      <c r="AX635" s="699"/>
      <c r="AY635" s="699"/>
      <c r="AZ635" s="699"/>
      <c r="BA635" s="699"/>
      <c r="BB635" s="699"/>
      <c r="BC635" s="699"/>
      <c r="BD635" s="699"/>
      <c r="BE635" s="699"/>
      <c r="BF635" s="699"/>
      <c r="BG635" s="699"/>
      <c r="BH635" s="699"/>
      <c r="BI635" s="699"/>
      <c r="BJ635" s="699"/>
      <c r="BK635" s="699"/>
      <c r="BL635" s="49"/>
      <c r="BM635" s="49"/>
      <c r="BN635" s="49"/>
    </row>
    <row r="636" spans="1:66">
      <c r="A636" s="699"/>
      <c r="B636" s="699"/>
      <c r="C636" s="699"/>
      <c r="D636" s="699"/>
      <c r="E636" s="699"/>
      <c r="F636" s="699"/>
      <c r="G636" s="699"/>
      <c r="H636" s="699"/>
      <c r="I636" s="699"/>
      <c r="J636" s="699"/>
      <c r="K636" s="699"/>
      <c r="L636" s="699"/>
      <c r="M636" s="699"/>
      <c r="N636" s="699"/>
      <c r="O636" s="699"/>
      <c r="P636" s="699"/>
      <c r="Q636" s="699"/>
      <c r="R636" s="699"/>
      <c r="S636" s="699"/>
      <c r="T636" s="699"/>
      <c r="U636" s="699"/>
      <c r="V636" s="699"/>
      <c r="W636" s="699"/>
      <c r="X636" s="699"/>
      <c r="Y636" s="699"/>
      <c r="Z636" s="699"/>
      <c r="AA636" s="699"/>
      <c r="AB636" s="699"/>
      <c r="AC636" s="699"/>
      <c r="AD636" s="699"/>
      <c r="AE636" s="49"/>
      <c r="AF636" s="49"/>
      <c r="AG636" s="49"/>
      <c r="AH636" s="49"/>
      <c r="AI636" s="49"/>
      <c r="AJ636" s="49"/>
      <c r="AK636" s="49"/>
      <c r="AL636" s="49"/>
      <c r="AM636" s="699"/>
      <c r="AN636" s="699"/>
      <c r="AO636" s="699"/>
      <c r="AP636" s="699"/>
      <c r="AQ636" s="699"/>
      <c r="AR636" s="699"/>
      <c r="AS636" s="699"/>
      <c r="AT636" s="699"/>
      <c r="AU636" s="699"/>
      <c r="AV636" s="699"/>
      <c r="AW636" s="699"/>
      <c r="AX636" s="699"/>
      <c r="AY636" s="699"/>
      <c r="AZ636" s="699"/>
      <c r="BA636" s="699"/>
      <c r="BB636" s="699"/>
      <c r="BC636" s="699"/>
      <c r="BD636" s="699"/>
      <c r="BE636" s="699"/>
      <c r="BF636" s="699"/>
      <c r="BG636" s="699"/>
      <c r="BH636" s="699"/>
      <c r="BI636" s="699"/>
      <c r="BJ636" s="699"/>
      <c r="BK636" s="699"/>
      <c r="BL636" s="49"/>
      <c r="BM636" s="49"/>
      <c r="BN636" s="49"/>
    </row>
    <row r="638" spans="1:66">
      <c r="A638" s="699" t="s">
        <v>511</v>
      </c>
      <c r="B638" s="699"/>
      <c r="C638" s="699"/>
      <c r="D638" s="699"/>
      <c r="E638" s="699"/>
      <c r="F638" s="699"/>
      <c r="G638" s="699"/>
      <c r="H638" s="699"/>
      <c r="I638" s="699"/>
      <c r="J638" s="699"/>
      <c r="K638" s="699"/>
      <c r="L638" s="699"/>
      <c r="M638" s="699"/>
      <c r="N638" s="699"/>
      <c r="O638" s="699"/>
      <c r="P638" s="699"/>
      <c r="Q638" s="699"/>
      <c r="R638" s="699"/>
      <c r="S638" s="699"/>
      <c r="T638" s="699"/>
      <c r="U638" s="699"/>
      <c r="V638" s="699"/>
      <c r="W638" s="699"/>
      <c r="X638" s="699"/>
      <c r="Y638" s="699"/>
      <c r="Z638" s="699"/>
      <c r="AA638" s="699"/>
      <c r="AB638" s="699"/>
      <c r="AC638" s="699"/>
      <c r="AD638" s="699"/>
      <c r="AE638" s="699"/>
      <c r="AF638" s="699"/>
      <c r="AG638" s="699"/>
      <c r="AH638" s="699"/>
      <c r="AI638" s="699"/>
      <c r="AJ638" s="699"/>
      <c r="AK638" s="699"/>
      <c r="AL638" s="699"/>
      <c r="AM638" s="699"/>
      <c r="AN638" s="699"/>
      <c r="AO638" s="699"/>
      <c r="AP638" s="699"/>
      <c r="AQ638" s="699"/>
      <c r="AR638" s="699"/>
      <c r="AS638" s="699"/>
      <c r="AT638" s="699"/>
      <c r="AU638" s="699"/>
      <c r="AV638" s="699"/>
      <c r="AW638" s="699"/>
      <c r="AX638" s="699"/>
      <c r="AY638" s="699"/>
      <c r="AZ638" s="699"/>
      <c r="BA638" s="699"/>
      <c r="BB638" s="699"/>
      <c r="BC638" s="699"/>
      <c r="BD638" s="699"/>
      <c r="BE638" s="699"/>
      <c r="BF638" s="699"/>
      <c r="BG638" s="699"/>
      <c r="BH638" s="699"/>
      <c r="BI638" s="699"/>
      <c r="BJ638" s="699"/>
      <c r="BK638" s="699"/>
      <c r="BL638" s="699"/>
      <c r="BM638" s="699"/>
      <c r="BN638" s="699"/>
    </row>
  </sheetData>
  <pageMargins left="0.7" right="0.7" top="0.75" bottom="0.75" header="0.3" footer="0.3"/>
  <pageSetup orientation="portrait" horizontalDpi="1200" verticalDpi="120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7E04F-405A-4F21-AE66-AC932915ED60}">
  <sheetPr>
    <tabColor rgb="FF00B050"/>
  </sheetPr>
  <dimension ref="A1:BX634"/>
  <sheetViews>
    <sheetView topLeftCell="C1" zoomScale="40" zoomScaleNormal="40" workbookViewId="0">
      <selection activeCell="B161" sqref="B161:Z161"/>
    </sheetView>
  </sheetViews>
  <sheetFormatPr defaultColWidth="8.85546875" defaultRowHeight="15"/>
  <cols>
    <col min="1" max="1" width="8.85546875" style="33"/>
    <col min="2" max="2" width="20.85546875" style="33" customWidth="1"/>
    <col min="3" max="3" width="22.85546875" style="33" customWidth="1"/>
    <col min="4" max="4" width="22" style="33" customWidth="1"/>
    <col min="5" max="5" width="8.85546875" style="33"/>
    <col min="6" max="6" width="20.7109375" style="33" customWidth="1"/>
    <col min="7" max="7" width="22.140625" style="33" customWidth="1"/>
    <col min="8" max="8" width="20.140625" style="33" customWidth="1"/>
    <col min="9" max="9" width="27" style="33" bestFit="1" customWidth="1"/>
    <col min="10" max="10" width="18.85546875" style="33" bestFit="1" customWidth="1"/>
    <col min="11" max="11" width="19.28515625" style="33" bestFit="1" customWidth="1"/>
    <col min="12" max="12" width="20" style="33" bestFit="1" customWidth="1"/>
    <col min="13" max="13" width="18.85546875" style="33" bestFit="1" customWidth="1"/>
    <col min="14" max="15" width="20" style="33" bestFit="1" customWidth="1"/>
    <col min="16" max="16" width="19.42578125" style="33" customWidth="1"/>
    <col min="17" max="17" width="19.28515625" style="33" bestFit="1" customWidth="1"/>
    <col min="18" max="20" width="20" style="33" bestFit="1" customWidth="1"/>
    <col min="21" max="22" width="18.85546875" style="33" bestFit="1" customWidth="1"/>
    <col min="23" max="25" width="19.28515625" style="33" bestFit="1" customWidth="1"/>
    <col min="26" max="26" width="18.42578125" style="33" bestFit="1" customWidth="1"/>
    <col min="27" max="28" width="8.85546875" style="33"/>
    <col min="29" max="29" width="17.28515625" style="33" bestFit="1" customWidth="1"/>
    <col min="30" max="33" width="8.85546875" style="33"/>
    <col min="34" max="34" width="9" style="33" bestFit="1" customWidth="1"/>
    <col min="35" max="38" width="21.42578125" style="33" bestFit="1" customWidth="1"/>
    <col min="39" max="39" width="20.7109375" style="33" bestFit="1" customWidth="1"/>
    <col min="40" max="62" width="21.42578125" style="33" bestFit="1" customWidth="1"/>
    <col min="63" max="63" width="20.7109375" style="33" bestFit="1" customWidth="1"/>
    <col min="64" max="69" width="21.42578125" style="33" bestFit="1" customWidth="1"/>
    <col min="70" max="16384" width="8.85546875" style="33"/>
  </cols>
  <sheetData>
    <row r="1" spans="1:76" ht="15.75">
      <c r="A1" s="132" t="s">
        <v>250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  <c r="AA1" s="699"/>
      <c r="AB1" s="699"/>
      <c r="AC1" s="699"/>
      <c r="AD1" s="699"/>
      <c r="AE1" s="699"/>
      <c r="AF1" s="699"/>
      <c r="AG1" s="699"/>
      <c r="AH1" s="699"/>
      <c r="AI1" s="699"/>
      <c r="AJ1" s="699"/>
      <c r="AK1" s="699"/>
      <c r="AL1" s="699"/>
      <c r="AM1" s="699"/>
      <c r="AN1" s="699"/>
      <c r="AO1" s="699"/>
      <c r="AP1" s="699"/>
      <c r="AQ1" s="699"/>
      <c r="AR1" s="699"/>
      <c r="AS1" s="699"/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</row>
    <row r="2" spans="1:76">
      <c r="A2" s="699" t="s">
        <v>511</v>
      </c>
      <c r="B2" s="699" t="s">
        <v>1118</v>
      </c>
      <c r="C2" s="699"/>
      <c r="D2" s="699"/>
      <c r="E2" s="699">
        <v>0</v>
      </c>
      <c r="F2" s="699">
        <f>+IF(F7&gt;=Assumptions!$G$31,E2+1,E2)</f>
        <v>0</v>
      </c>
      <c r="G2" s="699">
        <f>+IF(G7&gt;=Assumptions!$G$31,F2+1,F2)</f>
        <v>0</v>
      </c>
      <c r="H2" s="699">
        <f>+IF(H7&gt;=Assumptions!$G$31,G2+1,G2)</f>
        <v>0</v>
      </c>
      <c r="I2" s="699">
        <f>+IF(I7&gt;=Assumptions!$G$31,H2+1,H2)</f>
        <v>1</v>
      </c>
      <c r="J2" s="699">
        <f>+IF(J7&gt;=Assumptions!$G$31,I2+1,I2)</f>
        <v>2</v>
      </c>
      <c r="K2" s="699">
        <f>+IF(K7&gt;=Assumptions!$G$31,J2+1,J2)</f>
        <v>3</v>
      </c>
      <c r="L2" s="699">
        <f>+IF(L7&gt;=Assumptions!$G$31,K2+1,K2)</f>
        <v>4</v>
      </c>
      <c r="M2" s="699">
        <f>+IF(M7&gt;=Assumptions!$G$31,L2+1,L2)</f>
        <v>5</v>
      </c>
      <c r="N2" s="699">
        <f>+IF(N7&gt;=Assumptions!$G$31,M2+1,M2)</f>
        <v>6</v>
      </c>
      <c r="O2" s="699">
        <f>+IF(O7&gt;=Assumptions!$G$31,N2+1,N2)</f>
        <v>7</v>
      </c>
      <c r="P2" s="699">
        <f>+IF(P7&gt;=Assumptions!$G$31,O2+1,O2)</f>
        <v>8</v>
      </c>
      <c r="Q2" s="699">
        <f>+IF(Q7&gt;=Assumptions!$G$31,P2+1,P2)</f>
        <v>9</v>
      </c>
      <c r="R2" s="699">
        <f>+IF(R7&gt;=Assumptions!$G$31,Q2+1,Q2)</f>
        <v>10</v>
      </c>
      <c r="S2" s="699">
        <f>+IF(S7&gt;=Assumptions!$G$31,R2+1,R2)</f>
        <v>11</v>
      </c>
      <c r="T2" s="699">
        <f>+IF(T7&gt;=Assumptions!$G$31,S2+1,S2)</f>
        <v>12</v>
      </c>
      <c r="U2" s="699">
        <f>+IF(U7&gt;=Assumptions!$G$31,T2+1,T2)</f>
        <v>13</v>
      </c>
      <c r="V2" s="699">
        <f>+IF(V7&gt;=Assumptions!$G$31,U2+1,U2)</f>
        <v>14</v>
      </c>
      <c r="W2" s="699">
        <f>+IF(W7&gt;=Assumptions!$G$31,V2+1,V2)</f>
        <v>15</v>
      </c>
      <c r="X2" s="699">
        <f>+IF(X7&gt;=Assumptions!$G$31,W2+1,W2)</f>
        <v>16</v>
      </c>
      <c r="Y2" s="699">
        <f>+IF(Y7&gt;=Assumptions!$G$31,X2+1,X2)</f>
        <v>17</v>
      </c>
      <c r="Z2" s="699">
        <f>+IF(Z7&gt;=Assumptions!$G$31,Y2+1,Y2)</f>
        <v>18</v>
      </c>
      <c r="AA2" s="699"/>
      <c r="AB2" s="699"/>
      <c r="AC2" s="699"/>
      <c r="AD2" s="699"/>
      <c r="AE2" s="699"/>
      <c r="AF2" s="699"/>
      <c r="AG2" s="699"/>
      <c r="AH2" s="699"/>
      <c r="AI2" s="699"/>
      <c r="AJ2" s="699"/>
      <c r="AK2" s="699"/>
      <c r="AL2" s="699"/>
      <c r="AM2" s="699"/>
      <c r="AN2" s="699"/>
      <c r="AO2" s="699"/>
      <c r="AP2" s="699"/>
      <c r="AQ2" s="699"/>
      <c r="AR2" s="699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</row>
    <row r="3" spans="1:76">
      <c r="A3" s="699"/>
      <c r="B3" s="699" t="s">
        <v>1119</v>
      </c>
      <c r="C3" s="699"/>
      <c r="D3" s="699"/>
      <c r="E3" s="699">
        <v>0</v>
      </c>
      <c r="F3" s="699">
        <f>+IF(F7&gt;=Assumptions!$G$33,E3+1,E3)</f>
        <v>0</v>
      </c>
      <c r="G3" s="699">
        <f>+IF(G7&gt;=Assumptions!$G$33,F3+1,F3)</f>
        <v>0</v>
      </c>
      <c r="H3" s="699">
        <f>+IF(H7&gt;=Assumptions!$G$33,G3+1,G3)</f>
        <v>0</v>
      </c>
      <c r="I3" s="699">
        <f>+IF(I7&gt;=Assumptions!$G$33,H3+1,H3)</f>
        <v>0</v>
      </c>
      <c r="J3" s="699">
        <f>+IF(J7&gt;=Assumptions!$G$33,I3+1,I3)</f>
        <v>0</v>
      </c>
      <c r="K3" s="699">
        <f>+IF(K7&gt;=Assumptions!$G$33,J3+1,J3)</f>
        <v>1</v>
      </c>
      <c r="L3" s="699">
        <f>+IF(L7&gt;=Assumptions!$G$33,K3+1,K3)</f>
        <v>2</v>
      </c>
      <c r="M3" s="699">
        <f>+IF(M7&gt;=Assumptions!$G$33,L3+1,L3)</f>
        <v>3</v>
      </c>
      <c r="N3" s="699">
        <f>+IF(N7&gt;=Assumptions!$G$33,M3+1,M3)</f>
        <v>4</v>
      </c>
      <c r="O3" s="699">
        <f>+IF(O7&gt;=Assumptions!$G$33,N3+1,N3)</f>
        <v>5</v>
      </c>
      <c r="P3" s="699">
        <f>+IF(P7&gt;=Assumptions!$G$33,O3+1,O3)</f>
        <v>6</v>
      </c>
      <c r="Q3" s="699">
        <f>+IF(Q7&gt;=Assumptions!$G$33,P3+1,P3)</f>
        <v>7</v>
      </c>
      <c r="R3" s="699">
        <f>+IF(R7&gt;=Assumptions!$G$33,Q3+1,Q3)</f>
        <v>8</v>
      </c>
      <c r="S3" s="699">
        <f>+IF(S7&gt;=Assumptions!$G$33,R3+1,R3)</f>
        <v>9</v>
      </c>
      <c r="T3" s="699">
        <f>+IF(T7&gt;=Assumptions!$G$33,S3+1,S3)</f>
        <v>10</v>
      </c>
      <c r="U3" s="699">
        <f>+IF(U7&gt;=Assumptions!$G$33,T3+1,T3)</f>
        <v>11</v>
      </c>
      <c r="V3" s="699">
        <f>+IF(V7&gt;=Assumptions!$G$33,U3+1,U3)</f>
        <v>12</v>
      </c>
      <c r="W3" s="699">
        <f>+IF(W7&gt;=Assumptions!$G$33,V3+1,V3)</f>
        <v>13</v>
      </c>
      <c r="X3" s="699">
        <f>+IF(X7&gt;=Assumptions!$G$33,W3+1,W3)</f>
        <v>14</v>
      </c>
      <c r="Y3" s="699">
        <f>+IF(Y7&gt;=Assumptions!$G$33,X3+1,X3)</f>
        <v>15</v>
      </c>
      <c r="Z3" s="699">
        <f>+IF(Z7&gt;=Assumptions!$G$33,Y3+1,Y3)</f>
        <v>16</v>
      </c>
      <c r="AA3" s="699"/>
      <c r="AB3" s="699"/>
      <c r="AC3" s="699"/>
      <c r="AD3" s="699"/>
      <c r="AE3" s="699"/>
      <c r="AF3" s="699"/>
      <c r="AG3" s="699"/>
      <c r="AH3" s="699"/>
      <c r="AI3" s="699"/>
      <c r="AJ3" s="699"/>
      <c r="AK3" s="699"/>
      <c r="AL3" s="699"/>
      <c r="AM3" s="699"/>
      <c r="AN3" s="699"/>
      <c r="AO3" s="699"/>
      <c r="AP3" s="699"/>
      <c r="AQ3" s="699"/>
      <c r="AR3" s="699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</row>
    <row r="5" spans="1:76" ht="15.75">
      <c r="A5" s="699"/>
      <c r="B5" s="468" t="s">
        <v>1122</v>
      </c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Z5" s="468"/>
      <c r="AA5" s="699"/>
      <c r="AB5" s="699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</row>
    <row r="6" spans="1:76">
      <c r="A6" s="699"/>
      <c r="B6" s="699"/>
      <c r="C6" s="699"/>
      <c r="D6" s="699"/>
      <c r="E6" s="699"/>
      <c r="F6" s="782">
        <f>+YEAR(F7)</f>
        <v>2026</v>
      </c>
      <c r="G6" s="782">
        <f t="shared" ref="G6:Z6" si="0">+YEAR(G7)</f>
        <v>2027</v>
      </c>
      <c r="H6" s="782">
        <f t="shared" si="0"/>
        <v>2028</v>
      </c>
      <c r="I6" s="782">
        <f t="shared" si="0"/>
        <v>2029</v>
      </c>
      <c r="J6" s="782">
        <f t="shared" si="0"/>
        <v>2030</v>
      </c>
      <c r="K6" s="782">
        <f t="shared" si="0"/>
        <v>2031</v>
      </c>
      <c r="L6" s="782">
        <f t="shared" si="0"/>
        <v>2032</v>
      </c>
      <c r="M6" s="782">
        <f t="shared" si="0"/>
        <v>2033</v>
      </c>
      <c r="N6" s="782">
        <f t="shared" si="0"/>
        <v>2034</v>
      </c>
      <c r="O6" s="782">
        <f t="shared" si="0"/>
        <v>2035</v>
      </c>
      <c r="P6" s="782">
        <f t="shared" si="0"/>
        <v>2036</v>
      </c>
      <c r="Q6" s="782">
        <f t="shared" si="0"/>
        <v>2037</v>
      </c>
      <c r="R6" s="782">
        <f t="shared" si="0"/>
        <v>2038</v>
      </c>
      <c r="S6" s="782">
        <f t="shared" si="0"/>
        <v>2039</v>
      </c>
      <c r="T6" s="782">
        <f t="shared" si="0"/>
        <v>2040</v>
      </c>
      <c r="U6" s="782">
        <f t="shared" si="0"/>
        <v>2041</v>
      </c>
      <c r="V6" s="782">
        <f t="shared" si="0"/>
        <v>2042</v>
      </c>
      <c r="W6" s="782">
        <f t="shared" si="0"/>
        <v>2043</v>
      </c>
      <c r="X6" s="782">
        <f t="shared" si="0"/>
        <v>2044</v>
      </c>
      <c r="Y6" s="782">
        <f t="shared" si="0"/>
        <v>2045</v>
      </c>
      <c r="Z6" s="782">
        <f t="shared" si="0"/>
        <v>2046</v>
      </c>
      <c r="AA6" s="699"/>
      <c r="AB6" s="699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</row>
    <row r="7" spans="1:76" ht="15.75">
      <c r="A7" s="699" t="s">
        <v>511</v>
      </c>
      <c r="B7" s="53" t="s">
        <v>276</v>
      </c>
      <c r="C7" s="53"/>
      <c r="D7" s="53"/>
      <c r="E7" s="53"/>
      <c r="F7" s="54">
        <f>+Assumptions!$G$27</f>
        <v>46387</v>
      </c>
      <c r="G7" s="54">
        <f>+EOMONTH(F7,12)</f>
        <v>46752</v>
      </c>
      <c r="H7" s="54">
        <f t="shared" ref="H7:Z7" si="1">+EOMONTH(G7,12)</f>
        <v>47118</v>
      </c>
      <c r="I7" s="54">
        <f t="shared" si="1"/>
        <v>47483</v>
      </c>
      <c r="J7" s="54">
        <f t="shared" si="1"/>
        <v>47848</v>
      </c>
      <c r="K7" s="54">
        <f t="shared" si="1"/>
        <v>48213</v>
      </c>
      <c r="L7" s="54">
        <f t="shared" si="1"/>
        <v>48579</v>
      </c>
      <c r="M7" s="54">
        <f t="shared" si="1"/>
        <v>48944</v>
      </c>
      <c r="N7" s="54">
        <f t="shared" si="1"/>
        <v>49309</v>
      </c>
      <c r="O7" s="54">
        <f t="shared" si="1"/>
        <v>49674</v>
      </c>
      <c r="P7" s="54">
        <f t="shared" si="1"/>
        <v>50040</v>
      </c>
      <c r="Q7" s="54">
        <f t="shared" si="1"/>
        <v>50405</v>
      </c>
      <c r="R7" s="54">
        <f t="shared" si="1"/>
        <v>50770</v>
      </c>
      <c r="S7" s="54">
        <f t="shared" si="1"/>
        <v>51135</v>
      </c>
      <c r="T7" s="54">
        <f t="shared" si="1"/>
        <v>51501</v>
      </c>
      <c r="U7" s="54">
        <f t="shared" si="1"/>
        <v>51866</v>
      </c>
      <c r="V7" s="54">
        <f t="shared" si="1"/>
        <v>52231</v>
      </c>
      <c r="W7" s="54">
        <f t="shared" si="1"/>
        <v>52596</v>
      </c>
      <c r="X7" s="54">
        <f t="shared" si="1"/>
        <v>52962</v>
      </c>
      <c r="Y7" s="54">
        <f t="shared" si="1"/>
        <v>53327</v>
      </c>
      <c r="Z7" s="54">
        <f t="shared" si="1"/>
        <v>53692</v>
      </c>
      <c r="AA7" s="699"/>
      <c r="AB7" s="699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</row>
    <row r="8" spans="1:76">
      <c r="A8" s="699"/>
      <c r="B8" s="699" t="s">
        <v>1120</v>
      </c>
      <c r="C8" s="699"/>
      <c r="D8" s="699"/>
      <c r="E8" s="1050"/>
      <c r="F8" s="1050">
        <f>+IF(F7=Assumptions!$G$31,Assumptions!$G$70/ROUNDUP((12/12),0),)</f>
        <v>0</v>
      </c>
      <c r="G8" s="1050">
        <f>+IF(G7=Assumptions!$G$31,Assumptions!$G$70/ROUNDUP((12/12),0),)</f>
        <v>0</v>
      </c>
      <c r="H8" s="1050">
        <f>+IF(H7=Assumptions!$G$31,Assumptions!$G$70/ROUNDUP((12/12),0),)</f>
        <v>0</v>
      </c>
      <c r="I8" s="1050">
        <f>+IF(I7=Assumptions!$G$31,Assumptions!$G$70/ROUNDUP((12/12),0),)</f>
        <v>122223.78</v>
      </c>
      <c r="J8" s="1050">
        <f>+IF(J7=Assumptions!$G$31,Assumptions!$G$70/ROUNDUP((12/12),0),)</f>
        <v>0</v>
      </c>
      <c r="K8" s="1050">
        <f>+IF(K7=Assumptions!$G$31,Assumptions!$G$70/ROUNDUP((12/12),0),)</f>
        <v>0</v>
      </c>
      <c r="L8" s="1050">
        <f>+IF(L7=Assumptions!$G$31,Assumptions!$G$70/ROUNDUP((12/12),0),)</f>
        <v>0</v>
      </c>
      <c r="M8" s="1050">
        <f>+IF(M7=Assumptions!$G$31,Assumptions!$G$70/ROUNDUP((12/12),0),)</f>
        <v>0</v>
      </c>
      <c r="N8" s="1050">
        <f>+IF(N7=Assumptions!$G$31,Assumptions!$G$70/ROUNDUP((12/12),0),)</f>
        <v>0</v>
      </c>
      <c r="O8" s="1050">
        <f>+IF(O7=Assumptions!$G$31,Assumptions!$G$70/ROUNDUP((12/12),0),)</f>
        <v>0</v>
      </c>
      <c r="P8" s="1050">
        <f>+IF(P7=Assumptions!$G$31,Assumptions!$G$70/ROUNDUP((12/12),0),)</f>
        <v>0</v>
      </c>
      <c r="Q8" s="1050">
        <f>+IF(Q7=Assumptions!$G$31,Assumptions!$G$70/ROUNDUP((12/12),0),)</f>
        <v>0</v>
      </c>
      <c r="R8" s="1050">
        <f>+IF(R7=Assumptions!$G$31,Assumptions!$G$70/ROUNDUP((12/12),0),)</f>
        <v>0</v>
      </c>
      <c r="S8" s="1050">
        <f>+IF(S7=Assumptions!$G$31,Assumptions!$G$70/ROUNDUP((12/12),0),)</f>
        <v>0</v>
      </c>
      <c r="T8" s="1050">
        <f>+IF(T7=Assumptions!$G$31,Assumptions!$G$70/ROUNDUP((12/12),0),)</f>
        <v>0</v>
      </c>
      <c r="U8" s="1050">
        <f>+IF(U7=Assumptions!$G$31,Assumptions!$G$70/ROUNDUP((12/12),0),)</f>
        <v>0</v>
      </c>
      <c r="V8" s="1050">
        <f>+IF(V7=Assumptions!$G$31,Assumptions!$G$70/ROUNDUP((12/12),0),)</f>
        <v>0</v>
      </c>
      <c r="W8" s="1050">
        <f>+IF(W7=Assumptions!$G$31,Assumptions!$G$70/ROUNDUP((12/12),0),)</f>
        <v>0</v>
      </c>
      <c r="X8" s="1050">
        <f>+IF(X7=Assumptions!$G$31,Assumptions!$G$70/ROUNDUP((12/12),0),)</f>
        <v>0</v>
      </c>
      <c r="Y8" s="1050">
        <f>+IF(Y7=Assumptions!$G$31,Assumptions!$G$70/ROUNDUP((12/12),0),)</f>
        <v>0</v>
      </c>
      <c r="Z8" s="1050">
        <f>+IF(Z7=Assumptions!$G$31,Assumptions!$G$70/ROUNDUP((12/12),0),)</f>
        <v>0</v>
      </c>
      <c r="AA8" s="699"/>
      <c r="AB8" s="699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</row>
    <row r="9" spans="1:76">
      <c r="A9" s="699"/>
      <c r="B9" s="699" t="s">
        <v>1121</v>
      </c>
      <c r="C9" s="699"/>
      <c r="D9" s="699"/>
      <c r="E9" s="1050">
        <v>0</v>
      </c>
      <c r="F9" s="1050">
        <f>+E9+F8</f>
        <v>0</v>
      </c>
      <c r="G9" s="1050">
        <f t="shared" ref="G9:Z9" si="2">+F9+G8</f>
        <v>0</v>
      </c>
      <c r="H9" s="1050">
        <f t="shared" si="2"/>
        <v>0</v>
      </c>
      <c r="I9" s="1050">
        <f t="shared" si="2"/>
        <v>122223.78</v>
      </c>
      <c r="J9" s="1050">
        <f t="shared" si="2"/>
        <v>122223.78</v>
      </c>
      <c r="K9" s="1050">
        <f t="shared" si="2"/>
        <v>122223.78</v>
      </c>
      <c r="L9" s="1050">
        <f t="shared" si="2"/>
        <v>122223.78</v>
      </c>
      <c r="M9" s="1050">
        <f t="shared" si="2"/>
        <v>122223.78</v>
      </c>
      <c r="N9" s="1050">
        <f t="shared" si="2"/>
        <v>122223.78</v>
      </c>
      <c r="O9" s="1050">
        <f t="shared" si="2"/>
        <v>122223.78</v>
      </c>
      <c r="P9" s="1050">
        <f t="shared" si="2"/>
        <v>122223.78</v>
      </c>
      <c r="Q9" s="1050">
        <f t="shared" si="2"/>
        <v>122223.78</v>
      </c>
      <c r="R9" s="1050">
        <f t="shared" si="2"/>
        <v>122223.78</v>
      </c>
      <c r="S9" s="1050">
        <f t="shared" si="2"/>
        <v>122223.78</v>
      </c>
      <c r="T9" s="1050">
        <f t="shared" si="2"/>
        <v>122223.78</v>
      </c>
      <c r="U9" s="1050">
        <f t="shared" si="2"/>
        <v>122223.78</v>
      </c>
      <c r="V9" s="1050">
        <f t="shared" si="2"/>
        <v>122223.78</v>
      </c>
      <c r="W9" s="1050">
        <f t="shared" si="2"/>
        <v>122223.78</v>
      </c>
      <c r="X9" s="1050">
        <f t="shared" si="2"/>
        <v>122223.78</v>
      </c>
      <c r="Y9" s="1050">
        <f t="shared" si="2"/>
        <v>122223.78</v>
      </c>
      <c r="Z9" s="1050">
        <f t="shared" si="2"/>
        <v>122223.78</v>
      </c>
      <c r="AA9" s="699"/>
      <c r="AB9" s="699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</row>
    <row r="10" spans="1:76">
      <c r="A10" s="699"/>
      <c r="B10" s="699" t="s">
        <v>1123</v>
      </c>
      <c r="C10" s="699"/>
      <c r="D10" s="699"/>
      <c r="E10" s="699"/>
      <c r="F10" s="1084">
        <f>+F11-E11</f>
        <v>0</v>
      </c>
      <c r="G10" s="1084">
        <f t="shared" ref="G10:Z10" si="3">+G11-F11</f>
        <v>0</v>
      </c>
      <c r="H10" s="1084">
        <f t="shared" si="3"/>
        <v>0</v>
      </c>
      <c r="I10" s="1084">
        <f t="shared" si="3"/>
        <v>109.9288504523</v>
      </c>
      <c r="J10" s="1084">
        <f t="shared" si="3"/>
        <v>0</v>
      </c>
      <c r="K10" s="1084">
        <f t="shared" si="3"/>
        <v>0</v>
      </c>
      <c r="L10" s="1084">
        <f t="shared" si="3"/>
        <v>0</v>
      </c>
      <c r="M10" s="1084">
        <f t="shared" si="3"/>
        <v>0</v>
      </c>
      <c r="N10" s="1084">
        <f t="shared" si="3"/>
        <v>0</v>
      </c>
      <c r="O10" s="1084">
        <f t="shared" si="3"/>
        <v>0</v>
      </c>
      <c r="P10" s="1084">
        <f t="shared" si="3"/>
        <v>0</v>
      </c>
      <c r="Q10" s="1084">
        <f t="shared" si="3"/>
        <v>0</v>
      </c>
      <c r="R10" s="1084">
        <f t="shared" si="3"/>
        <v>0</v>
      </c>
      <c r="S10" s="1084">
        <f t="shared" si="3"/>
        <v>0</v>
      </c>
      <c r="T10" s="1084">
        <f t="shared" si="3"/>
        <v>0</v>
      </c>
      <c r="U10" s="1084">
        <f t="shared" si="3"/>
        <v>0</v>
      </c>
      <c r="V10" s="1084">
        <f t="shared" si="3"/>
        <v>0</v>
      </c>
      <c r="W10" s="1084">
        <f t="shared" si="3"/>
        <v>0</v>
      </c>
      <c r="X10" s="1084">
        <f t="shared" si="3"/>
        <v>0</v>
      </c>
      <c r="Y10" s="1084">
        <f t="shared" si="3"/>
        <v>0</v>
      </c>
      <c r="Z10" s="1084">
        <f t="shared" si="3"/>
        <v>0</v>
      </c>
      <c r="AA10" s="699"/>
      <c r="AB10" s="699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</row>
    <row r="11" spans="1:76">
      <c r="A11" s="699"/>
      <c r="B11" s="699" t="s">
        <v>1124</v>
      </c>
      <c r="C11" s="699"/>
      <c r="D11" s="699"/>
      <c r="E11" s="699"/>
      <c r="F11" s="1084">
        <f>+F12*Assumptions!$G$71</f>
        <v>0</v>
      </c>
      <c r="G11" s="1084">
        <f>+G12*Assumptions!$G$71</f>
        <v>0</v>
      </c>
      <c r="H11" s="1084">
        <f>+H12*Assumptions!$G$71</f>
        <v>0</v>
      </c>
      <c r="I11" s="1084">
        <f>+I12*Assumptions!$G$71</f>
        <v>109.9288504523</v>
      </c>
      <c r="J11" s="1084">
        <f>+J12*Assumptions!$G$71</f>
        <v>109.9288504523</v>
      </c>
      <c r="K11" s="1084">
        <f>+K12*Assumptions!$G$71</f>
        <v>109.9288504523</v>
      </c>
      <c r="L11" s="1084">
        <f>+L12*Assumptions!$G$71</f>
        <v>109.9288504523</v>
      </c>
      <c r="M11" s="1084">
        <f>+M12*Assumptions!$G$71</f>
        <v>109.9288504523</v>
      </c>
      <c r="N11" s="1084">
        <f>+N12*Assumptions!$G$71</f>
        <v>109.9288504523</v>
      </c>
      <c r="O11" s="1084">
        <f>+O12*Assumptions!$G$71</f>
        <v>109.9288504523</v>
      </c>
      <c r="P11" s="1084">
        <f>+P12*Assumptions!$G$71</f>
        <v>109.9288504523</v>
      </c>
      <c r="Q11" s="1084">
        <f>+Q12*Assumptions!$G$71</f>
        <v>109.9288504523</v>
      </c>
      <c r="R11" s="1084">
        <f>+R12*Assumptions!$G$71</f>
        <v>109.9288504523</v>
      </c>
      <c r="S11" s="1084">
        <f>+S12*Assumptions!$G$71</f>
        <v>109.9288504523</v>
      </c>
      <c r="T11" s="1084">
        <f>+T12*Assumptions!$G$71</f>
        <v>109.9288504523</v>
      </c>
      <c r="U11" s="1084">
        <f>+U12*Assumptions!$G$71</f>
        <v>109.9288504523</v>
      </c>
      <c r="V11" s="1084">
        <f>+V12*Assumptions!$G$71</f>
        <v>109.9288504523</v>
      </c>
      <c r="W11" s="1084">
        <f>+W12*Assumptions!$G$71</f>
        <v>109.9288504523</v>
      </c>
      <c r="X11" s="1084">
        <f>+X12*Assumptions!$G$71</f>
        <v>109.9288504523</v>
      </c>
      <c r="Y11" s="1084">
        <f>+Y12*Assumptions!$G$71</f>
        <v>109.9288504523</v>
      </c>
      <c r="Z11" s="1084">
        <f>+Z12*Assumptions!$G$71</f>
        <v>109.9288504523</v>
      </c>
      <c r="AA11" s="699"/>
      <c r="AB11" s="699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</row>
    <row r="12" spans="1:76">
      <c r="A12" s="699"/>
      <c r="B12" s="699" t="s">
        <v>1125</v>
      </c>
      <c r="C12" s="699"/>
      <c r="D12" s="699"/>
      <c r="E12" s="699"/>
      <c r="F12" s="1074">
        <f>+IFERROR(F9/SUM($F$8:$Z$8),0)</f>
        <v>0</v>
      </c>
      <c r="G12" s="1074">
        <f t="shared" ref="G12:Z12" si="4">+IFERROR(G9/SUM($F$8:$Z$8),0)</f>
        <v>0</v>
      </c>
      <c r="H12" s="1074">
        <f t="shared" si="4"/>
        <v>0</v>
      </c>
      <c r="I12" s="1074">
        <f t="shared" si="4"/>
        <v>1</v>
      </c>
      <c r="J12" s="1074">
        <f t="shared" si="4"/>
        <v>1</v>
      </c>
      <c r="K12" s="1074">
        <f t="shared" si="4"/>
        <v>1</v>
      </c>
      <c r="L12" s="1074">
        <f t="shared" si="4"/>
        <v>1</v>
      </c>
      <c r="M12" s="1074">
        <f t="shared" si="4"/>
        <v>1</v>
      </c>
      <c r="N12" s="1074">
        <f t="shared" si="4"/>
        <v>1</v>
      </c>
      <c r="O12" s="1074">
        <f t="shared" si="4"/>
        <v>1</v>
      </c>
      <c r="P12" s="1074">
        <f t="shared" si="4"/>
        <v>1</v>
      </c>
      <c r="Q12" s="1074">
        <f t="shared" si="4"/>
        <v>1</v>
      </c>
      <c r="R12" s="1074">
        <f t="shared" si="4"/>
        <v>1</v>
      </c>
      <c r="S12" s="1074">
        <f t="shared" si="4"/>
        <v>1</v>
      </c>
      <c r="T12" s="1074">
        <f t="shared" si="4"/>
        <v>1</v>
      </c>
      <c r="U12" s="1074">
        <f t="shared" si="4"/>
        <v>1</v>
      </c>
      <c r="V12" s="1074">
        <f t="shared" si="4"/>
        <v>1</v>
      </c>
      <c r="W12" s="1074">
        <f t="shared" si="4"/>
        <v>1</v>
      </c>
      <c r="X12" s="1074">
        <f t="shared" si="4"/>
        <v>1</v>
      </c>
      <c r="Y12" s="1074">
        <f t="shared" si="4"/>
        <v>1</v>
      </c>
      <c r="Z12" s="1074">
        <f t="shared" si="4"/>
        <v>1</v>
      </c>
      <c r="AA12" s="699"/>
      <c r="AB12" s="699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</row>
    <row r="13" spans="1:76">
      <c r="A13" s="699"/>
      <c r="B13" s="699"/>
      <c r="C13" s="699"/>
      <c r="D13" s="699"/>
      <c r="E13" s="699"/>
      <c r="F13" s="699"/>
      <c r="G13" s="699"/>
      <c r="H13" s="699"/>
      <c r="I13" s="699"/>
      <c r="J13" s="699"/>
      <c r="K13" s="699"/>
      <c r="L13" s="699"/>
      <c r="M13" s="699"/>
      <c r="N13" s="699"/>
      <c r="O13" s="699"/>
      <c r="P13" s="699"/>
      <c r="Q13" s="699"/>
      <c r="R13" s="699"/>
      <c r="S13" s="699"/>
      <c r="T13" s="699"/>
      <c r="U13" s="699"/>
      <c r="V13" s="699"/>
      <c r="W13" s="699"/>
      <c r="X13" s="699"/>
      <c r="Y13" s="699"/>
      <c r="Z13" s="699"/>
      <c r="AA13" s="699"/>
      <c r="AB13" s="699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</row>
    <row r="14" spans="1:76">
      <c r="A14" s="699"/>
      <c r="B14" s="699" t="s">
        <v>1126</v>
      </c>
      <c r="C14" s="699"/>
      <c r="D14" s="699"/>
      <c r="E14" s="699"/>
      <c r="F14" s="1074">
        <v>1</v>
      </c>
      <c r="G14" s="1074">
        <f>+F14*(1+Assumptions!$O$68)</f>
        <v>1.03</v>
      </c>
      <c r="H14" s="1074">
        <f>+G14*(1+Assumptions!$O$68)</f>
        <v>1.0609</v>
      </c>
      <c r="I14" s="1074">
        <f>+H14*(1+Assumptions!$O$68)</f>
        <v>1.092727</v>
      </c>
      <c r="J14" s="1074">
        <f>+I14*(1+Assumptions!$O$68)</f>
        <v>1.1255088100000001</v>
      </c>
      <c r="K14" s="1074">
        <f>+J14*(1+Assumptions!$O$68)</f>
        <v>1.1592740743000001</v>
      </c>
      <c r="L14" s="1074">
        <f>+K14*(1+Assumptions!$O$68)</f>
        <v>1.1940522965290001</v>
      </c>
      <c r="M14" s="1074">
        <f>+L14*(1+Assumptions!$O$68)</f>
        <v>1.2298738654248702</v>
      </c>
      <c r="N14" s="1074">
        <f>+M14*(1+Assumptions!$O$68)</f>
        <v>1.2667700813876164</v>
      </c>
      <c r="O14" s="1074">
        <f>+N14*(1+Assumptions!$O$68)</f>
        <v>1.3047731838292449</v>
      </c>
      <c r="P14" s="1074">
        <f>+O14*(1+Assumptions!$O$68)</f>
        <v>1.3439163793441222</v>
      </c>
      <c r="Q14" s="1074">
        <f>+P14*(1+Assumptions!$O$68)</f>
        <v>1.3842338707244459</v>
      </c>
      <c r="R14" s="1074">
        <f>+Q14*(1+Assumptions!$O$68)</f>
        <v>1.4257608868461793</v>
      </c>
      <c r="S14" s="1074">
        <f>+R14*(1+Assumptions!$O$68)</f>
        <v>1.4685337134515648</v>
      </c>
      <c r="T14" s="1074">
        <f>+S14*(1+Assumptions!$O$68)</f>
        <v>1.5125897248551119</v>
      </c>
      <c r="U14" s="1074">
        <f>+T14*(1+Assumptions!$O$68)</f>
        <v>1.5579674166007653</v>
      </c>
      <c r="V14" s="1074">
        <f>+U14*(1+Assumptions!$O$68)</f>
        <v>1.6047064390987884</v>
      </c>
      <c r="W14" s="1074">
        <f>+V14*(1+Assumptions!$O$68)</f>
        <v>1.652847632271752</v>
      </c>
      <c r="X14" s="1074">
        <f>+W14*(1+Assumptions!$O$68)</f>
        <v>1.7024330612399046</v>
      </c>
      <c r="Y14" s="1074">
        <f>+X14*(1+Assumptions!$O$68)</f>
        <v>1.7535060530771018</v>
      </c>
      <c r="Z14" s="1074">
        <f>+Y14*(1+Assumptions!$O$68)</f>
        <v>1.806111234669415</v>
      </c>
      <c r="AA14" s="699"/>
      <c r="AB14" s="699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</row>
    <row r="15" spans="1:76" ht="15.75">
      <c r="A15" s="699"/>
      <c r="B15" s="699" t="s">
        <v>1127</v>
      </c>
      <c r="C15" s="699"/>
      <c r="D15" s="699"/>
      <c r="E15" s="699"/>
      <c r="F15" s="1074">
        <v>1</v>
      </c>
      <c r="G15" s="1074">
        <f>+F15*(1+Assumptions!$O$79)</f>
        <v>1.03</v>
      </c>
      <c r="H15" s="1074">
        <f>+G15*(1+Assumptions!$O$79)</f>
        <v>1.0609</v>
      </c>
      <c r="I15" s="1074">
        <f>+H15*(1+Assumptions!$O$79)</f>
        <v>1.092727</v>
      </c>
      <c r="J15" s="1074">
        <f>+I15*(1+Assumptions!$O$79)</f>
        <v>1.1255088100000001</v>
      </c>
      <c r="K15" s="1074">
        <f>+J15*(1+Assumptions!$O$79)</f>
        <v>1.1592740743000001</v>
      </c>
      <c r="L15" s="1074">
        <f>+K15*(1+Assumptions!$O$79)</f>
        <v>1.1940522965290001</v>
      </c>
      <c r="M15" s="1074">
        <f>+L15*(1+Assumptions!$O$79)</f>
        <v>1.2298738654248702</v>
      </c>
      <c r="N15" s="1074">
        <f>+M15*(1+Assumptions!$O$79)</f>
        <v>1.2667700813876164</v>
      </c>
      <c r="O15" s="1074">
        <f>+N15*(1+Assumptions!$O$79)</f>
        <v>1.3047731838292449</v>
      </c>
      <c r="P15" s="1074">
        <f>+O15*(1+Assumptions!$O$79)</f>
        <v>1.3439163793441222</v>
      </c>
      <c r="Q15" s="1074">
        <f>+P15*(1+Assumptions!$O$79)</f>
        <v>1.3842338707244459</v>
      </c>
      <c r="R15" s="1074">
        <f>+Q15*(1+Assumptions!$O$79)</f>
        <v>1.4257608868461793</v>
      </c>
      <c r="S15" s="1074">
        <f>+R15*(1+Assumptions!$O$79)</f>
        <v>1.4685337134515648</v>
      </c>
      <c r="T15" s="1074">
        <f>+S15*(1+Assumptions!$O$79)</f>
        <v>1.5125897248551119</v>
      </c>
      <c r="U15" s="1074">
        <f>+T15*(1+Assumptions!$O$79)</f>
        <v>1.5579674166007653</v>
      </c>
      <c r="V15" s="1074">
        <f>+U15*(1+Assumptions!$O$79)</f>
        <v>1.6047064390987884</v>
      </c>
      <c r="W15" s="1074">
        <f>+V15*(1+Assumptions!$O$79)</f>
        <v>1.652847632271752</v>
      </c>
      <c r="X15" s="1074">
        <f>+W15*(1+Assumptions!$O$79)</f>
        <v>1.7024330612399046</v>
      </c>
      <c r="Y15" s="1074">
        <f>+X15*(1+Assumptions!$O$79)</f>
        <v>1.7535060530771018</v>
      </c>
      <c r="Z15" s="1074">
        <f>+Y15*(1+Assumptions!$O$79)</f>
        <v>1.806111234669415</v>
      </c>
      <c r="AA15" s="699"/>
      <c r="AB15" s="699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718" t="s">
        <v>328</v>
      </c>
      <c r="AT15" s="151"/>
      <c r="AU15" s="151"/>
      <c r="AV15" s="151"/>
      <c r="AW15" s="971">
        <f>+Assumptions!$G$27</f>
        <v>46387</v>
      </c>
      <c r="AX15" s="971">
        <f>+EOMONTH(AW15,12)</f>
        <v>46752</v>
      </c>
      <c r="AY15" s="971">
        <f t="shared" ref="AY15:BQ15" si="5">+EOMONTH(AX15,12)</f>
        <v>47118</v>
      </c>
      <c r="AZ15" s="971">
        <f t="shared" si="5"/>
        <v>47483</v>
      </c>
      <c r="BA15" s="971">
        <f t="shared" si="5"/>
        <v>47848</v>
      </c>
      <c r="BB15" s="971">
        <f t="shared" si="5"/>
        <v>48213</v>
      </c>
      <c r="BC15" s="971">
        <f t="shared" si="5"/>
        <v>48579</v>
      </c>
      <c r="BD15" s="971">
        <f t="shared" si="5"/>
        <v>48944</v>
      </c>
      <c r="BE15" s="971">
        <f t="shared" si="5"/>
        <v>49309</v>
      </c>
      <c r="BF15" s="971">
        <f t="shared" si="5"/>
        <v>49674</v>
      </c>
      <c r="BG15" s="971">
        <f t="shared" si="5"/>
        <v>50040</v>
      </c>
      <c r="BH15" s="971">
        <f t="shared" si="5"/>
        <v>50405</v>
      </c>
      <c r="BI15" s="971">
        <f t="shared" si="5"/>
        <v>50770</v>
      </c>
      <c r="BJ15" s="971">
        <f t="shared" si="5"/>
        <v>51135</v>
      </c>
      <c r="BK15" s="971">
        <f t="shared" si="5"/>
        <v>51501</v>
      </c>
      <c r="BL15" s="971">
        <f t="shared" si="5"/>
        <v>51866</v>
      </c>
      <c r="BM15" s="971">
        <f t="shared" si="5"/>
        <v>52231</v>
      </c>
      <c r="BN15" s="971">
        <f t="shared" si="5"/>
        <v>52596</v>
      </c>
      <c r="BO15" s="971">
        <f t="shared" si="5"/>
        <v>52962</v>
      </c>
      <c r="BP15" s="971">
        <f t="shared" si="5"/>
        <v>53327</v>
      </c>
      <c r="BQ15" s="971">
        <f t="shared" si="5"/>
        <v>53692</v>
      </c>
      <c r="BR15" s="151"/>
      <c r="BS15" s="151"/>
      <c r="BT15" s="151"/>
      <c r="BU15" s="151"/>
      <c r="BV15" s="151"/>
      <c r="BW15" s="151"/>
      <c r="BX15" s="151"/>
    </row>
    <row r="16" spans="1:76">
      <c r="A16" s="699"/>
      <c r="B16" s="699"/>
      <c r="C16" s="699"/>
      <c r="D16" s="699"/>
      <c r="E16" s="699"/>
      <c r="F16" s="699"/>
      <c r="G16" s="699"/>
      <c r="H16" s="699"/>
      <c r="I16" s="699"/>
      <c r="J16" s="699"/>
      <c r="K16" s="699"/>
      <c r="L16" s="699"/>
      <c r="M16" s="699"/>
      <c r="N16" s="699"/>
      <c r="O16" s="699"/>
      <c r="P16" s="699"/>
      <c r="Q16" s="699"/>
      <c r="R16" s="699"/>
      <c r="S16" s="699"/>
      <c r="T16" s="699"/>
      <c r="U16" s="699"/>
      <c r="V16" s="699"/>
      <c r="W16" s="699"/>
      <c r="X16" s="699"/>
      <c r="Y16" s="699"/>
      <c r="Z16" s="699"/>
      <c r="AA16" s="699"/>
      <c r="AB16" s="699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 t="s">
        <v>1120</v>
      </c>
      <c r="AT16" s="151"/>
      <c r="AU16" s="151"/>
      <c r="AV16" s="687"/>
      <c r="AW16" s="687">
        <f>+IF(AW15=Assumptions!$G$31,Assumptions!$AF$59/ROUNDUP((12/12),0),)</f>
        <v>0</v>
      </c>
      <c r="AX16" s="687">
        <f>+IF(AX15=Assumptions!$G$31,Assumptions!$AF$59/ROUNDUP((12/12),0),)</f>
        <v>0</v>
      </c>
      <c r="AY16" s="687">
        <f>+IF(AY15=Assumptions!$G$31,Assumptions!$AF$59/ROUNDUP((12/12),0),)</f>
        <v>0</v>
      </c>
      <c r="AZ16" s="687">
        <f>+IF(AZ15=Assumptions!$G$31,Assumptions!$AF$59/ROUNDUP((12/12),0),)</f>
        <v>0</v>
      </c>
      <c r="BA16" s="687">
        <f>+IF(BA15=Assumptions!$G$31,Assumptions!$AF$59/ROUNDUP((12/12),0),)</f>
        <v>0</v>
      </c>
      <c r="BB16" s="687">
        <f>+IF(BB15=Assumptions!$G$31,Assumptions!$AF$59/ROUNDUP((12/12),0),)</f>
        <v>0</v>
      </c>
      <c r="BC16" s="687">
        <f>+IF(BC15=Assumptions!$G$31,Assumptions!$AF$59/ROUNDUP((12/12),0),)</f>
        <v>0</v>
      </c>
      <c r="BD16" s="687">
        <f>+IF(BD15=Assumptions!$G$31,Assumptions!$AF$59/ROUNDUP((12/12),0),)</f>
        <v>0</v>
      </c>
      <c r="BE16" s="687">
        <f>+IF(BE15=Assumptions!$G$31,Assumptions!$AF$59/ROUNDUP((12/12),0),)</f>
        <v>0</v>
      </c>
      <c r="BF16" s="687">
        <f>+IF(BF15=Assumptions!$G$31,Assumptions!$AF$59/ROUNDUP((12/12),0),)</f>
        <v>0</v>
      </c>
      <c r="BG16" s="687">
        <f>+IF(BG15=Assumptions!$G$31,Assumptions!$AF$59/ROUNDUP((12/12),0),)</f>
        <v>0</v>
      </c>
      <c r="BH16" s="687">
        <f>+IF(BH15=Assumptions!$G$31,Assumptions!$AF$59/ROUNDUP((12/12),0),)</f>
        <v>0</v>
      </c>
      <c r="BI16" s="687">
        <f>+IF(BI15=Assumptions!$G$31,Assumptions!$AF$59/ROUNDUP((12/12),0),)</f>
        <v>0</v>
      </c>
      <c r="BJ16" s="687">
        <f>+IF(BJ15=Assumptions!$G$31,Assumptions!$AF$59/ROUNDUP((12/12),0),)</f>
        <v>0</v>
      </c>
      <c r="BK16" s="687">
        <f>+IF(BK15=Assumptions!$G$31,Assumptions!$AF$59/ROUNDUP((12/12),0),)</f>
        <v>0</v>
      </c>
      <c r="BL16" s="687">
        <f>+IF(BL15=Assumptions!$G$31,Assumptions!$AF$59/ROUNDUP((12/12),0),)</f>
        <v>0</v>
      </c>
      <c r="BM16" s="687">
        <f>+IF(BM15=Assumptions!$G$31,Assumptions!$AF$59/ROUNDUP((12/12),0),)</f>
        <v>0</v>
      </c>
      <c r="BN16" s="687">
        <f>+IF(BN15=Assumptions!$G$31,Assumptions!$AF$59/ROUNDUP((12/12),0),)</f>
        <v>0</v>
      </c>
      <c r="BO16" s="687">
        <f>+IF(BO15=Assumptions!$G$31,Assumptions!$AF$59/ROUNDUP((12/12),0),)</f>
        <v>0</v>
      </c>
      <c r="BP16" s="687">
        <f>+IF(BP15=Assumptions!$G$31,Assumptions!$AF$59/ROUNDUP((12/12),0),)</f>
        <v>0</v>
      </c>
      <c r="BQ16" s="687">
        <f>+IF(BQ15=Assumptions!$G$31,Assumptions!$AF$59/ROUNDUP((12/12),0),)</f>
        <v>0</v>
      </c>
      <c r="BR16" s="151"/>
      <c r="BS16" s="151"/>
      <c r="BT16" s="151"/>
      <c r="BU16" s="151"/>
      <c r="BV16" s="151"/>
      <c r="BW16" s="151"/>
      <c r="BX16" s="151"/>
    </row>
    <row r="17" spans="1:76">
      <c r="A17" s="699"/>
      <c r="B17" s="699" t="s">
        <v>1128</v>
      </c>
      <c r="C17" s="699"/>
      <c r="D17" s="699"/>
      <c r="E17" s="699"/>
      <c r="F17" s="1028">
        <f>+F12*Assumptions!$G$69*F14</f>
        <v>0</v>
      </c>
      <c r="G17" s="1028">
        <f>+G12*Assumptions!$G$69*G14</f>
        <v>0</v>
      </c>
      <c r="H17" s="1028">
        <f>+H12*Assumptions!$G$69*H14</f>
        <v>0</v>
      </c>
      <c r="I17" s="1028">
        <f>+I12*Assumptions!$G$69*I14</f>
        <v>2770210.2440013685</v>
      </c>
      <c r="J17" s="1028">
        <f>+J12*Assumptions!$G$69*J14</f>
        <v>2853316.5513214101</v>
      </c>
      <c r="K17" s="1028">
        <f>+K12*Assumptions!$G$69*K14</f>
        <v>2938916.0478610522</v>
      </c>
      <c r="L17" s="1028">
        <f>+L12*Assumptions!$G$69*L14</f>
        <v>3027083.5292968838</v>
      </c>
      <c r="M17" s="1028">
        <f>+M12*Assumptions!$G$69*M14</f>
        <v>3117896.0351757905</v>
      </c>
      <c r="N17" s="1028">
        <f>+N12*Assumptions!$G$69*N14</f>
        <v>3211432.9162310641</v>
      </c>
      <c r="O17" s="1028">
        <f>+O12*Assumptions!$G$69*O14</f>
        <v>3307775.9037179966</v>
      </c>
      <c r="P17" s="1028">
        <f>+P12*Assumptions!$G$69*P14</f>
        <v>3407009.1808295362</v>
      </c>
      <c r="Q17" s="1028">
        <f>+Q12*Assumptions!$G$69*Q14</f>
        <v>3509219.4562544222</v>
      </c>
      <c r="R17" s="1028">
        <f>+R12*Assumptions!$G$69*R14</f>
        <v>3614496.039942055</v>
      </c>
      <c r="S17" s="1028">
        <f>+S12*Assumptions!$G$69*S14</f>
        <v>3722930.9211403169</v>
      </c>
      <c r="T17" s="1028">
        <f>+T12*Assumptions!$G$69*T14</f>
        <v>3834618.8487745267</v>
      </c>
      <c r="U17" s="1028">
        <f>+U12*Assumptions!$G$69*U14</f>
        <v>3949657.4142377628</v>
      </c>
      <c r="V17" s="1028">
        <f>+V12*Assumptions!$G$69*V14</f>
        <v>4068147.1366648963</v>
      </c>
      <c r="W17" s="1028">
        <f>+W12*Assumptions!$G$69*W14</f>
        <v>4190191.5507648429</v>
      </c>
      <c r="X17" s="1028">
        <f>+X12*Assumptions!$G$69*X14</f>
        <v>4315897.2972877882</v>
      </c>
      <c r="Y17" s="1028">
        <f>+Y12*Assumptions!$G$69*Y14</f>
        <v>4445374.2162064221</v>
      </c>
      <c r="Z17" s="1028">
        <f>+Z12*Assumptions!$G$69*Z14</f>
        <v>4578735.4426926151</v>
      </c>
      <c r="AA17" s="699"/>
      <c r="AB17" s="699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 t="s">
        <v>1121</v>
      </c>
      <c r="AT17" s="151"/>
      <c r="AU17" s="151"/>
      <c r="AV17" s="687">
        <v>0</v>
      </c>
      <c r="AW17" s="687">
        <f>+AV17+AW16</f>
        <v>0</v>
      </c>
      <c r="AX17" s="687">
        <f t="shared" ref="AX17:BQ17" si="6">+AW17+AX16</f>
        <v>0</v>
      </c>
      <c r="AY17" s="687">
        <f t="shared" si="6"/>
        <v>0</v>
      </c>
      <c r="AZ17" s="687">
        <f t="shared" si="6"/>
        <v>0</v>
      </c>
      <c r="BA17" s="687">
        <f t="shared" si="6"/>
        <v>0</v>
      </c>
      <c r="BB17" s="687">
        <f t="shared" si="6"/>
        <v>0</v>
      </c>
      <c r="BC17" s="687">
        <f t="shared" si="6"/>
        <v>0</v>
      </c>
      <c r="BD17" s="687">
        <f t="shared" si="6"/>
        <v>0</v>
      </c>
      <c r="BE17" s="687">
        <f t="shared" si="6"/>
        <v>0</v>
      </c>
      <c r="BF17" s="687">
        <f t="shared" si="6"/>
        <v>0</v>
      </c>
      <c r="BG17" s="687">
        <f t="shared" si="6"/>
        <v>0</v>
      </c>
      <c r="BH17" s="687">
        <f t="shared" si="6"/>
        <v>0</v>
      </c>
      <c r="BI17" s="687">
        <f t="shared" si="6"/>
        <v>0</v>
      </c>
      <c r="BJ17" s="687">
        <f t="shared" si="6"/>
        <v>0</v>
      </c>
      <c r="BK17" s="687">
        <f t="shared" si="6"/>
        <v>0</v>
      </c>
      <c r="BL17" s="687">
        <f t="shared" si="6"/>
        <v>0</v>
      </c>
      <c r="BM17" s="687">
        <f t="shared" si="6"/>
        <v>0</v>
      </c>
      <c r="BN17" s="687">
        <f t="shared" si="6"/>
        <v>0</v>
      </c>
      <c r="BO17" s="687">
        <f t="shared" si="6"/>
        <v>0</v>
      </c>
      <c r="BP17" s="687">
        <f t="shared" si="6"/>
        <v>0</v>
      </c>
      <c r="BQ17" s="687">
        <f t="shared" si="6"/>
        <v>0</v>
      </c>
      <c r="BR17" s="151"/>
      <c r="BS17" s="151"/>
      <c r="BT17" s="151"/>
      <c r="BU17" s="151"/>
      <c r="BV17" s="151"/>
      <c r="BW17" s="151"/>
      <c r="BX17" s="151"/>
    </row>
    <row r="18" spans="1:76">
      <c r="A18" s="699"/>
      <c r="B18" s="699" t="s">
        <v>1129</v>
      </c>
      <c r="C18" s="699"/>
      <c r="D18" s="699"/>
      <c r="E18" s="699"/>
      <c r="F18" s="1085">
        <f>-Assumptions!$E$99*'Phase 2 Pro Forma'!F17</f>
        <v>0</v>
      </c>
      <c r="G18" s="1085">
        <f>-Assumptions!$E$99*'Phase 2 Pro Forma'!G17</f>
        <v>0</v>
      </c>
      <c r="H18" s="1085">
        <f>-Assumptions!$E$99*'Phase 2 Pro Forma'!H17</f>
        <v>0</v>
      </c>
      <c r="I18" s="1085">
        <f>-Assumptions!$E$99*'Phase 2 Pro Forma'!I17</f>
        <v>-27702.102440013685</v>
      </c>
      <c r="J18" s="1085">
        <f>-Assumptions!$E$99*'Phase 2 Pro Forma'!J17</f>
        <v>-28533.165513214102</v>
      </c>
      <c r="K18" s="1085">
        <f>-Assumptions!$E$99*'Phase 2 Pro Forma'!K17</f>
        <v>-29389.160478610524</v>
      </c>
      <c r="L18" s="1085">
        <f>-Assumptions!$E$99*'Phase 2 Pro Forma'!L17</f>
        <v>-30270.835292968841</v>
      </c>
      <c r="M18" s="1085">
        <f>-Assumptions!$E$99*'Phase 2 Pro Forma'!M17</f>
        <v>-31178.960351757905</v>
      </c>
      <c r="N18" s="1085">
        <f>-Assumptions!$E$99*'Phase 2 Pro Forma'!N17</f>
        <v>-32114.329162310642</v>
      </c>
      <c r="O18" s="1085">
        <f>-Assumptions!$E$99*'Phase 2 Pro Forma'!O17</f>
        <v>-33077.759037179967</v>
      </c>
      <c r="P18" s="1085">
        <f>-Assumptions!$E$99*'Phase 2 Pro Forma'!P17</f>
        <v>-34070.091808295365</v>
      </c>
      <c r="Q18" s="1085">
        <f>-Assumptions!$E$99*'Phase 2 Pro Forma'!Q17</f>
        <v>-35092.194562544224</v>
      </c>
      <c r="R18" s="1085">
        <f>-Assumptions!$E$99*'Phase 2 Pro Forma'!R17</f>
        <v>-36144.960399420554</v>
      </c>
      <c r="S18" s="1085">
        <f>-Assumptions!$E$99*'Phase 2 Pro Forma'!S17</f>
        <v>-37229.309211403168</v>
      </c>
      <c r="T18" s="1085">
        <f>-Assumptions!$E$99*'Phase 2 Pro Forma'!T17</f>
        <v>-38346.188487745269</v>
      </c>
      <c r="U18" s="1085">
        <f>-Assumptions!$E$99*'Phase 2 Pro Forma'!U17</f>
        <v>-39496.574142377627</v>
      </c>
      <c r="V18" s="1085">
        <f>-Assumptions!$E$99*'Phase 2 Pro Forma'!V17</f>
        <v>-40681.471366648962</v>
      </c>
      <c r="W18" s="1085">
        <f>-Assumptions!$E$99*'Phase 2 Pro Forma'!W17</f>
        <v>-41901.915507648431</v>
      </c>
      <c r="X18" s="1085">
        <f>-Assumptions!$E$99*'Phase 2 Pro Forma'!X17</f>
        <v>-43158.972972877884</v>
      </c>
      <c r="Y18" s="1085">
        <f>-Assumptions!$E$99*'Phase 2 Pro Forma'!Y17</f>
        <v>-44453.74216206422</v>
      </c>
      <c r="Z18" s="1085">
        <f>-Assumptions!$E$99*'Phase 2 Pro Forma'!Z17</f>
        <v>-45787.354426926155</v>
      </c>
      <c r="AA18" s="699"/>
      <c r="AB18" s="699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 t="s">
        <v>1123</v>
      </c>
      <c r="AT18" s="151"/>
      <c r="AU18" s="151"/>
      <c r="AV18" s="151"/>
      <c r="AW18" s="975">
        <f>+AW19-AV19</f>
        <v>0</v>
      </c>
      <c r="AX18" s="975">
        <f t="shared" ref="AX18:BQ18" si="7">+AX19-AW19</f>
        <v>0</v>
      </c>
      <c r="AY18" s="975">
        <f t="shared" si="7"/>
        <v>0</v>
      </c>
      <c r="AZ18" s="975">
        <f t="shared" si="7"/>
        <v>0</v>
      </c>
      <c r="BA18" s="975">
        <f t="shared" si="7"/>
        <v>0</v>
      </c>
      <c r="BB18" s="975">
        <f t="shared" si="7"/>
        <v>0</v>
      </c>
      <c r="BC18" s="975">
        <f t="shared" si="7"/>
        <v>0</v>
      </c>
      <c r="BD18" s="975">
        <f t="shared" si="7"/>
        <v>0</v>
      </c>
      <c r="BE18" s="975">
        <f t="shared" si="7"/>
        <v>0</v>
      </c>
      <c r="BF18" s="975">
        <f t="shared" si="7"/>
        <v>0</v>
      </c>
      <c r="BG18" s="975">
        <f t="shared" si="7"/>
        <v>0</v>
      </c>
      <c r="BH18" s="975">
        <f t="shared" si="7"/>
        <v>0</v>
      </c>
      <c r="BI18" s="975">
        <f t="shared" si="7"/>
        <v>0</v>
      </c>
      <c r="BJ18" s="975">
        <f t="shared" si="7"/>
        <v>0</v>
      </c>
      <c r="BK18" s="975">
        <f t="shared" si="7"/>
        <v>0</v>
      </c>
      <c r="BL18" s="975">
        <f t="shared" si="7"/>
        <v>0</v>
      </c>
      <c r="BM18" s="975">
        <f t="shared" si="7"/>
        <v>0</v>
      </c>
      <c r="BN18" s="975">
        <f t="shared" si="7"/>
        <v>0</v>
      </c>
      <c r="BO18" s="975">
        <f t="shared" si="7"/>
        <v>0</v>
      </c>
      <c r="BP18" s="975">
        <f t="shared" si="7"/>
        <v>0</v>
      </c>
      <c r="BQ18" s="975">
        <f t="shared" si="7"/>
        <v>0</v>
      </c>
      <c r="BR18" s="151"/>
      <c r="BS18" s="151"/>
      <c r="BT18" s="151"/>
      <c r="BU18" s="151"/>
      <c r="BV18" s="151"/>
      <c r="BW18" s="151"/>
      <c r="BX18" s="151"/>
    </row>
    <row r="19" spans="1:76">
      <c r="A19" s="699"/>
      <c r="B19" s="699" t="s">
        <v>1130</v>
      </c>
      <c r="C19" s="699"/>
      <c r="D19" s="699"/>
      <c r="E19" s="699"/>
      <c r="F19" s="1085">
        <f>-F17*Assumptions!$O$59</f>
        <v>0</v>
      </c>
      <c r="G19" s="1085">
        <f>-G17*Assumptions!$O$59</f>
        <v>0</v>
      </c>
      <c r="H19" s="1085">
        <f>-H17*Assumptions!$O$59</f>
        <v>0</v>
      </c>
      <c r="I19" s="1085">
        <f>-I17*Assumptions!$O$59</f>
        <v>-110808.40976005474</v>
      </c>
      <c r="J19" s="1085">
        <f>-J17*Assumptions!$O$59</f>
        <v>-114132.66205285641</v>
      </c>
      <c r="K19" s="1085">
        <f>-K17*Assumptions!$O$59</f>
        <v>-117556.64191444209</v>
      </c>
      <c r="L19" s="1085">
        <f>-L17*Assumptions!$O$59</f>
        <v>-121083.34117187536</v>
      </c>
      <c r="M19" s="1085">
        <f>-M17*Assumptions!$O$59</f>
        <v>-124715.84140703162</v>
      </c>
      <c r="N19" s="1085">
        <f>-N17*Assumptions!$O$59</f>
        <v>-128457.31664924257</v>
      </c>
      <c r="O19" s="1085">
        <f>-O17*Assumptions!$O$59</f>
        <v>-132311.03614871987</v>
      </c>
      <c r="P19" s="1085">
        <f>-P17*Assumptions!$O$59</f>
        <v>-136280.36723318146</v>
      </c>
      <c r="Q19" s="1085">
        <f>-Q17*Assumptions!$O$59</f>
        <v>-140368.7782501769</v>
      </c>
      <c r="R19" s="1085">
        <f>-R17*Assumptions!$O$59</f>
        <v>-144579.84159768221</v>
      </c>
      <c r="S19" s="1085">
        <f>-S17*Assumptions!$O$59</f>
        <v>-148917.23684561267</v>
      </c>
      <c r="T19" s="1085">
        <f>-T17*Assumptions!$O$59</f>
        <v>-153384.75395098107</v>
      </c>
      <c r="U19" s="1085">
        <f>-U17*Assumptions!$O$59</f>
        <v>-157986.29656951051</v>
      </c>
      <c r="V19" s="1085">
        <f>-V17*Assumptions!$O$59</f>
        <v>-162725.88546659585</v>
      </c>
      <c r="W19" s="1085">
        <f>-W17*Assumptions!$O$59</f>
        <v>-167607.66203059372</v>
      </c>
      <c r="X19" s="1085">
        <f>-X17*Assumptions!$O$59</f>
        <v>-172635.89189151154</v>
      </c>
      <c r="Y19" s="1085">
        <f>-Y17*Assumptions!$O$59</f>
        <v>-177814.96864825688</v>
      </c>
      <c r="Z19" s="1085">
        <f>-Z17*Assumptions!$O$59</f>
        <v>-183149.41770770462</v>
      </c>
      <c r="AA19" s="699"/>
      <c r="AB19" s="699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 t="s">
        <v>1124</v>
      </c>
      <c r="AT19" s="151"/>
      <c r="AU19" s="151"/>
      <c r="AV19" s="151"/>
      <c r="AW19" s="975">
        <f>+AW20*Assumptions!$AF$60</f>
        <v>0</v>
      </c>
      <c r="AX19" s="975">
        <f>+AX20*Assumptions!$AF$60</f>
        <v>0</v>
      </c>
      <c r="AY19" s="975">
        <f>+AY20*Assumptions!$AF$60</f>
        <v>0</v>
      </c>
      <c r="AZ19" s="975">
        <f>+AZ20*Assumptions!$AF$60</f>
        <v>0</v>
      </c>
      <c r="BA19" s="975">
        <f>+BA20*Assumptions!$AF$60</f>
        <v>0</v>
      </c>
      <c r="BB19" s="975">
        <f>+BB20*Assumptions!$AF$60</f>
        <v>0</v>
      </c>
      <c r="BC19" s="975">
        <f>+BC20*Assumptions!$AF$60</f>
        <v>0</v>
      </c>
      <c r="BD19" s="975">
        <f>+BD20*Assumptions!$AF$60</f>
        <v>0</v>
      </c>
      <c r="BE19" s="975">
        <f>+BE20*Assumptions!$AF$60</f>
        <v>0</v>
      </c>
      <c r="BF19" s="975">
        <f>+BF20*Assumptions!$AF$60</f>
        <v>0</v>
      </c>
      <c r="BG19" s="975">
        <f>+BG20*Assumptions!$AF$60</f>
        <v>0</v>
      </c>
      <c r="BH19" s="975">
        <f>+BH20*Assumptions!$AF$60</f>
        <v>0</v>
      </c>
      <c r="BI19" s="975">
        <f>+BI20*Assumptions!$AF$60</f>
        <v>0</v>
      </c>
      <c r="BJ19" s="975">
        <f>+BJ20*Assumptions!$AF$60</f>
        <v>0</v>
      </c>
      <c r="BK19" s="975">
        <f>+BK20*Assumptions!$AF$60</f>
        <v>0</v>
      </c>
      <c r="BL19" s="975">
        <f>+BL20*Assumptions!$AF$60</f>
        <v>0</v>
      </c>
      <c r="BM19" s="975">
        <f>+BM20*Assumptions!$AF$60</f>
        <v>0</v>
      </c>
      <c r="BN19" s="975">
        <f>+BN20*Assumptions!$AF$60</f>
        <v>0</v>
      </c>
      <c r="BO19" s="975">
        <f>+BO20*Assumptions!$AF$60</f>
        <v>0</v>
      </c>
      <c r="BP19" s="975">
        <f>+BP20*Assumptions!$AF$60</f>
        <v>0</v>
      </c>
      <c r="BQ19" s="975">
        <f>+BQ20*Assumptions!$AF$60</f>
        <v>0</v>
      </c>
      <c r="BR19" s="151"/>
      <c r="BS19" s="151"/>
      <c r="BT19" s="151"/>
      <c r="BU19" s="151"/>
      <c r="BV19" s="151"/>
      <c r="BW19" s="151"/>
      <c r="BX19" s="151"/>
    </row>
    <row r="20" spans="1:76">
      <c r="A20" s="699"/>
      <c r="B20" s="699" t="s">
        <v>1184</v>
      </c>
      <c r="C20" s="699"/>
      <c r="D20" s="699"/>
      <c r="E20" s="699"/>
      <c r="F20" s="1085">
        <f>+F11*Assumptions!$AF$158*(1-Assumptions!$O$59)*12</f>
        <v>0</v>
      </c>
      <c r="G20" s="1085">
        <f>+G11*Assumptions!$AF$158*(1-Assumptions!$O$59)*12</f>
        <v>0</v>
      </c>
      <c r="H20" s="1085">
        <f>+H11*Assumptions!$AF$158*(1-Assumptions!$O$59)*12</f>
        <v>0</v>
      </c>
      <c r="I20" s="1085">
        <f>+I11*Assumptions!$AF$158*(1-Assumptions!$O$59)*12</f>
        <v>10131.042857683966</v>
      </c>
      <c r="J20" s="1085">
        <f>+J11*Assumptions!$AF$158*(1-Assumptions!$O$59)*12</f>
        <v>10131.042857683966</v>
      </c>
      <c r="K20" s="1085">
        <f>+K11*Assumptions!$AF$158*(1-Assumptions!$O$59)*12</f>
        <v>10131.042857683966</v>
      </c>
      <c r="L20" s="1085">
        <f>+L11*Assumptions!$AF$158*(1-Assumptions!$O$59)*12</f>
        <v>10131.042857683966</v>
      </c>
      <c r="M20" s="1085">
        <f>+M11*Assumptions!$AF$158*(1-Assumptions!$O$59)*12</f>
        <v>10131.042857683966</v>
      </c>
      <c r="N20" s="1085">
        <f>+N11*Assumptions!$AF$158*(1-Assumptions!$O$59)*12</f>
        <v>10131.042857683966</v>
      </c>
      <c r="O20" s="1085">
        <f>+O11*Assumptions!$AF$158*(1-Assumptions!$O$59)*12</f>
        <v>10131.042857683966</v>
      </c>
      <c r="P20" s="1085">
        <f>+P11*Assumptions!$AF$158*(1-Assumptions!$O$59)*12</f>
        <v>10131.042857683966</v>
      </c>
      <c r="Q20" s="1085">
        <f>+Q11*Assumptions!$AF$158*(1-Assumptions!$O$59)*12</f>
        <v>10131.042857683966</v>
      </c>
      <c r="R20" s="1085">
        <f>+R11*Assumptions!$AF$158*(1-Assumptions!$O$59)*12</f>
        <v>10131.042857683966</v>
      </c>
      <c r="S20" s="1085">
        <f>+S11*Assumptions!$AF$158*(1-Assumptions!$O$59)*12</f>
        <v>10131.042857683966</v>
      </c>
      <c r="T20" s="1085">
        <f>+T11*Assumptions!$AF$158*(1-Assumptions!$O$59)*12</f>
        <v>10131.042857683966</v>
      </c>
      <c r="U20" s="1085">
        <f>+U11*Assumptions!$AF$158*(1-Assumptions!$O$59)*12</f>
        <v>10131.042857683966</v>
      </c>
      <c r="V20" s="1085">
        <f>+V11*Assumptions!$AF$158*(1-Assumptions!$O$59)*12</f>
        <v>10131.042857683966</v>
      </c>
      <c r="W20" s="1085">
        <f>+W11*Assumptions!$AF$158*(1-Assumptions!$O$59)*12</f>
        <v>10131.042857683966</v>
      </c>
      <c r="X20" s="1085">
        <f>+X11*Assumptions!$AF$158*(1-Assumptions!$O$59)*12</f>
        <v>10131.042857683966</v>
      </c>
      <c r="Y20" s="1085">
        <f>+Y11*Assumptions!$AF$158*(1-Assumptions!$O$59)*12</f>
        <v>10131.042857683966</v>
      </c>
      <c r="Z20" s="1085">
        <f>+Z11*Assumptions!$AF$158*(1-Assumptions!$O$59)*12</f>
        <v>10131.042857683966</v>
      </c>
      <c r="AA20" s="699"/>
      <c r="AB20" s="699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 t="s">
        <v>1125</v>
      </c>
      <c r="AT20" s="151"/>
      <c r="AU20" s="151"/>
      <c r="AV20" s="151"/>
      <c r="AW20" s="749">
        <f t="shared" ref="AW20:BQ20" si="8">+IFERROR(AW17/SUM($AW16:$BQ16),0)</f>
        <v>0</v>
      </c>
      <c r="AX20" s="749">
        <f t="shared" si="8"/>
        <v>0</v>
      </c>
      <c r="AY20" s="749">
        <f t="shared" si="8"/>
        <v>0</v>
      </c>
      <c r="AZ20" s="749">
        <f t="shared" si="8"/>
        <v>0</v>
      </c>
      <c r="BA20" s="749">
        <f t="shared" si="8"/>
        <v>0</v>
      </c>
      <c r="BB20" s="749">
        <f t="shared" si="8"/>
        <v>0</v>
      </c>
      <c r="BC20" s="749">
        <f t="shared" si="8"/>
        <v>0</v>
      </c>
      <c r="BD20" s="749">
        <f t="shared" si="8"/>
        <v>0</v>
      </c>
      <c r="BE20" s="749">
        <f t="shared" si="8"/>
        <v>0</v>
      </c>
      <c r="BF20" s="749">
        <f t="shared" si="8"/>
        <v>0</v>
      </c>
      <c r="BG20" s="749">
        <f t="shared" si="8"/>
        <v>0</v>
      </c>
      <c r="BH20" s="749">
        <f t="shared" si="8"/>
        <v>0</v>
      </c>
      <c r="BI20" s="749">
        <f t="shared" si="8"/>
        <v>0</v>
      </c>
      <c r="BJ20" s="749">
        <f t="shared" si="8"/>
        <v>0</v>
      </c>
      <c r="BK20" s="749">
        <f t="shared" si="8"/>
        <v>0</v>
      </c>
      <c r="BL20" s="749">
        <f t="shared" si="8"/>
        <v>0</v>
      </c>
      <c r="BM20" s="749">
        <f t="shared" si="8"/>
        <v>0</v>
      </c>
      <c r="BN20" s="749">
        <f t="shared" si="8"/>
        <v>0</v>
      </c>
      <c r="BO20" s="749">
        <f t="shared" si="8"/>
        <v>0</v>
      </c>
      <c r="BP20" s="749">
        <f t="shared" si="8"/>
        <v>0</v>
      </c>
      <c r="BQ20" s="749">
        <f t="shared" si="8"/>
        <v>0</v>
      </c>
      <c r="BR20" s="151"/>
      <c r="BS20" s="151"/>
      <c r="BT20" s="151"/>
      <c r="BU20" s="151"/>
      <c r="BV20" s="151"/>
      <c r="BW20" s="151"/>
      <c r="BX20" s="151"/>
    </row>
    <row r="21" spans="1:76">
      <c r="A21" s="699"/>
      <c r="B21" s="699" t="s">
        <v>48</v>
      </c>
      <c r="C21" s="699"/>
      <c r="D21" s="699"/>
      <c r="E21" s="699"/>
      <c r="F21" s="1085">
        <f>+(F11*Assumptions!$AD$160*Assumptions!$AD$161)*12</f>
        <v>0</v>
      </c>
      <c r="G21" s="1085">
        <f>+(G11*Assumptions!$AD$160*Assumptions!$AD$161)*12</f>
        <v>0</v>
      </c>
      <c r="H21" s="1085">
        <f>+(H11*Assumptions!$AD$160*Assumptions!$AD$161)*12</f>
        <v>0</v>
      </c>
      <c r="I21" s="1085">
        <f>+(I11*Assumptions!$AD$160*Assumptions!$AD$161)*12</f>
        <v>7568.6013536408555</v>
      </c>
      <c r="J21" s="1085">
        <f>+(J11*Assumptions!$AD$160*Assumptions!$AD$161)*12</f>
        <v>7568.6013536408555</v>
      </c>
      <c r="K21" s="1085">
        <f>+(K11*Assumptions!$AD$160*Assumptions!$AD$161)*12</f>
        <v>7568.6013536408555</v>
      </c>
      <c r="L21" s="1085">
        <f>+(L11*Assumptions!$AD$160*Assumptions!$AD$161)*12</f>
        <v>7568.6013536408555</v>
      </c>
      <c r="M21" s="1085">
        <f>+(M11*Assumptions!$AD$160*Assumptions!$AD$161)*12</f>
        <v>7568.6013536408555</v>
      </c>
      <c r="N21" s="1085">
        <f>+(N11*Assumptions!$AD$160*Assumptions!$AD$161)*12</f>
        <v>7568.6013536408555</v>
      </c>
      <c r="O21" s="1085">
        <f>+(O11*Assumptions!$AD$160*Assumptions!$AD$161)*12</f>
        <v>7568.6013536408555</v>
      </c>
      <c r="P21" s="1085">
        <f>+(P11*Assumptions!$AD$160*Assumptions!$AD$161)*12</f>
        <v>7568.6013536408555</v>
      </c>
      <c r="Q21" s="1085">
        <f>+(Q11*Assumptions!$AD$160*Assumptions!$AD$161)*12</f>
        <v>7568.6013536408555</v>
      </c>
      <c r="R21" s="1085">
        <f>+(R11*Assumptions!$AD$160*Assumptions!$AD$161)*12</f>
        <v>7568.6013536408555</v>
      </c>
      <c r="S21" s="1085">
        <f>+(S11*Assumptions!$AD$160*Assumptions!$AD$161)*12</f>
        <v>7568.6013536408555</v>
      </c>
      <c r="T21" s="1085">
        <f>+(T11*Assumptions!$AD$160*Assumptions!$AD$161)*12</f>
        <v>7568.6013536408555</v>
      </c>
      <c r="U21" s="1085">
        <f>+(U11*Assumptions!$AD$160*Assumptions!$AD$161)*12</f>
        <v>7568.6013536408555</v>
      </c>
      <c r="V21" s="1085">
        <f>+(V11*Assumptions!$AD$160*Assumptions!$AD$161)*12</f>
        <v>7568.6013536408555</v>
      </c>
      <c r="W21" s="1085">
        <f>+(W11*Assumptions!$AD$160*Assumptions!$AD$161)*12</f>
        <v>7568.6013536408555</v>
      </c>
      <c r="X21" s="1085">
        <f>+(X11*Assumptions!$AD$160*Assumptions!$AD$161)*12</f>
        <v>7568.6013536408555</v>
      </c>
      <c r="Y21" s="1085">
        <f>+(Y11*Assumptions!$AD$160*Assumptions!$AD$161)*12</f>
        <v>7568.6013536408555</v>
      </c>
      <c r="Z21" s="1085">
        <f>+(Z11*Assumptions!$AD$160*Assumptions!$AD$161)*12</f>
        <v>7568.6013536408555</v>
      </c>
      <c r="AA21" s="699"/>
      <c r="AB21" s="699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</row>
    <row r="22" spans="1:76">
      <c r="A22" s="699"/>
      <c r="B22" s="699" t="s">
        <v>50</v>
      </c>
      <c r="C22" s="699"/>
      <c r="D22" s="699"/>
      <c r="E22" s="699"/>
      <c r="F22" s="1085">
        <f>+F11*Assumptions!$AD$162*Assumptions!$AD$163*12</f>
        <v>0</v>
      </c>
      <c r="G22" s="1085">
        <f>+G11*Assumptions!$AD$162*Assumptions!$AD$163*12</f>
        <v>0</v>
      </c>
      <c r="H22" s="1085">
        <f>+H11*Assumptions!$AD$162*Assumptions!$AD$163*12</f>
        <v>0</v>
      </c>
      <c r="I22" s="1085">
        <f>+I11*Assumptions!$AD$162*Assumptions!$AD$163*12</f>
        <v>37199.922993058317</v>
      </c>
      <c r="J22" s="1085">
        <f>+J11*Assumptions!$AD$162*Assumptions!$AD$163*12</f>
        <v>37199.922993058317</v>
      </c>
      <c r="K22" s="1085">
        <f>+K11*Assumptions!$AD$162*Assumptions!$AD$163*12</f>
        <v>37199.922993058317</v>
      </c>
      <c r="L22" s="1085">
        <f>+L11*Assumptions!$AD$162*Assumptions!$AD$163*12</f>
        <v>37199.922993058317</v>
      </c>
      <c r="M22" s="1085">
        <f>+M11*Assumptions!$AD$162*Assumptions!$AD$163*12</f>
        <v>37199.922993058317</v>
      </c>
      <c r="N22" s="1085">
        <f>+N11*Assumptions!$AD$162*Assumptions!$AD$163*12</f>
        <v>37199.922993058317</v>
      </c>
      <c r="O22" s="1085">
        <f>+O11*Assumptions!$AD$162*Assumptions!$AD$163*12</f>
        <v>37199.922993058317</v>
      </c>
      <c r="P22" s="1085">
        <f>+P11*Assumptions!$AD$162*Assumptions!$AD$163*12</f>
        <v>37199.922993058317</v>
      </c>
      <c r="Q22" s="1085">
        <f>+Q11*Assumptions!$AD$162*Assumptions!$AD$163*12</f>
        <v>37199.922993058317</v>
      </c>
      <c r="R22" s="1085">
        <f>+R11*Assumptions!$AD$162*Assumptions!$AD$163*12</f>
        <v>37199.922993058317</v>
      </c>
      <c r="S22" s="1085">
        <f>+S11*Assumptions!$AD$162*Assumptions!$AD$163*12</f>
        <v>37199.922993058317</v>
      </c>
      <c r="T22" s="1085">
        <f>+T11*Assumptions!$AD$162*Assumptions!$AD$163*12</f>
        <v>37199.922993058317</v>
      </c>
      <c r="U22" s="1085">
        <f>+U11*Assumptions!$AD$162*Assumptions!$AD$163*12</f>
        <v>37199.922993058317</v>
      </c>
      <c r="V22" s="1085">
        <f>+V11*Assumptions!$AD$162*Assumptions!$AD$163*12</f>
        <v>37199.922993058317</v>
      </c>
      <c r="W22" s="1085">
        <f>+W11*Assumptions!$AD$162*Assumptions!$AD$163*12</f>
        <v>37199.922993058317</v>
      </c>
      <c r="X22" s="1085">
        <f>+X11*Assumptions!$AD$162*Assumptions!$AD$163*12</f>
        <v>37199.922993058317</v>
      </c>
      <c r="Y22" s="1085">
        <f>+Y11*Assumptions!$AD$162*Assumptions!$AD$163*12</f>
        <v>37199.922993058317</v>
      </c>
      <c r="Z22" s="1085">
        <f>+Z11*Assumptions!$AD$162*Assumptions!$AD$163*12</f>
        <v>37199.922993058317</v>
      </c>
      <c r="AA22" s="699"/>
      <c r="AB22" s="699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 t="s">
        <v>1126</v>
      </c>
      <c r="AT22" s="151"/>
      <c r="AU22" s="151"/>
      <c r="AV22" s="151"/>
      <c r="AW22" s="749">
        <v>1</v>
      </c>
      <c r="AX22" s="749">
        <f>+AW22*(1+Assumptions!$O$68)</f>
        <v>1.03</v>
      </c>
      <c r="AY22" s="749">
        <f>+AX22*(1+Assumptions!$O$68)</f>
        <v>1.0609</v>
      </c>
      <c r="AZ22" s="749">
        <f>+AY22*(1+Assumptions!$O$68)</f>
        <v>1.092727</v>
      </c>
      <c r="BA22" s="749">
        <f>+AZ22*(1+Assumptions!$O$68)</f>
        <v>1.1255088100000001</v>
      </c>
      <c r="BB22" s="749">
        <f>+BA22*(1+Assumptions!$O$68)</f>
        <v>1.1592740743000001</v>
      </c>
      <c r="BC22" s="749">
        <f>+BB22*(1+Assumptions!$O$68)</f>
        <v>1.1940522965290001</v>
      </c>
      <c r="BD22" s="749">
        <f>+BC22*(1+Assumptions!$O$68)</f>
        <v>1.2298738654248702</v>
      </c>
      <c r="BE22" s="749">
        <f>+BD22*(1+Assumptions!$O$68)</f>
        <v>1.2667700813876164</v>
      </c>
      <c r="BF22" s="749">
        <f>+BE22*(1+Assumptions!$O$68)</f>
        <v>1.3047731838292449</v>
      </c>
      <c r="BG22" s="749">
        <f>+BF22*(1+Assumptions!$O$68)</f>
        <v>1.3439163793441222</v>
      </c>
      <c r="BH22" s="749">
        <f>+BG22*(1+Assumptions!$O$68)</f>
        <v>1.3842338707244459</v>
      </c>
      <c r="BI22" s="749">
        <f>+BH22*(1+Assumptions!$O$68)</f>
        <v>1.4257608868461793</v>
      </c>
      <c r="BJ22" s="749">
        <f>+BI22*(1+Assumptions!$O$68)</f>
        <v>1.4685337134515648</v>
      </c>
      <c r="BK22" s="749">
        <f>+BJ22*(1+Assumptions!$O$68)</f>
        <v>1.5125897248551119</v>
      </c>
      <c r="BL22" s="749">
        <f>+BK22*(1+Assumptions!$O$68)</f>
        <v>1.5579674166007653</v>
      </c>
      <c r="BM22" s="749">
        <f>+BL22*(1+Assumptions!$O$68)</f>
        <v>1.6047064390987884</v>
      </c>
      <c r="BN22" s="749">
        <f>+BM22*(1+Assumptions!$O$68)</f>
        <v>1.652847632271752</v>
      </c>
      <c r="BO22" s="749">
        <f>+BN22*(1+Assumptions!$O$68)</f>
        <v>1.7024330612399046</v>
      </c>
      <c r="BP22" s="749">
        <f>+BO22*(1+Assumptions!$O$68)</f>
        <v>1.7535060530771018</v>
      </c>
      <c r="BQ22" s="749">
        <f>+BP22*(1+Assumptions!$O$68)</f>
        <v>1.806111234669415</v>
      </c>
      <c r="BR22" s="151"/>
      <c r="BS22" s="151"/>
      <c r="BT22" s="151"/>
      <c r="BU22" s="151"/>
      <c r="BV22" s="151"/>
      <c r="BW22" s="151"/>
      <c r="BX22" s="151"/>
    </row>
    <row r="23" spans="1:76">
      <c r="A23" s="699"/>
      <c r="B23" s="699" t="s">
        <v>52</v>
      </c>
      <c r="C23" s="699"/>
      <c r="D23" s="699"/>
      <c r="E23" s="699"/>
      <c r="F23" s="1085">
        <f>+F11*Assumptions!$AD$164*Assumptions!$AD$165*12</f>
        <v>0</v>
      </c>
      <c r="G23" s="1085">
        <f>+G11*Assumptions!$AD$164*Assumptions!$AD$165*12</f>
        <v>0</v>
      </c>
      <c r="H23" s="1085">
        <f>+H11*Assumptions!$AD$164*Assumptions!$AD$165*12</f>
        <v>0</v>
      </c>
      <c r="I23" s="1085">
        <f>+I11*Assumptions!$AD$164*Assumptions!$AD$165*12</f>
        <v>29351.003070764098</v>
      </c>
      <c r="J23" s="1085">
        <f>+J11*Assumptions!$AD$164*Assumptions!$AD$165*12</f>
        <v>29351.003070764098</v>
      </c>
      <c r="K23" s="1085">
        <f>+K11*Assumptions!$AD$164*Assumptions!$AD$165*12</f>
        <v>29351.003070764098</v>
      </c>
      <c r="L23" s="1085">
        <f>+L11*Assumptions!$AD$164*Assumptions!$AD$165*12</f>
        <v>29351.003070764098</v>
      </c>
      <c r="M23" s="1085">
        <f>+M11*Assumptions!$AD$164*Assumptions!$AD$165*12</f>
        <v>29351.003070764098</v>
      </c>
      <c r="N23" s="1085">
        <f>+N11*Assumptions!$AD$164*Assumptions!$AD$165*12</f>
        <v>29351.003070764098</v>
      </c>
      <c r="O23" s="1085">
        <f>+O11*Assumptions!$AD$164*Assumptions!$AD$165*12</f>
        <v>29351.003070764098</v>
      </c>
      <c r="P23" s="1085">
        <f>+P11*Assumptions!$AD$164*Assumptions!$AD$165*12</f>
        <v>29351.003070764098</v>
      </c>
      <c r="Q23" s="1085">
        <f>+Q11*Assumptions!$AD$164*Assumptions!$AD$165*12</f>
        <v>29351.003070764098</v>
      </c>
      <c r="R23" s="1085">
        <f>+R11*Assumptions!$AD$164*Assumptions!$AD$165*12</f>
        <v>29351.003070764098</v>
      </c>
      <c r="S23" s="1085">
        <f>+S11*Assumptions!$AD$164*Assumptions!$AD$165*12</f>
        <v>29351.003070764098</v>
      </c>
      <c r="T23" s="1085">
        <f>+T11*Assumptions!$AD$164*Assumptions!$AD$165*12</f>
        <v>29351.003070764098</v>
      </c>
      <c r="U23" s="1085">
        <f>+U11*Assumptions!$AD$164*Assumptions!$AD$165*12</f>
        <v>29351.003070764098</v>
      </c>
      <c r="V23" s="1085">
        <f>+V11*Assumptions!$AD$164*Assumptions!$AD$165*12</f>
        <v>29351.003070764098</v>
      </c>
      <c r="W23" s="1085">
        <f>+W11*Assumptions!$AD$164*Assumptions!$AD$165*12</f>
        <v>29351.003070764098</v>
      </c>
      <c r="X23" s="1085">
        <f>+X11*Assumptions!$AD$164*Assumptions!$AD$165*12</f>
        <v>29351.003070764098</v>
      </c>
      <c r="Y23" s="1085">
        <f>+Y11*Assumptions!$AD$164*Assumptions!$AD$165*12</f>
        <v>29351.003070764098</v>
      </c>
      <c r="Z23" s="1085">
        <f>+Z11*Assumptions!$AD$164*Assumptions!$AD$165*12</f>
        <v>29351.003070764098</v>
      </c>
      <c r="AA23" s="699"/>
      <c r="AB23" s="699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 t="s">
        <v>1127</v>
      </c>
      <c r="AT23" s="151"/>
      <c r="AU23" s="151"/>
      <c r="AV23" s="151"/>
      <c r="AW23" s="749">
        <v>1</v>
      </c>
      <c r="AX23" s="749">
        <f>+AW23*(1+Assumptions!$O$79)</f>
        <v>1.03</v>
      </c>
      <c r="AY23" s="749">
        <f>+AX23*(1+Assumptions!$O$79)</f>
        <v>1.0609</v>
      </c>
      <c r="AZ23" s="749">
        <f>+AY23*(1+Assumptions!$O$79)</f>
        <v>1.092727</v>
      </c>
      <c r="BA23" s="749">
        <f>+AZ23*(1+Assumptions!$O$79)</f>
        <v>1.1255088100000001</v>
      </c>
      <c r="BB23" s="749">
        <f>+BA23*(1+Assumptions!$O$79)</f>
        <v>1.1592740743000001</v>
      </c>
      <c r="BC23" s="749">
        <f>+BB23*(1+Assumptions!$O$79)</f>
        <v>1.1940522965290001</v>
      </c>
      <c r="BD23" s="749">
        <f>+BC23*(1+Assumptions!$O$79)</f>
        <v>1.2298738654248702</v>
      </c>
      <c r="BE23" s="749">
        <f>+BD23*(1+Assumptions!$O$79)</f>
        <v>1.2667700813876164</v>
      </c>
      <c r="BF23" s="749">
        <f>+BE23*(1+Assumptions!$O$79)</f>
        <v>1.3047731838292449</v>
      </c>
      <c r="BG23" s="749">
        <f>+BF23*(1+Assumptions!$O$79)</f>
        <v>1.3439163793441222</v>
      </c>
      <c r="BH23" s="749">
        <f>+BG23*(1+Assumptions!$O$79)</f>
        <v>1.3842338707244459</v>
      </c>
      <c r="BI23" s="749">
        <f>+BH23*(1+Assumptions!$O$79)</f>
        <v>1.4257608868461793</v>
      </c>
      <c r="BJ23" s="749">
        <f>+BI23*(1+Assumptions!$O$79)</f>
        <v>1.4685337134515648</v>
      </c>
      <c r="BK23" s="749">
        <f>+BJ23*(1+Assumptions!$O$79)</f>
        <v>1.5125897248551119</v>
      </c>
      <c r="BL23" s="749">
        <f>+BK23*(1+Assumptions!$O$79)</f>
        <v>1.5579674166007653</v>
      </c>
      <c r="BM23" s="749">
        <f>+BL23*(1+Assumptions!$O$79)</f>
        <v>1.6047064390987884</v>
      </c>
      <c r="BN23" s="749">
        <f>+BM23*(1+Assumptions!$O$79)</f>
        <v>1.652847632271752</v>
      </c>
      <c r="BO23" s="749">
        <f>+BN23*(1+Assumptions!$O$79)</f>
        <v>1.7024330612399046</v>
      </c>
      <c r="BP23" s="749">
        <f>+BO23*(1+Assumptions!$O$79)</f>
        <v>1.7535060530771018</v>
      </c>
      <c r="BQ23" s="749">
        <f>+BP23*(1+Assumptions!$O$79)</f>
        <v>1.806111234669415</v>
      </c>
      <c r="BR23" s="151"/>
      <c r="BS23" s="151"/>
      <c r="BT23" s="151"/>
      <c r="BU23" s="151"/>
      <c r="BV23" s="151"/>
      <c r="BW23" s="151"/>
      <c r="BX23" s="151"/>
    </row>
    <row r="24" spans="1:76">
      <c r="A24" s="699"/>
      <c r="B24" s="52" t="s">
        <v>1131</v>
      </c>
      <c r="C24" s="1052"/>
      <c r="D24" s="1052"/>
      <c r="E24" s="1052"/>
      <c r="F24" s="1086">
        <f t="shared" ref="F24:Z24" si="9">SUM(F17:F23)</f>
        <v>0</v>
      </c>
      <c r="G24" s="1086">
        <f t="shared" si="9"/>
        <v>0</v>
      </c>
      <c r="H24" s="1086">
        <f t="shared" si="9"/>
        <v>0</v>
      </c>
      <c r="I24" s="1086">
        <f t="shared" si="9"/>
        <v>2715950.3020764478</v>
      </c>
      <c r="J24" s="1086">
        <f t="shared" si="9"/>
        <v>2794901.2940304871</v>
      </c>
      <c r="K24" s="1086">
        <f t="shared" si="9"/>
        <v>2876220.8157431469</v>
      </c>
      <c r="L24" s="1086">
        <f t="shared" si="9"/>
        <v>2959979.9231071873</v>
      </c>
      <c r="M24" s="1086">
        <f t="shared" si="9"/>
        <v>3046251.8036921485</v>
      </c>
      <c r="N24" s="1086">
        <f t="shared" si="9"/>
        <v>3135111.840694658</v>
      </c>
      <c r="O24" s="1086">
        <f t="shared" si="9"/>
        <v>3226637.6788072442</v>
      </c>
      <c r="P24" s="1086">
        <f t="shared" si="9"/>
        <v>3320909.2920632069</v>
      </c>
      <c r="Q24" s="1086">
        <f t="shared" si="9"/>
        <v>3418009.0537168486</v>
      </c>
      <c r="R24" s="1086">
        <f t="shared" si="9"/>
        <v>3518021.8082200997</v>
      </c>
      <c r="S24" s="1086">
        <f t="shared" si="9"/>
        <v>3621034.9453584487</v>
      </c>
      <c r="T24" s="1086">
        <f t="shared" si="9"/>
        <v>3727138.4766109479</v>
      </c>
      <c r="U24" s="1086">
        <f t="shared" si="9"/>
        <v>3836425.1138010221</v>
      </c>
      <c r="V24" s="1086">
        <f t="shared" si="9"/>
        <v>3948990.350106799</v>
      </c>
      <c r="W24" s="1086">
        <f t="shared" si="9"/>
        <v>4064932.5435017478</v>
      </c>
      <c r="X24" s="1086">
        <f t="shared" si="9"/>
        <v>4184353.0026985458</v>
      </c>
      <c r="Y24" s="1086">
        <f t="shared" si="9"/>
        <v>4307356.0756712481</v>
      </c>
      <c r="Z24" s="1086">
        <f t="shared" si="9"/>
        <v>4434049.2408331316</v>
      </c>
      <c r="AA24" s="699"/>
      <c r="AB24" s="699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</row>
    <row r="25" spans="1:76">
      <c r="A25" s="699"/>
      <c r="B25" s="49"/>
      <c r="C25" s="699"/>
      <c r="D25" s="699"/>
      <c r="E25" s="699"/>
      <c r="F25" s="699"/>
      <c r="G25" s="699"/>
      <c r="H25" s="699"/>
      <c r="I25" s="699"/>
      <c r="J25" s="699"/>
      <c r="K25" s="699"/>
      <c r="L25" s="699"/>
      <c r="M25" s="699"/>
      <c r="N25" s="699"/>
      <c r="O25" s="699"/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699"/>
      <c r="AA25" s="699"/>
      <c r="AB25" s="699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 t="s">
        <v>1128</v>
      </c>
      <c r="AT25" s="151"/>
      <c r="AU25" s="151"/>
      <c r="AV25" s="151"/>
      <c r="AW25" s="822">
        <f>+AW20*Assumptions!$AF$58*AW22</f>
        <v>0</v>
      </c>
      <c r="AX25" s="822">
        <f>+AX20*Assumptions!$AF$58*AX22</f>
        <v>0</v>
      </c>
      <c r="AY25" s="822">
        <f>+AY20*Assumptions!$AF$58*AY22</f>
        <v>0</v>
      </c>
      <c r="AZ25" s="822">
        <f>+AZ20*Assumptions!$AF$58*AZ22</f>
        <v>0</v>
      </c>
      <c r="BA25" s="822">
        <f>+BA20*Assumptions!$AF$58*BA22</f>
        <v>0</v>
      </c>
      <c r="BB25" s="822">
        <f>+BB20*Assumptions!$AF$58*BB22</f>
        <v>0</v>
      </c>
      <c r="BC25" s="822">
        <f>+BC20*Assumptions!$AF$58*BC22</f>
        <v>0</v>
      </c>
      <c r="BD25" s="822">
        <f>+BD20*Assumptions!$AF$58*BD22</f>
        <v>0</v>
      </c>
      <c r="BE25" s="822">
        <f>+BE20*Assumptions!$AF$58*BE22</f>
        <v>0</v>
      </c>
      <c r="BF25" s="822">
        <f>+BF20*Assumptions!$AF$58*BF22</f>
        <v>0</v>
      </c>
      <c r="BG25" s="822">
        <f>+BG20*Assumptions!$AF$58*BG22</f>
        <v>0</v>
      </c>
      <c r="BH25" s="822">
        <f>+BH20*Assumptions!$AF$58*BH22</f>
        <v>0</v>
      </c>
      <c r="BI25" s="822">
        <f>+BI20*Assumptions!$AF$58*BI22</f>
        <v>0</v>
      </c>
      <c r="BJ25" s="822">
        <f>+BJ20*Assumptions!$AF$58*BJ22</f>
        <v>0</v>
      </c>
      <c r="BK25" s="822">
        <f>+BK20*Assumptions!$AF$58*BK22</f>
        <v>0</v>
      </c>
      <c r="BL25" s="822">
        <f>+BL20*Assumptions!$AF$58*BL22</f>
        <v>0</v>
      </c>
      <c r="BM25" s="822">
        <f>+BM20*Assumptions!$AF$58*BM22</f>
        <v>0</v>
      </c>
      <c r="BN25" s="822">
        <f>+BN20*Assumptions!$AF$58*BN22</f>
        <v>0</v>
      </c>
      <c r="BO25" s="822">
        <f>+BO20*Assumptions!$AF$58*BO22</f>
        <v>0</v>
      </c>
      <c r="BP25" s="822">
        <f>+BP20*Assumptions!$AF$58*BP22</f>
        <v>0</v>
      </c>
      <c r="BQ25" s="822">
        <f>+BQ20*Assumptions!$AF$58*BQ22</f>
        <v>0</v>
      </c>
      <c r="BR25" s="151"/>
      <c r="BS25" s="151"/>
      <c r="BT25" s="151"/>
      <c r="BU25" s="151"/>
      <c r="BV25" s="151"/>
      <c r="BW25" s="151"/>
      <c r="BX25" s="151"/>
    </row>
    <row r="26" spans="1:76">
      <c r="A26" s="699"/>
      <c r="B26" s="699" t="s">
        <v>1132</v>
      </c>
      <c r="C26" s="699"/>
      <c r="D26" s="699"/>
      <c r="E26" s="699"/>
      <c r="F26" s="1087">
        <f>+F11*Assumptions!$O$96*F15</f>
        <v>0</v>
      </c>
      <c r="G26" s="1087">
        <f>+G11*Assumptions!$O$96*G15</f>
        <v>0</v>
      </c>
      <c r="H26" s="1087">
        <f>+H11*Assumptions!$O$96*H15</f>
        <v>0</v>
      </c>
      <c r="I26" s="1087">
        <f>+I11*Assumptions!$O$96*I15</f>
        <v>1274376.663469532</v>
      </c>
      <c r="J26" s="1087">
        <f>+J11*Assumptions!$O$96*J15</f>
        <v>1312607.9633736182</v>
      </c>
      <c r="K26" s="1087">
        <f>+K11*Assumptions!$O$96*K15</f>
        <v>1351986.2022748266</v>
      </c>
      <c r="L26" s="1087">
        <f>+L11*Assumptions!$O$96*L15</f>
        <v>1392545.7883430715</v>
      </c>
      <c r="M26" s="1087">
        <f>+M11*Assumptions!$O$96*M15</f>
        <v>1434322.1619933636</v>
      </c>
      <c r="N26" s="1087">
        <f>+N11*Assumptions!$O$96*N15</f>
        <v>1477351.8268531647</v>
      </c>
      <c r="O26" s="1087">
        <f>+O11*Assumptions!$O$96*O15</f>
        <v>1521672.3816587597</v>
      </c>
      <c r="P26" s="1087">
        <f>+P11*Assumptions!$O$96*P15</f>
        <v>1567322.5531085224</v>
      </c>
      <c r="Q26" s="1087">
        <f>+Q11*Assumptions!$O$96*Q15</f>
        <v>1614342.2297017782</v>
      </c>
      <c r="R26" s="1087">
        <f>+R11*Assumptions!$O$96*R15</f>
        <v>1662772.4965928316</v>
      </c>
      <c r="S26" s="1087">
        <f>+S11*Assumptions!$O$96*S15</f>
        <v>1712655.6714906166</v>
      </c>
      <c r="T26" s="1087">
        <f>+T11*Assumptions!$O$96*T15</f>
        <v>1764035.3416353352</v>
      </c>
      <c r="U26" s="1087">
        <f>+U11*Assumptions!$O$96*U15</f>
        <v>1816956.4018843954</v>
      </c>
      <c r="V26" s="1087">
        <f>+V11*Assumptions!$O$96*V15</f>
        <v>1871465.0939409274</v>
      </c>
      <c r="W26" s="1087">
        <f>+W11*Assumptions!$O$96*W15</f>
        <v>1927609.0467591551</v>
      </c>
      <c r="X26" s="1087">
        <f>+X11*Assumptions!$O$96*X15</f>
        <v>1985437.3181619297</v>
      </c>
      <c r="Y26" s="1087">
        <f>+Y11*Assumptions!$O$96*Y15</f>
        <v>2045000.4377067878</v>
      </c>
      <c r="Z26" s="1087">
        <f>+Z11*Assumptions!$O$96*Z15</f>
        <v>2106350.4508379917</v>
      </c>
      <c r="AA26" s="699"/>
      <c r="AB26" s="699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 t="s">
        <v>1129</v>
      </c>
      <c r="AT26" s="151"/>
      <c r="AU26" s="151"/>
      <c r="AV26" s="151"/>
      <c r="AW26" s="972">
        <f>-Assumptions!$E$99*'Phase 2 Pro Forma'!AW25</f>
        <v>0</v>
      </c>
      <c r="AX26" s="972">
        <f>-Assumptions!$E$99*'Phase 2 Pro Forma'!AX25</f>
        <v>0</v>
      </c>
      <c r="AY26" s="972">
        <f>-Assumptions!$E$99*'Phase 2 Pro Forma'!AY25</f>
        <v>0</v>
      </c>
      <c r="AZ26" s="972">
        <f>-Assumptions!$E$99*'Phase 2 Pro Forma'!AZ25</f>
        <v>0</v>
      </c>
      <c r="BA26" s="972">
        <f>-Assumptions!$E$99*'Phase 2 Pro Forma'!BA25</f>
        <v>0</v>
      </c>
      <c r="BB26" s="972">
        <f>-Assumptions!$E$99*'Phase 2 Pro Forma'!BB25</f>
        <v>0</v>
      </c>
      <c r="BC26" s="972">
        <f>-Assumptions!$E$99*'Phase 2 Pro Forma'!BC25</f>
        <v>0</v>
      </c>
      <c r="BD26" s="972">
        <f>-Assumptions!$E$99*'Phase 2 Pro Forma'!BD25</f>
        <v>0</v>
      </c>
      <c r="BE26" s="972">
        <f>-Assumptions!$E$99*'Phase 2 Pro Forma'!BE25</f>
        <v>0</v>
      </c>
      <c r="BF26" s="972">
        <f>-Assumptions!$E$99*'Phase 2 Pro Forma'!BF25</f>
        <v>0</v>
      </c>
      <c r="BG26" s="972">
        <f>-Assumptions!$E$99*'Phase 2 Pro Forma'!BG25</f>
        <v>0</v>
      </c>
      <c r="BH26" s="972">
        <f>-Assumptions!$E$99*'Phase 2 Pro Forma'!BH25</f>
        <v>0</v>
      </c>
      <c r="BI26" s="972">
        <f>-Assumptions!$E$99*'Phase 2 Pro Forma'!BI25</f>
        <v>0</v>
      </c>
      <c r="BJ26" s="972">
        <f>-Assumptions!$E$99*'Phase 2 Pro Forma'!BJ25</f>
        <v>0</v>
      </c>
      <c r="BK26" s="972">
        <f>-Assumptions!$E$99*'Phase 2 Pro Forma'!BK25</f>
        <v>0</v>
      </c>
      <c r="BL26" s="972">
        <f>-Assumptions!$E$99*'Phase 2 Pro Forma'!BL25</f>
        <v>0</v>
      </c>
      <c r="BM26" s="972">
        <f>-Assumptions!$E$99*'Phase 2 Pro Forma'!BM25</f>
        <v>0</v>
      </c>
      <c r="BN26" s="972">
        <f>-Assumptions!$E$99*'Phase 2 Pro Forma'!BN25</f>
        <v>0</v>
      </c>
      <c r="BO26" s="972">
        <f>-Assumptions!$E$99*'Phase 2 Pro Forma'!BO25</f>
        <v>0</v>
      </c>
      <c r="BP26" s="972">
        <f>-Assumptions!$E$99*'Phase 2 Pro Forma'!BP25</f>
        <v>0</v>
      </c>
      <c r="BQ26" s="972">
        <f>-Assumptions!$E$99*'Phase 2 Pro Forma'!BQ25</f>
        <v>0</v>
      </c>
      <c r="BR26" s="151"/>
      <c r="BS26" s="151"/>
      <c r="BT26" s="151"/>
      <c r="BU26" s="151"/>
      <c r="BV26" s="151"/>
      <c r="BW26" s="151"/>
      <c r="BX26" s="151"/>
    </row>
    <row r="27" spans="1:76">
      <c r="A27" s="699"/>
      <c r="B27" s="699" t="s">
        <v>1133</v>
      </c>
      <c r="C27" s="699"/>
      <c r="D27" s="699"/>
      <c r="E27" s="699"/>
      <c r="F27" s="1050">
        <f ca="1">+IFERROR(INDEX('Taxes and TIF'!$AC$11:$AC$45,MATCH('Phase 2 Pro Forma'!F$7,'Taxes and TIF'!$R$11:$R$45,0)),0)*'Loan Sizing'!$K$22*'Phase 2 Pro Forma'!F12</f>
        <v>0</v>
      </c>
      <c r="G27" s="1050">
        <f ca="1">+IFERROR(INDEX('Taxes and TIF'!$AC$11:$AC$45,MATCH('Phase 2 Pro Forma'!G$7,'Taxes and TIF'!$R$11:$R$45,0)),0)*'Loan Sizing'!$K$22*'Phase 2 Pro Forma'!G12</f>
        <v>0</v>
      </c>
      <c r="H27" s="1050">
        <f ca="1">+IFERROR(INDEX('Taxes and TIF'!$AC$11:$AC$45,MATCH('Phase 2 Pro Forma'!H$7,'Taxes and TIF'!$R$11:$R$45,0)),0)*'Loan Sizing'!$K$22*'Phase 2 Pro Forma'!H12</f>
        <v>0</v>
      </c>
      <c r="I27" s="1050">
        <f ca="1">+IFERROR(INDEX('Taxes and TIF'!$AC$11:$AC$45,MATCH('Phase 2 Pro Forma'!I$7,'Taxes and TIF'!$R$11:$R$45,0)),0)*'Loan Sizing'!$K$22*'Phase 2 Pro Forma'!I12</f>
        <v>259043.55118117351</v>
      </c>
      <c r="J27" s="1050">
        <f ca="1">+IFERROR(INDEX('Taxes and TIF'!$AC$11:$AC$45,MATCH('Phase 2 Pro Forma'!J$7,'Taxes and TIF'!$R$11:$R$45,0)),0)*'Loan Sizing'!$K$22*'Phase 2 Pro Forma'!J12</f>
        <v>266814.85771660868</v>
      </c>
      <c r="K27" s="1050">
        <f ca="1">+IFERROR(INDEX('Taxes and TIF'!$AC$11:$AC$45,MATCH('Phase 2 Pro Forma'!K$7,'Taxes and TIF'!$R$11:$R$45,0)),0)*'Loan Sizing'!$K$22*'Phase 2 Pro Forma'!K12</f>
        <v>266814.85771660868</v>
      </c>
      <c r="L27" s="1050">
        <f ca="1">+IFERROR(INDEX('Taxes and TIF'!$AC$11:$AC$45,MATCH('Phase 2 Pro Forma'!L$7,'Taxes and TIF'!$R$11:$R$45,0)),0)*'Loan Sizing'!$K$22*'Phase 2 Pro Forma'!L12</f>
        <v>266814.85771660868</v>
      </c>
      <c r="M27" s="1050">
        <f ca="1">+IFERROR(INDEX('Taxes and TIF'!$AC$11:$AC$45,MATCH('Phase 2 Pro Forma'!M$7,'Taxes and TIF'!$R$11:$R$45,0)),0)*'Loan Sizing'!$K$22*'Phase 2 Pro Forma'!M12</f>
        <v>274819.30344810698</v>
      </c>
      <c r="N27" s="1050">
        <f ca="1">+IFERROR(INDEX('Taxes and TIF'!$AC$11:$AC$45,MATCH('Phase 2 Pro Forma'!N$7,'Taxes and TIF'!$R$11:$R$45,0)),0)*'Loan Sizing'!$K$22*'Phase 2 Pro Forma'!N12</f>
        <v>274819.30344810698</v>
      </c>
      <c r="O27" s="1050">
        <f ca="1">+IFERROR(INDEX('Taxes and TIF'!$AC$11:$AC$45,MATCH('Phase 2 Pro Forma'!O$7,'Taxes and TIF'!$R$11:$R$45,0)),0)*'Loan Sizing'!$K$22*'Phase 2 Pro Forma'!O12</f>
        <v>274819.30344810698</v>
      </c>
      <c r="P27" s="1050">
        <f ca="1">+IFERROR(INDEX('Taxes and TIF'!$AC$11:$AC$45,MATCH('Phase 2 Pro Forma'!P$7,'Taxes and TIF'!$R$11:$R$45,0)),0)*'Loan Sizing'!$K$22*'Phase 2 Pro Forma'!P12</f>
        <v>283063.88255155017</v>
      </c>
      <c r="Q27" s="1050">
        <f ca="1">+IFERROR(INDEX('Taxes and TIF'!$AC$11:$AC$45,MATCH('Phase 2 Pro Forma'!Q$7,'Taxes and TIF'!$R$11:$R$45,0)),0)*'Loan Sizing'!$K$22*'Phase 2 Pro Forma'!Q12</f>
        <v>283063.88255155017</v>
      </c>
      <c r="R27" s="1050">
        <f ca="1">+IFERROR(INDEX('Taxes and TIF'!$AC$11:$AC$45,MATCH('Phase 2 Pro Forma'!R$7,'Taxes and TIF'!$R$11:$R$45,0)),0)*'Loan Sizing'!$K$22*'Phase 2 Pro Forma'!R12</f>
        <v>283063.88255155017</v>
      </c>
      <c r="S27" s="1050">
        <f ca="1">+IFERROR(INDEX('Taxes and TIF'!$AC$11:$AC$45,MATCH('Phase 2 Pro Forma'!S$7,'Taxes and TIF'!$R$11:$R$45,0)),0)*'Loan Sizing'!$K$22*'Phase 2 Pro Forma'!S12</f>
        <v>291555.79902809672</v>
      </c>
      <c r="T27" s="1050">
        <f ca="1">+IFERROR(INDEX('Taxes and TIF'!$AC$11:$AC$45,MATCH('Phase 2 Pro Forma'!T$7,'Taxes and TIF'!$R$11:$R$45,0)),0)*'Loan Sizing'!$K$22*'Phase 2 Pro Forma'!T12</f>
        <v>291555.79902809672</v>
      </c>
      <c r="U27" s="1050">
        <f ca="1">+IFERROR(INDEX('Taxes and TIF'!$AC$11:$AC$45,MATCH('Phase 2 Pro Forma'!U$7,'Taxes and TIF'!$R$11:$R$45,0)),0)*'Loan Sizing'!$K$22*'Phase 2 Pro Forma'!U12</f>
        <v>291555.79902809672</v>
      </c>
      <c r="V27" s="1050">
        <f ca="1">+IFERROR(INDEX('Taxes and TIF'!$AC$11:$AC$45,MATCH('Phase 2 Pro Forma'!V$7,'Taxes and TIF'!$R$11:$R$45,0)),0)*'Loan Sizing'!$K$22*'Phase 2 Pro Forma'!V12</f>
        <v>300302.47299893963</v>
      </c>
      <c r="W27" s="1050">
        <f ca="1">+IFERROR(INDEX('Taxes and TIF'!$AC$11:$AC$45,MATCH('Phase 2 Pro Forma'!W$7,'Taxes and TIF'!$R$11:$R$45,0)),0)*'Loan Sizing'!$K$22*'Phase 2 Pro Forma'!W12</f>
        <v>300302.47299893963</v>
      </c>
      <c r="X27" s="1050">
        <f ca="1">+IFERROR(INDEX('Taxes and TIF'!$AC$11:$AC$45,MATCH('Phase 2 Pro Forma'!X$7,'Taxes and TIF'!$R$11:$R$45,0)),0)*'Loan Sizing'!$K$22*'Phase 2 Pro Forma'!X12</f>
        <v>300302.47299893963</v>
      </c>
      <c r="Y27" s="1050">
        <f ca="1">+IFERROR(INDEX('Taxes and TIF'!$AC$11:$AC$45,MATCH('Phase 2 Pro Forma'!Y$7,'Taxes and TIF'!$R$11:$R$45,0)),0)*'Loan Sizing'!$K$22*'Phase 2 Pro Forma'!Y12</f>
        <v>309311.54718890786</v>
      </c>
      <c r="Z27" s="1050">
        <f ca="1">+IFERROR(INDEX('Taxes and TIF'!$AC$11:$AC$45,MATCH('Phase 2 Pro Forma'!Z$7,'Taxes and TIF'!$R$11:$R$45,0)),0)*'Loan Sizing'!$K$22*'Phase 2 Pro Forma'!Z12</f>
        <v>309311.54718890786</v>
      </c>
      <c r="AA27" s="699"/>
      <c r="AB27" s="699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 t="s">
        <v>1130</v>
      </c>
      <c r="AT27" s="151"/>
      <c r="AU27" s="151"/>
      <c r="AV27" s="151"/>
      <c r="AW27" s="972">
        <f>-AW25*Assumptions!$O$59</f>
        <v>0</v>
      </c>
      <c r="AX27" s="972">
        <f>-AX25*Assumptions!$O$59</f>
        <v>0</v>
      </c>
      <c r="AY27" s="972">
        <f>-AY25*Assumptions!$O$59</f>
        <v>0</v>
      </c>
      <c r="AZ27" s="972">
        <f>-AZ25*Assumptions!$O$59</f>
        <v>0</v>
      </c>
      <c r="BA27" s="972">
        <f>-BA25*Assumptions!$O$59</f>
        <v>0</v>
      </c>
      <c r="BB27" s="972">
        <f>-BB25*Assumptions!$O$59</f>
        <v>0</v>
      </c>
      <c r="BC27" s="972">
        <f>-BC25*Assumptions!$O$59</f>
        <v>0</v>
      </c>
      <c r="BD27" s="972">
        <f>-BD25*Assumptions!$O$59</f>
        <v>0</v>
      </c>
      <c r="BE27" s="972">
        <f>-BE25*Assumptions!$O$59</f>
        <v>0</v>
      </c>
      <c r="BF27" s="972">
        <f>-BF25*Assumptions!$O$59</f>
        <v>0</v>
      </c>
      <c r="BG27" s="972">
        <f>-BG25*Assumptions!$O$59</f>
        <v>0</v>
      </c>
      <c r="BH27" s="972">
        <f>-BH25*Assumptions!$O$59</f>
        <v>0</v>
      </c>
      <c r="BI27" s="972">
        <f>-BI25*Assumptions!$O$59</f>
        <v>0</v>
      </c>
      <c r="BJ27" s="972">
        <f>-BJ25*Assumptions!$O$59</f>
        <v>0</v>
      </c>
      <c r="BK27" s="972">
        <f>-BK25*Assumptions!$O$59</f>
        <v>0</v>
      </c>
      <c r="BL27" s="972">
        <f>-BL25*Assumptions!$O$59</f>
        <v>0</v>
      </c>
      <c r="BM27" s="972">
        <f>-BM25*Assumptions!$O$59</f>
        <v>0</v>
      </c>
      <c r="BN27" s="972">
        <f>-BN25*Assumptions!$O$59</f>
        <v>0</v>
      </c>
      <c r="BO27" s="972">
        <f>-BO25*Assumptions!$O$59</f>
        <v>0</v>
      </c>
      <c r="BP27" s="972">
        <f>-BP25*Assumptions!$O$59</f>
        <v>0</v>
      </c>
      <c r="BQ27" s="972">
        <f>-BQ25*Assumptions!$O$59</f>
        <v>0</v>
      </c>
      <c r="BR27" s="151"/>
      <c r="BS27" s="151"/>
      <c r="BT27" s="151"/>
      <c r="BU27" s="151"/>
      <c r="BV27" s="151"/>
      <c r="BW27" s="151"/>
      <c r="BX27" s="151"/>
    </row>
    <row r="28" spans="1:76">
      <c r="A28" s="699"/>
      <c r="B28" s="52" t="s">
        <v>1134</v>
      </c>
      <c r="C28" s="1052"/>
      <c r="D28" s="1052"/>
      <c r="E28" s="1052"/>
      <c r="F28" s="1088">
        <f ca="1">+SUM(F26:F27)</f>
        <v>0</v>
      </c>
      <c r="G28" s="1088">
        <f t="shared" ref="G28:Z28" ca="1" si="10">+SUM(G26:G27)</f>
        <v>0</v>
      </c>
      <c r="H28" s="1088">
        <f t="shared" ca="1" si="10"/>
        <v>0</v>
      </c>
      <c r="I28" s="1088">
        <f t="shared" ca="1" si="10"/>
        <v>1533420.2146507055</v>
      </c>
      <c r="J28" s="1088">
        <f t="shared" ca="1" si="10"/>
        <v>1579422.821090227</v>
      </c>
      <c r="K28" s="1088">
        <f t="shared" ca="1" si="10"/>
        <v>1618801.0599914351</v>
      </c>
      <c r="L28" s="1088">
        <f t="shared" ca="1" si="10"/>
        <v>1659360.6460596803</v>
      </c>
      <c r="M28" s="1088">
        <f t="shared" ca="1" si="10"/>
        <v>1709141.4654414705</v>
      </c>
      <c r="N28" s="1088">
        <f t="shared" ca="1" si="10"/>
        <v>1752171.1303012716</v>
      </c>
      <c r="O28" s="1088">
        <f t="shared" ca="1" si="10"/>
        <v>1796491.6851068665</v>
      </c>
      <c r="P28" s="1088">
        <f t="shared" ca="1" si="10"/>
        <v>1850386.4356600726</v>
      </c>
      <c r="Q28" s="1088">
        <f t="shared" ca="1" si="10"/>
        <v>1897406.1122533283</v>
      </c>
      <c r="R28" s="1088">
        <f t="shared" ca="1" si="10"/>
        <v>1945836.3791443817</v>
      </c>
      <c r="S28" s="1088">
        <f t="shared" ca="1" si="10"/>
        <v>2004211.4705187134</v>
      </c>
      <c r="T28" s="1088">
        <f t="shared" ca="1" si="10"/>
        <v>2055591.140663432</v>
      </c>
      <c r="U28" s="1088">
        <f t="shared" ca="1" si="10"/>
        <v>2108512.2009124923</v>
      </c>
      <c r="V28" s="1088">
        <f t="shared" ca="1" si="10"/>
        <v>2171767.5669398671</v>
      </c>
      <c r="W28" s="1088">
        <f t="shared" ca="1" si="10"/>
        <v>2227911.5197580946</v>
      </c>
      <c r="X28" s="1088">
        <f t="shared" ca="1" si="10"/>
        <v>2285739.7911608694</v>
      </c>
      <c r="Y28" s="1088">
        <f t="shared" ca="1" si="10"/>
        <v>2354311.9848956959</v>
      </c>
      <c r="Z28" s="1088">
        <f t="shared" ca="1" si="10"/>
        <v>2415661.9980268995</v>
      </c>
      <c r="AA28" s="699"/>
      <c r="AB28" s="699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 t="s">
        <v>1184</v>
      </c>
      <c r="AT28" s="151"/>
      <c r="AU28" s="151"/>
      <c r="AV28" s="151"/>
      <c r="AW28" s="972">
        <f>+AW19*Assumptions!$AF$158*(1-Assumptions!$O$59)*12</f>
        <v>0</v>
      </c>
      <c r="AX28" s="972">
        <f>+AX19*Assumptions!$AF$158*(1-Assumptions!$O$59)*12</f>
        <v>0</v>
      </c>
      <c r="AY28" s="972">
        <f>+AY19*Assumptions!$AF$158*(1-Assumptions!$O$59)*12</f>
        <v>0</v>
      </c>
      <c r="AZ28" s="972">
        <f>+AZ19*Assumptions!$AF$158*(1-Assumptions!$O$59)*12</f>
        <v>0</v>
      </c>
      <c r="BA28" s="972">
        <f>+BA19*Assumptions!$AF$158*(1-Assumptions!$O$59)*12</f>
        <v>0</v>
      </c>
      <c r="BB28" s="972">
        <f>+BB19*Assumptions!$AF$158*(1-Assumptions!$O$59)*12</f>
        <v>0</v>
      </c>
      <c r="BC28" s="972">
        <f>+BC19*Assumptions!$AF$158*(1-Assumptions!$O$59)*12</f>
        <v>0</v>
      </c>
      <c r="BD28" s="972">
        <f>+BD19*Assumptions!$AF$158*(1-Assumptions!$O$59)*12</f>
        <v>0</v>
      </c>
      <c r="BE28" s="972">
        <f>+BE19*Assumptions!$AF$158*(1-Assumptions!$O$59)*12</f>
        <v>0</v>
      </c>
      <c r="BF28" s="972">
        <f>+BF19*Assumptions!$AF$158*(1-Assumptions!$O$59)*12</f>
        <v>0</v>
      </c>
      <c r="BG28" s="972">
        <f>+BG19*Assumptions!$AF$158*(1-Assumptions!$O$59)*12</f>
        <v>0</v>
      </c>
      <c r="BH28" s="972">
        <f>+BH19*Assumptions!$AF$158*(1-Assumptions!$O$59)*12</f>
        <v>0</v>
      </c>
      <c r="BI28" s="972">
        <f>+BI19*Assumptions!$AF$158*(1-Assumptions!$O$59)*12</f>
        <v>0</v>
      </c>
      <c r="BJ28" s="972">
        <f>+BJ19*Assumptions!$AF$158*(1-Assumptions!$O$59)*12</f>
        <v>0</v>
      </c>
      <c r="BK28" s="972">
        <f>+BK19*Assumptions!$AF$158*(1-Assumptions!$O$59)*12</f>
        <v>0</v>
      </c>
      <c r="BL28" s="972">
        <f>+BL19*Assumptions!$AF$158*(1-Assumptions!$O$59)*12</f>
        <v>0</v>
      </c>
      <c r="BM28" s="972">
        <f>+BM19*Assumptions!$AF$158*(1-Assumptions!$O$59)*12</f>
        <v>0</v>
      </c>
      <c r="BN28" s="972">
        <f>+BN19*Assumptions!$AF$158*(1-Assumptions!$O$59)*12</f>
        <v>0</v>
      </c>
      <c r="BO28" s="972">
        <f>+BO19*Assumptions!$AF$158*(1-Assumptions!$O$59)*12</f>
        <v>0</v>
      </c>
      <c r="BP28" s="972">
        <f>+BP19*Assumptions!$AF$158*(1-Assumptions!$O$59)*12</f>
        <v>0</v>
      </c>
      <c r="BQ28" s="972">
        <f>+BQ19*Assumptions!$AF$158*(1-Assumptions!$O$59)*12</f>
        <v>0</v>
      </c>
      <c r="BR28" s="151"/>
      <c r="BS28" s="151"/>
      <c r="BT28" s="151"/>
      <c r="BU28" s="151"/>
      <c r="BV28" s="151"/>
      <c r="BW28" s="151"/>
      <c r="BX28" s="151"/>
    </row>
    <row r="29" spans="1:76">
      <c r="A29" s="699"/>
      <c r="B29" s="699"/>
      <c r="C29" s="699"/>
      <c r="D29" s="699"/>
      <c r="E29" s="699"/>
      <c r="F29" s="699"/>
      <c r="G29" s="699"/>
      <c r="H29" s="699"/>
      <c r="I29" s="699"/>
      <c r="J29" s="699"/>
      <c r="K29" s="699"/>
      <c r="L29" s="699"/>
      <c r="M29" s="699"/>
      <c r="N29" s="699"/>
      <c r="O29" s="699"/>
      <c r="P29" s="699"/>
      <c r="Q29" s="699"/>
      <c r="R29" s="699"/>
      <c r="S29" s="699"/>
      <c r="T29" s="699"/>
      <c r="U29" s="699"/>
      <c r="V29" s="699"/>
      <c r="W29" s="699"/>
      <c r="X29" s="699"/>
      <c r="Y29" s="699"/>
      <c r="Z29" s="699"/>
      <c r="AA29" s="699"/>
      <c r="AB29" s="699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 t="s">
        <v>48</v>
      </c>
      <c r="AT29" s="151"/>
      <c r="AU29" s="151"/>
      <c r="AV29" s="151"/>
      <c r="AW29" s="972">
        <f>+(AW19*Assumptions!$AD$160*Assumptions!$AD$161)*12</f>
        <v>0</v>
      </c>
      <c r="AX29" s="972">
        <f>+(AX19*Assumptions!$AD$160*Assumptions!$AD$161)*12</f>
        <v>0</v>
      </c>
      <c r="AY29" s="972">
        <f>+(AY19*Assumptions!$AD$160*Assumptions!$AD$161)*12</f>
        <v>0</v>
      </c>
      <c r="AZ29" s="972">
        <f>+(AZ19*Assumptions!$AD$160*Assumptions!$AD$161)*12</f>
        <v>0</v>
      </c>
      <c r="BA29" s="972">
        <f>+(BA19*Assumptions!$AD$160*Assumptions!$AD$161)*12</f>
        <v>0</v>
      </c>
      <c r="BB29" s="972">
        <f>+(BB19*Assumptions!$AD$160*Assumptions!$AD$161)*12</f>
        <v>0</v>
      </c>
      <c r="BC29" s="972">
        <f>+(BC19*Assumptions!$AD$160*Assumptions!$AD$161)*12</f>
        <v>0</v>
      </c>
      <c r="BD29" s="972">
        <f>+(BD19*Assumptions!$AD$160*Assumptions!$AD$161)*12</f>
        <v>0</v>
      </c>
      <c r="BE29" s="972">
        <f>+(BE19*Assumptions!$AD$160*Assumptions!$AD$161)*12</f>
        <v>0</v>
      </c>
      <c r="BF29" s="972">
        <f>+(BF19*Assumptions!$AD$160*Assumptions!$AD$161)*12</f>
        <v>0</v>
      </c>
      <c r="BG29" s="972">
        <f>+(BG19*Assumptions!$AD$160*Assumptions!$AD$161)*12</f>
        <v>0</v>
      </c>
      <c r="BH29" s="972">
        <f>+(BH19*Assumptions!$AD$160*Assumptions!$AD$161)*12</f>
        <v>0</v>
      </c>
      <c r="BI29" s="972">
        <f>+(BI19*Assumptions!$AD$160*Assumptions!$AD$161)*12</f>
        <v>0</v>
      </c>
      <c r="BJ29" s="972">
        <f>+(BJ19*Assumptions!$AD$160*Assumptions!$AD$161)*12</f>
        <v>0</v>
      </c>
      <c r="BK29" s="972">
        <f>+(BK19*Assumptions!$AD$160*Assumptions!$AD$161)*12</f>
        <v>0</v>
      </c>
      <c r="BL29" s="972">
        <f>+(BL19*Assumptions!$AD$160*Assumptions!$AD$161)*12</f>
        <v>0</v>
      </c>
      <c r="BM29" s="972">
        <f>+(BM19*Assumptions!$AD$160*Assumptions!$AD$161)*12</f>
        <v>0</v>
      </c>
      <c r="BN29" s="972">
        <f>+(BN19*Assumptions!$AD$160*Assumptions!$AD$161)*12</f>
        <v>0</v>
      </c>
      <c r="BO29" s="972">
        <f>+(BO19*Assumptions!$AD$160*Assumptions!$AD$161)*12</f>
        <v>0</v>
      </c>
      <c r="BP29" s="972">
        <f>+(BP19*Assumptions!$AD$160*Assumptions!$AD$161)*12</f>
        <v>0</v>
      </c>
      <c r="BQ29" s="972">
        <f>+(BQ19*Assumptions!$AD$160*Assumptions!$AD$161)*12</f>
        <v>0</v>
      </c>
      <c r="BR29" s="151"/>
      <c r="BS29" s="151"/>
      <c r="BT29" s="151"/>
      <c r="BU29" s="151"/>
      <c r="BV29" s="151"/>
      <c r="BW29" s="151"/>
      <c r="BX29" s="151"/>
    </row>
    <row r="30" spans="1:76" ht="15.75">
      <c r="A30" s="699" t="s">
        <v>511</v>
      </c>
      <c r="B30" s="50" t="s">
        <v>1135</v>
      </c>
      <c r="C30" s="50"/>
      <c r="D30" s="50"/>
      <c r="E30" s="50"/>
      <c r="F30" s="55">
        <f ca="1">+F24-F28</f>
        <v>0</v>
      </c>
      <c r="G30" s="55">
        <f t="shared" ref="G30:Z30" ca="1" si="11">+G24-G28</f>
        <v>0</v>
      </c>
      <c r="H30" s="55">
        <f t="shared" ca="1" si="11"/>
        <v>0</v>
      </c>
      <c r="I30" s="55">
        <f t="shared" ca="1" si="11"/>
        <v>1182530.0874257423</v>
      </c>
      <c r="J30" s="55">
        <f t="shared" ca="1" si="11"/>
        <v>1215478.4729402601</v>
      </c>
      <c r="K30" s="55">
        <f t="shared" ca="1" si="11"/>
        <v>1257419.7557517118</v>
      </c>
      <c r="L30" s="55">
        <f t="shared" ca="1" si="11"/>
        <v>1300619.277047507</v>
      </c>
      <c r="M30" s="55">
        <f t="shared" ca="1" si="11"/>
        <v>1337110.338250678</v>
      </c>
      <c r="N30" s="55">
        <f t="shared" ca="1" si="11"/>
        <v>1382940.7103933864</v>
      </c>
      <c r="O30" s="55">
        <f t="shared" ca="1" si="11"/>
        <v>1430145.9937003776</v>
      </c>
      <c r="P30" s="55">
        <f t="shared" ca="1" si="11"/>
        <v>1470522.8564031343</v>
      </c>
      <c r="Q30" s="55">
        <f t="shared" ca="1" si="11"/>
        <v>1520602.9414635203</v>
      </c>
      <c r="R30" s="55">
        <f t="shared" ca="1" si="11"/>
        <v>1572185.4290757179</v>
      </c>
      <c r="S30" s="55">
        <f t="shared" ca="1" si="11"/>
        <v>1616823.4748397353</v>
      </c>
      <c r="T30" s="55">
        <f t="shared" ca="1" si="11"/>
        <v>1671547.3359475159</v>
      </c>
      <c r="U30" s="55">
        <f t="shared" ca="1" si="11"/>
        <v>1727912.9128885297</v>
      </c>
      <c r="V30" s="55">
        <f t="shared" ca="1" si="11"/>
        <v>1777222.7831669319</v>
      </c>
      <c r="W30" s="55">
        <f t="shared" ca="1" si="11"/>
        <v>1837021.0237436532</v>
      </c>
      <c r="X30" s="55">
        <f t="shared" ca="1" si="11"/>
        <v>1898613.2115376764</v>
      </c>
      <c r="Y30" s="55">
        <f t="shared" ca="1" si="11"/>
        <v>1953044.0907755522</v>
      </c>
      <c r="Z30" s="55">
        <f t="shared" ca="1" si="11"/>
        <v>2018387.2428062321</v>
      </c>
      <c r="AA30" s="699"/>
      <c r="AB30" s="699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 t="s">
        <v>50</v>
      </c>
      <c r="AT30" s="151"/>
      <c r="AU30" s="151"/>
      <c r="AV30" s="151"/>
      <c r="AW30" s="972">
        <f>+AW19*Assumptions!$AD$162*Assumptions!$AD$163*12</f>
        <v>0</v>
      </c>
      <c r="AX30" s="972">
        <f>+AX19*Assumptions!$AD$162*Assumptions!$AD$163*12</f>
        <v>0</v>
      </c>
      <c r="AY30" s="972">
        <f>+AY19*Assumptions!$AD$162*Assumptions!$AD$163*12</f>
        <v>0</v>
      </c>
      <c r="AZ30" s="972">
        <f>+AZ19*Assumptions!$AD$162*Assumptions!$AD$163*12</f>
        <v>0</v>
      </c>
      <c r="BA30" s="972">
        <f>+BA19*Assumptions!$AD$162*Assumptions!$AD$163*12</f>
        <v>0</v>
      </c>
      <c r="BB30" s="972">
        <f>+BB19*Assumptions!$AD$162*Assumptions!$AD$163*12</f>
        <v>0</v>
      </c>
      <c r="BC30" s="972">
        <f>+BC19*Assumptions!$AD$162*Assumptions!$AD$163*12</f>
        <v>0</v>
      </c>
      <c r="BD30" s="972">
        <f>+BD19*Assumptions!$AD$162*Assumptions!$AD$163*12</f>
        <v>0</v>
      </c>
      <c r="BE30" s="972">
        <f>+BE19*Assumptions!$AD$162*Assumptions!$AD$163*12</f>
        <v>0</v>
      </c>
      <c r="BF30" s="972">
        <f>+BF19*Assumptions!$AD$162*Assumptions!$AD$163*12</f>
        <v>0</v>
      </c>
      <c r="BG30" s="972">
        <f>+BG19*Assumptions!$AD$162*Assumptions!$AD$163*12</f>
        <v>0</v>
      </c>
      <c r="BH30" s="972">
        <f>+BH19*Assumptions!$AD$162*Assumptions!$AD$163*12</f>
        <v>0</v>
      </c>
      <c r="BI30" s="972">
        <f>+BI19*Assumptions!$AD$162*Assumptions!$AD$163*12</f>
        <v>0</v>
      </c>
      <c r="BJ30" s="972">
        <f>+BJ19*Assumptions!$AD$162*Assumptions!$AD$163*12</f>
        <v>0</v>
      </c>
      <c r="BK30" s="972">
        <f>+BK19*Assumptions!$AD$162*Assumptions!$AD$163*12</f>
        <v>0</v>
      </c>
      <c r="BL30" s="972">
        <f>+BL19*Assumptions!$AD$162*Assumptions!$AD$163*12</f>
        <v>0</v>
      </c>
      <c r="BM30" s="972">
        <f>+BM19*Assumptions!$AD$162*Assumptions!$AD$163*12</f>
        <v>0</v>
      </c>
      <c r="BN30" s="972">
        <f>+BN19*Assumptions!$AD$162*Assumptions!$AD$163*12</f>
        <v>0</v>
      </c>
      <c r="BO30" s="972">
        <f>+BO19*Assumptions!$AD$162*Assumptions!$AD$163*12</f>
        <v>0</v>
      </c>
      <c r="BP30" s="972">
        <f>+BP19*Assumptions!$AD$162*Assumptions!$AD$163*12</f>
        <v>0</v>
      </c>
      <c r="BQ30" s="972">
        <f>+BQ19*Assumptions!$AD$162*Assumptions!$AD$163*12</f>
        <v>0</v>
      </c>
      <c r="BR30" s="151"/>
      <c r="BS30" s="151"/>
      <c r="BT30" s="151"/>
      <c r="BU30" s="151"/>
      <c r="BV30" s="151"/>
      <c r="BW30" s="151"/>
      <c r="BX30" s="151"/>
    </row>
    <row r="31" spans="1:76">
      <c r="A31" s="699"/>
      <c r="B31" s="51" t="s">
        <v>1136</v>
      </c>
      <c r="C31" s="51"/>
      <c r="D31" s="51"/>
      <c r="E31" s="51"/>
      <c r="F31" s="56" t="str">
        <f ca="1">+IFERROR(F30/F24,"")</f>
        <v/>
      </c>
      <c r="G31" s="56" t="str">
        <f t="shared" ref="G31:Z31" ca="1" si="12">+IFERROR(G30/G24,"")</f>
        <v/>
      </c>
      <c r="H31" s="56" t="str">
        <f t="shared" ca="1" si="12"/>
        <v/>
      </c>
      <c r="I31" s="56">
        <f t="shared" ca="1" si="12"/>
        <v>0.43540196097169115</v>
      </c>
      <c r="J31" s="56">
        <f t="shared" ca="1" si="12"/>
        <v>0.43489137721476956</v>
      </c>
      <c r="K31" s="56">
        <f t="shared" ca="1" si="12"/>
        <v>0.43717775383209739</v>
      </c>
      <c r="L31" s="56">
        <f t="shared" ca="1" si="12"/>
        <v>0.43940138475067919</v>
      </c>
      <c r="M31" s="56">
        <f t="shared" ca="1" si="12"/>
        <v>0.43893624835283157</v>
      </c>
      <c r="N31" s="56">
        <f t="shared" ca="1" si="12"/>
        <v>0.44111367653377342</v>
      </c>
      <c r="O31" s="56">
        <f t="shared" ca="1" si="12"/>
        <v>0.44323104608046482</v>
      </c>
      <c r="P31" s="56">
        <f t="shared" ca="1" si="12"/>
        <v>0.44280729374861405</v>
      </c>
      <c r="Q31" s="56">
        <f t="shared" ca="1" si="12"/>
        <v>0.4448797289784735</v>
      </c>
      <c r="R31" s="56">
        <f t="shared" ca="1" si="12"/>
        <v>0.44689473652556633</v>
      </c>
      <c r="S31" s="56">
        <f t="shared" ca="1" si="12"/>
        <v>0.44650866374880699</v>
      </c>
      <c r="T31" s="56">
        <f t="shared" ca="1" si="12"/>
        <v>0.4484800729667115</v>
      </c>
      <c r="U31" s="56">
        <f t="shared" ca="1" si="12"/>
        <v>0.45039662228062161</v>
      </c>
      <c r="V31" s="56">
        <f t="shared" ca="1" si="12"/>
        <v>0.45004485339369532</v>
      </c>
      <c r="W31" s="56">
        <f t="shared" ca="1" si="12"/>
        <v>0.45191919031481548</v>
      </c>
      <c r="X31" s="56">
        <f t="shared" ca="1" si="12"/>
        <v>0.45374116627187883</v>
      </c>
      <c r="Y31" s="56">
        <f t="shared" ca="1" si="12"/>
        <v>0.4534206265896405</v>
      </c>
      <c r="Z31" s="56">
        <f t="shared" ca="1" si="12"/>
        <v>0.45520181062017007</v>
      </c>
      <c r="AA31" s="699"/>
      <c r="AB31" s="699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 t="s">
        <v>52</v>
      </c>
      <c r="AT31" s="151"/>
      <c r="AU31" s="151"/>
      <c r="AV31" s="151"/>
      <c r="AW31" s="972">
        <f>+AW19*Assumptions!$AD$164*Assumptions!$AD$165*12</f>
        <v>0</v>
      </c>
      <c r="AX31" s="972">
        <f>+AX19*Assumptions!$AD$164*Assumptions!$AD$165*12</f>
        <v>0</v>
      </c>
      <c r="AY31" s="972">
        <f>+AY19*Assumptions!$AD$164*Assumptions!$AD$165*12</f>
        <v>0</v>
      </c>
      <c r="AZ31" s="972">
        <f>+AZ19*Assumptions!$AD$164*Assumptions!$AD$165*12</f>
        <v>0</v>
      </c>
      <c r="BA31" s="972">
        <f>+BA19*Assumptions!$AD$164*Assumptions!$AD$165*12</f>
        <v>0</v>
      </c>
      <c r="BB31" s="972">
        <f>+BB19*Assumptions!$AD$164*Assumptions!$AD$165*12</f>
        <v>0</v>
      </c>
      <c r="BC31" s="972">
        <f>+BC19*Assumptions!$AD$164*Assumptions!$AD$165*12</f>
        <v>0</v>
      </c>
      <c r="BD31" s="972">
        <f>+BD19*Assumptions!$AD$164*Assumptions!$AD$165*12</f>
        <v>0</v>
      </c>
      <c r="BE31" s="972">
        <f>+BE19*Assumptions!$AD$164*Assumptions!$AD$165*12</f>
        <v>0</v>
      </c>
      <c r="BF31" s="972">
        <f>+BF19*Assumptions!$AD$164*Assumptions!$AD$165*12</f>
        <v>0</v>
      </c>
      <c r="BG31" s="972">
        <f>+BG19*Assumptions!$AD$164*Assumptions!$AD$165*12</f>
        <v>0</v>
      </c>
      <c r="BH31" s="972">
        <f>+BH19*Assumptions!$AD$164*Assumptions!$AD$165*12</f>
        <v>0</v>
      </c>
      <c r="BI31" s="972">
        <f>+BI19*Assumptions!$AD$164*Assumptions!$AD$165*12</f>
        <v>0</v>
      </c>
      <c r="BJ31" s="972">
        <f>+BJ19*Assumptions!$AD$164*Assumptions!$AD$165*12</f>
        <v>0</v>
      </c>
      <c r="BK31" s="972">
        <f>+BK19*Assumptions!$AD$164*Assumptions!$AD$165*12</f>
        <v>0</v>
      </c>
      <c r="BL31" s="972">
        <f>+BL19*Assumptions!$AD$164*Assumptions!$AD$165*12</f>
        <v>0</v>
      </c>
      <c r="BM31" s="972">
        <f>+BM19*Assumptions!$AD$164*Assumptions!$AD$165*12</f>
        <v>0</v>
      </c>
      <c r="BN31" s="972">
        <f>+BN19*Assumptions!$AD$164*Assumptions!$AD$165*12</f>
        <v>0</v>
      </c>
      <c r="BO31" s="972">
        <f>+BO19*Assumptions!$AD$164*Assumptions!$AD$165*12</f>
        <v>0</v>
      </c>
      <c r="BP31" s="972">
        <f>+BP19*Assumptions!$AD$164*Assumptions!$AD$165*12</f>
        <v>0</v>
      </c>
      <c r="BQ31" s="972">
        <f>+BQ19*Assumptions!$AD$164*Assumptions!$AD$165*12</f>
        <v>0</v>
      </c>
      <c r="BR31" s="151"/>
      <c r="BS31" s="151"/>
      <c r="BT31" s="151"/>
      <c r="BU31" s="151"/>
      <c r="BV31" s="151"/>
      <c r="BW31" s="151"/>
      <c r="BX31" s="151"/>
    </row>
    <row r="32" spans="1:76">
      <c r="A32" s="699"/>
      <c r="B32" s="51" t="s">
        <v>1064</v>
      </c>
      <c r="C32" s="51"/>
      <c r="D32" s="51"/>
      <c r="E32" s="51"/>
      <c r="F32" s="57">
        <f ca="1">+F30/Assumptions!$G$45</f>
        <v>0</v>
      </c>
      <c r="G32" s="57">
        <f ca="1">+G30/Assumptions!$G$45</f>
        <v>0</v>
      </c>
      <c r="H32" s="57">
        <f ca="1">+H30/Assumptions!$G$45</f>
        <v>0</v>
      </c>
      <c r="I32" s="57">
        <f ca="1">+I30/Assumptions!$G$45</f>
        <v>27824237.351193935</v>
      </c>
      <c r="J32" s="57">
        <f ca="1">+J30/Assumptions!$G$45</f>
        <v>28599493.480947293</v>
      </c>
      <c r="K32" s="57">
        <f ca="1">+K30/Assumptions!$G$45</f>
        <v>29586347.194157921</v>
      </c>
      <c r="L32" s="57">
        <f ca="1">+L30/Assumptions!$G$45</f>
        <v>30602806.518764868</v>
      </c>
      <c r="M32" s="57">
        <f ca="1">+M30/Assumptions!$G$45</f>
        <v>31461419.723545365</v>
      </c>
      <c r="N32" s="57">
        <f ca="1">+N30/Assumptions!$G$45</f>
        <v>32539781.421020854</v>
      </c>
      <c r="O32" s="57">
        <f ca="1">+O30/Assumptions!$G$45</f>
        <v>33650493.969420649</v>
      </c>
      <c r="P32" s="57">
        <f ca="1">+P30/Assumptions!$G$45</f>
        <v>34600537.797720805</v>
      </c>
      <c r="Q32" s="57">
        <f ca="1">+Q30/Assumptions!$G$45</f>
        <v>35778892.74031812</v>
      </c>
      <c r="R32" s="57">
        <f ca="1">+R30/Assumptions!$G$45</f>
        <v>36992598.331193358</v>
      </c>
      <c r="S32" s="57">
        <f ca="1">+S30/Assumptions!$G$45</f>
        <v>38042905.290346712</v>
      </c>
      <c r="T32" s="57">
        <f ca="1">+T30/Assumptions!$G$45</f>
        <v>39330525.551706254</v>
      </c>
      <c r="U32" s="57">
        <f ca="1">+U30/Assumptions!$G$45</f>
        <v>40656774.420906581</v>
      </c>
      <c r="V32" s="57">
        <f ca="1">+V30/Assumptions!$G$45</f>
        <v>41817006.662751339</v>
      </c>
      <c r="W32" s="57">
        <f ca="1">+W30/Assumptions!$G$45</f>
        <v>43224024.088085957</v>
      </c>
      <c r="X32" s="57">
        <f ca="1">+X30/Assumptions!$G$45</f>
        <v>44673252.036180615</v>
      </c>
      <c r="Y32" s="57">
        <f ca="1">+Y30/Assumptions!$G$45</f>
        <v>45953978.606483579</v>
      </c>
      <c r="Z32" s="57">
        <f ca="1">+Z30/Assumptions!$G$45</f>
        <v>47491464.536617219</v>
      </c>
      <c r="AA32" s="699"/>
      <c r="AB32" s="699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 t="s">
        <v>1131</v>
      </c>
      <c r="AT32" s="151"/>
      <c r="AU32" s="151"/>
      <c r="AV32" s="151"/>
      <c r="AW32" s="822">
        <f t="shared" ref="AW32:BQ32" si="13">SUM(AW25:AW31)</f>
        <v>0</v>
      </c>
      <c r="AX32" s="822">
        <f t="shared" si="13"/>
        <v>0</v>
      </c>
      <c r="AY32" s="822">
        <f t="shared" si="13"/>
        <v>0</v>
      </c>
      <c r="AZ32" s="822">
        <f t="shared" si="13"/>
        <v>0</v>
      </c>
      <c r="BA32" s="822">
        <f t="shared" si="13"/>
        <v>0</v>
      </c>
      <c r="BB32" s="822">
        <f t="shared" si="13"/>
        <v>0</v>
      </c>
      <c r="BC32" s="822">
        <f t="shared" si="13"/>
        <v>0</v>
      </c>
      <c r="BD32" s="822">
        <f t="shared" si="13"/>
        <v>0</v>
      </c>
      <c r="BE32" s="822">
        <f t="shared" si="13"/>
        <v>0</v>
      </c>
      <c r="BF32" s="822">
        <f t="shared" si="13"/>
        <v>0</v>
      </c>
      <c r="BG32" s="822">
        <f t="shared" si="13"/>
        <v>0</v>
      </c>
      <c r="BH32" s="822">
        <f t="shared" si="13"/>
        <v>0</v>
      </c>
      <c r="BI32" s="822">
        <f t="shared" si="13"/>
        <v>0</v>
      </c>
      <c r="BJ32" s="822">
        <f t="shared" si="13"/>
        <v>0</v>
      </c>
      <c r="BK32" s="822">
        <f t="shared" si="13"/>
        <v>0</v>
      </c>
      <c r="BL32" s="822">
        <f t="shared" si="13"/>
        <v>0</v>
      </c>
      <c r="BM32" s="822">
        <f t="shared" si="13"/>
        <v>0</v>
      </c>
      <c r="BN32" s="822">
        <f t="shared" si="13"/>
        <v>0</v>
      </c>
      <c r="BO32" s="822">
        <f t="shared" si="13"/>
        <v>0</v>
      </c>
      <c r="BP32" s="822">
        <f t="shared" si="13"/>
        <v>0</v>
      </c>
      <c r="BQ32" s="822">
        <f t="shared" si="13"/>
        <v>0</v>
      </c>
      <c r="BR32" s="151"/>
      <c r="BS32" s="151"/>
      <c r="BT32" s="151"/>
      <c r="BU32" s="151"/>
      <c r="BV32" s="151"/>
      <c r="BW32" s="151"/>
      <c r="BX32" s="151"/>
    </row>
    <row r="33" spans="2:76">
      <c r="B33" s="699"/>
      <c r="C33" s="699"/>
      <c r="D33" s="699"/>
      <c r="E33" s="699"/>
      <c r="F33" s="699"/>
      <c r="G33" s="699"/>
      <c r="H33" s="699"/>
      <c r="I33" s="699"/>
      <c r="J33" s="699"/>
      <c r="K33" s="699"/>
      <c r="L33" s="699"/>
      <c r="M33" s="699"/>
      <c r="N33" s="699"/>
      <c r="O33" s="699"/>
      <c r="P33" s="699"/>
      <c r="Q33" s="699"/>
      <c r="R33" s="699"/>
      <c r="S33" s="699"/>
      <c r="T33" s="699"/>
      <c r="U33" s="699"/>
      <c r="V33" s="699"/>
      <c r="W33" s="699"/>
      <c r="X33" s="699"/>
      <c r="Y33" s="699"/>
      <c r="Z33" s="699"/>
      <c r="AA33" s="699"/>
      <c r="AB33" s="699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</row>
    <row r="34" spans="2:76" ht="15.75">
      <c r="B34" s="53" t="s">
        <v>355</v>
      </c>
      <c r="C34" s="699"/>
      <c r="D34" s="699"/>
      <c r="E34" s="699"/>
      <c r="F34" s="54">
        <f>+Assumptions!$G$27</f>
        <v>46387</v>
      </c>
      <c r="G34" s="54">
        <f>+EOMONTH(F34,12)</f>
        <v>46752</v>
      </c>
      <c r="H34" s="54">
        <f t="shared" ref="H34:Z34" si="14">+EOMONTH(G34,12)</f>
        <v>47118</v>
      </c>
      <c r="I34" s="54">
        <f t="shared" si="14"/>
        <v>47483</v>
      </c>
      <c r="J34" s="54">
        <f t="shared" si="14"/>
        <v>47848</v>
      </c>
      <c r="K34" s="54">
        <f t="shared" si="14"/>
        <v>48213</v>
      </c>
      <c r="L34" s="54">
        <f t="shared" si="14"/>
        <v>48579</v>
      </c>
      <c r="M34" s="54">
        <f t="shared" si="14"/>
        <v>48944</v>
      </c>
      <c r="N34" s="54">
        <f t="shared" si="14"/>
        <v>49309</v>
      </c>
      <c r="O34" s="54">
        <f t="shared" si="14"/>
        <v>49674</v>
      </c>
      <c r="P34" s="54">
        <f t="shared" si="14"/>
        <v>50040</v>
      </c>
      <c r="Q34" s="54">
        <f t="shared" si="14"/>
        <v>50405</v>
      </c>
      <c r="R34" s="54">
        <f t="shared" si="14"/>
        <v>50770</v>
      </c>
      <c r="S34" s="54">
        <f t="shared" si="14"/>
        <v>51135</v>
      </c>
      <c r="T34" s="54">
        <f t="shared" si="14"/>
        <v>51501</v>
      </c>
      <c r="U34" s="54">
        <f t="shared" si="14"/>
        <v>51866</v>
      </c>
      <c r="V34" s="54">
        <f t="shared" si="14"/>
        <v>52231</v>
      </c>
      <c r="W34" s="54">
        <f t="shared" si="14"/>
        <v>52596</v>
      </c>
      <c r="X34" s="54">
        <f t="shared" si="14"/>
        <v>52962</v>
      </c>
      <c r="Y34" s="54">
        <f t="shared" si="14"/>
        <v>53327</v>
      </c>
      <c r="Z34" s="54">
        <f t="shared" si="14"/>
        <v>53692</v>
      </c>
      <c r="AA34" s="699"/>
      <c r="AB34" s="699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 t="s">
        <v>1132</v>
      </c>
      <c r="AT34" s="151"/>
      <c r="AU34" s="151"/>
      <c r="AV34" s="151"/>
      <c r="AW34" s="946">
        <f>+AW19*Assumptions!$O$96*AW23</f>
        <v>0</v>
      </c>
      <c r="AX34" s="946">
        <f>+AX19*Assumptions!$O$96*AX23</f>
        <v>0</v>
      </c>
      <c r="AY34" s="946">
        <f>+AY19*Assumptions!$O$96*AY23</f>
        <v>0</v>
      </c>
      <c r="AZ34" s="946">
        <f>+AZ19*Assumptions!$O$96*AZ23</f>
        <v>0</v>
      </c>
      <c r="BA34" s="946">
        <f>+BA19*Assumptions!$O$96*BA23</f>
        <v>0</v>
      </c>
      <c r="BB34" s="946">
        <f>+BB19*Assumptions!$O$96*BB23</f>
        <v>0</v>
      </c>
      <c r="BC34" s="946">
        <f>+BC19*Assumptions!$O$96*BC23</f>
        <v>0</v>
      </c>
      <c r="BD34" s="946">
        <f>+BD19*Assumptions!$O$96*BD23</f>
        <v>0</v>
      </c>
      <c r="BE34" s="946">
        <f>+BE19*Assumptions!$O$96*BE23</f>
        <v>0</v>
      </c>
      <c r="BF34" s="946">
        <f>+BF19*Assumptions!$O$96*BF23</f>
        <v>0</v>
      </c>
      <c r="BG34" s="946">
        <f>+BG19*Assumptions!$O$96*BG23</f>
        <v>0</v>
      </c>
      <c r="BH34" s="946">
        <f>+BH19*Assumptions!$O$96*BH23</f>
        <v>0</v>
      </c>
      <c r="BI34" s="946">
        <f>+BI19*Assumptions!$O$96*BI23</f>
        <v>0</v>
      </c>
      <c r="BJ34" s="946">
        <f>+BJ19*Assumptions!$O$96*BJ23</f>
        <v>0</v>
      </c>
      <c r="BK34" s="946">
        <f>+BK19*Assumptions!$O$96*BK23</f>
        <v>0</v>
      </c>
      <c r="BL34" s="946">
        <f>+BL19*Assumptions!$O$96*BL23</f>
        <v>0</v>
      </c>
      <c r="BM34" s="946">
        <f>+BM19*Assumptions!$O$96*BM23</f>
        <v>0</v>
      </c>
      <c r="BN34" s="946">
        <f>+BN19*Assumptions!$O$96*BN23</f>
        <v>0</v>
      </c>
      <c r="BO34" s="946">
        <f>+BO19*Assumptions!$O$96*BO23</f>
        <v>0</v>
      </c>
      <c r="BP34" s="946">
        <f>+BP19*Assumptions!$O$96*BP23</f>
        <v>0</v>
      </c>
      <c r="BQ34" s="946">
        <f>+BQ19*Assumptions!$O$96*BQ23</f>
        <v>0</v>
      </c>
      <c r="BR34" s="151"/>
      <c r="BS34" s="151"/>
      <c r="BT34" s="151"/>
      <c r="BU34" s="151"/>
      <c r="BV34" s="151"/>
      <c r="BW34" s="151"/>
      <c r="BX34" s="151"/>
    </row>
    <row r="35" spans="2:76">
      <c r="B35" s="699" t="s">
        <v>1120</v>
      </c>
      <c r="C35" s="699"/>
      <c r="D35" s="699"/>
      <c r="E35" s="1050"/>
      <c r="F35" s="1050">
        <f>+IF(F34=Assumptions!$G$31,Assumptions!$G$93/ROUNDUP((12/12),0),)</f>
        <v>0</v>
      </c>
      <c r="G35" s="1050">
        <f>+IF(G34=Assumptions!$G$31,Assumptions!$G$93/ROUNDUP((12/12),0),)</f>
        <v>0</v>
      </c>
      <c r="H35" s="1050">
        <f>+IF(H34=Assumptions!$G$31,Assumptions!$G$93/ROUNDUP((12/12),0),)</f>
        <v>0</v>
      </c>
      <c r="I35" s="1050">
        <f>+IF(I34=Assumptions!$G$31,Assumptions!$G$93/ROUNDUP((12/12),0),)</f>
        <v>183335.66999999995</v>
      </c>
      <c r="J35" s="1050">
        <f>+IF(J34=Assumptions!$G$31,Assumptions!$G$93/ROUNDUP((12/12),0),)</f>
        <v>0</v>
      </c>
      <c r="K35" s="1050">
        <f>+IF(K34=Assumptions!$G$31,Assumptions!$G$93/ROUNDUP((12/12),0),)</f>
        <v>0</v>
      </c>
      <c r="L35" s="1050">
        <f>+IF(L34=Assumptions!$G$31,Assumptions!$G$93/ROUNDUP((12/12),0),)</f>
        <v>0</v>
      </c>
      <c r="M35" s="1050">
        <f>+IF(M34=Assumptions!$G$31,Assumptions!$G$93/ROUNDUP((12/12),0),)</f>
        <v>0</v>
      </c>
      <c r="N35" s="1050">
        <f>+IF(N34=Assumptions!$G$31,Assumptions!$G$93/ROUNDUP((12/12),0),)</f>
        <v>0</v>
      </c>
      <c r="O35" s="1050">
        <f>+IF(O34=Assumptions!$G$31,Assumptions!$G$93/ROUNDUP((12/12),0),)</f>
        <v>0</v>
      </c>
      <c r="P35" s="1050">
        <f>+IF(P34=Assumptions!$G$31,Assumptions!$G$93/ROUNDUP((12/12),0),)</f>
        <v>0</v>
      </c>
      <c r="Q35" s="1050">
        <f>+IF(Q34=Assumptions!$G$31,Assumptions!$G$93/ROUNDUP((12/12),0),)</f>
        <v>0</v>
      </c>
      <c r="R35" s="1050">
        <f>+IF(R34=Assumptions!$G$31,Assumptions!$G$93/ROUNDUP((12/12),0),)</f>
        <v>0</v>
      </c>
      <c r="S35" s="1050">
        <f>+IF(S34=Assumptions!$G$31,Assumptions!$G$93/ROUNDUP((12/12),0),)</f>
        <v>0</v>
      </c>
      <c r="T35" s="1050">
        <f>+IF(T34=Assumptions!$G$31,Assumptions!$G$93/ROUNDUP((12/12),0),)</f>
        <v>0</v>
      </c>
      <c r="U35" s="1050">
        <f>+IF(U34=Assumptions!$G$31,Assumptions!$G$93/ROUNDUP((12/12),0),)</f>
        <v>0</v>
      </c>
      <c r="V35" s="1050">
        <f>+IF(V34=Assumptions!$G$31,Assumptions!$G$93/ROUNDUP((12/12),0),)</f>
        <v>0</v>
      </c>
      <c r="W35" s="1050">
        <f>+IF(W34=Assumptions!$G$31,Assumptions!$G$93/ROUNDUP((12/12),0),)</f>
        <v>0</v>
      </c>
      <c r="X35" s="1050">
        <f>+IF(X34=Assumptions!$G$31,Assumptions!$G$93/ROUNDUP((12/12),0),)</f>
        <v>0</v>
      </c>
      <c r="Y35" s="1050">
        <f>+IF(Y34=Assumptions!$G$31,Assumptions!$G$93/ROUNDUP((12/12),0),)</f>
        <v>0</v>
      </c>
      <c r="Z35" s="1050">
        <f>+IF(Z34=Assumptions!$G$31,Assumptions!$G$93/ROUNDUP((12/12),0),)</f>
        <v>0</v>
      </c>
      <c r="AA35" s="699"/>
      <c r="AB35" s="699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 t="s">
        <v>1133</v>
      </c>
      <c r="AT35" s="151"/>
      <c r="AU35" s="151"/>
      <c r="AV35" s="151"/>
      <c r="AW35" s="687">
        <f ca="1">+IFERROR(INDEX('Taxes and TIF'!$AC$11:$AC$45,MATCH('Phase 2 Pro Forma'!F$7,'Taxes and TIF'!$R$11:$R$45,0)),0)*'Loan Sizing'!$K$30*'Phase 2 Pro Forma'!AW20</f>
        <v>0</v>
      </c>
      <c r="AX35" s="687">
        <f ca="1">+IFERROR(INDEX('Taxes and TIF'!$AC$11:$AC$45,MATCH('Phase 2 Pro Forma'!G$7,'Taxes and TIF'!$R$11:$R$45,0)),0)*'Loan Sizing'!$K$30*'Phase 2 Pro Forma'!AX20</f>
        <v>0</v>
      </c>
      <c r="AY35" s="687">
        <f ca="1">+IFERROR(INDEX('Taxes and TIF'!$AC$11:$AC$45,MATCH('Phase 2 Pro Forma'!H$7,'Taxes and TIF'!$R$11:$R$45,0)),0)*'Loan Sizing'!$K$30*'Phase 2 Pro Forma'!AY20</f>
        <v>0</v>
      </c>
      <c r="AZ35" s="687">
        <f ca="1">+IFERROR(INDEX('Taxes and TIF'!$AC$11:$AC$45,MATCH('Phase 2 Pro Forma'!I$7,'Taxes and TIF'!$R$11:$R$45,0)),0)*'Loan Sizing'!$K$30*'Phase 2 Pro Forma'!AZ20</f>
        <v>0</v>
      </c>
      <c r="BA35" s="687">
        <f ca="1">+IFERROR(INDEX('Taxes and TIF'!$AC$11:$AC$45,MATCH('Phase 2 Pro Forma'!J$7,'Taxes and TIF'!$R$11:$R$45,0)),0)*'Loan Sizing'!$K$30*'Phase 2 Pro Forma'!BA20</f>
        <v>0</v>
      </c>
      <c r="BB35" s="687">
        <f ca="1">+IFERROR(INDEX('Taxes and TIF'!$AC$11:$AC$45,MATCH('Phase 2 Pro Forma'!K$7,'Taxes and TIF'!$R$11:$R$45,0)),0)*'Loan Sizing'!$K$30*'Phase 2 Pro Forma'!BB20</f>
        <v>0</v>
      </c>
      <c r="BC35" s="687">
        <f ca="1">+IFERROR(INDEX('Taxes and TIF'!$AC$11:$AC$45,MATCH('Phase 2 Pro Forma'!L$7,'Taxes and TIF'!$R$11:$R$45,0)),0)*'Loan Sizing'!$K$30*'Phase 2 Pro Forma'!BC20</f>
        <v>0</v>
      </c>
      <c r="BD35" s="687">
        <f ca="1">+IFERROR(INDEX('Taxes and TIF'!$AC$11:$AC$45,MATCH('Phase 2 Pro Forma'!M$7,'Taxes and TIF'!$R$11:$R$45,0)),0)*'Loan Sizing'!$K$30*'Phase 2 Pro Forma'!BD20</f>
        <v>0</v>
      </c>
      <c r="BE35" s="687">
        <f ca="1">+IFERROR(INDEX('Taxes and TIF'!$AC$11:$AC$45,MATCH('Phase 2 Pro Forma'!N$7,'Taxes and TIF'!$R$11:$R$45,0)),0)*'Loan Sizing'!$K$30*'Phase 2 Pro Forma'!BE20</f>
        <v>0</v>
      </c>
      <c r="BF35" s="687">
        <f ca="1">+IFERROR(INDEX('Taxes and TIF'!$AC$11:$AC$45,MATCH('Phase 2 Pro Forma'!O$7,'Taxes and TIF'!$R$11:$R$45,0)),0)*'Loan Sizing'!$K$30*'Phase 2 Pro Forma'!BF20</f>
        <v>0</v>
      </c>
      <c r="BG35" s="687">
        <f ca="1">+IFERROR(INDEX('Taxes and TIF'!$AC$11:$AC$45,MATCH('Phase 2 Pro Forma'!P$7,'Taxes and TIF'!$R$11:$R$45,0)),0)*'Loan Sizing'!$K$30*'Phase 2 Pro Forma'!BG20</f>
        <v>0</v>
      </c>
      <c r="BH35" s="687">
        <f ca="1">+IFERROR(INDEX('Taxes and TIF'!$AC$11:$AC$45,MATCH('Phase 2 Pro Forma'!Q$7,'Taxes and TIF'!$R$11:$R$45,0)),0)*'Loan Sizing'!$K$30*'Phase 2 Pro Forma'!BH20</f>
        <v>0</v>
      </c>
      <c r="BI35" s="687">
        <f ca="1">+IFERROR(INDEX('Taxes and TIF'!$AC$11:$AC$45,MATCH('Phase 2 Pro Forma'!R$7,'Taxes and TIF'!$R$11:$R$45,0)),0)*'Loan Sizing'!$K$30*'Phase 2 Pro Forma'!BI20</f>
        <v>0</v>
      </c>
      <c r="BJ35" s="687">
        <f ca="1">+IFERROR(INDEX('Taxes and TIF'!$AC$11:$AC$45,MATCH('Phase 2 Pro Forma'!S$7,'Taxes and TIF'!$R$11:$R$45,0)),0)*'Loan Sizing'!$K$30*'Phase 2 Pro Forma'!BJ20</f>
        <v>0</v>
      </c>
      <c r="BK35" s="687">
        <f ca="1">+IFERROR(INDEX('Taxes and TIF'!$AC$11:$AC$45,MATCH('Phase 2 Pro Forma'!T$7,'Taxes and TIF'!$R$11:$R$45,0)),0)*'Loan Sizing'!$K$30*'Phase 2 Pro Forma'!BK20</f>
        <v>0</v>
      </c>
      <c r="BL35" s="687">
        <f ca="1">+IFERROR(INDEX('Taxes and TIF'!$AC$11:$AC$45,MATCH('Phase 2 Pro Forma'!U$7,'Taxes and TIF'!$R$11:$R$45,0)),0)*'Loan Sizing'!$K$30*'Phase 2 Pro Forma'!BL20</f>
        <v>0</v>
      </c>
      <c r="BM35" s="687">
        <f ca="1">+IFERROR(INDEX('Taxes and TIF'!$AC$11:$AC$45,MATCH('Phase 2 Pro Forma'!V$7,'Taxes and TIF'!$R$11:$R$45,0)),0)*'Loan Sizing'!$K$30*'Phase 2 Pro Forma'!BM20</f>
        <v>0</v>
      </c>
      <c r="BN35" s="687">
        <f ca="1">+IFERROR(INDEX('Taxes and TIF'!$AC$11:$AC$45,MATCH('Phase 2 Pro Forma'!W$7,'Taxes and TIF'!$R$11:$R$45,0)),0)*'Loan Sizing'!$K$30*'Phase 2 Pro Forma'!BN20</f>
        <v>0</v>
      </c>
      <c r="BO35" s="687">
        <f ca="1">+IFERROR(INDEX('Taxes and TIF'!$AC$11:$AC$45,MATCH('Phase 2 Pro Forma'!X$7,'Taxes and TIF'!$R$11:$R$45,0)),0)*'Loan Sizing'!$K$30*'Phase 2 Pro Forma'!BO20</f>
        <v>0</v>
      </c>
      <c r="BP35" s="687">
        <f ca="1">+IFERROR(INDEX('Taxes and TIF'!$AC$11:$AC$45,MATCH('Phase 2 Pro Forma'!Y$7,'Taxes and TIF'!$R$11:$R$45,0)),0)*'Loan Sizing'!$K$30*'Phase 2 Pro Forma'!BP20</f>
        <v>0</v>
      </c>
      <c r="BQ35" s="687">
        <f ca="1">+IFERROR(INDEX('Taxes and TIF'!$AC$11:$AC$45,MATCH('Phase 2 Pro Forma'!Z$7,'Taxes and TIF'!$R$11:$R$45,0)),0)*'Loan Sizing'!$K$30*'Phase 2 Pro Forma'!BQ20</f>
        <v>0</v>
      </c>
      <c r="BR35" s="151"/>
      <c r="BS35" s="151"/>
      <c r="BT35" s="151"/>
      <c r="BU35" s="151"/>
      <c r="BV35" s="151"/>
      <c r="BW35" s="151"/>
      <c r="BX35" s="151"/>
    </row>
    <row r="36" spans="2:76">
      <c r="B36" s="699" t="s">
        <v>1121</v>
      </c>
      <c r="C36" s="699"/>
      <c r="D36" s="699"/>
      <c r="E36" s="1050">
        <v>0</v>
      </c>
      <c r="F36" s="1050">
        <f>+E36+F35</f>
        <v>0</v>
      </c>
      <c r="G36" s="1050">
        <f t="shared" ref="G36:Z36" si="15">+F36+G35</f>
        <v>0</v>
      </c>
      <c r="H36" s="1050">
        <f t="shared" si="15"/>
        <v>0</v>
      </c>
      <c r="I36" s="1050">
        <f t="shared" si="15"/>
        <v>183335.66999999995</v>
      </c>
      <c r="J36" s="1050">
        <f t="shared" si="15"/>
        <v>183335.66999999995</v>
      </c>
      <c r="K36" s="1050">
        <f t="shared" si="15"/>
        <v>183335.66999999995</v>
      </c>
      <c r="L36" s="1050">
        <f t="shared" si="15"/>
        <v>183335.66999999995</v>
      </c>
      <c r="M36" s="1050">
        <f t="shared" si="15"/>
        <v>183335.66999999995</v>
      </c>
      <c r="N36" s="1050">
        <f t="shared" si="15"/>
        <v>183335.66999999995</v>
      </c>
      <c r="O36" s="1050">
        <f t="shared" si="15"/>
        <v>183335.66999999995</v>
      </c>
      <c r="P36" s="1050">
        <f t="shared" si="15"/>
        <v>183335.66999999995</v>
      </c>
      <c r="Q36" s="1050">
        <f t="shared" si="15"/>
        <v>183335.66999999995</v>
      </c>
      <c r="R36" s="1050">
        <f t="shared" si="15"/>
        <v>183335.66999999995</v>
      </c>
      <c r="S36" s="1050">
        <f t="shared" si="15"/>
        <v>183335.66999999995</v>
      </c>
      <c r="T36" s="1050">
        <f t="shared" si="15"/>
        <v>183335.66999999995</v>
      </c>
      <c r="U36" s="1050">
        <f t="shared" si="15"/>
        <v>183335.66999999995</v>
      </c>
      <c r="V36" s="1050">
        <f t="shared" si="15"/>
        <v>183335.66999999995</v>
      </c>
      <c r="W36" s="1050">
        <f t="shared" si="15"/>
        <v>183335.66999999995</v>
      </c>
      <c r="X36" s="1050">
        <f t="shared" si="15"/>
        <v>183335.66999999995</v>
      </c>
      <c r="Y36" s="1050">
        <f t="shared" si="15"/>
        <v>183335.66999999995</v>
      </c>
      <c r="Z36" s="1050">
        <f t="shared" si="15"/>
        <v>183335.66999999995</v>
      </c>
      <c r="AA36" s="699"/>
      <c r="AB36" s="699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 t="s">
        <v>1134</v>
      </c>
      <c r="AT36" s="151"/>
      <c r="AU36" s="151"/>
      <c r="AV36" s="151"/>
      <c r="AW36" s="946">
        <f ca="1">+SUM(AW34:AW35)</f>
        <v>0</v>
      </c>
      <c r="AX36" s="946">
        <f t="shared" ref="AX36:BQ36" ca="1" si="16">+SUM(AX34:AX35)</f>
        <v>0</v>
      </c>
      <c r="AY36" s="946">
        <f t="shared" ca="1" si="16"/>
        <v>0</v>
      </c>
      <c r="AZ36" s="946">
        <f t="shared" ca="1" si="16"/>
        <v>0</v>
      </c>
      <c r="BA36" s="946">
        <f t="shared" ca="1" si="16"/>
        <v>0</v>
      </c>
      <c r="BB36" s="946">
        <f t="shared" ca="1" si="16"/>
        <v>0</v>
      </c>
      <c r="BC36" s="946">
        <f t="shared" ca="1" si="16"/>
        <v>0</v>
      </c>
      <c r="BD36" s="946">
        <f t="shared" ca="1" si="16"/>
        <v>0</v>
      </c>
      <c r="BE36" s="946">
        <f t="shared" ca="1" si="16"/>
        <v>0</v>
      </c>
      <c r="BF36" s="946">
        <f t="shared" ca="1" si="16"/>
        <v>0</v>
      </c>
      <c r="BG36" s="946">
        <f t="shared" ca="1" si="16"/>
        <v>0</v>
      </c>
      <c r="BH36" s="946">
        <f t="shared" ca="1" si="16"/>
        <v>0</v>
      </c>
      <c r="BI36" s="946">
        <f t="shared" ca="1" si="16"/>
        <v>0</v>
      </c>
      <c r="BJ36" s="946">
        <f t="shared" ca="1" si="16"/>
        <v>0</v>
      </c>
      <c r="BK36" s="946">
        <f t="shared" ca="1" si="16"/>
        <v>0</v>
      </c>
      <c r="BL36" s="946">
        <f t="shared" ca="1" si="16"/>
        <v>0</v>
      </c>
      <c r="BM36" s="946">
        <f t="shared" ca="1" si="16"/>
        <v>0</v>
      </c>
      <c r="BN36" s="946">
        <f t="shared" ca="1" si="16"/>
        <v>0</v>
      </c>
      <c r="BO36" s="946">
        <f t="shared" ca="1" si="16"/>
        <v>0</v>
      </c>
      <c r="BP36" s="946">
        <f t="shared" ca="1" si="16"/>
        <v>0</v>
      </c>
      <c r="BQ36" s="946">
        <f t="shared" ca="1" si="16"/>
        <v>0</v>
      </c>
      <c r="BR36" s="151"/>
      <c r="BS36" s="151"/>
      <c r="BT36" s="151"/>
      <c r="BU36" s="151"/>
      <c r="BV36" s="151"/>
      <c r="BW36" s="151"/>
      <c r="BX36" s="151"/>
    </row>
    <row r="37" spans="2:76">
      <c r="B37" s="699" t="s">
        <v>1123</v>
      </c>
      <c r="C37" s="699"/>
      <c r="D37" s="699"/>
      <c r="E37" s="699"/>
      <c r="F37" s="1084">
        <f>+F38-E38</f>
        <v>0</v>
      </c>
      <c r="G37" s="1084">
        <f t="shared" ref="G37:Z37" si="17">+G38-F38</f>
        <v>0</v>
      </c>
      <c r="H37" s="1084">
        <f t="shared" si="17"/>
        <v>0</v>
      </c>
      <c r="I37" s="1084">
        <f t="shared" si="17"/>
        <v>255.18525734440044</v>
      </c>
      <c r="J37" s="1084">
        <f t="shared" si="17"/>
        <v>0</v>
      </c>
      <c r="K37" s="1084">
        <f t="shared" si="17"/>
        <v>0</v>
      </c>
      <c r="L37" s="1084">
        <f t="shared" si="17"/>
        <v>0</v>
      </c>
      <c r="M37" s="1084">
        <f t="shared" si="17"/>
        <v>0</v>
      </c>
      <c r="N37" s="1084">
        <f t="shared" si="17"/>
        <v>0</v>
      </c>
      <c r="O37" s="1084">
        <f t="shared" si="17"/>
        <v>0</v>
      </c>
      <c r="P37" s="1084">
        <f t="shared" si="17"/>
        <v>0</v>
      </c>
      <c r="Q37" s="1084">
        <f t="shared" si="17"/>
        <v>0</v>
      </c>
      <c r="R37" s="1084">
        <f t="shared" si="17"/>
        <v>0</v>
      </c>
      <c r="S37" s="1084">
        <f t="shared" si="17"/>
        <v>0</v>
      </c>
      <c r="T37" s="1084">
        <f t="shared" si="17"/>
        <v>0</v>
      </c>
      <c r="U37" s="1084">
        <f t="shared" si="17"/>
        <v>0</v>
      </c>
      <c r="V37" s="1084">
        <f t="shared" si="17"/>
        <v>0</v>
      </c>
      <c r="W37" s="1084">
        <f t="shared" si="17"/>
        <v>0</v>
      </c>
      <c r="X37" s="1084">
        <f t="shared" si="17"/>
        <v>0</v>
      </c>
      <c r="Y37" s="1084">
        <f t="shared" si="17"/>
        <v>0</v>
      </c>
      <c r="Z37" s="1084">
        <f t="shared" si="17"/>
        <v>0</v>
      </c>
      <c r="AA37" s="699"/>
      <c r="AB37" s="699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</row>
    <row r="38" spans="2:76" ht="15.75">
      <c r="B38" s="699" t="s">
        <v>1124</v>
      </c>
      <c r="C38" s="699"/>
      <c r="D38" s="699"/>
      <c r="E38" s="699"/>
      <c r="F38" s="1084">
        <f>+F39*Assumptions!$G$94</f>
        <v>0</v>
      </c>
      <c r="G38" s="1084">
        <f>+G39*Assumptions!$G$94</f>
        <v>0</v>
      </c>
      <c r="H38" s="1084">
        <f>+H39*Assumptions!$G$94</f>
        <v>0</v>
      </c>
      <c r="I38" s="1084">
        <f>+I39*Assumptions!$G$94</f>
        <v>255.18525734440044</v>
      </c>
      <c r="J38" s="1084">
        <f>+J39*Assumptions!$G$94</f>
        <v>255.18525734440044</v>
      </c>
      <c r="K38" s="1084">
        <f>+K39*Assumptions!$G$94</f>
        <v>255.18525734440044</v>
      </c>
      <c r="L38" s="1084">
        <f>+L39*Assumptions!$G$94</f>
        <v>255.18525734440044</v>
      </c>
      <c r="M38" s="1084">
        <f>+M39*Assumptions!$G$94</f>
        <v>255.18525734440044</v>
      </c>
      <c r="N38" s="1084">
        <f>+N39*Assumptions!$G$94</f>
        <v>255.18525734440044</v>
      </c>
      <c r="O38" s="1084">
        <f>+O39*Assumptions!$G$94</f>
        <v>255.18525734440044</v>
      </c>
      <c r="P38" s="1084">
        <f>+P39*Assumptions!$G$94</f>
        <v>255.18525734440044</v>
      </c>
      <c r="Q38" s="1084">
        <f>+Q39*Assumptions!$G$94</f>
        <v>255.18525734440044</v>
      </c>
      <c r="R38" s="1084">
        <f>+R39*Assumptions!$G$94</f>
        <v>255.18525734440044</v>
      </c>
      <c r="S38" s="1084">
        <f>+S39*Assumptions!$G$94</f>
        <v>255.18525734440044</v>
      </c>
      <c r="T38" s="1084">
        <f>+T39*Assumptions!$G$94</f>
        <v>255.18525734440044</v>
      </c>
      <c r="U38" s="1084">
        <f>+U39*Assumptions!$G$94</f>
        <v>255.18525734440044</v>
      </c>
      <c r="V38" s="1084">
        <f>+V39*Assumptions!$G$94</f>
        <v>255.18525734440044</v>
      </c>
      <c r="W38" s="1084">
        <f>+W39*Assumptions!$G$94</f>
        <v>255.18525734440044</v>
      </c>
      <c r="X38" s="1084">
        <f>+X39*Assumptions!$G$94</f>
        <v>255.18525734440044</v>
      </c>
      <c r="Y38" s="1084">
        <f>+Y39*Assumptions!$G$94</f>
        <v>255.18525734440044</v>
      </c>
      <c r="Z38" s="1084">
        <f>+Z39*Assumptions!$G$94</f>
        <v>255.18525734440044</v>
      </c>
      <c r="AA38" s="699"/>
      <c r="AB38" s="699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718" t="s">
        <v>1135</v>
      </c>
      <c r="AT38" s="718"/>
      <c r="AU38" s="718"/>
      <c r="AV38" s="718"/>
      <c r="AW38" s="948">
        <f ca="1">+AW32-AW36</f>
        <v>0</v>
      </c>
      <c r="AX38" s="948">
        <f t="shared" ref="AX38:BQ38" ca="1" si="18">+AX32-AX36</f>
        <v>0</v>
      </c>
      <c r="AY38" s="948">
        <f t="shared" ca="1" si="18"/>
        <v>0</v>
      </c>
      <c r="AZ38" s="948">
        <f ca="1">+AZ32-AZ36</f>
        <v>0</v>
      </c>
      <c r="BA38" s="948">
        <f t="shared" ca="1" si="18"/>
        <v>0</v>
      </c>
      <c r="BB38" s="948">
        <f t="shared" ca="1" si="18"/>
        <v>0</v>
      </c>
      <c r="BC38" s="948">
        <f t="shared" ca="1" si="18"/>
        <v>0</v>
      </c>
      <c r="BD38" s="948">
        <f t="shared" ca="1" si="18"/>
        <v>0</v>
      </c>
      <c r="BE38" s="948">
        <f t="shared" ca="1" si="18"/>
        <v>0</v>
      </c>
      <c r="BF38" s="948">
        <f t="shared" ca="1" si="18"/>
        <v>0</v>
      </c>
      <c r="BG38" s="948">
        <f t="shared" ca="1" si="18"/>
        <v>0</v>
      </c>
      <c r="BH38" s="948">
        <f t="shared" ca="1" si="18"/>
        <v>0</v>
      </c>
      <c r="BI38" s="948">
        <f t="shared" ca="1" si="18"/>
        <v>0</v>
      </c>
      <c r="BJ38" s="948">
        <f t="shared" ca="1" si="18"/>
        <v>0</v>
      </c>
      <c r="BK38" s="948">
        <f t="shared" ca="1" si="18"/>
        <v>0</v>
      </c>
      <c r="BL38" s="948">
        <f t="shared" ca="1" si="18"/>
        <v>0</v>
      </c>
      <c r="BM38" s="948">
        <f t="shared" ca="1" si="18"/>
        <v>0</v>
      </c>
      <c r="BN38" s="948">
        <f t="shared" ca="1" si="18"/>
        <v>0</v>
      </c>
      <c r="BO38" s="948">
        <f t="shared" ca="1" si="18"/>
        <v>0</v>
      </c>
      <c r="BP38" s="948">
        <f t="shared" ca="1" si="18"/>
        <v>0</v>
      </c>
      <c r="BQ38" s="948">
        <f t="shared" ca="1" si="18"/>
        <v>0</v>
      </c>
      <c r="BR38" s="151"/>
      <c r="BS38" s="151"/>
      <c r="BT38" s="151"/>
      <c r="BU38" s="151"/>
      <c r="BV38" s="151"/>
      <c r="BW38" s="151"/>
      <c r="BX38" s="151"/>
    </row>
    <row r="39" spans="2:76">
      <c r="B39" s="699" t="s">
        <v>1125</v>
      </c>
      <c r="C39" s="699"/>
      <c r="D39" s="699"/>
      <c r="E39" s="699"/>
      <c r="F39" s="1074">
        <f>+IFERROR(F36/SUM($F$35:$Z$35),0)</f>
        <v>0</v>
      </c>
      <c r="G39" s="1074">
        <f t="shared" ref="G39:Z39" si="19">+IFERROR(G36/SUM($F$35:$Z$35),0)</f>
        <v>0</v>
      </c>
      <c r="H39" s="1074">
        <f t="shared" si="19"/>
        <v>0</v>
      </c>
      <c r="I39" s="1074">
        <f t="shared" si="19"/>
        <v>1</v>
      </c>
      <c r="J39" s="1074">
        <f t="shared" si="19"/>
        <v>1</v>
      </c>
      <c r="K39" s="1074">
        <f t="shared" si="19"/>
        <v>1</v>
      </c>
      <c r="L39" s="1074">
        <f t="shared" si="19"/>
        <v>1</v>
      </c>
      <c r="M39" s="1074">
        <f t="shared" si="19"/>
        <v>1</v>
      </c>
      <c r="N39" s="1074">
        <f t="shared" si="19"/>
        <v>1</v>
      </c>
      <c r="O39" s="1074">
        <f t="shared" si="19"/>
        <v>1</v>
      </c>
      <c r="P39" s="1074">
        <f t="shared" si="19"/>
        <v>1</v>
      </c>
      <c r="Q39" s="1074">
        <f t="shared" si="19"/>
        <v>1</v>
      </c>
      <c r="R39" s="1074">
        <f t="shared" si="19"/>
        <v>1</v>
      </c>
      <c r="S39" s="1074">
        <f t="shared" si="19"/>
        <v>1</v>
      </c>
      <c r="T39" s="1074">
        <f t="shared" si="19"/>
        <v>1</v>
      </c>
      <c r="U39" s="1074">
        <f t="shared" si="19"/>
        <v>1</v>
      </c>
      <c r="V39" s="1074">
        <f t="shared" si="19"/>
        <v>1</v>
      </c>
      <c r="W39" s="1074">
        <f t="shared" si="19"/>
        <v>1</v>
      </c>
      <c r="X39" s="1074">
        <f t="shared" si="19"/>
        <v>1</v>
      </c>
      <c r="Y39" s="1074">
        <f t="shared" si="19"/>
        <v>1</v>
      </c>
      <c r="Z39" s="1074">
        <f t="shared" si="19"/>
        <v>1</v>
      </c>
      <c r="AA39" s="699"/>
      <c r="AB39" s="699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826" t="s">
        <v>1136</v>
      </c>
      <c r="AT39" s="826"/>
      <c r="AU39" s="826"/>
      <c r="AV39" s="826"/>
      <c r="AW39" s="973" t="str">
        <f ca="1">+IFERROR(AW38/AW32,"")</f>
        <v/>
      </c>
      <c r="AX39" s="973" t="str">
        <f t="shared" ref="AX39:BQ39" ca="1" si="20">+IFERROR(AX38/AX32,"")</f>
        <v/>
      </c>
      <c r="AY39" s="973" t="str">
        <f t="shared" ca="1" si="20"/>
        <v/>
      </c>
      <c r="AZ39" s="973" t="str">
        <f t="shared" ca="1" si="20"/>
        <v/>
      </c>
      <c r="BA39" s="973" t="str">
        <f t="shared" ca="1" si="20"/>
        <v/>
      </c>
      <c r="BB39" s="973" t="str">
        <f t="shared" ca="1" si="20"/>
        <v/>
      </c>
      <c r="BC39" s="973" t="str">
        <f t="shared" ca="1" si="20"/>
        <v/>
      </c>
      <c r="BD39" s="973" t="str">
        <f t="shared" ca="1" si="20"/>
        <v/>
      </c>
      <c r="BE39" s="973" t="str">
        <f t="shared" ca="1" si="20"/>
        <v/>
      </c>
      <c r="BF39" s="973" t="str">
        <f t="shared" ca="1" si="20"/>
        <v/>
      </c>
      <c r="BG39" s="973" t="str">
        <f t="shared" ca="1" si="20"/>
        <v/>
      </c>
      <c r="BH39" s="973" t="str">
        <f t="shared" ca="1" si="20"/>
        <v/>
      </c>
      <c r="BI39" s="973" t="str">
        <f t="shared" ca="1" si="20"/>
        <v/>
      </c>
      <c r="BJ39" s="973" t="str">
        <f t="shared" ca="1" si="20"/>
        <v/>
      </c>
      <c r="BK39" s="973" t="str">
        <f t="shared" ca="1" si="20"/>
        <v/>
      </c>
      <c r="BL39" s="973" t="str">
        <f t="shared" ca="1" si="20"/>
        <v/>
      </c>
      <c r="BM39" s="973" t="str">
        <f t="shared" ca="1" si="20"/>
        <v/>
      </c>
      <c r="BN39" s="973" t="str">
        <f t="shared" ca="1" si="20"/>
        <v/>
      </c>
      <c r="BO39" s="973" t="str">
        <f t="shared" ca="1" si="20"/>
        <v/>
      </c>
      <c r="BP39" s="973" t="str">
        <f t="shared" ca="1" si="20"/>
        <v/>
      </c>
      <c r="BQ39" s="973" t="str">
        <f t="shared" ca="1" si="20"/>
        <v/>
      </c>
      <c r="BR39" s="151"/>
      <c r="BS39" s="151"/>
      <c r="BT39" s="151"/>
      <c r="BU39" s="151"/>
      <c r="BV39" s="151"/>
      <c r="BW39" s="151"/>
      <c r="BX39" s="151"/>
    </row>
    <row r="40" spans="2:76">
      <c r="B40" s="699"/>
      <c r="C40" s="699"/>
      <c r="D40" s="699"/>
      <c r="E40" s="699"/>
      <c r="F40" s="699"/>
      <c r="G40" s="699"/>
      <c r="H40" s="699"/>
      <c r="I40" s="699"/>
      <c r="J40" s="699"/>
      <c r="K40" s="699"/>
      <c r="L40" s="699"/>
      <c r="M40" s="699"/>
      <c r="N40" s="699"/>
      <c r="O40" s="699"/>
      <c r="P40" s="699"/>
      <c r="Q40" s="699"/>
      <c r="R40" s="699"/>
      <c r="S40" s="699"/>
      <c r="T40" s="699"/>
      <c r="U40" s="699"/>
      <c r="V40" s="699"/>
      <c r="W40" s="699"/>
      <c r="X40" s="699"/>
      <c r="Y40" s="699"/>
      <c r="Z40" s="699"/>
      <c r="AA40" s="699"/>
      <c r="AB40" s="699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826" t="s">
        <v>1064</v>
      </c>
      <c r="AT40" s="826"/>
      <c r="AU40" s="826"/>
      <c r="AV40" s="826"/>
      <c r="AW40" s="974">
        <f ca="1">+AW38/Assumptions!$G$45</f>
        <v>0</v>
      </c>
      <c r="AX40" s="974">
        <f ca="1">+AX38/Assumptions!$G$45</f>
        <v>0</v>
      </c>
      <c r="AY40" s="974">
        <f ca="1">+AY38/Assumptions!$G$45</f>
        <v>0</v>
      </c>
      <c r="AZ40" s="974">
        <f ca="1">+AZ38/Assumptions!$G$45</f>
        <v>0</v>
      </c>
      <c r="BA40" s="974">
        <f ca="1">+BA38/Assumptions!$G$45</f>
        <v>0</v>
      </c>
      <c r="BB40" s="974">
        <f ca="1">+BB38/Assumptions!$G$45</f>
        <v>0</v>
      </c>
      <c r="BC40" s="974">
        <f ca="1">+BC38/Assumptions!$G$45</f>
        <v>0</v>
      </c>
      <c r="BD40" s="974">
        <f ca="1">+BD38/Assumptions!$G$45</f>
        <v>0</v>
      </c>
      <c r="BE40" s="974">
        <f ca="1">+BE38/Assumptions!$G$45</f>
        <v>0</v>
      </c>
      <c r="BF40" s="974">
        <f ca="1">+BF38/Assumptions!$G$45</f>
        <v>0</v>
      </c>
      <c r="BG40" s="974">
        <f ca="1">+BG38/Assumptions!$G$45</f>
        <v>0</v>
      </c>
      <c r="BH40" s="974">
        <f ca="1">+BH38/Assumptions!$G$45</f>
        <v>0</v>
      </c>
      <c r="BI40" s="974">
        <f ca="1">+BI38/Assumptions!$G$45</f>
        <v>0</v>
      </c>
      <c r="BJ40" s="974">
        <f ca="1">+BJ38/Assumptions!$G$45</f>
        <v>0</v>
      </c>
      <c r="BK40" s="974">
        <f ca="1">+BK38/Assumptions!$G$45</f>
        <v>0</v>
      </c>
      <c r="BL40" s="974">
        <f ca="1">+BL38/Assumptions!$G$45</f>
        <v>0</v>
      </c>
      <c r="BM40" s="974">
        <f ca="1">+BM38/Assumptions!$G$45</f>
        <v>0</v>
      </c>
      <c r="BN40" s="974">
        <f ca="1">+BN38/Assumptions!$G$45</f>
        <v>0</v>
      </c>
      <c r="BO40" s="974">
        <f ca="1">+BO38/Assumptions!$G$45</f>
        <v>0</v>
      </c>
      <c r="BP40" s="974">
        <f ca="1">+BP38/Assumptions!$G$45</f>
        <v>0</v>
      </c>
      <c r="BQ40" s="974">
        <f ca="1">+BQ38/Assumptions!$G$45</f>
        <v>0</v>
      </c>
      <c r="BR40" s="151"/>
      <c r="BS40" s="151"/>
      <c r="BT40" s="151"/>
      <c r="BU40" s="151"/>
      <c r="BV40" s="151"/>
      <c r="BW40" s="151"/>
      <c r="BX40" s="151"/>
    </row>
    <row r="41" spans="2:76" ht="15.75">
      <c r="B41" s="699" t="s">
        <v>1126</v>
      </c>
      <c r="C41" s="699"/>
      <c r="D41" s="699"/>
      <c r="E41" s="699"/>
      <c r="F41" s="1074">
        <v>1</v>
      </c>
      <c r="G41" s="1074">
        <f>+F41*(1+Assumptions!$O$69)</f>
        <v>1.03</v>
      </c>
      <c r="H41" s="1074">
        <f>+G41*(1+Assumptions!$O$69)</f>
        <v>1.0609</v>
      </c>
      <c r="I41" s="1074">
        <f>+H41*(1+Assumptions!$O$69)</f>
        <v>1.092727</v>
      </c>
      <c r="J41" s="1074">
        <f>+I41*(1+Assumptions!$O$69)</f>
        <v>1.1255088100000001</v>
      </c>
      <c r="K41" s="1074">
        <f>+J41*(1+Assumptions!$O$69)</f>
        <v>1.1592740743000001</v>
      </c>
      <c r="L41" s="1074">
        <f>+K41*(1+Assumptions!$O$69)</f>
        <v>1.1940522965290001</v>
      </c>
      <c r="M41" s="1074">
        <f>+L41*(1+Assumptions!$O$69)</f>
        <v>1.2298738654248702</v>
      </c>
      <c r="N41" s="1074">
        <f>+M41*(1+Assumptions!$O$69)</f>
        <v>1.2667700813876164</v>
      </c>
      <c r="O41" s="1074">
        <f>+N41*(1+Assumptions!$O$69)</f>
        <v>1.3047731838292449</v>
      </c>
      <c r="P41" s="1074">
        <f>+O41*(1+Assumptions!$O$69)</f>
        <v>1.3439163793441222</v>
      </c>
      <c r="Q41" s="1074">
        <f>+P41*(1+Assumptions!$O$69)</f>
        <v>1.3842338707244459</v>
      </c>
      <c r="R41" s="1074">
        <f>+Q41*(1+Assumptions!$O$69)</f>
        <v>1.4257608868461793</v>
      </c>
      <c r="S41" s="1074">
        <f>+R41*(1+Assumptions!$O$69)</f>
        <v>1.4685337134515648</v>
      </c>
      <c r="T41" s="1074">
        <f>+S41*(1+Assumptions!$O$69)</f>
        <v>1.5125897248551119</v>
      </c>
      <c r="U41" s="1074">
        <f>+T41*(1+Assumptions!$O$69)</f>
        <v>1.5579674166007653</v>
      </c>
      <c r="V41" s="1074">
        <f>+U41*(1+Assumptions!$O$69)</f>
        <v>1.6047064390987884</v>
      </c>
      <c r="W41" s="1074">
        <f>+V41*(1+Assumptions!$O$69)</f>
        <v>1.652847632271752</v>
      </c>
      <c r="X41" s="1074">
        <f>+W41*(1+Assumptions!$O$69)</f>
        <v>1.7024330612399046</v>
      </c>
      <c r="Y41" s="1074">
        <f>+X41*(1+Assumptions!$O$69)</f>
        <v>1.7535060530771018</v>
      </c>
      <c r="Z41" s="1074">
        <f>+Y41*(1+Assumptions!$O$69)</f>
        <v>1.806111234669415</v>
      </c>
      <c r="AA41" s="699"/>
      <c r="AB41" s="699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718"/>
      <c r="AT41" s="151"/>
      <c r="AU41" s="151"/>
      <c r="AV41" s="151"/>
      <c r="AW41" s="971"/>
      <c r="AX41" s="971"/>
      <c r="AY41" s="971"/>
      <c r="AZ41" s="971"/>
      <c r="BA41" s="971"/>
      <c r="BB41" s="971"/>
      <c r="BC41" s="971"/>
      <c r="BD41" s="971"/>
      <c r="BE41" s="971"/>
      <c r="BF41" s="971"/>
      <c r="BG41" s="971"/>
      <c r="BH41" s="971"/>
      <c r="BI41" s="971"/>
      <c r="BJ41" s="971"/>
      <c r="BK41" s="971"/>
      <c r="BL41" s="971"/>
      <c r="BM41" s="971"/>
      <c r="BN41" s="971"/>
      <c r="BO41" s="971"/>
      <c r="BP41" s="971"/>
      <c r="BQ41" s="971"/>
      <c r="BR41" s="151"/>
      <c r="BS41" s="151"/>
      <c r="BT41" s="151"/>
      <c r="BU41" s="151"/>
      <c r="BV41" s="151"/>
      <c r="BW41" s="151"/>
      <c r="BX41" s="151"/>
    </row>
    <row r="42" spans="2:76" ht="15.75">
      <c r="B42" s="699" t="s">
        <v>1127</v>
      </c>
      <c r="C42" s="699"/>
      <c r="D42" s="699"/>
      <c r="E42" s="699"/>
      <c r="F42" s="1074">
        <v>1</v>
      </c>
      <c r="G42" s="1074">
        <f>+F42*(1+Assumptions!$O$80)</f>
        <v>1.03</v>
      </c>
      <c r="H42" s="1074">
        <f>+G42*(1+Assumptions!$O$80)</f>
        <v>1.0609</v>
      </c>
      <c r="I42" s="1074">
        <f>+H42*(1+Assumptions!$O$80)</f>
        <v>1.092727</v>
      </c>
      <c r="J42" s="1074">
        <f>+I42*(1+Assumptions!$O$80)</f>
        <v>1.1255088100000001</v>
      </c>
      <c r="K42" s="1074">
        <f>+J42*(1+Assumptions!$O$80)</f>
        <v>1.1592740743000001</v>
      </c>
      <c r="L42" s="1074">
        <f>+K42*(1+Assumptions!$O$80)</f>
        <v>1.1940522965290001</v>
      </c>
      <c r="M42" s="1074">
        <f>+L42*(1+Assumptions!$O$80)</f>
        <v>1.2298738654248702</v>
      </c>
      <c r="N42" s="1074">
        <f>+M42*(1+Assumptions!$O$80)</f>
        <v>1.2667700813876164</v>
      </c>
      <c r="O42" s="1074">
        <f>+N42*(1+Assumptions!$O$80)</f>
        <v>1.3047731838292449</v>
      </c>
      <c r="P42" s="1074">
        <f>+O42*(1+Assumptions!$O$80)</f>
        <v>1.3439163793441222</v>
      </c>
      <c r="Q42" s="1074">
        <f>+P42*(1+Assumptions!$O$80)</f>
        <v>1.3842338707244459</v>
      </c>
      <c r="R42" s="1074">
        <f>+Q42*(1+Assumptions!$O$80)</f>
        <v>1.4257608868461793</v>
      </c>
      <c r="S42" s="1074">
        <f>+R42*(1+Assumptions!$O$80)</f>
        <v>1.4685337134515648</v>
      </c>
      <c r="T42" s="1074">
        <f>+S42*(1+Assumptions!$O$80)</f>
        <v>1.5125897248551119</v>
      </c>
      <c r="U42" s="1074">
        <f>+T42*(1+Assumptions!$O$80)</f>
        <v>1.5579674166007653</v>
      </c>
      <c r="V42" s="1074">
        <f>+U42*(1+Assumptions!$O$80)</f>
        <v>1.6047064390987884</v>
      </c>
      <c r="W42" s="1074">
        <f>+V42*(1+Assumptions!$O$80)</f>
        <v>1.652847632271752</v>
      </c>
      <c r="X42" s="1074">
        <f>+W42*(1+Assumptions!$O$80)</f>
        <v>1.7024330612399046</v>
      </c>
      <c r="Y42" s="1074">
        <f>+X42*(1+Assumptions!$O$80)</f>
        <v>1.7535060530771018</v>
      </c>
      <c r="Z42" s="1074">
        <f>+Y42*(1+Assumptions!$O$80)</f>
        <v>1.806111234669415</v>
      </c>
      <c r="AA42" s="699"/>
      <c r="AB42" s="699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718" t="s">
        <v>1137</v>
      </c>
      <c r="AT42" s="151"/>
      <c r="AU42" s="151"/>
      <c r="AV42" s="151"/>
      <c r="AW42" s="971">
        <f>+Assumptions!$G$27</f>
        <v>46387</v>
      </c>
      <c r="AX42" s="971">
        <f>+EOMONTH(AW42,12)</f>
        <v>46752</v>
      </c>
      <c r="AY42" s="971">
        <f t="shared" ref="AY42:BQ42" si="21">+EOMONTH(AX42,12)</f>
        <v>47118</v>
      </c>
      <c r="AZ42" s="971">
        <f t="shared" si="21"/>
        <v>47483</v>
      </c>
      <c r="BA42" s="971">
        <f t="shared" si="21"/>
        <v>47848</v>
      </c>
      <c r="BB42" s="971">
        <f t="shared" si="21"/>
        <v>48213</v>
      </c>
      <c r="BC42" s="971">
        <f t="shared" si="21"/>
        <v>48579</v>
      </c>
      <c r="BD42" s="971">
        <f t="shared" si="21"/>
        <v>48944</v>
      </c>
      <c r="BE42" s="971">
        <f t="shared" si="21"/>
        <v>49309</v>
      </c>
      <c r="BF42" s="971">
        <f t="shared" si="21"/>
        <v>49674</v>
      </c>
      <c r="BG42" s="971">
        <f t="shared" si="21"/>
        <v>50040</v>
      </c>
      <c r="BH42" s="971">
        <f t="shared" si="21"/>
        <v>50405</v>
      </c>
      <c r="BI42" s="971">
        <f t="shared" si="21"/>
        <v>50770</v>
      </c>
      <c r="BJ42" s="971">
        <f t="shared" si="21"/>
        <v>51135</v>
      </c>
      <c r="BK42" s="971">
        <f t="shared" si="21"/>
        <v>51501</v>
      </c>
      <c r="BL42" s="971">
        <f t="shared" si="21"/>
        <v>51866</v>
      </c>
      <c r="BM42" s="971">
        <f t="shared" si="21"/>
        <v>52231</v>
      </c>
      <c r="BN42" s="971">
        <f t="shared" si="21"/>
        <v>52596</v>
      </c>
      <c r="BO42" s="971">
        <f t="shared" si="21"/>
        <v>52962</v>
      </c>
      <c r="BP42" s="971">
        <f t="shared" si="21"/>
        <v>53327</v>
      </c>
      <c r="BQ42" s="971">
        <f t="shared" si="21"/>
        <v>53692</v>
      </c>
      <c r="BR42" s="151"/>
      <c r="BS42" s="151"/>
      <c r="BT42" s="151"/>
      <c r="BU42" s="151"/>
      <c r="BV42" s="151"/>
      <c r="BW42" s="151"/>
      <c r="BX42" s="151"/>
    </row>
    <row r="43" spans="2:76">
      <c r="B43" s="699"/>
      <c r="C43" s="699"/>
      <c r="D43" s="699"/>
      <c r="E43" s="699"/>
      <c r="F43" s="699"/>
      <c r="G43" s="699"/>
      <c r="H43" s="699"/>
      <c r="I43" s="699"/>
      <c r="J43" s="699"/>
      <c r="K43" s="699"/>
      <c r="L43" s="699"/>
      <c r="M43" s="699"/>
      <c r="N43" s="699"/>
      <c r="O43" s="699"/>
      <c r="P43" s="699"/>
      <c r="Q43" s="699"/>
      <c r="R43" s="699"/>
      <c r="S43" s="699"/>
      <c r="T43" s="699"/>
      <c r="U43" s="699"/>
      <c r="V43" s="699"/>
      <c r="W43" s="699"/>
      <c r="X43" s="699"/>
      <c r="Y43" s="699"/>
      <c r="Z43" s="699"/>
      <c r="AA43" s="699"/>
      <c r="AB43" s="699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 t="s">
        <v>1120</v>
      </c>
      <c r="AT43" s="151"/>
      <c r="AU43" s="151"/>
      <c r="AV43" s="687"/>
      <c r="AW43" s="687">
        <f>+IF(AW42=Assumptions!$G$31,Assumptions!$AF$86/ROUNDUP((12/12),0),)</f>
        <v>0</v>
      </c>
      <c r="AX43" s="687">
        <f>+IF(AX42=Assumptions!$G$31,Assumptions!$AF$86/ROUNDUP((12/12),0),)</f>
        <v>0</v>
      </c>
      <c r="AY43" s="687">
        <f>+IF(AY42=Assumptions!$G$31,Assumptions!$AF$86/ROUNDUP((12/12),0),)</f>
        <v>0</v>
      </c>
      <c r="AZ43" s="687">
        <f>+IF(AZ42=Assumptions!$G$31,Assumptions!$AF$86/ROUNDUP((12/12),0),)</f>
        <v>0</v>
      </c>
      <c r="BA43" s="687">
        <f>+IF(BA42=Assumptions!$G$31,Assumptions!$AF$86/ROUNDUP((12/12),0),)</f>
        <v>0</v>
      </c>
      <c r="BB43" s="687">
        <f>+IF(BB42=Assumptions!$G$31,Assumptions!$AF$86/ROUNDUP((12/12),0),)</f>
        <v>0</v>
      </c>
      <c r="BC43" s="687">
        <f>+IF(BC42=Assumptions!$G$31,Assumptions!$AF$86/ROUNDUP((12/12),0),)</f>
        <v>0</v>
      </c>
      <c r="BD43" s="687">
        <f>+IF(BD42=Assumptions!$G$31,Assumptions!$AF$86/ROUNDUP((12/12),0),)</f>
        <v>0</v>
      </c>
      <c r="BE43" s="687">
        <f>+IF(BE42=Assumptions!$G$31,Assumptions!$AF$86/ROUNDUP((12/12),0),)</f>
        <v>0</v>
      </c>
      <c r="BF43" s="687">
        <f>+IF(BF42=Assumptions!$G$31,Assumptions!$AF$86/ROUNDUP((12/12),0),)</f>
        <v>0</v>
      </c>
      <c r="BG43" s="687">
        <f>+IF(BG42=Assumptions!$G$31,Assumptions!$AF$86/ROUNDUP((12/12),0),)</f>
        <v>0</v>
      </c>
      <c r="BH43" s="687">
        <f>+IF(BH42=Assumptions!$G$31,Assumptions!$AF$86/ROUNDUP((12/12),0),)</f>
        <v>0</v>
      </c>
      <c r="BI43" s="687">
        <f>+IF(BI42=Assumptions!$G$31,Assumptions!$AF$86/ROUNDUP((12/12),0),)</f>
        <v>0</v>
      </c>
      <c r="BJ43" s="687">
        <f>+IF(BJ42=Assumptions!$G$31,Assumptions!$AF$86/ROUNDUP((12/12),0),)</f>
        <v>0</v>
      </c>
      <c r="BK43" s="687">
        <f>+IF(BK42=Assumptions!$G$31,Assumptions!$AF$86/ROUNDUP((12/12),0),)</f>
        <v>0</v>
      </c>
      <c r="BL43" s="687">
        <f>+IF(BL42=Assumptions!$G$31,Assumptions!$AF$86/ROUNDUP((12/12),0),)</f>
        <v>0</v>
      </c>
      <c r="BM43" s="687">
        <f>+IF(BM42=Assumptions!$G$31,Assumptions!$AF$86/ROUNDUP((12/12),0),)</f>
        <v>0</v>
      </c>
      <c r="BN43" s="687">
        <f>+IF(BN42=Assumptions!$G$31,Assumptions!$AF$86/ROUNDUP((12/12),0),)</f>
        <v>0</v>
      </c>
      <c r="BO43" s="687">
        <f>+IF(BO42=Assumptions!$G$31,Assumptions!$AF$86/ROUNDUP((12/12),0),)</f>
        <v>0</v>
      </c>
      <c r="BP43" s="687">
        <f>+IF(BP42=Assumptions!$G$31,Assumptions!$AF$86/ROUNDUP((12/12),0),)</f>
        <v>0</v>
      </c>
      <c r="BQ43" s="687">
        <f>+IF(BQ42=Assumptions!$G$31,Assumptions!$AF$86/ROUNDUP((12/12),0),)</f>
        <v>0</v>
      </c>
      <c r="BR43" s="151"/>
      <c r="BS43" s="151"/>
      <c r="BT43" s="151"/>
      <c r="BU43" s="151"/>
      <c r="BV43" s="151"/>
      <c r="BW43" s="151"/>
      <c r="BX43" s="151"/>
    </row>
    <row r="44" spans="2:76">
      <c r="B44" s="699" t="s">
        <v>1128</v>
      </c>
      <c r="C44" s="699"/>
      <c r="D44" s="699"/>
      <c r="E44" s="699"/>
      <c r="F44" s="1028">
        <f>+F39*Assumptions!$G$92*F41</f>
        <v>0</v>
      </c>
      <c r="G44" s="1028">
        <f>+G39*Assumptions!$G$92*G41</f>
        <v>0</v>
      </c>
      <c r="H44" s="1028">
        <f>+H39*Assumptions!$G$92*H41</f>
        <v>0</v>
      </c>
      <c r="I44" s="1028">
        <f>+I39*Assumptions!$G$92*I41</f>
        <v>14122608.875472039</v>
      </c>
      <c r="J44" s="1028">
        <f>+J39*Assumptions!$G$92*J41</f>
        <v>14546287.1417362</v>
      </c>
      <c r="K44" s="1028">
        <f>+K39*Assumptions!$G$92*K41</f>
        <v>14982675.755988287</v>
      </c>
      <c r="L44" s="1028">
        <f>+L39*Assumptions!$G$92*L41</f>
        <v>15432156.028667936</v>
      </c>
      <c r="M44" s="1028">
        <f>+M39*Assumptions!$G$92*M41</f>
        <v>15895120.709527975</v>
      </c>
      <c r="N44" s="1028">
        <f>+N39*Assumptions!$G$92*N41</f>
        <v>16371974.330813814</v>
      </c>
      <c r="O44" s="1028">
        <f>+O39*Assumptions!$G$92*O41</f>
        <v>16863133.560738228</v>
      </c>
      <c r="P44" s="1028">
        <f>+P39*Assumptions!$G$92*P41</f>
        <v>17369027.567560375</v>
      </c>
      <c r="Q44" s="1028">
        <f>+Q39*Assumptions!$G$92*Q41</f>
        <v>17890098.394587189</v>
      </c>
      <c r="R44" s="1028">
        <f>+R39*Assumptions!$G$92*R41</f>
        <v>18426801.346424803</v>
      </c>
      <c r="S44" s="1028">
        <f>+S39*Assumptions!$G$92*S41</f>
        <v>18979605.386817548</v>
      </c>
      <c r="T44" s="1028">
        <f>+T39*Assumptions!$G$92*T41</f>
        <v>19548993.548422076</v>
      </c>
      <c r="U44" s="1028">
        <f>+U39*Assumptions!$G$92*U41</f>
        <v>20135463.354874741</v>
      </c>
      <c r="V44" s="1028">
        <f>+V39*Assumptions!$G$92*V41</f>
        <v>20739527.255520985</v>
      </c>
      <c r="W44" s="1028">
        <f>+W39*Assumptions!$G$92*W41</f>
        <v>21361713.073186614</v>
      </c>
      <c r="X44" s="1028">
        <f>+X39*Assumptions!$G$92*X41</f>
        <v>22002564.465382211</v>
      </c>
      <c r="Y44" s="1028">
        <f>+Y39*Assumptions!$G$92*Y41</f>
        <v>22662641.399343681</v>
      </c>
      <c r="Z44" s="1028">
        <f>+Z39*Assumptions!$G$92*Z41</f>
        <v>23342520.641323991</v>
      </c>
      <c r="AA44" s="699"/>
      <c r="AB44" s="699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 t="s">
        <v>1121</v>
      </c>
      <c r="AT44" s="151"/>
      <c r="AU44" s="151"/>
      <c r="AV44" s="687">
        <v>0</v>
      </c>
      <c r="AW44" s="687">
        <f>+AV44+AW43</f>
        <v>0</v>
      </c>
      <c r="AX44" s="687">
        <f t="shared" ref="AX44:BQ44" si="22">+AW44+AX43</f>
        <v>0</v>
      </c>
      <c r="AY44" s="687">
        <f t="shared" si="22"/>
        <v>0</v>
      </c>
      <c r="AZ44" s="687">
        <f t="shared" si="22"/>
        <v>0</v>
      </c>
      <c r="BA44" s="687">
        <f t="shared" si="22"/>
        <v>0</v>
      </c>
      <c r="BB44" s="687">
        <f t="shared" si="22"/>
        <v>0</v>
      </c>
      <c r="BC44" s="687">
        <f t="shared" si="22"/>
        <v>0</v>
      </c>
      <c r="BD44" s="687">
        <f t="shared" si="22"/>
        <v>0</v>
      </c>
      <c r="BE44" s="687">
        <f t="shared" si="22"/>
        <v>0</v>
      </c>
      <c r="BF44" s="687">
        <f t="shared" si="22"/>
        <v>0</v>
      </c>
      <c r="BG44" s="687">
        <f t="shared" si="22"/>
        <v>0</v>
      </c>
      <c r="BH44" s="687">
        <f t="shared" si="22"/>
        <v>0</v>
      </c>
      <c r="BI44" s="687">
        <f t="shared" si="22"/>
        <v>0</v>
      </c>
      <c r="BJ44" s="687">
        <f t="shared" si="22"/>
        <v>0</v>
      </c>
      <c r="BK44" s="687">
        <f t="shared" si="22"/>
        <v>0</v>
      </c>
      <c r="BL44" s="687">
        <f t="shared" si="22"/>
        <v>0</v>
      </c>
      <c r="BM44" s="687">
        <f t="shared" si="22"/>
        <v>0</v>
      </c>
      <c r="BN44" s="687">
        <f t="shared" si="22"/>
        <v>0</v>
      </c>
      <c r="BO44" s="687">
        <f t="shared" si="22"/>
        <v>0</v>
      </c>
      <c r="BP44" s="687">
        <f t="shared" si="22"/>
        <v>0</v>
      </c>
      <c r="BQ44" s="687">
        <f t="shared" si="22"/>
        <v>0</v>
      </c>
      <c r="BR44" s="151"/>
      <c r="BS44" s="151"/>
      <c r="BT44" s="151"/>
      <c r="BU44" s="151"/>
      <c r="BV44" s="151"/>
      <c r="BW44" s="151"/>
      <c r="BX44" s="151"/>
    </row>
    <row r="45" spans="2:76">
      <c r="B45" s="699" t="s">
        <v>1129</v>
      </c>
      <c r="C45" s="699"/>
      <c r="D45" s="699"/>
      <c r="E45" s="699"/>
      <c r="F45" s="1085">
        <f>-Assumptions!$E$99*'Phase 2 Pro Forma'!F44</f>
        <v>0</v>
      </c>
      <c r="G45" s="1085">
        <f>-Assumptions!$E$99*'Phase 2 Pro Forma'!G44</f>
        <v>0</v>
      </c>
      <c r="H45" s="1085">
        <f>-Assumptions!$E$99*'Phase 2 Pro Forma'!H44</f>
        <v>0</v>
      </c>
      <c r="I45" s="1085">
        <f>-Assumptions!$E$99*'Phase 2 Pro Forma'!I44</f>
        <v>-141226.0887547204</v>
      </c>
      <c r="J45" s="1085">
        <f>-Assumptions!$E$99*'Phase 2 Pro Forma'!J44</f>
        <v>-145462.87141736201</v>
      </c>
      <c r="K45" s="1085">
        <f>-Assumptions!$E$99*'Phase 2 Pro Forma'!K44</f>
        <v>-149826.75755988288</v>
      </c>
      <c r="L45" s="1085">
        <f>-Assumptions!$E$99*'Phase 2 Pro Forma'!L44</f>
        <v>-154321.56028667936</v>
      </c>
      <c r="M45" s="1085">
        <f>-Assumptions!$E$99*'Phase 2 Pro Forma'!M44</f>
        <v>-158951.20709527977</v>
      </c>
      <c r="N45" s="1085">
        <f>-Assumptions!$E$99*'Phase 2 Pro Forma'!N44</f>
        <v>-163719.74330813813</v>
      </c>
      <c r="O45" s="1085">
        <f>-Assumptions!$E$99*'Phase 2 Pro Forma'!O44</f>
        <v>-168631.33560738229</v>
      </c>
      <c r="P45" s="1085">
        <f>-Assumptions!$E$99*'Phase 2 Pro Forma'!P44</f>
        <v>-173690.27567560374</v>
      </c>
      <c r="Q45" s="1085">
        <f>-Assumptions!$E$99*'Phase 2 Pro Forma'!Q44</f>
        <v>-178900.98394587191</v>
      </c>
      <c r="R45" s="1085">
        <f>-Assumptions!$E$99*'Phase 2 Pro Forma'!R44</f>
        <v>-184268.01346424804</v>
      </c>
      <c r="S45" s="1085">
        <f>-Assumptions!$E$99*'Phase 2 Pro Forma'!S44</f>
        <v>-189796.05386817548</v>
      </c>
      <c r="T45" s="1085">
        <f>-Assumptions!$E$99*'Phase 2 Pro Forma'!T44</f>
        <v>-195489.93548422077</v>
      </c>
      <c r="U45" s="1085">
        <f>-Assumptions!$E$99*'Phase 2 Pro Forma'!U44</f>
        <v>-201354.63354874743</v>
      </c>
      <c r="V45" s="1085">
        <f>-Assumptions!$E$99*'Phase 2 Pro Forma'!V44</f>
        <v>-207395.27255520984</v>
      </c>
      <c r="W45" s="1085">
        <f>-Assumptions!$E$99*'Phase 2 Pro Forma'!W44</f>
        <v>-213617.13073186614</v>
      </c>
      <c r="X45" s="1085">
        <f>-Assumptions!$E$99*'Phase 2 Pro Forma'!X44</f>
        <v>-220025.64465382212</v>
      </c>
      <c r="Y45" s="1085">
        <f>-Assumptions!$E$99*'Phase 2 Pro Forma'!Y44</f>
        <v>-226626.41399343681</v>
      </c>
      <c r="Z45" s="1085">
        <f>-Assumptions!$E$99*'Phase 2 Pro Forma'!Z44</f>
        <v>-233425.20641323991</v>
      </c>
      <c r="AA45" s="699"/>
      <c r="AB45" s="699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 t="s">
        <v>1123</v>
      </c>
      <c r="AT45" s="151"/>
      <c r="AU45" s="151"/>
      <c r="AV45" s="151"/>
      <c r="AW45" s="975">
        <f>+AW46-AV46</f>
        <v>0</v>
      </c>
      <c r="AX45" s="975">
        <f t="shared" ref="AX45:BQ45" si="23">+AX46-AW46</f>
        <v>0</v>
      </c>
      <c r="AY45" s="975">
        <f t="shared" si="23"/>
        <v>0</v>
      </c>
      <c r="AZ45" s="975">
        <f t="shared" si="23"/>
        <v>0</v>
      </c>
      <c r="BA45" s="975">
        <f t="shared" si="23"/>
        <v>0</v>
      </c>
      <c r="BB45" s="975">
        <f t="shared" si="23"/>
        <v>0</v>
      </c>
      <c r="BC45" s="975">
        <f t="shared" si="23"/>
        <v>0</v>
      </c>
      <c r="BD45" s="975">
        <f t="shared" si="23"/>
        <v>0</v>
      </c>
      <c r="BE45" s="975">
        <f t="shared" si="23"/>
        <v>0</v>
      </c>
      <c r="BF45" s="975">
        <f t="shared" si="23"/>
        <v>0</v>
      </c>
      <c r="BG45" s="975">
        <f t="shared" si="23"/>
        <v>0</v>
      </c>
      <c r="BH45" s="975">
        <f t="shared" si="23"/>
        <v>0</v>
      </c>
      <c r="BI45" s="975">
        <f t="shared" si="23"/>
        <v>0</v>
      </c>
      <c r="BJ45" s="975">
        <f t="shared" si="23"/>
        <v>0</v>
      </c>
      <c r="BK45" s="975">
        <f t="shared" si="23"/>
        <v>0</v>
      </c>
      <c r="BL45" s="975">
        <f t="shared" si="23"/>
        <v>0</v>
      </c>
      <c r="BM45" s="975">
        <f t="shared" si="23"/>
        <v>0</v>
      </c>
      <c r="BN45" s="975">
        <f t="shared" si="23"/>
        <v>0</v>
      </c>
      <c r="BO45" s="975">
        <f t="shared" si="23"/>
        <v>0</v>
      </c>
      <c r="BP45" s="975">
        <f t="shared" si="23"/>
        <v>0</v>
      </c>
      <c r="BQ45" s="975">
        <f t="shared" si="23"/>
        <v>0</v>
      </c>
      <c r="BR45" s="151"/>
      <c r="BS45" s="151"/>
      <c r="BT45" s="151"/>
      <c r="BU45" s="151"/>
      <c r="BV45" s="151"/>
      <c r="BW45" s="151"/>
      <c r="BX45" s="151"/>
    </row>
    <row r="46" spans="2:76">
      <c r="B46" s="699" t="s">
        <v>1130</v>
      </c>
      <c r="C46" s="699"/>
      <c r="D46" s="699"/>
      <c r="E46" s="699"/>
      <c r="F46" s="1085">
        <f>-F44*Assumptions!$O$60</f>
        <v>0</v>
      </c>
      <c r="G46" s="1085">
        <f>-G44*Assumptions!$O$60</f>
        <v>0</v>
      </c>
      <c r="H46" s="1085">
        <f>-H44*Assumptions!$O$60</f>
        <v>0</v>
      </c>
      <c r="I46" s="1085">
        <f>-I44*Assumptions!$O$60</f>
        <v>-988582.62128304283</v>
      </c>
      <c r="J46" s="1085">
        <f>-J44*Assumptions!$O$60</f>
        <v>-1018240.0999215341</v>
      </c>
      <c r="K46" s="1085">
        <f>-K44*Assumptions!$O$60</f>
        <v>-1048787.3029191801</v>
      </c>
      <c r="L46" s="1085">
        <f>-L44*Assumptions!$O$60</f>
        <v>-1080250.9220067556</v>
      </c>
      <c r="M46" s="1085">
        <f>-M44*Assumptions!$O$60</f>
        <v>-1112658.4496669583</v>
      </c>
      <c r="N46" s="1085">
        <f>-N44*Assumptions!$O$60</f>
        <v>-1146038.2031569672</v>
      </c>
      <c r="O46" s="1085">
        <f>-O44*Assumptions!$O$60</f>
        <v>-1180419.3492516761</v>
      </c>
      <c r="P46" s="1085">
        <f>-P44*Assumptions!$O$60</f>
        <v>-1215831.9297292263</v>
      </c>
      <c r="Q46" s="1085">
        <f>-Q44*Assumptions!$O$60</f>
        <v>-1252306.8876211033</v>
      </c>
      <c r="R46" s="1085">
        <f>-R44*Assumptions!$O$60</f>
        <v>-1289876.0942497363</v>
      </c>
      <c r="S46" s="1085">
        <f>-S44*Assumptions!$O$60</f>
        <v>-1328572.3770772286</v>
      </c>
      <c r="T46" s="1085">
        <f>-T44*Assumptions!$O$60</f>
        <v>-1368429.5483895454</v>
      </c>
      <c r="U46" s="1085">
        <f>-U44*Assumptions!$O$60</f>
        <v>-1409482.4348412319</v>
      </c>
      <c r="V46" s="1085">
        <f>-V44*Assumptions!$O$60</f>
        <v>-1451766.907886469</v>
      </c>
      <c r="W46" s="1085">
        <f>-W44*Assumptions!$O$60</f>
        <v>-1495319.9151230631</v>
      </c>
      <c r="X46" s="1085">
        <f>-X44*Assumptions!$O$60</f>
        <v>-1540179.5125767549</v>
      </c>
      <c r="Y46" s="1085">
        <f>-Y44*Assumptions!$O$60</f>
        <v>-1586384.8979540579</v>
      </c>
      <c r="Z46" s="1085">
        <f>-Z44*Assumptions!$O$60</f>
        <v>-1633976.4448926796</v>
      </c>
      <c r="AA46" s="699"/>
      <c r="AB46" s="699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 t="s">
        <v>1124</v>
      </c>
      <c r="AT46" s="151"/>
      <c r="AU46" s="151"/>
      <c r="AV46" s="151"/>
      <c r="AW46" s="975">
        <f>+AW47*Assumptions!$AF$87</f>
        <v>0</v>
      </c>
      <c r="AX46" s="975">
        <f>+AX47*Assumptions!$AF$87</f>
        <v>0</v>
      </c>
      <c r="AY46" s="975">
        <f>+AY47*Assumptions!$AF$87</f>
        <v>0</v>
      </c>
      <c r="AZ46" s="975">
        <f>+AZ47*Assumptions!$AF$87</f>
        <v>0</v>
      </c>
      <c r="BA46" s="975">
        <f>+BA47*Assumptions!$AF$87</f>
        <v>0</v>
      </c>
      <c r="BB46" s="975">
        <f>+BB47*Assumptions!$AF$87</f>
        <v>0</v>
      </c>
      <c r="BC46" s="975">
        <f>+BC47*Assumptions!$AF$87</f>
        <v>0</v>
      </c>
      <c r="BD46" s="975">
        <f>+BD47*Assumptions!$AF$87</f>
        <v>0</v>
      </c>
      <c r="BE46" s="975">
        <f>+BE47*Assumptions!$AF$87</f>
        <v>0</v>
      </c>
      <c r="BF46" s="975">
        <f>+BF47*Assumptions!$AF$87</f>
        <v>0</v>
      </c>
      <c r="BG46" s="975">
        <f>+BG47*Assumptions!$AF$87</f>
        <v>0</v>
      </c>
      <c r="BH46" s="975">
        <f>+BH47*Assumptions!$AF$87</f>
        <v>0</v>
      </c>
      <c r="BI46" s="975">
        <f>+BI47*Assumptions!$AF$87</f>
        <v>0</v>
      </c>
      <c r="BJ46" s="975">
        <f>+BJ47*Assumptions!$AF$87</f>
        <v>0</v>
      </c>
      <c r="BK46" s="975">
        <f>+BK47*Assumptions!$AF$87</f>
        <v>0</v>
      </c>
      <c r="BL46" s="975">
        <f>+BL47*Assumptions!$AF$87</f>
        <v>0</v>
      </c>
      <c r="BM46" s="975">
        <f>+BM47*Assumptions!$AF$87</f>
        <v>0</v>
      </c>
      <c r="BN46" s="975">
        <f>+BN47*Assumptions!$AF$87</f>
        <v>0</v>
      </c>
      <c r="BO46" s="975">
        <f>+BO47*Assumptions!$AF$87</f>
        <v>0</v>
      </c>
      <c r="BP46" s="975">
        <f>+BP47*Assumptions!$AF$87</f>
        <v>0</v>
      </c>
      <c r="BQ46" s="975">
        <f>+BQ47*Assumptions!$AF$87</f>
        <v>0</v>
      </c>
      <c r="BR46" s="151"/>
      <c r="BS46" s="151"/>
      <c r="BT46" s="151"/>
      <c r="BU46" s="151"/>
      <c r="BV46" s="151"/>
      <c r="BW46" s="151"/>
      <c r="BX46" s="151"/>
    </row>
    <row r="47" spans="2:76">
      <c r="B47" s="699" t="s">
        <v>1184</v>
      </c>
      <c r="C47" s="699"/>
      <c r="D47" s="699"/>
      <c r="E47" s="699"/>
      <c r="F47" s="1085">
        <f>+F38*Assumptions!$AF$159*(1-Assumptions!$O$60)*12</f>
        <v>0</v>
      </c>
      <c r="G47" s="1085">
        <f>+G38*Assumptions!$AF$159*(1-Assumptions!$O$60)*12</f>
        <v>0</v>
      </c>
      <c r="H47" s="1085">
        <f>+H38*Assumptions!$AF$159*(1-Assumptions!$O$60)*12</f>
        <v>0</v>
      </c>
      <c r="I47" s="1085">
        <f>+I38*Assumptions!$AF$159*(1-Assumptions!$O$60)*12</f>
        <v>156632.710957993</v>
      </c>
      <c r="J47" s="1085">
        <f>+J38*Assumptions!$AF$159*(1-Assumptions!$O$60)*12</f>
        <v>156632.710957993</v>
      </c>
      <c r="K47" s="1085">
        <f>+K38*Assumptions!$AF$159*(1-Assumptions!$O$60)*12</f>
        <v>156632.710957993</v>
      </c>
      <c r="L47" s="1085">
        <f>+L38*Assumptions!$AF$159*(1-Assumptions!$O$60)*12</f>
        <v>156632.710957993</v>
      </c>
      <c r="M47" s="1085">
        <f>+M38*Assumptions!$AF$159*(1-Assumptions!$O$60)*12</f>
        <v>156632.710957993</v>
      </c>
      <c r="N47" s="1085">
        <f>+N38*Assumptions!$AF$159*(1-Assumptions!$O$60)*12</f>
        <v>156632.710957993</v>
      </c>
      <c r="O47" s="1085">
        <f>+O38*Assumptions!$AF$159*(1-Assumptions!$O$60)*12</f>
        <v>156632.710957993</v>
      </c>
      <c r="P47" s="1085">
        <f>+P38*Assumptions!$AF$159*(1-Assumptions!$O$60)*12</f>
        <v>156632.710957993</v>
      </c>
      <c r="Q47" s="1085">
        <f>+Q38*Assumptions!$AF$159*(1-Assumptions!$O$60)*12</f>
        <v>156632.710957993</v>
      </c>
      <c r="R47" s="1085">
        <f>+R38*Assumptions!$AF$159*(1-Assumptions!$O$60)*12</f>
        <v>156632.710957993</v>
      </c>
      <c r="S47" s="1085">
        <f>+S38*Assumptions!$AF$159*(1-Assumptions!$O$60)*12</f>
        <v>156632.710957993</v>
      </c>
      <c r="T47" s="1085">
        <f>+T38*Assumptions!$AF$159*(1-Assumptions!$O$60)*12</f>
        <v>156632.710957993</v>
      </c>
      <c r="U47" s="1085">
        <f>+U38*Assumptions!$AF$159*(1-Assumptions!$O$60)*12</f>
        <v>156632.710957993</v>
      </c>
      <c r="V47" s="1085">
        <f>+V38*Assumptions!$AF$159*(1-Assumptions!$O$60)*12</f>
        <v>156632.710957993</v>
      </c>
      <c r="W47" s="1085">
        <f>+W38*Assumptions!$AF$159*(1-Assumptions!$O$60)*12</f>
        <v>156632.710957993</v>
      </c>
      <c r="X47" s="1085">
        <f>+X38*Assumptions!$AF$159*(1-Assumptions!$O$60)*12</f>
        <v>156632.710957993</v>
      </c>
      <c r="Y47" s="1085">
        <f>+Y38*Assumptions!$AF$159*(1-Assumptions!$O$60)*12</f>
        <v>156632.710957993</v>
      </c>
      <c r="Z47" s="1085">
        <f>+Z38*Assumptions!$AF$159*(1-Assumptions!$O$60)*12</f>
        <v>156632.710957993</v>
      </c>
      <c r="AA47" s="699"/>
      <c r="AB47" s="699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 t="s">
        <v>1125</v>
      </c>
      <c r="AT47" s="151"/>
      <c r="AU47" s="151"/>
      <c r="AV47" s="151"/>
      <c r="AW47" s="749">
        <f t="shared" ref="AW47:BQ47" si="24">+IFERROR(AW44/SUM($AW43:$BQ43),0)</f>
        <v>0</v>
      </c>
      <c r="AX47" s="749">
        <f t="shared" si="24"/>
        <v>0</v>
      </c>
      <c r="AY47" s="749">
        <f t="shared" si="24"/>
        <v>0</v>
      </c>
      <c r="AZ47" s="749">
        <f t="shared" si="24"/>
        <v>0</v>
      </c>
      <c r="BA47" s="749">
        <f t="shared" si="24"/>
        <v>0</v>
      </c>
      <c r="BB47" s="749">
        <f t="shared" si="24"/>
        <v>0</v>
      </c>
      <c r="BC47" s="749">
        <f t="shared" si="24"/>
        <v>0</v>
      </c>
      <c r="BD47" s="749">
        <f t="shared" si="24"/>
        <v>0</v>
      </c>
      <c r="BE47" s="749">
        <f t="shared" si="24"/>
        <v>0</v>
      </c>
      <c r="BF47" s="749">
        <f t="shared" si="24"/>
        <v>0</v>
      </c>
      <c r="BG47" s="749">
        <f t="shared" si="24"/>
        <v>0</v>
      </c>
      <c r="BH47" s="749">
        <f t="shared" si="24"/>
        <v>0</v>
      </c>
      <c r="BI47" s="749">
        <f t="shared" si="24"/>
        <v>0</v>
      </c>
      <c r="BJ47" s="749">
        <f t="shared" si="24"/>
        <v>0</v>
      </c>
      <c r="BK47" s="749">
        <f t="shared" si="24"/>
        <v>0</v>
      </c>
      <c r="BL47" s="749">
        <f t="shared" si="24"/>
        <v>0</v>
      </c>
      <c r="BM47" s="749">
        <f t="shared" si="24"/>
        <v>0</v>
      </c>
      <c r="BN47" s="749">
        <f t="shared" si="24"/>
        <v>0</v>
      </c>
      <c r="BO47" s="749">
        <f t="shared" si="24"/>
        <v>0</v>
      </c>
      <c r="BP47" s="749">
        <f t="shared" si="24"/>
        <v>0</v>
      </c>
      <c r="BQ47" s="749">
        <f t="shared" si="24"/>
        <v>0</v>
      </c>
      <c r="BR47" s="151"/>
      <c r="BS47" s="151"/>
      <c r="BT47" s="151"/>
      <c r="BU47" s="151"/>
      <c r="BV47" s="151"/>
      <c r="BW47" s="151"/>
      <c r="BX47" s="151"/>
    </row>
    <row r="48" spans="2:76">
      <c r="B48" s="699" t="s">
        <v>48</v>
      </c>
      <c r="C48" s="699"/>
      <c r="D48" s="699"/>
      <c r="E48" s="699"/>
      <c r="F48" s="1085">
        <f>+(F38*Assumptions!$AD$160*Assumptions!$AD$161)*12</f>
        <v>0</v>
      </c>
      <c r="G48" s="1085">
        <f>+(G38*Assumptions!$AD$160*Assumptions!$AD$161)*12</f>
        <v>0</v>
      </c>
      <c r="H48" s="1085">
        <f>+(H38*Assumptions!$AD$160*Assumptions!$AD$161)*12</f>
        <v>0</v>
      </c>
      <c r="I48" s="1085">
        <f>+(I38*Assumptions!$AD$160*Assumptions!$AD$161)*12</f>
        <v>17569.504968161971</v>
      </c>
      <c r="J48" s="1085">
        <f>+(J38*Assumptions!$AD$160*Assumptions!$AD$161)*12</f>
        <v>17569.504968161971</v>
      </c>
      <c r="K48" s="1085">
        <f>+(K38*Assumptions!$AD$160*Assumptions!$AD$161)*12</f>
        <v>17569.504968161971</v>
      </c>
      <c r="L48" s="1085">
        <f>+(L38*Assumptions!$AD$160*Assumptions!$AD$161)*12</f>
        <v>17569.504968161971</v>
      </c>
      <c r="M48" s="1085">
        <f>+(M38*Assumptions!$AD$160*Assumptions!$AD$161)*12</f>
        <v>17569.504968161971</v>
      </c>
      <c r="N48" s="1085">
        <f>+(N38*Assumptions!$AD$160*Assumptions!$AD$161)*12</f>
        <v>17569.504968161971</v>
      </c>
      <c r="O48" s="1085">
        <f>+(O38*Assumptions!$AD$160*Assumptions!$AD$161)*12</f>
        <v>17569.504968161971</v>
      </c>
      <c r="P48" s="1085">
        <f>+(P38*Assumptions!$AD$160*Assumptions!$AD$161)*12</f>
        <v>17569.504968161971</v>
      </c>
      <c r="Q48" s="1085">
        <f>+(Q38*Assumptions!$AD$160*Assumptions!$AD$161)*12</f>
        <v>17569.504968161971</v>
      </c>
      <c r="R48" s="1085">
        <f>+(R38*Assumptions!$AD$160*Assumptions!$AD$161)*12</f>
        <v>17569.504968161971</v>
      </c>
      <c r="S48" s="1085">
        <f>+(S38*Assumptions!$AD$160*Assumptions!$AD$161)*12</f>
        <v>17569.504968161971</v>
      </c>
      <c r="T48" s="1085">
        <f>+(T38*Assumptions!$AD$160*Assumptions!$AD$161)*12</f>
        <v>17569.504968161971</v>
      </c>
      <c r="U48" s="1085">
        <f>+(U38*Assumptions!$AD$160*Assumptions!$AD$161)*12</f>
        <v>17569.504968161971</v>
      </c>
      <c r="V48" s="1085">
        <f>+(V38*Assumptions!$AD$160*Assumptions!$AD$161)*12</f>
        <v>17569.504968161971</v>
      </c>
      <c r="W48" s="1085">
        <f>+(W38*Assumptions!$AD$160*Assumptions!$AD$161)*12</f>
        <v>17569.504968161971</v>
      </c>
      <c r="X48" s="1085">
        <f>+(X38*Assumptions!$AD$160*Assumptions!$AD$161)*12</f>
        <v>17569.504968161971</v>
      </c>
      <c r="Y48" s="1085">
        <f>+(Y38*Assumptions!$AD$160*Assumptions!$AD$161)*12</f>
        <v>17569.504968161971</v>
      </c>
      <c r="Z48" s="1085">
        <f>+(Z38*Assumptions!$AD$160*Assumptions!$AD$161)*12</f>
        <v>17569.504968161971</v>
      </c>
      <c r="AA48" s="699"/>
      <c r="AB48" s="699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  <c r="AU48" s="151"/>
      <c r="AV48" s="151"/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</row>
    <row r="49" spans="1:76">
      <c r="A49" s="699"/>
      <c r="B49" s="699" t="s">
        <v>50</v>
      </c>
      <c r="C49" s="699"/>
      <c r="D49" s="699"/>
      <c r="E49" s="699"/>
      <c r="F49" s="1085">
        <f>+F38*Assumptions!$AD$162*Assumptions!$AD$163*12</f>
        <v>0</v>
      </c>
      <c r="G49" s="1085">
        <f>+G38*Assumptions!$AD$162*Assumptions!$AD$163*12</f>
        <v>0</v>
      </c>
      <c r="H49" s="1085">
        <f>+H38*Assumptions!$AD$162*Assumptions!$AD$163*12</f>
        <v>0</v>
      </c>
      <c r="I49" s="1085">
        <f>+I38*Assumptions!$AD$162*Assumptions!$AD$163*12</f>
        <v>86354.691085345112</v>
      </c>
      <c r="J49" s="1085">
        <f>+J38*Assumptions!$AD$162*Assumptions!$AD$163*12</f>
        <v>86354.691085345112</v>
      </c>
      <c r="K49" s="1085">
        <f>+K38*Assumptions!$AD$162*Assumptions!$AD$163*12</f>
        <v>86354.691085345112</v>
      </c>
      <c r="L49" s="1085">
        <f>+L38*Assumptions!$AD$162*Assumptions!$AD$163*12</f>
        <v>86354.691085345112</v>
      </c>
      <c r="M49" s="1085">
        <f>+M38*Assumptions!$AD$162*Assumptions!$AD$163*12</f>
        <v>86354.691085345112</v>
      </c>
      <c r="N49" s="1085">
        <f>+N38*Assumptions!$AD$162*Assumptions!$AD$163*12</f>
        <v>86354.691085345112</v>
      </c>
      <c r="O49" s="1085">
        <f>+O38*Assumptions!$AD$162*Assumptions!$AD$163*12</f>
        <v>86354.691085345112</v>
      </c>
      <c r="P49" s="1085">
        <f>+P38*Assumptions!$AD$162*Assumptions!$AD$163*12</f>
        <v>86354.691085345112</v>
      </c>
      <c r="Q49" s="1085">
        <f>+Q38*Assumptions!$AD$162*Assumptions!$AD$163*12</f>
        <v>86354.691085345112</v>
      </c>
      <c r="R49" s="1085">
        <f>+R38*Assumptions!$AD$162*Assumptions!$AD$163*12</f>
        <v>86354.691085345112</v>
      </c>
      <c r="S49" s="1085">
        <f>+S38*Assumptions!$AD$162*Assumptions!$AD$163*12</f>
        <v>86354.691085345112</v>
      </c>
      <c r="T49" s="1085">
        <f>+T38*Assumptions!$AD$162*Assumptions!$AD$163*12</f>
        <v>86354.691085345112</v>
      </c>
      <c r="U49" s="1085">
        <f>+U38*Assumptions!$AD$162*Assumptions!$AD$163*12</f>
        <v>86354.691085345112</v>
      </c>
      <c r="V49" s="1085">
        <f>+V38*Assumptions!$AD$162*Assumptions!$AD$163*12</f>
        <v>86354.691085345112</v>
      </c>
      <c r="W49" s="1085">
        <f>+W38*Assumptions!$AD$162*Assumptions!$AD$163*12</f>
        <v>86354.691085345112</v>
      </c>
      <c r="X49" s="1085">
        <f>+X38*Assumptions!$AD$162*Assumptions!$AD$163*12</f>
        <v>86354.691085345112</v>
      </c>
      <c r="Y49" s="1085">
        <f>+Y38*Assumptions!$AD$162*Assumptions!$AD$163*12</f>
        <v>86354.691085345112</v>
      </c>
      <c r="Z49" s="1085">
        <f>+Z38*Assumptions!$AD$162*Assumptions!$AD$163*12</f>
        <v>86354.691085345112</v>
      </c>
      <c r="AA49" s="699"/>
      <c r="AB49" s="699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 t="s">
        <v>1126</v>
      </c>
      <c r="AT49" s="151"/>
      <c r="AU49" s="151"/>
      <c r="AV49" s="151"/>
      <c r="AW49" s="749">
        <v>1</v>
      </c>
      <c r="AX49" s="749">
        <f>+AW49*(1+Assumptions!$O$69)</f>
        <v>1.03</v>
      </c>
      <c r="AY49" s="749">
        <f>+AX49*(1+Assumptions!$O$69)</f>
        <v>1.0609</v>
      </c>
      <c r="AZ49" s="749">
        <f>+AY49*(1+Assumptions!$O$69)</f>
        <v>1.092727</v>
      </c>
      <c r="BA49" s="749">
        <f>+AZ49*(1+Assumptions!$O$69)</f>
        <v>1.1255088100000001</v>
      </c>
      <c r="BB49" s="749">
        <f>+BA49*(1+Assumptions!$O$69)</f>
        <v>1.1592740743000001</v>
      </c>
      <c r="BC49" s="749">
        <f>+BB49*(1+Assumptions!$O$69)</f>
        <v>1.1940522965290001</v>
      </c>
      <c r="BD49" s="749">
        <f>+BC49*(1+Assumptions!$O$69)</f>
        <v>1.2298738654248702</v>
      </c>
      <c r="BE49" s="749">
        <f>+BD49*(1+Assumptions!$O$69)</f>
        <v>1.2667700813876164</v>
      </c>
      <c r="BF49" s="749">
        <f>+BE49*(1+Assumptions!$O$69)</f>
        <v>1.3047731838292449</v>
      </c>
      <c r="BG49" s="749">
        <f>+BF49*(1+Assumptions!$O$69)</f>
        <v>1.3439163793441222</v>
      </c>
      <c r="BH49" s="749">
        <f>+BG49*(1+Assumptions!$O$69)</f>
        <v>1.3842338707244459</v>
      </c>
      <c r="BI49" s="749">
        <f>+BH49*(1+Assumptions!$O$69)</f>
        <v>1.4257608868461793</v>
      </c>
      <c r="BJ49" s="749">
        <f>+BI49*(1+Assumptions!$O$69)</f>
        <v>1.4685337134515648</v>
      </c>
      <c r="BK49" s="749">
        <f>+BJ49*(1+Assumptions!$O$69)</f>
        <v>1.5125897248551119</v>
      </c>
      <c r="BL49" s="749">
        <f>+BK49*(1+Assumptions!$O$69)</f>
        <v>1.5579674166007653</v>
      </c>
      <c r="BM49" s="749">
        <f>+BL49*(1+Assumptions!$O$69)</f>
        <v>1.6047064390987884</v>
      </c>
      <c r="BN49" s="749">
        <f>+BM49*(1+Assumptions!$O$69)</f>
        <v>1.652847632271752</v>
      </c>
      <c r="BO49" s="749">
        <f>+BN49*(1+Assumptions!$O$69)</f>
        <v>1.7024330612399046</v>
      </c>
      <c r="BP49" s="749">
        <f>+BO49*(1+Assumptions!$O$69)</f>
        <v>1.7535060530771018</v>
      </c>
      <c r="BQ49" s="749">
        <f>+BP49*(1+Assumptions!$O$69)</f>
        <v>1.806111234669415</v>
      </c>
      <c r="BR49" s="151"/>
      <c r="BS49" s="151"/>
      <c r="BT49" s="151"/>
      <c r="BU49" s="151"/>
      <c r="BV49" s="151"/>
      <c r="BW49" s="151"/>
      <c r="BX49" s="151"/>
    </row>
    <row r="50" spans="1:76">
      <c r="A50" s="699"/>
      <c r="B50" s="699" t="s">
        <v>52</v>
      </c>
      <c r="C50" s="699"/>
      <c r="D50" s="699"/>
      <c r="E50" s="699"/>
      <c r="F50" s="1085">
        <f>+F38*Assumptions!$AD$164*Assumptions!$AD$165*12</f>
        <v>0</v>
      </c>
      <c r="G50" s="1085">
        <f>+G38*Assumptions!$AD$164*Assumptions!$AD$165*12</f>
        <v>0</v>
      </c>
      <c r="H50" s="1085">
        <f>+H38*Assumptions!$AD$164*Assumptions!$AD$165*12</f>
        <v>0</v>
      </c>
      <c r="I50" s="1085">
        <f>+I38*Assumptions!$AD$164*Assumptions!$AD$165*12</f>
        <v>68134.463710954922</v>
      </c>
      <c r="J50" s="1085">
        <f>+J38*Assumptions!$AD$164*Assumptions!$AD$165*12</f>
        <v>68134.463710954922</v>
      </c>
      <c r="K50" s="1085">
        <f>+K38*Assumptions!$AD$164*Assumptions!$AD$165*12</f>
        <v>68134.463710954922</v>
      </c>
      <c r="L50" s="1085">
        <f>+L38*Assumptions!$AD$164*Assumptions!$AD$165*12</f>
        <v>68134.463710954922</v>
      </c>
      <c r="M50" s="1085">
        <f>+M38*Assumptions!$AD$164*Assumptions!$AD$165*12</f>
        <v>68134.463710954922</v>
      </c>
      <c r="N50" s="1085">
        <f>+N38*Assumptions!$AD$164*Assumptions!$AD$165*12</f>
        <v>68134.463710954922</v>
      </c>
      <c r="O50" s="1085">
        <f>+O38*Assumptions!$AD$164*Assumptions!$AD$165*12</f>
        <v>68134.463710954922</v>
      </c>
      <c r="P50" s="1085">
        <f>+P38*Assumptions!$AD$164*Assumptions!$AD$165*12</f>
        <v>68134.463710954922</v>
      </c>
      <c r="Q50" s="1085">
        <f>+Q38*Assumptions!$AD$164*Assumptions!$AD$165*12</f>
        <v>68134.463710954922</v>
      </c>
      <c r="R50" s="1085">
        <f>+R38*Assumptions!$AD$164*Assumptions!$AD$165*12</f>
        <v>68134.463710954922</v>
      </c>
      <c r="S50" s="1085">
        <f>+S38*Assumptions!$AD$164*Assumptions!$AD$165*12</f>
        <v>68134.463710954922</v>
      </c>
      <c r="T50" s="1085">
        <f>+T38*Assumptions!$AD$164*Assumptions!$AD$165*12</f>
        <v>68134.463710954922</v>
      </c>
      <c r="U50" s="1085">
        <f>+U38*Assumptions!$AD$164*Assumptions!$AD$165*12</f>
        <v>68134.463710954922</v>
      </c>
      <c r="V50" s="1085">
        <f>+V38*Assumptions!$AD$164*Assumptions!$AD$165*12</f>
        <v>68134.463710954922</v>
      </c>
      <c r="W50" s="1085">
        <f>+W38*Assumptions!$AD$164*Assumptions!$AD$165*12</f>
        <v>68134.463710954922</v>
      </c>
      <c r="X50" s="1085">
        <f>+X38*Assumptions!$AD$164*Assumptions!$AD$165*12</f>
        <v>68134.463710954922</v>
      </c>
      <c r="Y50" s="1085">
        <f>+Y38*Assumptions!$AD$164*Assumptions!$AD$165*12</f>
        <v>68134.463710954922</v>
      </c>
      <c r="Z50" s="1085">
        <f>+Z38*Assumptions!$AD$164*Assumptions!$AD$165*12</f>
        <v>68134.463710954922</v>
      </c>
      <c r="AA50" s="699"/>
      <c r="AB50" s="699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 t="s">
        <v>1127</v>
      </c>
      <c r="AT50" s="151"/>
      <c r="AU50" s="151"/>
      <c r="AV50" s="151"/>
      <c r="AW50" s="749">
        <v>1</v>
      </c>
      <c r="AX50" s="749">
        <f>+AW50*(1+Assumptions!$O$80)</f>
        <v>1.03</v>
      </c>
      <c r="AY50" s="749">
        <f>+AX50*(1+Assumptions!$O$80)</f>
        <v>1.0609</v>
      </c>
      <c r="AZ50" s="749">
        <f>+AY50*(1+Assumptions!$O$80)</f>
        <v>1.092727</v>
      </c>
      <c r="BA50" s="749">
        <f>+AZ50*(1+Assumptions!$O$80)</f>
        <v>1.1255088100000001</v>
      </c>
      <c r="BB50" s="749">
        <f>+BA50*(1+Assumptions!$O$80)</f>
        <v>1.1592740743000001</v>
      </c>
      <c r="BC50" s="749">
        <f>+BB50*(1+Assumptions!$O$80)</f>
        <v>1.1940522965290001</v>
      </c>
      <c r="BD50" s="749">
        <f>+BC50*(1+Assumptions!$O$80)</f>
        <v>1.2298738654248702</v>
      </c>
      <c r="BE50" s="749">
        <f>+BD50*(1+Assumptions!$O$80)</f>
        <v>1.2667700813876164</v>
      </c>
      <c r="BF50" s="749">
        <f>+BE50*(1+Assumptions!$O$80)</f>
        <v>1.3047731838292449</v>
      </c>
      <c r="BG50" s="749">
        <f>+BF50*(1+Assumptions!$O$80)</f>
        <v>1.3439163793441222</v>
      </c>
      <c r="BH50" s="749">
        <f>+BG50*(1+Assumptions!$O$80)</f>
        <v>1.3842338707244459</v>
      </c>
      <c r="BI50" s="749">
        <f>+BH50*(1+Assumptions!$O$80)</f>
        <v>1.4257608868461793</v>
      </c>
      <c r="BJ50" s="749">
        <f>+BI50*(1+Assumptions!$O$80)</f>
        <v>1.4685337134515648</v>
      </c>
      <c r="BK50" s="749">
        <f>+BJ50*(1+Assumptions!$O$80)</f>
        <v>1.5125897248551119</v>
      </c>
      <c r="BL50" s="749">
        <f>+BK50*(1+Assumptions!$O$80)</f>
        <v>1.5579674166007653</v>
      </c>
      <c r="BM50" s="749">
        <f>+BL50*(1+Assumptions!$O$80)</f>
        <v>1.6047064390987884</v>
      </c>
      <c r="BN50" s="749">
        <f>+BM50*(1+Assumptions!$O$80)</f>
        <v>1.652847632271752</v>
      </c>
      <c r="BO50" s="749">
        <f>+BN50*(1+Assumptions!$O$80)</f>
        <v>1.7024330612399046</v>
      </c>
      <c r="BP50" s="749">
        <f>+BO50*(1+Assumptions!$O$80)</f>
        <v>1.7535060530771018</v>
      </c>
      <c r="BQ50" s="749">
        <f>+BP50*(1+Assumptions!$O$80)</f>
        <v>1.806111234669415</v>
      </c>
      <c r="BR50" s="151"/>
      <c r="BS50" s="151"/>
      <c r="BT50" s="151"/>
      <c r="BU50" s="151"/>
      <c r="BV50" s="151"/>
      <c r="BW50" s="151"/>
      <c r="BX50" s="151"/>
    </row>
    <row r="51" spans="1:76">
      <c r="A51" s="699"/>
      <c r="B51" s="52" t="s">
        <v>1131</v>
      </c>
      <c r="C51" s="1052"/>
      <c r="D51" s="1052"/>
      <c r="E51" s="1052"/>
      <c r="F51" s="1086">
        <f t="shared" ref="F51:Z51" si="25">SUM(F44:F50)</f>
        <v>0</v>
      </c>
      <c r="G51" s="1086">
        <f t="shared" si="25"/>
        <v>0</v>
      </c>
      <c r="H51" s="1086">
        <f t="shared" si="25"/>
        <v>0</v>
      </c>
      <c r="I51" s="1086">
        <f t="shared" si="25"/>
        <v>13321491.536156731</v>
      </c>
      <c r="J51" s="1086">
        <f t="shared" si="25"/>
        <v>13711275.54111976</v>
      </c>
      <c r="K51" s="1086">
        <f t="shared" si="25"/>
        <v>14112753.066231681</v>
      </c>
      <c r="L51" s="1086">
        <f t="shared" si="25"/>
        <v>14526274.917096956</v>
      </c>
      <c r="M51" s="1086">
        <f t="shared" si="25"/>
        <v>14952202.42348819</v>
      </c>
      <c r="N51" s="1086">
        <f t="shared" si="25"/>
        <v>15390907.755071165</v>
      </c>
      <c r="O51" s="1086">
        <f t="shared" si="25"/>
        <v>15842774.246601624</v>
      </c>
      <c r="P51" s="1086">
        <f t="shared" si="25"/>
        <v>16308196.732878001</v>
      </c>
      <c r="Q51" s="1086">
        <f t="shared" si="25"/>
        <v>16787581.893742669</v>
      </c>
      <c r="R51" s="1086">
        <f t="shared" si="25"/>
        <v>17281348.609433275</v>
      </c>
      <c r="S51" s="1086">
        <f t="shared" si="25"/>
        <v>17789928.326594602</v>
      </c>
      <c r="T51" s="1086">
        <f t="shared" si="25"/>
        <v>18313765.435270768</v>
      </c>
      <c r="U51" s="1086">
        <f t="shared" si="25"/>
        <v>18853317.657207221</v>
      </c>
      <c r="V51" s="1086">
        <f t="shared" si="25"/>
        <v>19409056.445801765</v>
      </c>
      <c r="W51" s="1086">
        <f t="shared" si="25"/>
        <v>19981467.398054142</v>
      </c>
      <c r="X51" s="1086">
        <f t="shared" si="25"/>
        <v>20571050.67887409</v>
      </c>
      <c r="Y51" s="1086">
        <f t="shared" si="25"/>
        <v>21178321.458118644</v>
      </c>
      <c r="Z51" s="1086">
        <f t="shared" si="25"/>
        <v>21803810.360740531</v>
      </c>
      <c r="AA51" s="699"/>
      <c r="AB51" s="699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</row>
    <row r="52" spans="1:76">
      <c r="A52" s="699"/>
      <c r="B52" s="49"/>
      <c r="C52" s="699"/>
      <c r="D52" s="699"/>
      <c r="E52" s="699"/>
      <c r="F52" s="699"/>
      <c r="G52" s="699"/>
      <c r="H52" s="699"/>
      <c r="I52" s="699"/>
      <c r="J52" s="699"/>
      <c r="K52" s="699"/>
      <c r="L52" s="699"/>
      <c r="M52" s="699"/>
      <c r="N52" s="699"/>
      <c r="O52" s="699"/>
      <c r="P52" s="699"/>
      <c r="Q52" s="699"/>
      <c r="R52" s="699"/>
      <c r="S52" s="699"/>
      <c r="T52" s="699"/>
      <c r="U52" s="699"/>
      <c r="V52" s="699"/>
      <c r="W52" s="699"/>
      <c r="X52" s="699"/>
      <c r="Y52" s="699"/>
      <c r="Z52" s="699"/>
      <c r="AA52" s="699"/>
      <c r="AB52" s="699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 t="s">
        <v>1128</v>
      </c>
      <c r="AT52" s="151"/>
      <c r="AU52" s="151"/>
      <c r="AV52" s="151"/>
      <c r="AW52" s="822">
        <f>+AW47*Assumptions!$AF$85*AW49</f>
        <v>0</v>
      </c>
      <c r="AX52" s="822">
        <f>+AX47*Assumptions!$AF$85*AX49</f>
        <v>0</v>
      </c>
      <c r="AY52" s="822">
        <f>+AY47*Assumptions!$AF$85*AY49</f>
        <v>0</v>
      </c>
      <c r="AZ52" s="822">
        <f>+AZ47*Assumptions!$AF$85*AZ49</f>
        <v>0</v>
      </c>
      <c r="BA52" s="822">
        <f>+BA47*Assumptions!$AF$85*BA49</f>
        <v>0</v>
      </c>
      <c r="BB52" s="822">
        <f>+BB47*Assumptions!$AF$85*BB49</f>
        <v>0</v>
      </c>
      <c r="BC52" s="822">
        <f>+BC47*Assumptions!$AF$85*BC49</f>
        <v>0</v>
      </c>
      <c r="BD52" s="822">
        <f>+BD47*Assumptions!$AF$85*BD49</f>
        <v>0</v>
      </c>
      <c r="BE52" s="822">
        <f>+BE47*Assumptions!$AF$85*BE49</f>
        <v>0</v>
      </c>
      <c r="BF52" s="822">
        <f>+BF47*Assumptions!$AF$85*BF49</f>
        <v>0</v>
      </c>
      <c r="BG52" s="822">
        <f>+BG47*Assumptions!$AF$85*BG49</f>
        <v>0</v>
      </c>
      <c r="BH52" s="822">
        <f>+BH47*Assumptions!$AF$85*BH49</f>
        <v>0</v>
      </c>
      <c r="BI52" s="822">
        <f>+BI47*Assumptions!$AF$85*BI49</f>
        <v>0</v>
      </c>
      <c r="BJ52" s="822">
        <f>+BJ47*Assumptions!$AF$85*BJ49</f>
        <v>0</v>
      </c>
      <c r="BK52" s="822">
        <f>+BK47*Assumptions!$AF$85*BK49</f>
        <v>0</v>
      </c>
      <c r="BL52" s="822">
        <f>+BL47*Assumptions!$AF$85*BL49</f>
        <v>0</v>
      </c>
      <c r="BM52" s="822">
        <f>+BM47*Assumptions!$AF$85*BM49</f>
        <v>0</v>
      </c>
      <c r="BN52" s="822">
        <f>+BN47*Assumptions!$AF$85*BN49</f>
        <v>0</v>
      </c>
      <c r="BO52" s="822">
        <f>+BO47*Assumptions!$AF$85*BO49</f>
        <v>0</v>
      </c>
      <c r="BP52" s="822">
        <f>+BP47*Assumptions!$AF$85*BP49</f>
        <v>0</v>
      </c>
      <c r="BQ52" s="822">
        <f>+BQ47*Assumptions!$AF$85*BQ49</f>
        <v>0</v>
      </c>
      <c r="BR52" s="151"/>
      <c r="BS52" s="151"/>
      <c r="BT52" s="151"/>
      <c r="BU52" s="151"/>
      <c r="BV52" s="151"/>
      <c r="BW52" s="151"/>
      <c r="BX52" s="151"/>
    </row>
    <row r="53" spans="1:76">
      <c r="A53" s="699" t="s">
        <v>511</v>
      </c>
      <c r="B53" s="699" t="s">
        <v>1132</v>
      </c>
      <c r="C53" s="699"/>
      <c r="D53" s="699"/>
      <c r="E53" s="699"/>
      <c r="F53" s="1087">
        <f>+F38*Assumptions!$O$97*F42</f>
        <v>0</v>
      </c>
      <c r="G53" s="1087">
        <f>+G38*Assumptions!$O$97*G42</f>
        <v>0</v>
      </c>
      <c r="H53" s="1087">
        <f>+H38*Assumptions!$O$97*H42</f>
        <v>0</v>
      </c>
      <c r="I53" s="1087">
        <f>+I38*Assumptions!$O$97*I42</f>
        <v>2958296.5298293713</v>
      </c>
      <c r="J53" s="1087">
        <f>+J38*Assumptions!$O$97*J42</f>
        <v>3047045.4257242526</v>
      </c>
      <c r="K53" s="1087">
        <f>+K38*Assumptions!$O$97*K42</f>
        <v>3138456.7884959802</v>
      </c>
      <c r="L53" s="1087">
        <f>+L38*Assumptions!$O$97*L42</f>
        <v>3232610.4921508594</v>
      </c>
      <c r="M53" s="1087">
        <f>+M38*Assumptions!$O$97*M42</f>
        <v>3329588.8069153856</v>
      </c>
      <c r="N53" s="1087">
        <f>+N38*Assumptions!$O$97*N42</f>
        <v>3429476.4711228474</v>
      </c>
      <c r="O53" s="1087">
        <f>+O38*Assumptions!$O$97*O42</f>
        <v>3532360.7652565329</v>
      </c>
      <c r="P53" s="1087">
        <f>+P38*Assumptions!$O$97*P42</f>
        <v>3638331.5882142289</v>
      </c>
      <c r="Q53" s="1087">
        <f>+Q38*Assumptions!$O$97*Q42</f>
        <v>3747481.5358606558</v>
      </c>
      <c r="R53" s="1087">
        <f>+R38*Assumptions!$O$97*R42</f>
        <v>3859905.9819364753</v>
      </c>
      <c r="S53" s="1087">
        <f>+S38*Assumptions!$O$97*S42</f>
        <v>3975703.16139457</v>
      </c>
      <c r="T53" s="1087">
        <f>+T38*Assumptions!$O$97*T42</f>
        <v>4094974.2562364074</v>
      </c>
      <c r="U53" s="1087">
        <f>+U38*Assumptions!$O$97*U42</f>
        <v>4217823.4839235004</v>
      </c>
      <c r="V53" s="1087">
        <f>+V38*Assumptions!$O$97*V42</f>
        <v>4344358.1884412048</v>
      </c>
      <c r="W53" s="1087">
        <f>+W38*Assumptions!$O$97*W42</f>
        <v>4474688.9340944411</v>
      </c>
      <c r="X53" s="1087">
        <f>+X38*Assumptions!$O$97*X42</f>
        <v>4608929.6021172749</v>
      </c>
      <c r="Y53" s="1087">
        <f>+Y38*Assumptions!$O$97*Y42</f>
        <v>4747197.4901807932</v>
      </c>
      <c r="Z53" s="1087">
        <f>+Z38*Assumptions!$O$97*Z42</f>
        <v>4889613.4148862176</v>
      </c>
      <c r="AA53" s="699"/>
      <c r="AB53" s="699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 t="s">
        <v>1129</v>
      </c>
      <c r="AT53" s="151"/>
      <c r="AU53" s="151"/>
      <c r="AV53" s="151"/>
      <c r="AW53" s="972">
        <f>-Assumptions!$E$99*'Phase 2 Pro Forma'!AW51</f>
        <v>0</v>
      </c>
      <c r="AX53" s="972">
        <f>-Assumptions!$E$99*'Phase 2 Pro Forma'!AX51</f>
        <v>0</v>
      </c>
      <c r="AY53" s="972">
        <f>-Assumptions!$E$99*'Phase 2 Pro Forma'!AY51</f>
        <v>0</v>
      </c>
      <c r="AZ53" s="972">
        <f>-Assumptions!$E$99*'Phase 2 Pro Forma'!AZ51</f>
        <v>0</v>
      </c>
      <c r="BA53" s="972">
        <f>-Assumptions!$E$99*'Phase 2 Pro Forma'!BA51</f>
        <v>0</v>
      </c>
      <c r="BB53" s="972">
        <f>-Assumptions!$E$99*'Phase 2 Pro Forma'!BB51</f>
        <v>0</v>
      </c>
      <c r="BC53" s="972">
        <f>-Assumptions!$E$99*'Phase 2 Pro Forma'!BC51</f>
        <v>0</v>
      </c>
      <c r="BD53" s="972">
        <f>-Assumptions!$E$99*'Phase 2 Pro Forma'!BD51</f>
        <v>0</v>
      </c>
      <c r="BE53" s="972">
        <f>-Assumptions!$E$99*'Phase 2 Pro Forma'!BE51</f>
        <v>0</v>
      </c>
      <c r="BF53" s="972">
        <f>-Assumptions!$E$99*'Phase 2 Pro Forma'!BF51</f>
        <v>0</v>
      </c>
      <c r="BG53" s="972">
        <f>-Assumptions!$E$99*'Phase 2 Pro Forma'!BG51</f>
        <v>0</v>
      </c>
      <c r="BH53" s="972">
        <f>-Assumptions!$E$99*'Phase 2 Pro Forma'!BH51</f>
        <v>0</v>
      </c>
      <c r="BI53" s="972">
        <f>-Assumptions!$E$99*'Phase 2 Pro Forma'!BI51</f>
        <v>0</v>
      </c>
      <c r="BJ53" s="972">
        <f>-Assumptions!$E$99*'Phase 2 Pro Forma'!BJ51</f>
        <v>0</v>
      </c>
      <c r="BK53" s="972">
        <f>-Assumptions!$E$99*'Phase 2 Pro Forma'!BK51</f>
        <v>0</v>
      </c>
      <c r="BL53" s="972">
        <f>-Assumptions!$E$99*'Phase 2 Pro Forma'!BL51</f>
        <v>0</v>
      </c>
      <c r="BM53" s="972">
        <f>-Assumptions!$E$99*'Phase 2 Pro Forma'!BM51</f>
        <v>0</v>
      </c>
      <c r="BN53" s="972">
        <f>-Assumptions!$E$99*'Phase 2 Pro Forma'!BN51</f>
        <v>0</v>
      </c>
      <c r="BO53" s="972">
        <f>-Assumptions!$E$99*'Phase 2 Pro Forma'!BO51</f>
        <v>0</v>
      </c>
      <c r="BP53" s="972">
        <f>-Assumptions!$E$99*'Phase 2 Pro Forma'!BP51</f>
        <v>0</v>
      </c>
      <c r="BQ53" s="972">
        <f>-Assumptions!$E$99*'Phase 2 Pro Forma'!BQ51</f>
        <v>0</v>
      </c>
      <c r="BR53" s="151"/>
      <c r="BS53" s="151"/>
      <c r="BT53" s="151"/>
      <c r="BU53" s="151"/>
      <c r="BV53" s="151"/>
      <c r="BW53" s="151"/>
      <c r="BX53" s="151"/>
    </row>
    <row r="54" spans="1:76">
      <c r="A54" s="699"/>
      <c r="B54" s="699" t="s">
        <v>1133</v>
      </c>
      <c r="C54" s="699"/>
      <c r="D54" s="699"/>
      <c r="E54" s="699"/>
      <c r="F54" s="1050">
        <f ca="1">+IFERROR(INDEX('Taxes and TIF'!$AC$11:$AC$45,MATCH('Phase 2 Pro Forma'!F$7,'Taxes and TIF'!$R$11:$R$45,0)),0)*'Loan Sizing'!$K$23*'Phase 2 Pro Forma'!F39</f>
        <v>0</v>
      </c>
      <c r="G54" s="1050">
        <f ca="1">+IFERROR(INDEX('Taxes and TIF'!$AC$11:$AC$45,MATCH('Phase 2 Pro Forma'!G$7,'Taxes and TIF'!$R$11:$R$45,0)),0)*'Loan Sizing'!$K$23*'Phase 2 Pro Forma'!G39</f>
        <v>0</v>
      </c>
      <c r="H54" s="1050">
        <f ca="1">+IFERROR(INDEX('Taxes and TIF'!$AC$11:$AC$45,MATCH('Phase 2 Pro Forma'!H$7,'Taxes and TIF'!$R$11:$R$45,0)),0)*'Loan Sizing'!$K$23*'Phase 2 Pro Forma'!H39</f>
        <v>0</v>
      </c>
      <c r="I54" s="1050">
        <f ca="1">+IFERROR(INDEX('Taxes and TIF'!$AC$11:$AC$45,MATCH('Phase 2 Pro Forma'!I$7,'Taxes and TIF'!$R$11:$R$45,0)),0)*'Loan Sizing'!$K$23*'Phase 2 Pro Forma'!I39</f>
        <v>1865080.77849662</v>
      </c>
      <c r="J54" s="1050">
        <f ca="1">+IFERROR(INDEX('Taxes and TIF'!$AC$11:$AC$45,MATCH('Phase 2 Pro Forma'!J$7,'Taxes and TIF'!$R$11:$R$45,0)),0)*'Loan Sizing'!$K$23*'Phase 2 Pro Forma'!J39</f>
        <v>1921033.2018515184</v>
      </c>
      <c r="K54" s="1050">
        <f ca="1">+IFERROR(INDEX('Taxes and TIF'!$AC$11:$AC$45,MATCH('Phase 2 Pro Forma'!K$7,'Taxes and TIF'!$R$11:$R$45,0)),0)*'Loan Sizing'!$K$23*'Phase 2 Pro Forma'!K39</f>
        <v>1921033.2018515184</v>
      </c>
      <c r="L54" s="1050">
        <f ca="1">+IFERROR(INDEX('Taxes and TIF'!$AC$11:$AC$45,MATCH('Phase 2 Pro Forma'!L$7,'Taxes and TIF'!$R$11:$R$45,0)),0)*'Loan Sizing'!$K$23*'Phase 2 Pro Forma'!L39</f>
        <v>1921033.2018515184</v>
      </c>
      <c r="M54" s="1050">
        <f ca="1">+IFERROR(INDEX('Taxes and TIF'!$AC$11:$AC$45,MATCH('Phase 2 Pro Forma'!M$7,'Taxes and TIF'!$R$11:$R$45,0)),0)*'Loan Sizing'!$K$23*'Phase 2 Pro Forma'!M39</f>
        <v>1978664.1979070643</v>
      </c>
      <c r="N54" s="1050">
        <f ca="1">+IFERROR(INDEX('Taxes and TIF'!$AC$11:$AC$45,MATCH('Phase 2 Pro Forma'!N$7,'Taxes and TIF'!$R$11:$R$45,0)),0)*'Loan Sizing'!$K$23*'Phase 2 Pro Forma'!N39</f>
        <v>1978664.1979070643</v>
      </c>
      <c r="O54" s="1050">
        <f ca="1">+IFERROR(INDEX('Taxes and TIF'!$AC$11:$AC$45,MATCH('Phase 2 Pro Forma'!O$7,'Taxes and TIF'!$R$11:$R$45,0)),0)*'Loan Sizing'!$K$23*'Phase 2 Pro Forma'!O39</f>
        <v>1978664.1979070643</v>
      </c>
      <c r="P54" s="1050">
        <f ca="1">+IFERROR(INDEX('Taxes and TIF'!$AC$11:$AC$45,MATCH('Phase 2 Pro Forma'!P$7,'Taxes and TIF'!$R$11:$R$45,0)),0)*'Loan Sizing'!$K$23*'Phase 2 Pro Forma'!P39</f>
        <v>2038024.1238442759</v>
      </c>
      <c r="Q54" s="1050">
        <f ca="1">+IFERROR(INDEX('Taxes and TIF'!$AC$11:$AC$45,MATCH('Phase 2 Pro Forma'!Q$7,'Taxes and TIF'!$R$11:$R$45,0)),0)*'Loan Sizing'!$K$23*'Phase 2 Pro Forma'!Q39</f>
        <v>2038024.1238442759</v>
      </c>
      <c r="R54" s="1050">
        <f ca="1">+IFERROR(INDEX('Taxes and TIF'!$AC$11:$AC$45,MATCH('Phase 2 Pro Forma'!R$7,'Taxes and TIF'!$R$11:$R$45,0)),0)*'Loan Sizing'!$K$23*'Phase 2 Pro Forma'!R39</f>
        <v>2038024.1238442759</v>
      </c>
      <c r="S54" s="1050">
        <f ca="1">+IFERROR(INDEX('Taxes and TIF'!$AC$11:$AC$45,MATCH('Phase 2 Pro Forma'!S$7,'Taxes and TIF'!$R$11:$R$45,0)),0)*'Loan Sizing'!$K$23*'Phase 2 Pro Forma'!S39</f>
        <v>2099164.8475596043</v>
      </c>
      <c r="T54" s="1050">
        <f ca="1">+IFERROR(INDEX('Taxes and TIF'!$AC$11:$AC$45,MATCH('Phase 2 Pro Forma'!T$7,'Taxes and TIF'!$R$11:$R$45,0)),0)*'Loan Sizing'!$K$23*'Phase 2 Pro Forma'!T39</f>
        <v>2099164.8475596043</v>
      </c>
      <c r="U54" s="1050">
        <f ca="1">+IFERROR(INDEX('Taxes and TIF'!$AC$11:$AC$45,MATCH('Phase 2 Pro Forma'!U$7,'Taxes and TIF'!$R$11:$R$45,0)),0)*'Loan Sizing'!$K$23*'Phase 2 Pro Forma'!U39</f>
        <v>2099164.8475596043</v>
      </c>
      <c r="V54" s="1050">
        <f ca="1">+IFERROR(INDEX('Taxes and TIF'!$AC$11:$AC$45,MATCH('Phase 2 Pro Forma'!V$7,'Taxes and TIF'!$R$11:$R$45,0)),0)*'Loan Sizing'!$K$23*'Phase 2 Pro Forma'!V39</f>
        <v>2162139.7929863925</v>
      </c>
      <c r="W54" s="1050">
        <f ca="1">+IFERROR(INDEX('Taxes and TIF'!$AC$11:$AC$45,MATCH('Phase 2 Pro Forma'!W$7,'Taxes and TIF'!$R$11:$R$45,0)),0)*'Loan Sizing'!$K$23*'Phase 2 Pro Forma'!W39</f>
        <v>2162139.7929863925</v>
      </c>
      <c r="X54" s="1050">
        <f ca="1">+IFERROR(INDEX('Taxes and TIF'!$AC$11:$AC$45,MATCH('Phase 2 Pro Forma'!X$7,'Taxes and TIF'!$R$11:$R$45,0)),0)*'Loan Sizing'!$K$23*'Phase 2 Pro Forma'!X39</f>
        <v>2162139.7929863925</v>
      </c>
      <c r="Y54" s="1050">
        <f ca="1">+IFERROR(INDEX('Taxes and TIF'!$AC$11:$AC$45,MATCH('Phase 2 Pro Forma'!Y$7,'Taxes and TIF'!$R$11:$R$45,0)),0)*'Loan Sizing'!$K$23*'Phase 2 Pro Forma'!Y39</f>
        <v>2227003.986775985</v>
      </c>
      <c r="Z54" s="1050">
        <f ca="1">+IFERROR(INDEX('Taxes and TIF'!$AC$11:$AC$45,MATCH('Phase 2 Pro Forma'!Z$7,'Taxes and TIF'!$R$11:$R$45,0)),0)*'Loan Sizing'!$K$23*'Phase 2 Pro Forma'!Z39</f>
        <v>2227003.986775985</v>
      </c>
      <c r="AA54" s="699"/>
      <c r="AB54" s="699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 t="s">
        <v>1130</v>
      </c>
      <c r="AT54" s="151"/>
      <c r="AU54" s="151"/>
      <c r="AV54" s="151"/>
      <c r="AW54" s="972">
        <f>-AW52*Assumptions!$O$60</f>
        <v>0</v>
      </c>
      <c r="AX54" s="972">
        <f>-AX52*Assumptions!$O$60</f>
        <v>0</v>
      </c>
      <c r="AY54" s="972">
        <f>-AY52*Assumptions!$O$60</f>
        <v>0</v>
      </c>
      <c r="AZ54" s="972">
        <f>-AZ52*Assumptions!$O$60</f>
        <v>0</v>
      </c>
      <c r="BA54" s="972">
        <f>-BA52*Assumptions!$O$60</f>
        <v>0</v>
      </c>
      <c r="BB54" s="972">
        <f>-BB52*Assumptions!$O$60</f>
        <v>0</v>
      </c>
      <c r="BC54" s="972">
        <f>-BC52*Assumptions!$O$60</f>
        <v>0</v>
      </c>
      <c r="BD54" s="972">
        <f>-BD52*Assumptions!$O$60</f>
        <v>0</v>
      </c>
      <c r="BE54" s="972">
        <f>-BE52*Assumptions!$O$60</f>
        <v>0</v>
      </c>
      <c r="BF54" s="972">
        <f>-BF52*Assumptions!$O$60</f>
        <v>0</v>
      </c>
      <c r="BG54" s="972">
        <f>-BG52*Assumptions!$O$60</f>
        <v>0</v>
      </c>
      <c r="BH54" s="972">
        <f>-BH52*Assumptions!$O$60</f>
        <v>0</v>
      </c>
      <c r="BI54" s="972">
        <f>-BI52*Assumptions!$O$60</f>
        <v>0</v>
      </c>
      <c r="BJ54" s="972">
        <f>-BJ52*Assumptions!$O$60</f>
        <v>0</v>
      </c>
      <c r="BK54" s="972">
        <f>-BK52*Assumptions!$O$60</f>
        <v>0</v>
      </c>
      <c r="BL54" s="972">
        <f>-BL52*Assumptions!$O$60</f>
        <v>0</v>
      </c>
      <c r="BM54" s="972">
        <f>-BM52*Assumptions!$O$60</f>
        <v>0</v>
      </c>
      <c r="BN54" s="972">
        <f>-BN52*Assumptions!$O$60</f>
        <v>0</v>
      </c>
      <c r="BO54" s="972">
        <f>-BO52*Assumptions!$O$60</f>
        <v>0</v>
      </c>
      <c r="BP54" s="972">
        <f>-BP52*Assumptions!$O$60</f>
        <v>0</v>
      </c>
      <c r="BQ54" s="972">
        <f>-BQ52*Assumptions!$O$60</f>
        <v>0</v>
      </c>
      <c r="BR54" s="151"/>
      <c r="BS54" s="151"/>
      <c r="BT54" s="151"/>
      <c r="BU54" s="151"/>
      <c r="BV54" s="151"/>
      <c r="BW54" s="151"/>
      <c r="BX54" s="151"/>
    </row>
    <row r="55" spans="1:76">
      <c r="A55" s="699"/>
      <c r="B55" s="52" t="s">
        <v>1134</v>
      </c>
      <c r="C55" s="1052"/>
      <c r="D55" s="1052"/>
      <c r="E55" s="1052"/>
      <c r="F55" s="1088">
        <f ca="1">+SUM(F53:F54)</f>
        <v>0</v>
      </c>
      <c r="G55" s="1088">
        <f t="shared" ref="G55:Z55" ca="1" si="26">+SUM(G53:G54)</f>
        <v>0</v>
      </c>
      <c r="H55" s="1088">
        <f t="shared" ca="1" si="26"/>
        <v>0</v>
      </c>
      <c r="I55" s="1088">
        <f t="shared" ca="1" si="26"/>
        <v>4823377.308325991</v>
      </c>
      <c r="J55" s="1088">
        <f t="shared" ca="1" si="26"/>
        <v>4968078.627575771</v>
      </c>
      <c r="K55" s="1088">
        <f t="shared" ca="1" si="26"/>
        <v>5059489.990347499</v>
      </c>
      <c r="L55" s="1088">
        <f t="shared" ca="1" si="26"/>
        <v>5153643.6940023778</v>
      </c>
      <c r="M55" s="1088">
        <f t="shared" ca="1" si="26"/>
        <v>5308253.0048224498</v>
      </c>
      <c r="N55" s="1088">
        <f t="shared" ca="1" si="26"/>
        <v>5408140.669029912</v>
      </c>
      <c r="O55" s="1088">
        <f t="shared" ca="1" si="26"/>
        <v>5511024.9631635975</v>
      </c>
      <c r="P55" s="1088">
        <f t="shared" ca="1" si="26"/>
        <v>5676355.712058505</v>
      </c>
      <c r="Q55" s="1088">
        <f t="shared" ca="1" si="26"/>
        <v>5785505.659704932</v>
      </c>
      <c r="R55" s="1088">
        <f t="shared" ca="1" si="26"/>
        <v>5897930.1057807514</v>
      </c>
      <c r="S55" s="1088">
        <f t="shared" ca="1" si="26"/>
        <v>6074868.0089541748</v>
      </c>
      <c r="T55" s="1088">
        <f t="shared" ca="1" si="26"/>
        <v>6194139.1037960118</v>
      </c>
      <c r="U55" s="1088">
        <f t="shared" ca="1" si="26"/>
        <v>6316988.3314831052</v>
      </c>
      <c r="V55" s="1088">
        <f t="shared" ca="1" si="26"/>
        <v>6506497.9814275969</v>
      </c>
      <c r="W55" s="1088">
        <f t="shared" ca="1" si="26"/>
        <v>6636828.7270808332</v>
      </c>
      <c r="X55" s="1088">
        <f t="shared" ca="1" si="26"/>
        <v>6771069.3951036669</v>
      </c>
      <c r="Y55" s="1088">
        <f t="shared" ca="1" si="26"/>
        <v>6974201.4769567782</v>
      </c>
      <c r="Z55" s="1088">
        <f t="shared" ca="1" si="26"/>
        <v>7116617.4016622026</v>
      </c>
      <c r="AA55" s="699"/>
      <c r="AB55" s="699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 t="s">
        <v>1184</v>
      </c>
      <c r="AT55" s="151"/>
      <c r="AU55" s="151"/>
      <c r="AV55" s="151"/>
      <c r="AW55" s="972">
        <f>+AW46*Assumptions!$AF$159*(1-Assumptions!$O$60)*12</f>
        <v>0</v>
      </c>
      <c r="AX55" s="972">
        <f>+AX46*Assumptions!$AF$159*(1-Assumptions!$O$60)*12</f>
        <v>0</v>
      </c>
      <c r="AY55" s="972">
        <f>+AY46*Assumptions!$AF$159*(1-Assumptions!$O$60)*12</f>
        <v>0</v>
      </c>
      <c r="AZ55" s="972">
        <f>+AZ46*Assumptions!$AF$159*(1-Assumptions!$O$60)*12</f>
        <v>0</v>
      </c>
      <c r="BA55" s="972">
        <f>+BA46*Assumptions!$AF$159*(1-Assumptions!$O$60)*12</f>
        <v>0</v>
      </c>
      <c r="BB55" s="972">
        <f>+BB46*Assumptions!$AF$159*(1-Assumptions!$O$60)*12</f>
        <v>0</v>
      </c>
      <c r="BC55" s="972">
        <f>+BC46*Assumptions!$AF$159*(1-Assumptions!$O$60)*12</f>
        <v>0</v>
      </c>
      <c r="BD55" s="972">
        <f>+BD46*Assumptions!$AF$159*(1-Assumptions!$O$60)*12</f>
        <v>0</v>
      </c>
      <c r="BE55" s="972">
        <f>+BE46*Assumptions!$AF$159*(1-Assumptions!$O$60)*12</f>
        <v>0</v>
      </c>
      <c r="BF55" s="972">
        <f>+BF46*Assumptions!$AF$159*(1-Assumptions!$O$60)*12</f>
        <v>0</v>
      </c>
      <c r="BG55" s="972">
        <f>+BG46*Assumptions!$AF$159*(1-Assumptions!$O$60)*12</f>
        <v>0</v>
      </c>
      <c r="BH55" s="972">
        <f>+BH46*Assumptions!$AF$159*(1-Assumptions!$O$60)*12</f>
        <v>0</v>
      </c>
      <c r="BI55" s="972">
        <f>+BI46*Assumptions!$AF$159*(1-Assumptions!$O$60)*12</f>
        <v>0</v>
      </c>
      <c r="BJ55" s="972">
        <f>+BJ46*Assumptions!$AF$159*(1-Assumptions!$O$60)*12</f>
        <v>0</v>
      </c>
      <c r="BK55" s="972">
        <f>+BK46*Assumptions!$AF$159*(1-Assumptions!$O$60)*12</f>
        <v>0</v>
      </c>
      <c r="BL55" s="972">
        <f>+BL46*Assumptions!$AF$159*(1-Assumptions!$O$60)*12</f>
        <v>0</v>
      </c>
      <c r="BM55" s="972">
        <f>+BM46*Assumptions!$AF$159*(1-Assumptions!$O$60)*12</f>
        <v>0</v>
      </c>
      <c r="BN55" s="972">
        <f>+BN46*Assumptions!$AF$159*(1-Assumptions!$O$60)*12</f>
        <v>0</v>
      </c>
      <c r="BO55" s="972">
        <f>+BO46*Assumptions!$AF$159*(1-Assumptions!$O$60)*12</f>
        <v>0</v>
      </c>
      <c r="BP55" s="972">
        <f>+BP46*Assumptions!$AF$159*(1-Assumptions!$O$60)*12</f>
        <v>0</v>
      </c>
      <c r="BQ55" s="972">
        <f>+BQ46*Assumptions!$AF$159*(1-Assumptions!$O$60)*12</f>
        <v>0</v>
      </c>
      <c r="BR55" s="151"/>
      <c r="BS55" s="151"/>
      <c r="BT55" s="151"/>
      <c r="BU55" s="151"/>
      <c r="BV55" s="151"/>
      <c r="BW55" s="151"/>
      <c r="BX55" s="151"/>
    </row>
    <row r="56" spans="1:76">
      <c r="A56" s="699"/>
      <c r="B56" s="699"/>
      <c r="C56" s="699"/>
      <c r="D56" s="699"/>
      <c r="E56" s="699"/>
      <c r="F56" s="699"/>
      <c r="G56" s="699"/>
      <c r="H56" s="699"/>
      <c r="I56" s="699"/>
      <c r="J56" s="699"/>
      <c r="K56" s="699"/>
      <c r="L56" s="699"/>
      <c r="M56" s="699"/>
      <c r="N56" s="699"/>
      <c r="O56" s="699"/>
      <c r="P56" s="699"/>
      <c r="Q56" s="699"/>
      <c r="R56" s="699"/>
      <c r="S56" s="699"/>
      <c r="T56" s="699"/>
      <c r="U56" s="699"/>
      <c r="V56" s="699"/>
      <c r="W56" s="699"/>
      <c r="X56" s="699"/>
      <c r="Y56" s="699"/>
      <c r="Z56" s="699"/>
      <c r="AA56" s="699"/>
      <c r="AB56" s="699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 t="s">
        <v>48</v>
      </c>
      <c r="AT56" s="151"/>
      <c r="AU56" s="151"/>
      <c r="AV56" s="151"/>
      <c r="AW56" s="972">
        <f>+(AW46*Assumptions!$AD$160*Assumptions!$AD$161)*12</f>
        <v>0</v>
      </c>
      <c r="AX56" s="972">
        <f>+(AX46*Assumptions!$AD$160*Assumptions!$AD$161)*12</f>
        <v>0</v>
      </c>
      <c r="AY56" s="972">
        <f>+(AY46*Assumptions!$AD$160*Assumptions!$AD$161)*12</f>
        <v>0</v>
      </c>
      <c r="AZ56" s="972">
        <f>+(AZ46*Assumptions!$AD$160*Assumptions!$AD$161)*12</f>
        <v>0</v>
      </c>
      <c r="BA56" s="972">
        <f>+(BA46*Assumptions!$AD$160*Assumptions!$AD$161)*12</f>
        <v>0</v>
      </c>
      <c r="BB56" s="972">
        <f>+(BB46*Assumptions!$AD$160*Assumptions!$AD$161)*12</f>
        <v>0</v>
      </c>
      <c r="BC56" s="972">
        <f>+(BC46*Assumptions!$AD$160*Assumptions!$AD$161)*12</f>
        <v>0</v>
      </c>
      <c r="BD56" s="972">
        <f>+(BD46*Assumptions!$AD$160*Assumptions!$AD$161)*12</f>
        <v>0</v>
      </c>
      <c r="BE56" s="972">
        <f>+(BE46*Assumptions!$AD$160*Assumptions!$AD$161)*12</f>
        <v>0</v>
      </c>
      <c r="BF56" s="972">
        <f>+(BF46*Assumptions!$AD$160*Assumptions!$AD$161)*12</f>
        <v>0</v>
      </c>
      <c r="BG56" s="972">
        <f>+(BG46*Assumptions!$AD$160*Assumptions!$AD$161)*12</f>
        <v>0</v>
      </c>
      <c r="BH56" s="972">
        <f>+(BH46*Assumptions!$AD$160*Assumptions!$AD$161)*12</f>
        <v>0</v>
      </c>
      <c r="BI56" s="972">
        <f>+(BI46*Assumptions!$AD$160*Assumptions!$AD$161)*12</f>
        <v>0</v>
      </c>
      <c r="BJ56" s="972">
        <f>+(BJ46*Assumptions!$AD$160*Assumptions!$AD$161)*12</f>
        <v>0</v>
      </c>
      <c r="BK56" s="972">
        <f>+(BK46*Assumptions!$AD$160*Assumptions!$AD$161)*12</f>
        <v>0</v>
      </c>
      <c r="BL56" s="972">
        <f>+(BL46*Assumptions!$AD$160*Assumptions!$AD$161)*12</f>
        <v>0</v>
      </c>
      <c r="BM56" s="972">
        <f>+(BM46*Assumptions!$AD$160*Assumptions!$AD$161)*12</f>
        <v>0</v>
      </c>
      <c r="BN56" s="972">
        <f>+(BN46*Assumptions!$AD$160*Assumptions!$AD$161)*12</f>
        <v>0</v>
      </c>
      <c r="BO56" s="972">
        <f>+(BO46*Assumptions!$AD$160*Assumptions!$AD$161)*12</f>
        <v>0</v>
      </c>
      <c r="BP56" s="972">
        <f>+(BP46*Assumptions!$AD$160*Assumptions!$AD$161)*12</f>
        <v>0</v>
      </c>
      <c r="BQ56" s="972">
        <f>+(BQ46*Assumptions!$AD$160*Assumptions!$AD$161)*12</f>
        <v>0</v>
      </c>
      <c r="BR56" s="151"/>
      <c r="BS56" s="151"/>
      <c r="BT56" s="151"/>
      <c r="BU56" s="151"/>
      <c r="BV56" s="151"/>
      <c r="BW56" s="151"/>
      <c r="BX56" s="151"/>
    </row>
    <row r="57" spans="1:76" ht="15.75">
      <c r="A57" s="699"/>
      <c r="B57" s="50" t="s">
        <v>1135</v>
      </c>
      <c r="C57" s="50"/>
      <c r="D57" s="50"/>
      <c r="E57" s="50"/>
      <c r="F57" s="55">
        <f ca="1">+F51-F55</f>
        <v>0</v>
      </c>
      <c r="G57" s="55">
        <f t="shared" ref="G57:Z57" ca="1" si="27">+G51-G55</f>
        <v>0</v>
      </c>
      <c r="H57" s="55">
        <f t="shared" ca="1" si="27"/>
        <v>0</v>
      </c>
      <c r="I57" s="55">
        <f t="shared" ca="1" si="27"/>
        <v>8498114.2278307397</v>
      </c>
      <c r="J57" s="55">
        <f t="shared" ca="1" si="27"/>
        <v>8743196.913543988</v>
      </c>
      <c r="K57" s="55">
        <f t="shared" ca="1" si="27"/>
        <v>9053263.075884182</v>
      </c>
      <c r="L57" s="55">
        <f t="shared" ca="1" si="27"/>
        <v>9372631.2230945788</v>
      </c>
      <c r="M57" s="55">
        <f t="shared" ca="1" si="27"/>
        <v>9643949.4186657406</v>
      </c>
      <c r="N57" s="55">
        <f t="shared" ca="1" si="27"/>
        <v>9982767.0860412531</v>
      </c>
      <c r="O57" s="55">
        <f t="shared" ca="1" si="27"/>
        <v>10331749.283438027</v>
      </c>
      <c r="P57" s="55">
        <f t="shared" ca="1" si="27"/>
        <v>10631841.020819496</v>
      </c>
      <c r="Q57" s="55">
        <f t="shared" ca="1" si="27"/>
        <v>11002076.234037738</v>
      </c>
      <c r="R57" s="55">
        <f t="shared" ca="1" si="27"/>
        <v>11383418.503652524</v>
      </c>
      <c r="S57" s="55">
        <f t="shared" ca="1" si="27"/>
        <v>11715060.317640428</v>
      </c>
      <c r="T57" s="55">
        <f t="shared" ca="1" si="27"/>
        <v>12119626.331474755</v>
      </c>
      <c r="U57" s="55">
        <f t="shared" ca="1" si="27"/>
        <v>12536329.325724116</v>
      </c>
      <c r="V57" s="55">
        <f t="shared" ca="1" si="27"/>
        <v>12902558.464374168</v>
      </c>
      <c r="W57" s="55">
        <f t="shared" ca="1" si="27"/>
        <v>13344638.670973308</v>
      </c>
      <c r="X57" s="55">
        <f t="shared" ca="1" si="27"/>
        <v>13799981.283770423</v>
      </c>
      <c r="Y57" s="55">
        <f t="shared" ca="1" si="27"/>
        <v>14204119.981161866</v>
      </c>
      <c r="Z57" s="55">
        <f t="shared" ca="1" si="27"/>
        <v>14687192.959078329</v>
      </c>
      <c r="AA57" s="699"/>
      <c r="AB57" s="699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 t="s">
        <v>50</v>
      </c>
      <c r="AT57" s="151"/>
      <c r="AU57" s="151"/>
      <c r="AV57" s="151"/>
      <c r="AW57" s="972">
        <f>+AW46*Assumptions!$AD$162*Assumptions!$AD$163*12</f>
        <v>0</v>
      </c>
      <c r="AX57" s="972">
        <f>+AX46*Assumptions!$AD$162*Assumptions!$AD$163*12</f>
        <v>0</v>
      </c>
      <c r="AY57" s="972">
        <f>+AY46*Assumptions!$AD$162*Assumptions!$AD$163*12</f>
        <v>0</v>
      </c>
      <c r="AZ57" s="972">
        <f>+AZ46*Assumptions!$AD$162*Assumptions!$AD$163*12</f>
        <v>0</v>
      </c>
      <c r="BA57" s="972">
        <f>+BA46*Assumptions!$AD$162*Assumptions!$AD$163*12</f>
        <v>0</v>
      </c>
      <c r="BB57" s="972">
        <f>+BB46*Assumptions!$AD$162*Assumptions!$AD$163*12</f>
        <v>0</v>
      </c>
      <c r="BC57" s="972">
        <f>+BC46*Assumptions!$AD$162*Assumptions!$AD$163*12</f>
        <v>0</v>
      </c>
      <c r="BD57" s="972">
        <f>+BD46*Assumptions!$AD$162*Assumptions!$AD$163*12</f>
        <v>0</v>
      </c>
      <c r="BE57" s="972">
        <f>+BE46*Assumptions!$AD$162*Assumptions!$AD$163*12</f>
        <v>0</v>
      </c>
      <c r="BF57" s="972">
        <f>+BF46*Assumptions!$AD$162*Assumptions!$AD$163*12</f>
        <v>0</v>
      </c>
      <c r="BG57" s="972">
        <f>+BG46*Assumptions!$AD$162*Assumptions!$AD$163*12</f>
        <v>0</v>
      </c>
      <c r="BH57" s="972">
        <f>+BH46*Assumptions!$AD$162*Assumptions!$AD$163*12</f>
        <v>0</v>
      </c>
      <c r="BI57" s="972">
        <f>+BI46*Assumptions!$AD$162*Assumptions!$AD$163*12</f>
        <v>0</v>
      </c>
      <c r="BJ57" s="972">
        <f>+BJ46*Assumptions!$AD$162*Assumptions!$AD$163*12</f>
        <v>0</v>
      </c>
      <c r="BK57" s="972">
        <f>+BK46*Assumptions!$AD$162*Assumptions!$AD$163*12</f>
        <v>0</v>
      </c>
      <c r="BL57" s="972">
        <f>+BL46*Assumptions!$AD$162*Assumptions!$AD$163*12</f>
        <v>0</v>
      </c>
      <c r="BM57" s="972">
        <f>+BM46*Assumptions!$AD$162*Assumptions!$AD$163*12</f>
        <v>0</v>
      </c>
      <c r="BN57" s="972">
        <f>+BN46*Assumptions!$AD$162*Assumptions!$AD$163*12</f>
        <v>0</v>
      </c>
      <c r="BO57" s="972">
        <f>+BO46*Assumptions!$AD$162*Assumptions!$AD$163*12</f>
        <v>0</v>
      </c>
      <c r="BP57" s="972">
        <f>+BP46*Assumptions!$AD$162*Assumptions!$AD$163*12</f>
        <v>0</v>
      </c>
      <c r="BQ57" s="972">
        <f>+BQ46*Assumptions!$AD$162*Assumptions!$AD$163*12</f>
        <v>0</v>
      </c>
      <c r="BR57" s="151"/>
      <c r="BS57" s="151"/>
      <c r="BT57" s="151"/>
      <c r="BU57" s="151"/>
      <c r="BV57" s="151"/>
      <c r="BW57" s="151"/>
      <c r="BX57" s="151"/>
    </row>
    <row r="58" spans="1:76">
      <c r="A58" s="699"/>
      <c r="B58" s="51" t="s">
        <v>1136</v>
      </c>
      <c r="C58" s="51"/>
      <c r="D58" s="51"/>
      <c r="E58" s="51"/>
      <c r="F58" s="56" t="str">
        <f ca="1">+IFERROR(F57/F51,"")</f>
        <v/>
      </c>
      <c r="G58" s="56" t="str">
        <f t="shared" ref="G58:Z58" ca="1" si="28">+IFERROR(G57/G51,"")</f>
        <v/>
      </c>
      <c r="H58" s="56" t="str">
        <f t="shared" ca="1" si="28"/>
        <v/>
      </c>
      <c r="I58" s="56">
        <f t="shared" ca="1" si="28"/>
        <v>0.63792513058807665</v>
      </c>
      <c r="J58" s="56">
        <f t="shared" ca="1" si="28"/>
        <v>0.63766473712262339</v>
      </c>
      <c r="K58" s="56">
        <f t="shared" ca="1" si="28"/>
        <v>0.64149518052196319</v>
      </c>
      <c r="L58" s="56">
        <f t="shared" ca="1" si="28"/>
        <v>0.64521918224632357</v>
      </c>
      <c r="M58" s="56">
        <f t="shared" ca="1" si="28"/>
        <v>0.64498520990567954</v>
      </c>
      <c r="N58" s="56">
        <f t="shared" ca="1" si="28"/>
        <v>0.64861457458557126</v>
      </c>
      <c r="O58" s="56">
        <f t="shared" ca="1" si="28"/>
        <v>0.65214268174365064</v>
      </c>
      <c r="P58" s="56">
        <f t="shared" ca="1" si="28"/>
        <v>0.65193235003017003</v>
      </c>
      <c r="Q58" s="56">
        <f t="shared" ca="1" si="28"/>
        <v>0.65536992186698462</v>
      </c>
      <c r="R58" s="56">
        <f t="shared" ca="1" si="28"/>
        <v>0.65871123608019344</v>
      </c>
      <c r="S58" s="56">
        <f t="shared" ca="1" si="28"/>
        <v>0.65852206386505197</v>
      </c>
      <c r="T58" s="56">
        <f t="shared" ca="1" si="28"/>
        <v>0.66177686802373126</v>
      </c>
      <c r="U58" s="56">
        <f t="shared" ca="1" si="28"/>
        <v>0.66494022716111956</v>
      </c>
      <c r="V58" s="56">
        <f t="shared" ca="1" si="28"/>
        <v>0.66477000056151769</v>
      </c>
      <c r="W58" s="56">
        <f t="shared" ca="1" si="28"/>
        <v>0.66785078418579269</v>
      </c>
      <c r="X58" s="56">
        <f t="shared" ca="1" si="28"/>
        <v>0.67084474678498696</v>
      </c>
      <c r="Y58" s="56">
        <f t="shared" ca="1" si="28"/>
        <v>0.67069149031717812</v>
      </c>
      <c r="Z58" s="56">
        <f t="shared" ca="1" si="28"/>
        <v>0.67360670984021076</v>
      </c>
      <c r="AA58" s="699"/>
      <c r="AB58" s="699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 t="s">
        <v>52</v>
      </c>
      <c r="AT58" s="151"/>
      <c r="AU58" s="151"/>
      <c r="AV58" s="151"/>
      <c r="AW58" s="972">
        <f>+AW46*Assumptions!$AD$164*Assumptions!$AD$165*12</f>
        <v>0</v>
      </c>
      <c r="AX58" s="972">
        <f>+AX46*Assumptions!$AD$164*Assumptions!$AD$165*12</f>
        <v>0</v>
      </c>
      <c r="AY58" s="972">
        <f>+AY46*Assumptions!$AD$164*Assumptions!$AD$165*12</f>
        <v>0</v>
      </c>
      <c r="AZ58" s="972">
        <f>+AZ46*Assumptions!$AD$164*Assumptions!$AD$165*12</f>
        <v>0</v>
      </c>
      <c r="BA58" s="972">
        <f>+BA46*Assumptions!$AD$164*Assumptions!$AD$165*12</f>
        <v>0</v>
      </c>
      <c r="BB58" s="972">
        <f>+BB46*Assumptions!$AD$164*Assumptions!$AD$165*12</f>
        <v>0</v>
      </c>
      <c r="BC58" s="972">
        <f>+BC46*Assumptions!$AD$164*Assumptions!$AD$165*12</f>
        <v>0</v>
      </c>
      <c r="BD58" s="972">
        <f>+BD46*Assumptions!$AD$164*Assumptions!$AD$165*12</f>
        <v>0</v>
      </c>
      <c r="BE58" s="972">
        <f>+BE46*Assumptions!$AD$164*Assumptions!$AD$165*12</f>
        <v>0</v>
      </c>
      <c r="BF58" s="972">
        <f>+BF46*Assumptions!$AD$164*Assumptions!$AD$165*12</f>
        <v>0</v>
      </c>
      <c r="BG58" s="972">
        <f>+BG46*Assumptions!$AD$164*Assumptions!$AD$165*12</f>
        <v>0</v>
      </c>
      <c r="BH58" s="972">
        <f>+BH46*Assumptions!$AD$164*Assumptions!$AD$165*12</f>
        <v>0</v>
      </c>
      <c r="BI58" s="972">
        <f>+BI46*Assumptions!$AD$164*Assumptions!$AD$165*12</f>
        <v>0</v>
      </c>
      <c r="BJ58" s="972">
        <f>+BJ46*Assumptions!$AD$164*Assumptions!$AD$165*12</f>
        <v>0</v>
      </c>
      <c r="BK58" s="972">
        <f>+BK46*Assumptions!$AD$164*Assumptions!$AD$165*12</f>
        <v>0</v>
      </c>
      <c r="BL58" s="972">
        <f>+BL46*Assumptions!$AD$164*Assumptions!$AD$165*12</f>
        <v>0</v>
      </c>
      <c r="BM58" s="972">
        <f>+BM46*Assumptions!$AD$164*Assumptions!$AD$165*12</f>
        <v>0</v>
      </c>
      <c r="BN58" s="972">
        <f>+BN46*Assumptions!$AD$164*Assumptions!$AD$165*12</f>
        <v>0</v>
      </c>
      <c r="BO58" s="972">
        <f>+BO46*Assumptions!$AD$164*Assumptions!$AD$165*12</f>
        <v>0</v>
      </c>
      <c r="BP58" s="972">
        <f>+BP46*Assumptions!$AD$164*Assumptions!$AD$165*12</f>
        <v>0</v>
      </c>
      <c r="BQ58" s="972">
        <f>+BQ46*Assumptions!$AD$164*Assumptions!$AD$165*12</f>
        <v>0</v>
      </c>
      <c r="BR58" s="151"/>
      <c r="BS58" s="151"/>
      <c r="BT58" s="151"/>
      <c r="BU58" s="151"/>
      <c r="BV58" s="151"/>
      <c r="BW58" s="151"/>
      <c r="BX58" s="151"/>
    </row>
    <row r="59" spans="1:76">
      <c r="A59" s="699"/>
      <c r="B59" s="51" t="s">
        <v>1064</v>
      </c>
      <c r="C59" s="51"/>
      <c r="D59" s="51"/>
      <c r="E59" s="51"/>
      <c r="F59" s="57">
        <f ca="1">+F57/Assumptions!$G$45</f>
        <v>0</v>
      </c>
      <c r="G59" s="57">
        <f ca="1">+G57/Assumptions!$G$45</f>
        <v>0</v>
      </c>
      <c r="H59" s="57">
        <f ca="1">+H57/Assumptions!$G$45</f>
        <v>0</v>
      </c>
      <c r="I59" s="57">
        <f ca="1">+I57/Assumptions!$G$45</f>
        <v>199955628.89013505</v>
      </c>
      <c r="J59" s="57">
        <f ca="1">+J57/Assumptions!$G$45</f>
        <v>205722280.31868204</v>
      </c>
      <c r="K59" s="57">
        <f ca="1">+K57/Assumptions!$G$45</f>
        <v>213017954.72668663</v>
      </c>
      <c r="L59" s="57">
        <f ca="1">+L57/Assumptions!$G$45</f>
        <v>220532499.36693126</v>
      </c>
      <c r="M59" s="57">
        <f ca="1">+M57/Assumptions!$G$45</f>
        <v>226916456.90978211</v>
      </c>
      <c r="N59" s="57">
        <f ca="1">+N57/Assumptions!$G$45</f>
        <v>234888637.3186177</v>
      </c>
      <c r="O59" s="57">
        <f ca="1">+O57/Assumptions!$G$45</f>
        <v>243099983.13971826</v>
      </c>
      <c r="P59" s="57">
        <f ca="1">+P57/Assumptions!$G$45</f>
        <v>250160965.19575283</v>
      </c>
      <c r="Q59" s="57">
        <f ca="1">+Q57/Assumptions!$G$45</f>
        <v>258872381.97735852</v>
      </c>
      <c r="R59" s="57">
        <f ca="1">+R57/Assumptions!$G$45</f>
        <v>267845141.26241231</v>
      </c>
      <c r="S59" s="57">
        <f ca="1">+S57/Assumptions!$G$45</f>
        <v>275648478.06212771</v>
      </c>
      <c r="T59" s="57">
        <f ca="1">+T57/Assumptions!$G$45</f>
        <v>285167678.38764125</v>
      </c>
      <c r="U59" s="57">
        <f ca="1">+U57/Assumptions!$G$45</f>
        <v>294972454.72292036</v>
      </c>
      <c r="V59" s="57">
        <f ca="1">+V57/Assumptions!$G$45</f>
        <v>303589610.92645097</v>
      </c>
      <c r="W59" s="57">
        <f ca="1">+W57/Assumptions!$G$45</f>
        <v>313991498.14054841</v>
      </c>
      <c r="X59" s="57">
        <f ca="1">+X57/Assumptions!$G$45</f>
        <v>324705441.97106874</v>
      </c>
      <c r="Y59" s="57">
        <f ca="1">+Y57/Assumptions!$G$45</f>
        <v>334214587.79204386</v>
      </c>
      <c r="Z59" s="57">
        <f ca="1">+Z57/Assumptions!$G$45</f>
        <v>345581010.80184299</v>
      </c>
      <c r="AA59" s="699"/>
      <c r="AB59" s="699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 t="s">
        <v>1131</v>
      </c>
      <c r="AT59" s="151"/>
      <c r="AU59" s="151"/>
      <c r="AV59" s="151"/>
      <c r="AW59" s="822">
        <f t="shared" ref="AW59:BQ59" si="29">SUM(AW52:AW58)</f>
        <v>0</v>
      </c>
      <c r="AX59" s="822">
        <f t="shared" si="29"/>
        <v>0</v>
      </c>
      <c r="AY59" s="822">
        <f t="shared" si="29"/>
        <v>0</v>
      </c>
      <c r="AZ59" s="822">
        <f t="shared" si="29"/>
        <v>0</v>
      </c>
      <c r="BA59" s="822">
        <f t="shared" si="29"/>
        <v>0</v>
      </c>
      <c r="BB59" s="822">
        <f t="shared" si="29"/>
        <v>0</v>
      </c>
      <c r="BC59" s="822">
        <f t="shared" si="29"/>
        <v>0</v>
      </c>
      <c r="BD59" s="822">
        <f t="shared" si="29"/>
        <v>0</v>
      </c>
      <c r="BE59" s="822">
        <f t="shared" si="29"/>
        <v>0</v>
      </c>
      <c r="BF59" s="822">
        <f t="shared" si="29"/>
        <v>0</v>
      </c>
      <c r="BG59" s="822">
        <f t="shared" si="29"/>
        <v>0</v>
      </c>
      <c r="BH59" s="822">
        <f t="shared" si="29"/>
        <v>0</v>
      </c>
      <c r="BI59" s="822">
        <f t="shared" si="29"/>
        <v>0</v>
      </c>
      <c r="BJ59" s="822">
        <f t="shared" si="29"/>
        <v>0</v>
      </c>
      <c r="BK59" s="822">
        <f t="shared" si="29"/>
        <v>0</v>
      </c>
      <c r="BL59" s="822">
        <f t="shared" si="29"/>
        <v>0</v>
      </c>
      <c r="BM59" s="822">
        <f t="shared" si="29"/>
        <v>0</v>
      </c>
      <c r="BN59" s="822">
        <f t="shared" si="29"/>
        <v>0</v>
      </c>
      <c r="BO59" s="822">
        <f t="shared" si="29"/>
        <v>0</v>
      </c>
      <c r="BP59" s="822">
        <f t="shared" si="29"/>
        <v>0</v>
      </c>
      <c r="BQ59" s="822">
        <f t="shared" si="29"/>
        <v>0</v>
      </c>
      <c r="BR59" s="151"/>
      <c r="BS59" s="151"/>
      <c r="BT59" s="151"/>
      <c r="BU59" s="151"/>
      <c r="BV59" s="151"/>
      <c r="BW59" s="151"/>
      <c r="BX59" s="151"/>
    </row>
    <row r="60" spans="1:76">
      <c r="A60" s="699"/>
      <c r="B60" s="699"/>
      <c r="C60" s="699"/>
      <c r="D60" s="699"/>
      <c r="E60" s="699"/>
      <c r="F60" s="699"/>
      <c r="G60" s="699"/>
      <c r="H60" s="699"/>
      <c r="I60" s="699"/>
      <c r="J60" s="699"/>
      <c r="K60" s="699"/>
      <c r="L60" s="699"/>
      <c r="M60" s="699"/>
      <c r="N60" s="699"/>
      <c r="O60" s="699"/>
      <c r="P60" s="699"/>
      <c r="Q60" s="699"/>
      <c r="R60" s="699"/>
      <c r="S60" s="699"/>
      <c r="T60" s="699"/>
      <c r="U60" s="699"/>
      <c r="V60" s="699"/>
      <c r="W60" s="699"/>
      <c r="X60" s="699"/>
      <c r="Y60" s="699"/>
      <c r="Z60" s="699"/>
      <c r="AA60" s="699"/>
      <c r="AB60" s="699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</row>
    <row r="61" spans="1:76" ht="15.75">
      <c r="A61" s="699"/>
      <c r="B61" s="53" t="s">
        <v>159</v>
      </c>
      <c r="C61" s="699"/>
      <c r="D61" s="699"/>
      <c r="E61" s="699"/>
      <c r="F61" s="54">
        <f>+Assumptions!$G$27</f>
        <v>46387</v>
      </c>
      <c r="G61" s="54">
        <f>+EOMONTH(F61,12)</f>
        <v>46752</v>
      </c>
      <c r="H61" s="54">
        <f t="shared" ref="H61:Z61" si="30">+EOMONTH(G61,12)</f>
        <v>47118</v>
      </c>
      <c r="I61" s="54">
        <f t="shared" si="30"/>
        <v>47483</v>
      </c>
      <c r="J61" s="54">
        <f t="shared" si="30"/>
        <v>47848</v>
      </c>
      <c r="K61" s="54">
        <f t="shared" si="30"/>
        <v>48213</v>
      </c>
      <c r="L61" s="54">
        <f t="shared" si="30"/>
        <v>48579</v>
      </c>
      <c r="M61" s="54">
        <f t="shared" si="30"/>
        <v>48944</v>
      </c>
      <c r="N61" s="54">
        <f t="shared" si="30"/>
        <v>49309</v>
      </c>
      <c r="O61" s="54">
        <f t="shared" si="30"/>
        <v>49674</v>
      </c>
      <c r="P61" s="54">
        <f t="shared" si="30"/>
        <v>50040</v>
      </c>
      <c r="Q61" s="54">
        <f t="shared" si="30"/>
        <v>50405</v>
      </c>
      <c r="R61" s="54">
        <f t="shared" si="30"/>
        <v>50770</v>
      </c>
      <c r="S61" s="54">
        <f t="shared" si="30"/>
        <v>51135</v>
      </c>
      <c r="T61" s="54">
        <f t="shared" si="30"/>
        <v>51501</v>
      </c>
      <c r="U61" s="54">
        <f t="shared" si="30"/>
        <v>51866</v>
      </c>
      <c r="V61" s="54">
        <f t="shared" si="30"/>
        <v>52231</v>
      </c>
      <c r="W61" s="54">
        <f t="shared" si="30"/>
        <v>52596</v>
      </c>
      <c r="X61" s="54">
        <f t="shared" si="30"/>
        <v>52962</v>
      </c>
      <c r="Y61" s="54">
        <f t="shared" si="30"/>
        <v>53327</v>
      </c>
      <c r="Z61" s="54">
        <f t="shared" si="30"/>
        <v>53692</v>
      </c>
      <c r="AA61" s="699"/>
      <c r="AB61" s="699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 t="s">
        <v>1132</v>
      </c>
      <c r="AT61" s="151"/>
      <c r="AU61" s="151"/>
      <c r="AV61" s="151"/>
      <c r="AW61" s="946">
        <f>+AW46*Assumptions!$O$97*AW50</f>
        <v>0</v>
      </c>
      <c r="AX61" s="946">
        <f>+AX46*Assumptions!$O$97*AX50</f>
        <v>0</v>
      </c>
      <c r="AY61" s="946">
        <f>+AY46*Assumptions!$O$97*AY50</f>
        <v>0</v>
      </c>
      <c r="AZ61" s="946">
        <f>+AZ46*Assumptions!$O$97*AZ50</f>
        <v>0</v>
      </c>
      <c r="BA61" s="946">
        <f>+BA46*Assumptions!$O$97*BA50</f>
        <v>0</v>
      </c>
      <c r="BB61" s="946">
        <f>+BB46*Assumptions!$O$97*BB50</f>
        <v>0</v>
      </c>
      <c r="BC61" s="946">
        <f>+BC46*Assumptions!$O$97*BC50</f>
        <v>0</v>
      </c>
      <c r="BD61" s="946">
        <f>+BD46*Assumptions!$O$97*BD50</f>
        <v>0</v>
      </c>
      <c r="BE61" s="946">
        <f>+BE46*Assumptions!$O$97*BE50</f>
        <v>0</v>
      </c>
      <c r="BF61" s="946">
        <f>+BF46*Assumptions!$O$97*BF50</f>
        <v>0</v>
      </c>
      <c r="BG61" s="946">
        <f>+BG46*Assumptions!$O$97*BG50</f>
        <v>0</v>
      </c>
      <c r="BH61" s="946">
        <f>+BH46*Assumptions!$O$97*BH50</f>
        <v>0</v>
      </c>
      <c r="BI61" s="946">
        <f>+BI46*Assumptions!$O$97*BI50</f>
        <v>0</v>
      </c>
      <c r="BJ61" s="946">
        <f>+BJ46*Assumptions!$O$97*BJ50</f>
        <v>0</v>
      </c>
      <c r="BK61" s="946">
        <f>+BK46*Assumptions!$O$97*BK50</f>
        <v>0</v>
      </c>
      <c r="BL61" s="946">
        <f>+BL46*Assumptions!$O$97*BL50</f>
        <v>0</v>
      </c>
      <c r="BM61" s="946">
        <f>+BM46*Assumptions!$O$97*BM50</f>
        <v>0</v>
      </c>
      <c r="BN61" s="946">
        <f>+BN46*Assumptions!$O$97*BN50</f>
        <v>0</v>
      </c>
      <c r="BO61" s="946">
        <f>+BO46*Assumptions!$O$97*BO50</f>
        <v>0</v>
      </c>
      <c r="BP61" s="946">
        <f>+BP46*Assumptions!$O$97*BP50</f>
        <v>0</v>
      </c>
      <c r="BQ61" s="946">
        <f>+BQ46*Assumptions!$O$97*BQ50</f>
        <v>0</v>
      </c>
      <c r="BR61" s="151"/>
      <c r="BS61" s="151"/>
      <c r="BT61" s="151"/>
      <c r="BU61" s="151"/>
      <c r="BV61" s="151"/>
      <c r="BW61" s="151"/>
      <c r="BX61" s="151"/>
    </row>
    <row r="62" spans="1:76">
      <c r="A62" s="699"/>
      <c r="B62" s="699" t="s">
        <v>1138</v>
      </c>
      <c r="C62" s="699"/>
      <c r="D62" s="699"/>
      <c r="E62" s="1050"/>
      <c r="F62" s="1050">
        <f>+IF(AND(F61&gt;=Assumptions!$G$31,F61&lt;Assumptions!$G$33),Assumptions!$G$111/ROUNDUP((Assumptions!$G$32/12),0),)</f>
        <v>0</v>
      </c>
      <c r="G62" s="1050">
        <f>+IF(AND(G61&gt;=Assumptions!$G$31,G61&lt;Assumptions!$G$33),Assumptions!$G$111/ROUNDUP((Assumptions!$G$32/12),0),)</f>
        <v>0</v>
      </c>
      <c r="H62" s="1050">
        <f>+IF(AND(H61&gt;=Assumptions!$G$31,H61&lt;Assumptions!$G$33),Assumptions!$G$111/ROUNDUP((Assumptions!$G$32/12),0),)</f>
        <v>0</v>
      </c>
      <c r="I62" s="1050">
        <f>+IF(AND(I61&gt;=Assumptions!$G$31,I61&lt;Assumptions!$G$33),Assumptions!$G$111/ROUNDUP((Assumptions!$G$32/12),0),)</f>
        <v>29882.625</v>
      </c>
      <c r="J62" s="1050">
        <f>+IF(AND(J61&gt;=Assumptions!$G$31,J61&lt;Assumptions!$G$33),Assumptions!$G$111/ROUNDUP((Assumptions!$G$32/12),0),)</f>
        <v>29882.625</v>
      </c>
      <c r="K62" s="1050">
        <f>+IF(AND(K61&gt;=Assumptions!$G$31,K61&lt;Assumptions!$G$33),Assumptions!$G$111/ROUNDUP((Assumptions!$G$32/12),0),)</f>
        <v>0</v>
      </c>
      <c r="L62" s="1050">
        <f>+IF(AND(L61&gt;=Assumptions!$G$31,L61&lt;Assumptions!$G$33),Assumptions!$G$111/ROUNDUP((Assumptions!$G$32/12),0),)</f>
        <v>0</v>
      </c>
      <c r="M62" s="1050">
        <f>+IF(AND(M61&gt;=Assumptions!$G$31,M61&lt;Assumptions!$G$33),Assumptions!$G$111/ROUNDUP((Assumptions!$G$32/12),0),)</f>
        <v>0</v>
      </c>
      <c r="N62" s="1050">
        <f>+IF(AND(N61&gt;=Assumptions!$G$31,N61&lt;Assumptions!$G$33),Assumptions!$G$111/ROUNDUP((Assumptions!$G$32/12),0),)</f>
        <v>0</v>
      </c>
      <c r="O62" s="1050">
        <f>+IF(AND(O61&gt;=Assumptions!$G$31,O61&lt;Assumptions!$G$33),Assumptions!$G$111/ROUNDUP((Assumptions!$G$32/12),0),)</f>
        <v>0</v>
      </c>
      <c r="P62" s="1050">
        <f>+IF(AND(P61&gt;=Assumptions!$G$31,P61&lt;Assumptions!$G$33),Assumptions!$G$111/ROUNDUP((Assumptions!$G$32/12),0),)</f>
        <v>0</v>
      </c>
      <c r="Q62" s="1050">
        <f>+IF(AND(Q61&gt;=Assumptions!$G$31,Q61&lt;Assumptions!$G$33),Assumptions!$G$111/ROUNDUP((Assumptions!$G$32/12),0),)</f>
        <v>0</v>
      </c>
      <c r="R62" s="1050">
        <f>+IF(AND(R61&gt;=Assumptions!$G$31,R61&lt;Assumptions!$G$33),Assumptions!$G$111/ROUNDUP((Assumptions!$G$32/12),0),)</f>
        <v>0</v>
      </c>
      <c r="S62" s="1050">
        <f>+IF(AND(S61&gt;=Assumptions!$G$31,S61&lt;Assumptions!$G$33),Assumptions!$G$111/ROUNDUP((Assumptions!$G$32/12),0),)</f>
        <v>0</v>
      </c>
      <c r="T62" s="1050">
        <f>+IF(AND(T61&gt;=Assumptions!$G$31,T61&lt;Assumptions!$G$33),Assumptions!$G$111/ROUNDUP((Assumptions!$G$32/12),0),)</f>
        <v>0</v>
      </c>
      <c r="U62" s="1050">
        <f>+IF(AND(U61&gt;=Assumptions!$G$31,U61&lt;Assumptions!$G$33),Assumptions!$G$111/ROUNDUP((Assumptions!$G$32/12),0),)</f>
        <v>0</v>
      </c>
      <c r="V62" s="1050">
        <f>+IF(AND(V61&gt;=Assumptions!$G$31,V61&lt;Assumptions!$G$33),Assumptions!$G$111/ROUNDUP((Assumptions!$G$32/12),0),)</f>
        <v>0</v>
      </c>
      <c r="W62" s="1050">
        <f>+IF(AND(W61&gt;=Assumptions!$G$31,W61&lt;Assumptions!$G$33),Assumptions!$G$111/ROUNDUP((Assumptions!$G$32/12),0),)</f>
        <v>0</v>
      </c>
      <c r="X62" s="1050">
        <f>+IF(AND(X61&gt;=Assumptions!$G$31,X61&lt;Assumptions!$G$33),Assumptions!$G$111/ROUNDUP((Assumptions!$G$32/12),0),)</f>
        <v>0</v>
      </c>
      <c r="Y62" s="1050">
        <f>+IF(AND(Y61&gt;=Assumptions!$G$31,Y61&lt;Assumptions!$G$33),Assumptions!$G$111/ROUNDUP((Assumptions!$G$32/12),0),)</f>
        <v>0</v>
      </c>
      <c r="Z62" s="1050">
        <f>+IF(AND(Z61&gt;=Assumptions!$G$31,Z61&lt;Assumptions!$G$33),Assumptions!$G$111/ROUNDUP((Assumptions!$G$32/12),0),)</f>
        <v>0</v>
      </c>
      <c r="AA62" s="699"/>
      <c r="AB62" s="699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 t="s">
        <v>1133</v>
      </c>
      <c r="AT62" s="151"/>
      <c r="AU62" s="151"/>
      <c r="AV62" s="151"/>
      <c r="AW62" s="687">
        <f ca="1">+IFERROR(INDEX('Taxes and TIF'!$AC$11:$AC$45,MATCH('Phase 2 Pro Forma'!F$7,'Taxes and TIF'!$R$11:$R$45,0)),0)*'Loan Sizing'!$K$31*'Phase 2 Pro Forma'!AW47</f>
        <v>0</v>
      </c>
      <c r="AX62" s="687">
        <f ca="1">+IFERROR(INDEX('Taxes and TIF'!$AC$11:$AC$45,MATCH('Phase 2 Pro Forma'!G$7,'Taxes and TIF'!$R$11:$R$45,0)),0)*'Loan Sizing'!$K$31*'Phase 2 Pro Forma'!AX47</f>
        <v>0</v>
      </c>
      <c r="AY62" s="687">
        <f ca="1">+IFERROR(INDEX('Taxes and TIF'!$AC$11:$AC$45,MATCH('Phase 2 Pro Forma'!H$7,'Taxes and TIF'!$R$11:$R$45,0)),0)*'Loan Sizing'!$K$31*'Phase 2 Pro Forma'!AY47</f>
        <v>0</v>
      </c>
      <c r="AZ62" s="687">
        <f ca="1">+IFERROR(INDEX('Taxes and TIF'!$AC$11:$AC$45,MATCH('Phase 2 Pro Forma'!I$7,'Taxes and TIF'!$R$11:$R$45,0)),0)*'Loan Sizing'!$K$31*'Phase 2 Pro Forma'!AZ47</f>
        <v>0</v>
      </c>
      <c r="BA62" s="687">
        <f ca="1">+IFERROR(INDEX('Taxes and TIF'!$AC$11:$AC$45,MATCH('Phase 2 Pro Forma'!J$7,'Taxes and TIF'!$R$11:$R$45,0)),0)*'Loan Sizing'!$K$31*'Phase 2 Pro Forma'!BA47</f>
        <v>0</v>
      </c>
      <c r="BB62" s="687">
        <f ca="1">+IFERROR(INDEX('Taxes and TIF'!$AC$11:$AC$45,MATCH('Phase 2 Pro Forma'!K$7,'Taxes and TIF'!$R$11:$R$45,0)),0)*'Loan Sizing'!$K$31*'Phase 2 Pro Forma'!BB47</f>
        <v>0</v>
      </c>
      <c r="BC62" s="687">
        <f ca="1">+IFERROR(INDEX('Taxes and TIF'!$AC$11:$AC$45,MATCH('Phase 2 Pro Forma'!L$7,'Taxes and TIF'!$R$11:$R$45,0)),0)*'Loan Sizing'!$K$31*'Phase 2 Pro Forma'!BC47</f>
        <v>0</v>
      </c>
      <c r="BD62" s="687">
        <f ca="1">+IFERROR(INDEX('Taxes and TIF'!$AC$11:$AC$45,MATCH('Phase 2 Pro Forma'!M$7,'Taxes and TIF'!$R$11:$R$45,0)),0)*'Loan Sizing'!$K$31*'Phase 2 Pro Forma'!BD47</f>
        <v>0</v>
      </c>
      <c r="BE62" s="687">
        <f ca="1">+IFERROR(INDEX('Taxes and TIF'!$AC$11:$AC$45,MATCH('Phase 2 Pro Forma'!N$7,'Taxes and TIF'!$R$11:$R$45,0)),0)*'Loan Sizing'!$K$31*'Phase 2 Pro Forma'!BE47</f>
        <v>0</v>
      </c>
      <c r="BF62" s="687">
        <f ca="1">+IFERROR(INDEX('Taxes and TIF'!$AC$11:$AC$45,MATCH('Phase 2 Pro Forma'!O$7,'Taxes and TIF'!$R$11:$R$45,0)),0)*'Loan Sizing'!$K$31*'Phase 2 Pro Forma'!BF47</f>
        <v>0</v>
      </c>
      <c r="BG62" s="687">
        <f ca="1">+IFERROR(INDEX('Taxes and TIF'!$AC$11:$AC$45,MATCH('Phase 2 Pro Forma'!P$7,'Taxes and TIF'!$R$11:$R$45,0)),0)*'Loan Sizing'!$K$31*'Phase 2 Pro Forma'!BG47</f>
        <v>0</v>
      </c>
      <c r="BH62" s="687">
        <f ca="1">+IFERROR(INDEX('Taxes and TIF'!$AC$11:$AC$45,MATCH('Phase 2 Pro Forma'!Q$7,'Taxes and TIF'!$R$11:$R$45,0)),0)*'Loan Sizing'!$K$31*'Phase 2 Pro Forma'!BH47</f>
        <v>0</v>
      </c>
      <c r="BI62" s="687">
        <f ca="1">+IFERROR(INDEX('Taxes and TIF'!$AC$11:$AC$45,MATCH('Phase 2 Pro Forma'!R$7,'Taxes and TIF'!$R$11:$R$45,0)),0)*'Loan Sizing'!$K$31*'Phase 2 Pro Forma'!BI47</f>
        <v>0</v>
      </c>
      <c r="BJ62" s="687">
        <f ca="1">+IFERROR(INDEX('Taxes and TIF'!$AC$11:$AC$45,MATCH('Phase 2 Pro Forma'!S$7,'Taxes and TIF'!$R$11:$R$45,0)),0)*'Loan Sizing'!$K$31*'Phase 2 Pro Forma'!BJ47</f>
        <v>0</v>
      </c>
      <c r="BK62" s="687">
        <f ca="1">+IFERROR(INDEX('Taxes and TIF'!$AC$11:$AC$45,MATCH('Phase 2 Pro Forma'!T$7,'Taxes and TIF'!$R$11:$R$45,0)),0)*'Loan Sizing'!$K$31*'Phase 2 Pro Forma'!BK47</f>
        <v>0</v>
      </c>
      <c r="BL62" s="687">
        <f ca="1">+IFERROR(INDEX('Taxes and TIF'!$AC$11:$AC$45,MATCH('Phase 2 Pro Forma'!U$7,'Taxes and TIF'!$R$11:$R$45,0)),0)*'Loan Sizing'!$K$31*'Phase 2 Pro Forma'!BL47</f>
        <v>0</v>
      </c>
      <c r="BM62" s="687">
        <f ca="1">+IFERROR(INDEX('Taxes and TIF'!$AC$11:$AC$45,MATCH('Phase 2 Pro Forma'!V$7,'Taxes and TIF'!$R$11:$R$45,0)),0)*'Loan Sizing'!$K$31*'Phase 2 Pro Forma'!BM47</f>
        <v>0</v>
      </c>
      <c r="BN62" s="687">
        <f ca="1">+IFERROR(INDEX('Taxes and TIF'!$AC$11:$AC$45,MATCH('Phase 2 Pro Forma'!W$7,'Taxes and TIF'!$R$11:$R$45,0)),0)*'Loan Sizing'!$K$31*'Phase 2 Pro Forma'!BN47</f>
        <v>0</v>
      </c>
      <c r="BO62" s="687">
        <f ca="1">+IFERROR(INDEX('Taxes and TIF'!$AC$11:$AC$45,MATCH('Phase 2 Pro Forma'!X$7,'Taxes and TIF'!$R$11:$R$45,0)),0)*'Loan Sizing'!$K$31*'Phase 2 Pro Forma'!BO47</f>
        <v>0</v>
      </c>
      <c r="BP62" s="687">
        <f ca="1">+IFERROR(INDEX('Taxes and TIF'!$AC$11:$AC$45,MATCH('Phase 2 Pro Forma'!Y$7,'Taxes and TIF'!$R$11:$R$45,0)),0)*'Loan Sizing'!$K$31*'Phase 2 Pro Forma'!BP47</f>
        <v>0</v>
      </c>
      <c r="BQ62" s="687">
        <f ca="1">+IFERROR(INDEX('Taxes and TIF'!$AC$11:$AC$45,MATCH('Phase 2 Pro Forma'!Z$7,'Taxes and TIF'!$R$11:$R$45,0)),0)*'Loan Sizing'!$K$31*'Phase 2 Pro Forma'!BQ47</f>
        <v>0</v>
      </c>
      <c r="BR62" s="151"/>
      <c r="BS62" s="151"/>
      <c r="BT62" s="151"/>
      <c r="BU62" s="151"/>
      <c r="BV62" s="151"/>
      <c r="BW62" s="151"/>
      <c r="BX62" s="151"/>
    </row>
    <row r="63" spans="1:76">
      <c r="A63" s="699"/>
      <c r="B63" s="699" t="s">
        <v>1121</v>
      </c>
      <c r="C63" s="699"/>
      <c r="D63" s="699"/>
      <c r="E63" s="1050">
        <v>0</v>
      </c>
      <c r="F63" s="1050">
        <f>+E63+F62</f>
        <v>0</v>
      </c>
      <c r="G63" s="1050">
        <f t="shared" ref="G63:Z63" si="31">+F63+G62</f>
        <v>0</v>
      </c>
      <c r="H63" s="1050">
        <f t="shared" si="31"/>
        <v>0</v>
      </c>
      <c r="I63" s="1050">
        <f t="shared" si="31"/>
        <v>29882.625</v>
      </c>
      <c r="J63" s="1050">
        <f t="shared" si="31"/>
        <v>59765.25</v>
      </c>
      <c r="K63" s="1050">
        <f t="shared" si="31"/>
        <v>59765.25</v>
      </c>
      <c r="L63" s="1050">
        <f t="shared" si="31"/>
        <v>59765.25</v>
      </c>
      <c r="M63" s="1050">
        <f t="shared" si="31"/>
        <v>59765.25</v>
      </c>
      <c r="N63" s="1050">
        <f t="shared" si="31"/>
        <v>59765.25</v>
      </c>
      <c r="O63" s="1050">
        <f t="shared" si="31"/>
        <v>59765.25</v>
      </c>
      <c r="P63" s="1050">
        <f t="shared" si="31"/>
        <v>59765.25</v>
      </c>
      <c r="Q63" s="1050">
        <f t="shared" si="31"/>
        <v>59765.25</v>
      </c>
      <c r="R63" s="1050">
        <f t="shared" si="31"/>
        <v>59765.25</v>
      </c>
      <c r="S63" s="1050">
        <f t="shared" si="31"/>
        <v>59765.25</v>
      </c>
      <c r="T63" s="1050">
        <f t="shared" si="31"/>
        <v>59765.25</v>
      </c>
      <c r="U63" s="1050">
        <f t="shared" si="31"/>
        <v>59765.25</v>
      </c>
      <c r="V63" s="1050">
        <f t="shared" si="31"/>
        <v>59765.25</v>
      </c>
      <c r="W63" s="1050">
        <f t="shared" si="31"/>
        <v>59765.25</v>
      </c>
      <c r="X63" s="1050">
        <f t="shared" si="31"/>
        <v>59765.25</v>
      </c>
      <c r="Y63" s="1050">
        <f t="shared" si="31"/>
        <v>59765.25</v>
      </c>
      <c r="Z63" s="1050">
        <f t="shared" si="31"/>
        <v>59765.25</v>
      </c>
      <c r="AA63" s="699"/>
      <c r="AB63" s="699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 t="s">
        <v>1134</v>
      </c>
      <c r="AT63" s="151"/>
      <c r="AU63" s="151"/>
      <c r="AV63" s="151"/>
      <c r="AW63" s="946">
        <f ca="1">+SUM(AW61:AW62)</f>
        <v>0</v>
      </c>
      <c r="AX63" s="946">
        <f t="shared" ref="AX63:BQ63" ca="1" si="32">+SUM(AX61:AX62)</f>
        <v>0</v>
      </c>
      <c r="AY63" s="946">
        <f t="shared" ca="1" si="32"/>
        <v>0</v>
      </c>
      <c r="AZ63" s="946">
        <f t="shared" ca="1" si="32"/>
        <v>0</v>
      </c>
      <c r="BA63" s="946">
        <f t="shared" ca="1" si="32"/>
        <v>0</v>
      </c>
      <c r="BB63" s="946">
        <f t="shared" ca="1" si="32"/>
        <v>0</v>
      </c>
      <c r="BC63" s="946">
        <f t="shared" ca="1" si="32"/>
        <v>0</v>
      </c>
      <c r="BD63" s="946">
        <f t="shared" ca="1" si="32"/>
        <v>0</v>
      </c>
      <c r="BE63" s="946">
        <f t="shared" ca="1" si="32"/>
        <v>0</v>
      </c>
      <c r="BF63" s="946">
        <f t="shared" ca="1" si="32"/>
        <v>0</v>
      </c>
      <c r="BG63" s="946">
        <f t="shared" ca="1" si="32"/>
        <v>0</v>
      </c>
      <c r="BH63" s="946">
        <f t="shared" ca="1" si="32"/>
        <v>0</v>
      </c>
      <c r="BI63" s="946">
        <f t="shared" ca="1" si="32"/>
        <v>0</v>
      </c>
      <c r="BJ63" s="946">
        <f t="shared" ca="1" si="32"/>
        <v>0</v>
      </c>
      <c r="BK63" s="946">
        <f t="shared" ca="1" si="32"/>
        <v>0</v>
      </c>
      <c r="BL63" s="946">
        <f t="shared" ca="1" si="32"/>
        <v>0</v>
      </c>
      <c r="BM63" s="946">
        <f t="shared" ca="1" si="32"/>
        <v>0</v>
      </c>
      <c r="BN63" s="946">
        <f t="shared" ca="1" si="32"/>
        <v>0</v>
      </c>
      <c r="BO63" s="946">
        <f t="shared" ca="1" si="32"/>
        <v>0</v>
      </c>
      <c r="BP63" s="946">
        <f t="shared" ca="1" si="32"/>
        <v>0</v>
      </c>
      <c r="BQ63" s="946">
        <f t="shared" ca="1" si="32"/>
        <v>0</v>
      </c>
      <c r="BR63" s="151"/>
      <c r="BS63" s="151"/>
      <c r="BT63" s="151"/>
      <c r="BU63" s="151"/>
      <c r="BV63" s="151"/>
      <c r="BW63" s="151"/>
      <c r="BX63" s="151"/>
    </row>
    <row r="64" spans="1:76">
      <c r="A64" s="699"/>
      <c r="B64" s="699" t="s">
        <v>1125</v>
      </c>
      <c r="C64" s="699"/>
      <c r="D64" s="699"/>
      <c r="E64" s="699"/>
      <c r="F64" s="1074">
        <f>+IFERROR(F63/SUM($F$62:$Z$62),0)</f>
        <v>0</v>
      </c>
      <c r="G64" s="1074">
        <f t="shared" ref="G64:Z64" si="33">+IFERROR(G63/SUM($F$62:$Z$62),0)</f>
        <v>0</v>
      </c>
      <c r="H64" s="1074">
        <f t="shared" si="33"/>
        <v>0</v>
      </c>
      <c r="I64" s="1074">
        <f t="shared" si="33"/>
        <v>0.5</v>
      </c>
      <c r="J64" s="1074">
        <f t="shared" si="33"/>
        <v>1</v>
      </c>
      <c r="K64" s="1074">
        <f t="shared" si="33"/>
        <v>1</v>
      </c>
      <c r="L64" s="1074">
        <f t="shared" si="33"/>
        <v>1</v>
      </c>
      <c r="M64" s="1074">
        <f t="shared" si="33"/>
        <v>1</v>
      </c>
      <c r="N64" s="1074">
        <f t="shared" si="33"/>
        <v>1</v>
      </c>
      <c r="O64" s="1074">
        <f t="shared" si="33"/>
        <v>1</v>
      </c>
      <c r="P64" s="1074">
        <f t="shared" si="33"/>
        <v>1</v>
      </c>
      <c r="Q64" s="1074">
        <f t="shared" si="33"/>
        <v>1</v>
      </c>
      <c r="R64" s="1074">
        <f t="shared" si="33"/>
        <v>1</v>
      </c>
      <c r="S64" s="1074">
        <f t="shared" si="33"/>
        <v>1</v>
      </c>
      <c r="T64" s="1074">
        <f t="shared" si="33"/>
        <v>1</v>
      </c>
      <c r="U64" s="1074">
        <f t="shared" si="33"/>
        <v>1</v>
      </c>
      <c r="V64" s="1074">
        <f t="shared" si="33"/>
        <v>1</v>
      </c>
      <c r="W64" s="1074">
        <f t="shared" si="33"/>
        <v>1</v>
      </c>
      <c r="X64" s="1074">
        <f t="shared" si="33"/>
        <v>1</v>
      </c>
      <c r="Y64" s="1074">
        <f t="shared" si="33"/>
        <v>1</v>
      </c>
      <c r="Z64" s="1074">
        <f t="shared" si="33"/>
        <v>1</v>
      </c>
      <c r="AA64" s="699"/>
      <c r="AB64" s="699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</row>
    <row r="65" spans="1:76" ht="15.75">
      <c r="A65" s="699"/>
      <c r="B65" s="699"/>
      <c r="C65" s="699"/>
      <c r="D65" s="699"/>
      <c r="E65" s="699"/>
      <c r="F65" s="699"/>
      <c r="G65" s="699"/>
      <c r="H65" s="699"/>
      <c r="I65" s="699"/>
      <c r="J65" s="699"/>
      <c r="K65" s="699"/>
      <c r="L65" s="699"/>
      <c r="M65" s="699"/>
      <c r="N65" s="699"/>
      <c r="O65" s="699"/>
      <c r="P65" s="699"/>
      <c r="Q65" s="699"/>
      <c r="R65" s="699"/>
      <c r="S65" s="699"/>
      <c r="T65" s="699"/>
      <c r="U65" s="699"/>
      <c r="V65" s="699"/>
      <c r="W65" s="699"/>
      <c r="X65" s="699"/>
      <c r="Y65" s="699"/>
      <c r="Z65" s="699"/>
      <c r="AA65" s="699"/>
      <c r="AB65" s="699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718" t="s">
        <v>1135</v>
      </c>
      <c r="AT65" s="718"/>
      <c r="AU65" s="718"/>
      <c r="AV65" s="718"/>
      <c r="AW65" s="948">
        <f ca="1">+AW59-AW63</f>
        <v>0</v>
      </c>
      <c r="AX65" s="948">
        <f t="shared" ref="AX65:BQ65" ca="1" si="34">+AX59-AX63</f>
        <v>0</v>
      </c>
      <c r="AY65" s="948">
        <f t="shared" ca="1" si="34"/>
        <v>0</v>
      </c>
      <c r="AZ65" s="948">
        <f t="shared" ca="1" si="34"/>
        <v>0</v>
      </c>
      <c r="BA65" s="948">
        <f t="shared" ca="1" si="34"/>
        <v>0</v>
      </c>
      <c r="BB65" s="948">
        <f t="shared" ca="1" si="34"/>
        <v>0</v>
      </c>
      <c r="BC65" s="948">
        <f t="shared" ca="1" si="34"/>
        <v>0</v>
      </c>
      <c r="BD65" s="948">
        <f t="shared" ca="1" si="34"/>
        <v>0</v>
      </c>
      <c r="BE65" s="948">
        <f t="shared" ca="1" si="34"/>
        <v>0</v>
      </c>
      <c r="BF65" s="948">
        <f t="shared" ca="1" si="34"/>
        <v>0</v>
      </c>
      <c r="BG65" s="948">
        <f t="shared" ca="1" si="34"/>
        <v>0</v>
      </c>
      <c r="BH65" s="948">
        <f t="shared" ca="1" si="34"/>
        <v>0</v>
      </c>
      <c r="BI65" s="948">
        <f t="shared" ca="1" si="34"/>
        <v>0</v>
      </c>
      <c r="BJ65" s="948">
        <f t="shared" ca="1" si="34"/>
        <v>0</v>
      </c>
      <c r="BK65" s="948">
        <f t="shared" ca="1" si="34"/>
        <v>0</v>
      </c>
      <c r="BL65" s="948">
        <f t="shared" ca="1" si="34"/>
        <v>0</v>
      </c>
      <c r="BM65" s="948">
        <f t="shared" ca="1" si="34"/>
        <v>0</v>
      </c>
      <c r="BN65" s="948">
        <f t="shared" ca="1" si="34"/>
        <v>0</v>
      </c>
      <c r="BO65" s="948">
        <f t="shared" ca="1" si="34"/>
        <v>0</v>
      </c>
      <c r="BP65" s="948">
        <f t="shared" ca="1" si="34"/>
        <v>0</v>
      </c>
      <c r="BQ65" s="948">
        <f t="shared" ca="1" si="34"/>
        <v>0</v>
      </c>
      <c r="BR65" s="151"/>
      <c r="BS65" s="151"/>
      <c r="BT65" s="151"/>
      <c r="BU65" s="151"/>
      <c r="BV65" s="151"/>
      <c r="BW65" s="151"/>
      <c r="BX65" s="151"/>
    </row>
    <row r="66" spans="1:76">
      <c r="A66" s="699"/>
      <c r="B66" s="699" t="s">
        <v>1126</v>
      </c>
      <c r="C66" s="699"/>
      <c r="D66" s="699"/>
      <c r="E66" s="699"/>
      <c r="F66" s="1074">
        <v>1</v>
      </c>
      <c r="G66" s="1074">
        <f>+IF(MOD(G$2,Assumptions!$O$76)=(Assumptions!$O$76-1),'Phase 2 Pro Forma'!F66*(1+Assumptions!$O$75),'Phase 2 Pro Forma'!F66)</f>
        <v>1</v>
      </c>
      <c r="H66" s="1074">
        <f>+IF(MOD(H$2,Assumptions!$O$76)=(Assumptions!$O$76-1),'Phase 2 Pro Forma'!G66*(1+Assumptions!$O$75),'Phase 2 Pro Forma'!G66)</f>
        <v>1</v>
      </c>
      <c r="I66" s="1074">
        <f>+IF(MOD(I$2,Assumptions!$O$76)=(Assumptions!$O$76-1),'Phase 2 Pro Forma'!H66*(1+Assumptions!$O$75),'Phase 2 Pro Forma'!H66)</f>
        <v>1</v>
      </c>
      <c r="J66" s="1074">
        <f>+IF(MOD(J$2,Assumptions!$O$76)=(Assumptions!$O$76-1),'Phase 2 Pro Forma'!I66*(1+Assumptions!$O$75),'Phase 2 Pro Forma'!I66)</f>
        <v>1</v>
      </c>
      <c r="K66" s="1074">
        <f>+IF(MOD(K$2,Assumptions!$O$76)=(Assumptions!$O$76-1),'Phase 2 Pro Forma'!J66*(1+Assumptions!$O$75),'Phase 2 Pro Forma'!J66)</f>
        <v>1</v>
      </c>
      <c r="L66" s="1074">
        <f>+IF(MOD(L$2,Assumptions!$O$76)=(Assumptions!$O$76-1),'Phase 2 Pro Forma'!K66*(1+Assumptions!$O$75),'Phase 2 Pro Forma'!K66)</f>
        <v>1.1499999999999999</v>
      </c>
      <c r="M66" s="1074">
        <f>+IF(MOD(M$2,Assumptions!$O$76)=(Assumptions!$O$76-1),'Phase 2 Pro Forma'!L66*(1+Assumptions!$O$75),'Phase 2 Pro Forma'!L66)</f>
        <v>1.1499999999999999</v>
      </c>
      <c r="N66" s="1074">
        <f>+IF(MOD(N$2,Assumptions!$O$76)=(Assumptions!$O$76-1),'Phase 2 Pro Forma'!M66*(1+Assumptions!$O$75),'Phase 2 Pro Forma'!M66)</f>
        <v>1.1499999999999999</v>
      </c>
      <c r="O66" s="1074">
        <f>+IF(MOD(O$2,Assumptions!$O$76)=(Assumptions!$O$76-1),'Phase 2 Pro Forma'!N66*(1+Assumptions!$O$75),'Phase 2 Pro Forma'!N66)</f>
        <v>1.1499999999999999</v>
      </c>
      <c r="P66" s="1074">
        <f>+IF(MOD(P$2,Assumptions!$O$76)=(Assumptions!$O$76-1),'Phase 2 Pro Forma'!O66*(1+Assumptions!$O$75),'Phase 2 Pro Forma'!O66)</f>
        <v>1.1499999999999999</v>
      </c>
      <c r="Q66" s="1074">
        <f>+IF(MOD(Q$2,Assumptions!$O$76)=(Assumptions!$O$76-1),'Phase 2 Pro Forma'!P66*(1+Assumptions!$O$75),'Phase 2 Pro Forma'!P66)</f>
        <v>1.3224999999999998</v>
      </c>
      <c r="R66" s="1074">
        <f>+IF(MOD(R$2,Assumptions!$O$76)=(Assumptions!$O$76-1),'Phase 2 Pro Forma'!Q66*(1+Assumptions!$O$75),'Phase 2 Pro Forma'!Q66)</f>
        <v>1.3224999999999998</v>
      </c>
      <c r="S66" s="1074">
        <f>+IF(MOD(S$2,Assumptions!$O$76)=(Assumptions!$O$76-1),'Phase 2 Pro Forma'!R66*(1+Assumptions!$O$75),'Phase 2 Pro Forma'!R66)</f>
        <v>1.3224999999999998</v>
      </c>
      <c r="T66" s="1074">
        <f>+IF(MOD(T$2,Assumptions!$O$76)=(Assumptions!$O$76-1),'Phase 2 Pro Forma'!S66*(1+Assumptions!$O$75),'Phase 2 Pro Forma'!S66)</f>
        <v>1.3224999999999998</v>
      </c>
      <c r="U66" s="1074">
        <f>+IF(MOD(U$2,Assumptions!$O$76)=(Assumptions!$O$76-1),'Phase 2 Pro Forma'!T66*(1+Assumptions!$O$75),'Phase 2 Pro Forma'!T66)</f>
        <v>1.3224999999999998</v>
      </c>
      <c r="V66" s="1074">
        <f>+IF(MOD(V$2,Assumptions!$O$76)=(Assumptions!$O$76-1),'Phase 2 Pro Forma'!U66*(1+Assumptions!$O$75),'Phase 2 Pro Forma'!U66)</f>
        <v>1.5208749999999995</v>
      </c>
      <c r="W66" s="1074">
        <f>+IF(MOD(W$2,Assumptions!$O$76)=(Assumptions!$O$76-1),'Phase 2 Pro Forma'!V66*(1+Assumptions!$O$75),'Phase 2 Pro Forma'!V66)</f>
        <v>1.5208749999999995</v>
      </c>
      <c r="X66" s="1074">
        <f>+IF(MOD(X$2,Assumptions!$O$76)=(Assumptions!$O$76-1),'Phase 2 Pro Forma'!W66*(1+Assumptions!$O$75),'Phase 2 Pro Forma'!W66)</f>
        <v>1.5208749999999995</v>
      </c>
      <c r="Y66" s="1074">
        <f>+IF(MOD(Y$2,Assumptions!$O$76)=(Assumptions!$O$76-1),'Phase 2 Pro Forma'!X66*(1+Assumptions!$O$75),'Phase 2 Pro Forma'!X66)</f>
        <v>1.5208749999999995</v>
      </c>
      <c r="Z66" s="1074">
        <f>+IF(MOD(Z$2,Assumptions!$O$76)=(Assumptions!$O$76-1),'Phase 2 Pro Forma'!Y66*(1+Assumptions!$O$75),'Phase 2 Pro Forma'!Y66)</f>
        <v>1.5208749999999995</v>
      </c>
      <c r="AA66" s="699"/>
      <c r="AB66" s="699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826" t="s">
        <v>1136</v>
      </c>
      <c r="AT66" s="826"/>
      <c r="AU66" s="826"/>
      <c r="AV66" s="826"/>
      <c r="AW66" s="973" t="str">
        <f ca="1">+IFERROR(AW65/AW59,"")</f>
        <v/>
      </c>
      <c r="AX66" s="973" t="str">
        <f t="shared" ref="AX66:BQ66" ca="1" si="35">+IFERROR(AX65/AX59,"")</f>
        <v/>
      </c>
      <c r="AY66" s="973" t="str">
        <f t="shared" ca="1" si="35"/>
        <v/>
      </c>
      <c r="AZ66" s="973" t="str">
        <f t="shared" ca="1" si="35"/>
        <v/>
      </c>
      <c r="BA66" s="973" t="str">
        <f t="shared" ca="1" si="35"/>
        <v/>
      </c>
      <c r="BB66" s="973" t="str">
        <f t="shared" ca="1" si="35"/>
        <v/>
      </c>
      <c r="BC66" s="973" t="str">
        <f t="shared" ca="1" si="35"/>
        <v/>
      </c>
      <c r="BD66" s="973" t="str">
        <f t="shared" ca="1" si="35"/>
        <v/>
      </c>
      <c r="BE66" s="973" t="str">
        <f t="shared" ca="1" si="35"/>
        <v/>
      </c>
      <c r="BF66" s="973" t="str">
        <f t="shared" ca="1" si="35"/>
        <v/>
      </c>
      <c r="BG66" s="973" t="str">
        <f t="shared" ca="1" si="35"/>
        <v/>
      </c>
      <c r="BH66" s="973" t="str">
        <f t="shared" ca="1" si="35"/>
        <v/>
      </c>
      <c r="BI66" s="973" t="str">
        <f t="shared" ca="1" si="35"/>
        <v/>
      </c>
      <c r="BJ66" s="973" t="str">
        <f t="shared" ca="1" si="35"/>
        <v/>
      </c>
      <c r="BK66" s="973" t="str">
        <f t="shared" ca="1" si="35"/>
        <v/>
      </c>
      <c r="BL66" s="973" t="str">
        <f t="shared" ca="1" si="35"/>
        <v/>
      </c>
      <c r="BM66" s="973" t="str">
        <f t="shared" ca="1" si="35"/>
        <v/>
      </c>
      <c r="BN66" s="973" t="str">
        <f t="shared" ca="1" si="35"/>
        <v/>
      </c>
      <c r="BO66" s="973" t="str">
        <f t="shared" ca="1" si="35"/>
        <v/>
      </c>
      <c r="BP66" s="973" t="str">
        <f t="shared" ca="1" si="35"/>
        <v/>
      </c>
      <c r="BQ66" s="973" t="str">
        <f t="shared" ca="1" si="35"/>
        <v/>
      </c>
      <c r="BR66" s="151"/>
      <c r="BS66" s="151"/>
      <c r="BT66" s="151"/>
      <c r="BU66" s="151"/>
      <c r="BV66" s="151"/>
      <c r="BW66" s="151"/>
      <c r="BX66" s="151"/>
    </row>
    <row r="67" spans="1:76">
      <c r="A67" s="699"/>
      <c r="B67" s="699" t="s">
        <v>1127</v>
      </c>
      <c r="C67" s="699"/>
      <c r="D67" s="699"/>
      <c r="E67" s="699"/>
      <c r="F67" s="1074">
        <v>1</v>
      </c>
      <c r="G67" s="1074">
        <f>+F67*(1+Assumptions!$O$84)</f>
        <v>1.03</v>
      </c>
      <c r="H67" s="1074">
        <f>+G67*(1+Assumptions!$O$84)</f>
        <v>1.0609</v>
      </c>
      <c r="I67" s="1074">
        <f>+H67*(1+Assumptions!$O$84)</f>
        <v>1.092727</v>
      </c>
      <c r="J67" s="1074">
        <f>+I67*(1+Assumptions!$O$84)</f>
        <v>1.1255088100000001</v>
      </c>
      <c r="K67" s="1074">
        <f>+J67*(1+Assumptions!$O$84)</f>
        <v>1.1592740743000001</v>
      </c>
      <c r="L67" s="1074">
        <f>+K67*(1+Assumptions!$O$84)</f>
        <v>1.1940522965290001</v>
      </c>
      <c r="M67" s="1074">
        <f>+L67*(1+Assumptions!$O$84)</f>
        <v>1.2298738654248702</v>
      </c>
      <c r="N67" s="1074">
        <f>+M67*(1+Assumptions!$O$84)</f>
        <v>1.2667700813876164</v>
      </c>
      <c r="O67" s="1074">
        <f>+N67*(1+Assumptions!$O$84)</f>
        <v>1.3047731838292449</v>
      </c>
      <c r="P67" s="1074">
        <f>+O67*(1+Assumptions!$O$84)</f>
        <v>1.3439163793441222</v>
      </c>
      <c r="Q67" s="1074">
        <f>+P67*(1+Assumptions!$O$84)</f>
        <v>1.3842338707244459</v>
      </c>
      <c r="R67" s="1074">
        <f>+Q67*(1+Assumptions!$O$84)</f>
        <v>1.4257608868461793</v>
      </c>
      <c r="S67" s="1074">
        <f>+R67*(1+Assumptions!$O$84)</f>
        <v>1.4685337134515648</v>
      </c>
      <c r="T67" s="1074">
        <f>+S67*(1+Assumptions!$O$84)</f>
        <v>1.5125897248551119</v>
      </c>
      <c r="U67" s="1074">
        <f>+T67*(1+Assumptions!$O$84)</f>
        <v>1.5579674166007653</v>
      </c>
      <c r="V67" s="1074">
        <f>+U67*(1+Assumptions!$O$84)</f>
        <v>1.6047064390987884</v>
      </c>
      <c r="W67" s="1074">
        <f>+V67*(1+Assumptions!$O$84)</f>
        <v>1.652847632271752</v>
      </c>
      <c r="X67" s="1074">
        <f>+W67*(1+Assumptions!$O$84)</f>
        <v>1.7024330612399046</v>
      </c>
      <c r="Y67" s="1074">
        <f>+X67*(1+Assumptions!$O$84)</f>
        <v>1.7535060530771018</v>
      </c>
      <c r="Z67" s="1074">
        <f>+Y67*(1+Assumptions!$O$84)</f>
        <v>1.806111234669415</v>
      </c>
      <c r="AA67" s="699"/>
      <c r="AB67" s="699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826" t="s">
        <v>1064</v>
      </c>
      <c r="AT67" s="826"/>
      <c r="AU67" s="826"/>
      <c r="AV67" s="826"/>
      <c r="AW67" s="974">
        <f ca="1">+AW65/Assumptions!$G$45</f>
        <v>0</v>
      </c>
      <c r="AX67" s="974">
        <f ca="1">+AX65/Assumptions!$G$45</f>
        <v>0</v>
      </c>
      <c r="AY67" s="974">
        <f ca="1">+AY65/Assumptions!$G$45</f>
        <v>0</v>
      </c>
      <c r="AZ67" s="974">
        <f ca="1">+AZ65/Assumptions!$G$45</f>
        <v>0</v>
      </c>
      <c r="BA67" s="974">
        <f ca="1">+BA65/Assumptions!$G$45</f>
        <v>0</v>
      </c>
      <c r="BB67" s="974">
        <f ca="1">+BB65/Assumptions!$G$45</f>
        <v>0</v>
      </c>
      <c r="BC67" s="974">
        <f ca="1">+BC65/Assumptions!$G$45</f>
        <v>0</v>
      </c>
      <c r="BD67" s="974">
        <f ca="1">+BD65/Assumptions!$G$45</f>
        <v>0</v>
      </c>
      <c r="BE67" s="974">
        <f ca="1">+BE65/Assumptions!$G$45</f>
        <v>0</v>
      </c>
      <c r="BF67" s="974">
        <f ca="1">+BF65/Assumptions!$G$45</f>
        <v>0</v>
      </c>
      <c r="BG67" s="974">
        <f ca="1">+BG65/Assumptions!$G$45</f>
        <v>0</v>
      </c>
      <c r="BH67" s="974">
        <f ca="1">+BH65/Assumptions!$G$45</f>
        <v>0</v>
      </c>
      <c r="BI67" s="974">
        <f ca="1">+BI65/Assumptions!$G$45</f>
        <v>0</v>
      </c>
      <c r="BJ67" s="974">
        <f ca="1">+BJ65/Assumptions!$G$45</f>
        <v>0</v>
      </c>
      <c r="BK67" s="974">
        <f ca="1">+BK65/Assumptions!$G$45</f>
        <v>0</v>
      </c>
      <c r="BL67" s="974">
        <f ca="1">+BL65/Assumptions!$G$45</f>
        <v>0</v>
      </c>
      <c r="BM67" s="974">
        <f ca="1">+BM65/Assumptions!$G$45</f>
        <v>0</v>
      </c>
      <c r="BN67" s="974">
        <f ca="1">+BN65/Assumptions!$G$45</f>
        <v>0</v>
      </c>
      <c r="BO67" s="974">
        <f ca="1">+BO65/Assumptions!$G$45</f>
        <v>0</v>
      </c>
      <c r="BP67" s="974">
        <f ca="1">+BP65/Assumptions!$G$45</f>
        <v>0</v>
      </c>
      <c r="BQ67" s="974">
        <f ca="1">+BQ65/Assumptions!$G$45</f>
        <v>0</v>
      </c>
      <c r="BR67" s="151"/>
      <c r="BS67" s="151"/>
      <c r="BT67" s="151"/>
      <c r="BU67" s="151"/>
      <c r="BV67" s="151"/>
      <c r="BW67" s="151"/>
      <c r="BX67" s="151"/>
    </row>
    <row r="68" spans="1:76">
      <c r="A68" s="699"/>
      <c r="B68" s="699"/>
      <c r="C68" s="699"/>
      <c r="D68" s="699"/>
      <c r="E68" s="699"/>
      <c r="F68" s="699"/>
      <c r="G68" s="699"/>
      <c r="H68" s="699"/>
      <c r="I68" s="699"/>
      <c r="J68" s="699"/>
      <c r="K68" s="699"/>
      <c r="L68" s="699"/>
      <c r="M68" s="699"/>
      <c r="N68" s="699"/>
      <c r="O68" s="699"/>
      <c r="P68" s="699"/>
      <c r="Q68" s="699"/>
      <c r="R68" s="699"/>
      <c r="S68" s="699"/>
      <c r="T68" s="699"/>
      <c r="U68" s="699"/>
      <c r="V68" s="699"/>
      <c r="W68" s="699"/>
      <c r="X68" s="699"/>
      <c r="Y68" s="699"/>
      <c r="Z68" s="699"/>
      <c r="AA68" s="699"/>
      <c r="AB68" s="699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826"/>
      <c r="AT68" s="826"/>
      <c r="AU68" s="826"/>
      <c r="AV68" s="826"/>
      <c r="AW68" s="974"/>
      <c r="AX68" s="974"/>
      <c r="AY68" s="974"/>
      <c r="AZ68" s="974"/>
      <c r="BA68" s="974"/>
      <c r="BB68" s="974"/>
      <c r="BC68" s="974"/>
      <c r="BD68" s="974"/>
      <c r="BE68" s="974"/>
      <c r="BF68" s="974"/>
      <c r="BG68" s="974"/>
      <c r="BH68" s="974"/>
      <c r="BI68" s="974"/>
      <c r="BJ68" s="974"/>
      <c r="BK68" s="974"/>
      <c r="BL68" s="974"/>
      <c r="BM68" s="974"/>
      <c r="BN68" s="974"/>
      <c r="BO68" s="974"/>
      <c r="BP68" s="974"/>
      <c r="BQ68" s="974"/>
      <c r="BR68" s="151"/>
      <c r="BS68" s="151"/>
      <c r="BT68" s="151"/>
      <c r="BU68" s="151"/>
      <c r="BV68" s="151"/>
      <c r="BW68" s="151"/>
      <c r="BX68" s="151"/>
    </row>
    <row r="69" spans="1:76" ht="15.75">
      <c r="A69" s="699"/>
      <c r="B69" s="699" t="s">
        <v>1128</v>
      </c>
      <c r="C69" s="699"/>
      <c r="D69" s="699"/>
      <c r="E69" s="699"/>
      <c r="F69" s="1028">
        <f>+F64*Assumptions!$G$110*F66</f>
        <v>0</v>
      </c>
      <c r="G69" s="1028">
        <f>+G64*Assumptions!$G$110*G66</f>
        <v>0</v>
      </c>
      <c r="H69" s="1028">
        <f>+H64*Assumptions!$G$110*H66</f>
        <v>0</v>
      </c>
      <c r="I69" s="1028">
        <f>+I64*Assumptions!$G$110*I66</f>
        <v>2461051.8147642901</v>
      </c>
      <c r="J69" s="1028">
        <f>+J64*Assumptions!$G$110*J66</f>
        <v>4922103.6295285802</v>
      </c>
      <c r="K69" s="1028">
        <f>+K64*Assumptions!$G$110*K66</f>
        <v>4922103.6295285802</v>
      </c>
      <c r="L69" s="1028">
        <f>+L64*Assumptions!$G$110*L66</f>
        <v>5660419.1739578666</v>
      </c>
      <c r="M69" s="1028">
        <f>+M64*Assumptions!$G$110*M66</f>
        <v>5660419.1739578666</v>
      </c>
      <c r="N69" s="1028">
        <f>+N64*Assumptions!$G$110*N66</f>
        <v>5660419.1739578666</v>
      </c>
      <c r="O69" s="1028">
        <f>+O64*Assumptions!$G$110*O66</f>
        <v>5660419.1739578666</v>
      </c>
      <c r="P69" s="1028">
        <f>+P64*Assumptions!$G$110*P66</f>
        <v>5660419.1739578666</v>
      </c>
      <c r="Q69" s="1028">
        <f>+Q64*Assumptions!$G$110*Q66</f>
        <v>6509482.0500515467</v>
      </c>
      <c r="R69" s="1028">
        <f>+R64*Assumptions!$G$110*R66</f>
        <v>6509482.0500515467</v>
      </c>
      <c r="S69" s="1028">
        <f>+S64*Assumptions!$G$110*S66</f>
        <v>6509482.0500515467</v>
      </c>
      <c r="T69" s="1028">
        <f>+T64*Assumptions!$G$110*T66</f>
        <v>6509482.0500515467</v>
      </c>
      <c r="U69" s="1028">
        <f>+U64*Assumptions!$G$110*U66</f>
        <v>6509482.0500515467</v>
      </c>
      <c r="V69" s="1028">
        <f>+V64*Assumptions!$G$110*V66</f>
        <v>7485904.3575592767</v>
      </c>
      <c r="W69" s="1028">
        <f>+W64*Assumptions!$G$110*W66</f>
        <v>7485904.3575592767</v>
      </c>
      <c r="X69" s="1028">
        <f>+X64*Assumptions!$G$110*X66</f>
        <v>7485904.3575592767</v>
      </c>
      <c r="Y69" s="1028">
        <f>+Y64*Assumptions!$G$110*Y66</f>
        <v>7485904.3575592767</v>
      </c>
      <c r="Z69" s="1028">
        <f>+Z64*Assumptions!$G$110*Z66</f>
        <v>7485904.3575592767</v>
      </c>
      <c r="AA69" s="699"/>
      <c r="AB69" s="699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718" t="s">
        <v>340</v>
      </c>
      <c r="AT69" s="151"/>
      <c r="AU69" s="151"/>
      <c r="AV69" s="151"/>
      <c r="AW69" s="971">
        <f>+Assumptions!$G$27</f>
        <v>46387</v>
      </c>
      <c r="AX69" s="971">
        <f>+EOMONTH(AW69,12)</f>
        <v>46752</v>
      </c>
      <c r="AY69" s="971">
        <f t="shared" ref="AY69:BQ69" si="36">+EOMONTH(AX69,12)</f>
        <v>47118</v>
      </c>
      <c r="AZ69" s="971">
        <f t="shared" si="36"/>
        <v>47483</v>
      </c>
      <c r="BA69" s="971">
        <f t="shared" si="36"/>
        <v>47848</v>
      </c>
      <c r="BB69" s="971">
        <f t="shared" si="36"/>
        <v>48213</v>
      </c>
      <c r="BC69" s="971">
        <f t="shared" si="36"/>
        <v>48579</v>
      </c>
      <c r="BD69" s="971">
        <f t="shared" si="36"/>
        <v>48944</v>
      </c>
      <c r="BE69" s="971">
        <f t="shared" si="36"/>
        <v>49309</v>
      </c>
      <c r="BF69" s="971">
        <f t="shared" si="36"/>
        <v>49674</v>
      </c>
      <c r="BG69" s="971">
        <f t="shared" si="36"/>
        <v>50040</v>
      </c>
      <c r="BH69" s="971">
        <f t="shared" si="36"/>
        <v>50405</v>
      </c>
      <c r="BI69" s="971">
        <f t="shared" si="36"/>
        <v>50770</v>
      </c>
      <c r="BJ69" s="971">
        <f t="shared" si="36"/>
        <v>51135</v>
      </c>
      <c r="BK69" s="971">
        <f t="shared" si="36"/>
        <v>51501</v>
      </c>
      <c r="BL69" s="971">
        <f t="shared" si="36"/>
        <v>51866</v>
      </c>
      <c r="BM69" s="971">
        <f t="shared" si="36"/>
        <v>52231</v>
      </c>
      <c r="BN69" s="971">
        <f t="shared" si="36"/>
        <v>52596</v>
      </c>
      <c r="BO69" s="971">
        <f t="shared" si="36"/>
        <v>52962</v>
      </c>
      <c r="BP69" s="971">
        <f t="shared" si="36"/>
        <v>53327</v>
      </c>
      <c r="BQ69" s="971">
        <f t="shared" si="36"/>
        <v>53692</v>
      </c>
      <c r="BR69" s="151"/>
      <c r="BS69" s="151"/>
      <c r="BT69" s="151"/>
      <c r="BU69" s="151"/>
      <c r="BV69" s="151"/>
      <c r="BW69" s="151"/>
      <c r="BX69" s="151"/>
    </row>
    <row r="70" spans="1:76">
      <c r="A70" s="699"/>
      <c r="B70" s="699" t="s">
        <v>1130</v>
      </c>
      <c r="C70" s="699"/>
      <c r="D70" s="699"/>
      <c r="E70" s="699"/>
      <c r="F70" s="1085">
        <f>-F69*Assumptions!$O$64</f>
        <v>0</v>
      </c>
      <c r="G70" s="1085">
        <f>-G69*Assumptions!$O$64</f>
        <v>0</v>
      </c>
      <c r="H70" s="1085">
        <f>-H69*Assumptions!$O$64</f>
        <v>0</v>
      </c>
      <c r="I70" s="1085">
        <f>-I69*Assumptions!$O$64</f>
        <v>-246105.18147642902</v>
      </c>
      <c r="J70" s="1085">
        <f>-J69*Assumptions!$O$64</f>
        <v>-492210.36295285803</v>
      </c>
      <c r="K70" s="1085">
        <f>-K69*Assumptions!$O$64</f>
        <v>-492210.36295285803</v>
      </c>
      <c r="L70" s="1085">
        <f>-L69*Assumptions!$O$64</f>
        <v>-566041.91739578673</v>
      </c>
      <c r="M70" s="1085">
        <f>-M69*Assumptions!$O$64</f>
        <v>-566041.91739578673</v>
      </c>
      <c r="N70" s="1085">
        <f>-N69*Assumptions!$O$64</f>
        <v>-566041.91739578673</v>
      </c>
      <c r="O70" s="1085">
        <f>-O69*Assumptions!$O$64</f>
        <v>-566041.91739578673</v>
      </c>
      <c r="P70" s="1085">
        <f>-P69*Assumptions!$O$64</f>
        <v>-566041.91739578673</v>
      </c>
      <c r="Q70" s="1085">
        <f>-Q69*Assumptions!$O$64</f>
        <v>-650948.20500515471</v>
      </c>
      <c r="R70" s="1085">
        <f>-R69*Assumptions!$O$64</f>
        <v>-650948.20500515471</v>
      </c>
      <c r="S70" s="1085">
        <f>-S69*Assumptions!$O$64</f>
        <v>-650948.20500515471</v>
      </c>
      <c r="T70" s="1085">
        <f>-T69*Assumptions!$O$64</f>
        <v>-650948.20500515471</v>
      </c>
      <c r="U70" s="1085">
        <f>-U69*Assumptions!$O$64</f>
        <v>-650948.20500515471</v>
      </c>
      <c r="V70" s="1085">
        <f>-V69*Assumptions!$O$64</f>
        <v>-748590.4357559277</v>
      </c>
      <c r="W70" s="1085">
        <f>-W69*Assumptions!$O$64</f>
        <v>-748590.4357559277</v>
      </c>
      <c r="X70" s="1085">
        <f>-X69*Assumptions!$O$64</f>
        <v>-748590.4357559277</v>
      </c>
      <c r="Y70" s="1085">
        <f>-Y69*Assumptions!$O$64</f>
        <v>-748590.4357559277</v>
      </c>
      <c r="Z70" s="1085">
        <f>-Z69*Assumptions!$O$64</f>
        <v>-748590.4357559277</v>
      </c>
      <c r="AA70" s="699"/>
      <c r="AB70" s="699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 t="s">
        <v>1120</v>
      </c>
      <c r="AT70" s="151"/>
      <c r="AU70" s="151"/>
      <c r="AV70" s="687"/>
      <c r="AW70" s="687">
        <f>+IF(AW69=Assumptions!$G$31,Assumptions!$G$228/ROUNDUP((12/12),0),)</f>
        <v>0</v>
      </c>
      <c r="AX70" s="687">
        <f>+IF(AX69=Assumptions!$G$31,Assumptions!$G$228/ROUNDUP((12/12),0),)</f>
        <v>0</v>
      </c>
      <c r="AY70" s="687">
        <f>+IF(AY69=Assumptions!$G$31,Assumptions!$G$228/ROUNDUP((12/12),0),)</f>
        <v>0</v>
      </c>
      <c r="AZ70" s="687">
        <f>+IF(AZ69=Assumptions!$G$31,Assumptions!$G$228/ROUNDUP((12/12),0),)</f>
        <v>0</v>
      </c>
      <c r="BA70" s="687">
        <f>+IF(BA69=Assumptions!$G$31,Assumptions!$G$228/ROUNDUP((12/12),0),)</f>
        <v>0</v>
      </c>
      <c r="BB70" s="687">
        <f>+IF(BB69=Assumptions!$G$31,Assumptions!$G$228/ROUNDUP((12/12),0),)</f>
        <v>0</v>
      </c>
      <c r="BC70" s="687">
        <f>+IF(BC69=Assumptions!$G$31,Assumptions!$G$228/ROUNDUP((12/12),0),)</f>
        <v>0</v>
      </c>
      <c r="BD70" s="687">
        <f>+IF(BD69=Assumptions!$G$31,Assumptions!$G$228/ROUNDUP((12/12),0),)</f>
        <v>0</v>
      </c>
      <c r="BE70" s="687">
        <f>+IF(BE69=Assumptions!$G$31,Assumptions!$G$228/ROUNDUP((12/12),0),)</f>
        <v>0</v>
      </c>
      <c r="BF70" s="687">
        <f>+IF(BF69=Assumptions!$G$31,Assumptions!$G$228/ROUNDUP((12/12),0),)</f>
        <v>0</v>
      </c>
      <c r="BG70" s="687">
        <f>+IF(BG69=Assumptions!$G$31,Assumptions!$G$228/ROUNDUP((12/12),0),)</f>
        <v>0</v>
      </c>
      <c r="BH70" s="687">
        <f>+IF(BH69=Assumptions!$G$31,Assumptions!$G$228/ROUNDUP((12/12),0),)</f>
        <v>0</v>
      </c>
      <c r="BI70" s="687">
        <f>+IF(BI69=Assumptions!$G$31,Assumptions!$G$228/ROUNDUP((12/12),0),)</f>
        <v>0</v>
      </c>
      <c r="BJ70" s="687">
        <f>+IF(BJ69=Assumptions!$G$31,Assumptions!$G$228/ROUNDUP((12/12),0),)</f>
        <v>0</v>
      </c>
      <c r="BK70" s="687">
        <f>+IF(BK69=Assumptions!$G$31,Assumptions!$G$228/ROUNDUP((12/12),0),)</f>
        <v>0</v>
      </c>
      <c r="BL70" s="687">
        <f>+IF(BL69=Assumptions!$G$31,Assumptions!$G$228/ROUNDUP((12/12),0),)</f>
        <v>0</v>
      </c>
      <c r="BM70" s="687">
        <f>+IF(BM69=Assumptions!$G$31,Assumptions!$G$228/ROUNDUP((12/12),0),)</f>
        <v>0</v>
      </c>
      <c r="BN70" s="687">
        <f>+IF(BN69=Assumptions!$G$31,Assumptions!$G$228/ROUNDUP((12/12),0),)</f>
        <v>0</v>
      </c>
      <c r="BO70" s="687">
        <f>+IF(BO69=Assumptions!$G$31,Assumptions!$G$228/ROUNDUP((12/12),0),)</f>
        <v>0</v>
      </c>
      <c r="BP70" s="687">
        <f>+IF(BP69=Assumptions!$G$31,Assumptions!$G$228/ROUNDUP((12/12),0),)</f>
        <v>0</v>
      </c>
      <c r="BQ70" s="687">
        <f>+IF(BQ69=Assumptions!$G$31,Assumptions!$G$228/ROUNDUP((12/12),0),)</f>
        <v>0</v>
      </c>
      <c r="BR70" s="151"/>
      <c r="BS70" s="151"/>
      <c r="BT70" s="151"/>
      <c r="BU70" s="151"/>
      <c r="BV70" s="151"/>
      <c r="BW70" s="151"/>
      <c r="BX70" s="151"/>
    </row>
    <row r="71" spans="1:76">
      <c r="A71" s="699"/>
      <c r="B71" s="699" t="s">
        <v>1139</v>
      </c>
      <c r="C71" s="699"/>
      <c r="D71" s="699"/>
      <c r="E71" s="699"/>
      <c r="F71" s="1085">
        <f ca="1">+F76*Assumptions!$O$93</f>
        <v>0</v>
      </c>
      <c r="G71" s="1085">
        <f ca="1">+G76*Assumptions!$O$93</f>
        <v>0</v>
      </c>
      <c r="H71" s="1085">
        <f ca="1">+H76*Assumptions!$O$93</f>
        <v>0</v>
      </c>
      <c r="I71" s="1085">
        <f ca="1">+I76*Assumptions!$O$93</f>
        <v>850958.55818381126</v>
      </c>
      <c r="J71" s="1085">
        <f ca="1">+J76*Assumptions!$O$93</f>
        <v>1752974.6298586512</v>
      </c>
      <c r="K71" s="1085">
        <f ca="1">+K76*Assumptions!$O$93</f>
        <v>1781318.0990511135</v>
      </c>
      <c r="L71" s="1085">
        <f ca="1">+L76*Assumptions!$O$93</f>
        <v>1810511.8723193496</v>
      </c>
      <c r="M71" s="1085">
        <f ca="1">+M76*Assumptions!$O$93</f>
        <v>1864827.22848893</v>
      </c>
      <c r="N71" s="1085">
        <f ca="1">+N76*Assumptions!$O$93</f>
        <v>1895798.9025492019</v>
      </c>
      <c r="O71" s="1085">
        <f ca="1">+O76*Assumptions!$O$93</f>
        <v>1927699.7268312818</v>
      </c>
      <c r="P71" s="1085">
        <f ca="1">+P76*Assumptions!$O$93</f>
        <v>1985530.7186362199</v>
      </c>
      <c r="Q71" s="1085">
        <f ca="1">+Q76*Assumptions!$O$93</f>
        <v>2019374.3031170783</v>
      </c>
      <c r="R71" s="1085">
        <f ca="1">+R76*Assumptions!$O$93</f>
        <v>2054233.1951323624</v>
      </c>
      <c r="S71" s="1085">
        <f ca="1">+S76*Assumptions!$O$93</f>
        <v>2115860.1909863343</v>
      </c>
      <c r="T71" s="1085">
        <f ca="1">+T76*Assumptions!$O$93</f>
        <v>2152841.9895253493</v>
      </c>
      <c r="U71" s="1085">
        <f ca="1">+U76*Assumptions!$O$93</f>
        <v>2190933.2420205344</v>
      </c>
      <c r="V71" s="1085">
        <f ca="1">+V76*Assumptions!$O$93</f>
        <v>2256661.2392811505</v>
      </c>
      <c r="W71" s="1085">
        <f ca="1">+W76*Assumptions!$O$93</f>
        <v>2297072.2490532924</v>
      </c>
      <c r="X71" s="1085">
        <f ca="1">+X76*Assumptions!$O$93</f>
        <v>2338695.5891185994</v>
      </c>
      <c r="Y71" s="1085">
        <f ca="1">+Y76*Assumptions!$O$93</f>
        <v>2408856.4567921576</v>
      </c>
      <c r="Z71" s="1085">
        <f ca="1">+Z76*Assumptions!$O$93</f>
        <v>2453014.6582674412</v>
      </c>
      <c r="AA71" s="699"/>
      <c r="AB71" s="699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 t="s">
        <v>1121</v>
      </c>
      <c r="AT71" s="151"/>
      <c r="AU71" s="151"/>
      <c r="AV71" s="687">
        <v>0</v>
      </c>
      <c r="AW71" s="687">
        <f>+AV71+AW70</f>
        <v>0</v>
      </c>
      <c r="AX71" s="687">
        <f t="shared" ref="AX71:BQ71" si="37">+AW71+AX70</f>
        <v>0</v>
      </c>
      <c r="AY71" s="687">
        <f t="shared" si="37"/>
        <v>0</v>
      </c>
      <c r="AZ71" s="687">
        <f t="shared" si="37"/>
        <v>0</v>
      </c>
      <c r="BA71" s="687">
        <f t="shared" si="37"/>
        <v>0</v>
      </c>
      <c r="BB71" s="687">
        <f t="shared" si="37"/>
        <v>0</v>
      </c>
      <c r="BC71" s="687">
        <f t="shared" si="37"/>
        <v>0</v>
      </c>
      <c r="BD71" s="687">
        <f t="shared" si="37"/>
        <v>0</v>
      </c>
      <c r="BE71" s="687">
        <f t="shared" si="37"/>
        <v>0</v>
      </c>
      <c r="BF71" s="687">
        <f t="shared" si="37"/>
        <v>0</v>
      </c>
      <c r="BG71" s="687">
        <f t="shared" si="37"/>
        <v>0</v>
      </c>
      <c r="BH71" s="687">
        <f t="shared" si="37"/>
        <v>0</v>
      </c>
      <c r="BI71" s="687">
        <f t="shared" si="37"/>
        <v>0</v>
      </c>
      <c r="BJ71" s="687">
        <f t="shared" si="37"/>
        <v>0</v>
      </c>
      <c r="BK71" s="687">
        <f t="shared" si="37"/>
        <v>0</v>
      </c>
      <c r="BL71" s="687">
        <f t="shared" si="37"/>
        <v>0</v>
      </c>
      <c r="BM71" s="687">
        <f t="shared" si="37"/>
        <v>0</v>
      </c>
      <c r="BN71" s="687">
        <f t="shared" si="37"/>
        <v>0</v>
      </c>
      <c r="BO71" s="687">
        <f t="shared" si="37"/>
        <v>0</v>
      </c>
      <c r="BP71" s="687">
        <f t="shared" si="37"/>
        <v>0</v>
      </c>
      <c r="BQ71" s="687">
        <f t="shared" si="37"/>
        <v>0</v>
      </c>
      <c r="BR71" s="151"/>
      <c r="BS71" s="151"/>
      <c r="BT71" s="151"/>
      <c r="BU71" s="151"/>
      <c r="BV71" s="151"/>
      <c r="BW71" s="151"/>
      <c r="BX71" s="151"/>
    </row>
    <row r="72" spans="1:76">
      <c r="A72" s="699"/>
      <c r="B72" s="52" t="s">
        <v>1131</v>
      </c>
      <c r="C72" s="1052"/>
      <c r="D72" s="1052"/>
      <c r="E72" s="1052"/>
      <c r="F72" s="1086">
        <f ca="1">SUM(F69:F71)</f>
        <v>0</v>
      </c>
      <c r="G72" s="1086">
        <f t="shared" ref="G72:Z72" ca="1" si="38">SUM(G69:G71)</f>
        <v>0</v>
      </c>
      <c r="H72" s="1086">
        <f t="shared" ca="1" si="38"/>
        <v>0</v>
      </c>
      <c r="I72" s="1086">
        <f t="shared" ca="1" si="38"/>
        <v>3065905.1914716722</v>
      </c>
      <c r="J72" s="1086">
        <f t="shared" ca="1" si="38"/>
        <v>6182867.8964343732</v>
      </c>
      <c r="K72" s="1086">
        <f t="shared" ca="1" si="38"/>
        <v>6211211.3656268353</v>
      </c>
      <c r="L72" s="1086">
        <f t="shared" ca="1" si="38"/>
        <v>6904889.1288814303</v>
      </c>
      <c r="M72" s="1086">
        <f t="shared" ca="1" si="38"/>
        <v>6959204.4850510098</v>
      </c>
      <c r="N72" s="1086">
        <f t="shared" ca="1" si="38"/>
        <v>6990176.1591112819</v>
      </c>
      <c r="O72" s="1086">
        <f t="shared" ca="1" si="38"/>
        <v>7022076.9833933618</v>
      </c>
      <c r="P72" s="1086">
        <f t="shared" ca="1" si="38"/>
        <v>7079907.9751983006</v>
      </c>
      <c r="Q72" s="1086">
        <f t="shared" ca="1" si="38"/>
        <v>7877908.1481634695</v>
      </c>
      <c r="R72" s="1086">
        <f t="shared" ca="1" si="38"/>
        <v>7912767.0401787544</v>
      </c>
      <c r="S72" s="1086">
        <f t="shared" ca="1" si="38"/>
        <v>7974394.0360327261</v>
      </c>
      <c r="T72" s="1086">
        <f t="shared" ca="1" si="38"/>
        <v>8011375.8345717415</v>
      </c>
      <c r="U72" s="1086">
        <f t="shared" ca="1" si="38"/>
        <v>8049467.0870669261</v>
      </c>
      <c r="V72" s="1086">
        <f t="shared" ca="1" si="38"/>
        <v>8993975.1610844992</v>
      </c>
      <c r="W72" s="1086">
        <f t="shared" ca="1" si="38"/>
        <v>9034386.1708566416</v>
      </c>
      <c r="X72" s="1086">
        <f t="shared" ca="1" si="38"/>
        <v>9076009.5109219477</v>
      </c>
      <c r="Y72" s="1086">
        <f t="shared" ca="1" si="38"/>
        <v>9146170.3785955068</v>
      </c>
      <c r="Z72" s="1086">
        <f t="shared" ca="1" si="38"/>
        <v>9190328.5800707899</v>
      </c>
      <c r="AA72" s="699"/>
      <c r="AB72" s="699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 t="s">
        <v>1123</v>
      </c>
      <c r="AT72" s="151"/>
      <c r="AU72" s="151"/>
      <c r="AV72" s="151"/>
      <c r="AW72" s="975">
        <f>+AW73-AV73</f>
        <v>0</v>
      </c>
      <c r="AX72" s="975">
        <f t="shared" ref="AX72:BQ72" si="39">+AX73-AW73</f>
        <v>0</v>
      </c>
      <c r="AY72" s="975">
        <f t="shared" si="39"/>
        <v>0</v>
      </c>
      <c r="AZ72" s="975">
        <f t="shared" si="39"/>
        <v>0</v>
      </c>
      <c r="BA72" s="975">
        <f t="shared" si="39"/>
        <v>0</v>
      </c>
      <c r="BB72" s="975">
        <f t="shared" si="39"/>
        <v>0</v>
      </c>
      <c r="BC72" s="975">
        <f t="shared" si="39"/>
        <v>0</v>
      </c>
      <c r="BD72" s="975">
        <f t="shared" si="39"/>
        <v>0</v>
      </c>
      <c r="BE72" s="975">
        <f t="shared" si="39"/>
        <v>0</v>
      </c>
      <c r="BF72" s="975">
        <f t="shared" si="39"/>
        <v>0</v>
      </c>
      <c r="BG72" s="975">
        <f t="shared" si="39"/>
        <v>0</v>
      </c>
      <c r="BH72" s="975">
        <f t="shared" si="39"/>
        <v>0</v>
      </c>
      <c r="BI72" s="975">
        <f t="shared" si="39"/>
        <v>0</v>
      </c>
      <c r="BJ72" s="975">
        <f t="shared" si="39"/>
        <v>0</v>
      </c>
      <c r="BK72" s="975">
        <f t="shared" si="39"/>
        <v>0</v>
      </c>
      <c r="BL72" s="975">
        <f t="shared" si="39"/>
        <v>0</v>
      </c>
      <c r="BM72" s="975">
        <f t="shared" si="39"/>
        <v>0</v>
      </c>
      <c r="BN72" s="975">
        <f t="shared" si="39"/>
        <v>0</v>
      </c>
      <c r="BO72" s="975">
        <f t="shared" si="39"/>
        <v>0</v>
      </c>
      <c r="BP72" s="975">
        <f t="shared" si="39"/>
        <v>0</v>
      </c>
      <c r="BQ72" s="975">
        <f t="shared" si="39"/>
        <v>0</v>
      </c>
      <c r="BR72" s="151"/>
      <c r="BS72" s="151"/>
      <c r="BT72" s="151"/>
      <c r="BU72" s="151"/>
      <c r="BV72" s="151"/>
      <c r="BW72" s="151"/>
      <c r="BX72" s="151"/>
    </row>
    <row r="73" spans="1:76">
      <c r="A73" s="699"/>
      <c r="B73" s="49"/>
      <c r="C73" s="699"/>
      <c r="D73" s="699"/>
      <c r="E73" s="699"/>
      <c r="F73" s="699"/>
      <c r="G73" s="699"/>
      <c r="H73" s="699"/>
      <c r="I73" s="699"/>
      <c r="J73" s="699"/>
      <c r="K73" s="699"/>
      <c r="L73" s="699"/>
      <c r="M73" s="699"/>
      <c r="N73" s="699"/>
      <c r="O73" s="699"/>
      <c r="P73" s="699"/>
      <c r="Q73" s="699"/>
      <c r="R73" s="699"/>
      <c r="S73" s="699"/>
      <c r="T73" s="699"/>
      <c r="U73" s="699"/>
      <c r="V73" s="699"/>
      <c r="W73" s="699"/>
      <c r="X73" s="699"/>
      <c r="Y73" s="699"/>
      <c r="Z73" s="699"/>
      <c r="AA73" s="699"/>
      <c r="AB73" s="699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 t="s">
        <v>1124</v>
      </c>
      <c r="AT73" s="151"/>
      <c r="AU73" s="151"/>
      <c r="AV73" s="151"/>
      <c r="AW73" s="975">
        <f>+AW74*Assumptions!$G$229</f>
        <v>0</v>
      </c>
      <c r="AX73" s="975">
        <f>+AX74*Assumptions!$G$229</f>
        <v>0</v>
      </c>
      <c r="AY73" s="975">
        <f>+AY74*Assumptions!$G$229</f>
        <v>0</v>
      </c>
      <c r="AZ73" s="975">
        <f>+AZ74*Assumptions!$G$229</f>
        <v>0</v>
      </c>
      <c r="BA73" s="975">
        <f>+BA74*Assumptions!$G$229</f>
        <v>0</v>
      </c>
      <c r="BB73" s="975">
        <f>+BB74*Assumptions!$G$229</f>
        <v>0</v>
      </c>
      <c r="BC73" s="975">
        <f>+BC74*Assumptions!$G$229</f>
        <v>0</v>
      </c>
      <c r="BD73" s="975">
        <f>+BD74*Assumptions!$G$229</f>
        <v>0</v>
      </c>
      <c r="BE73" s="975">
        <f>+BE74*Assumptions!$G$229</f>
        <v>0</v>
      </c>
      <c r="BF73" s="975">
        <f>+BF74*Assumptions!$G$229</f>
        <v>0</v>
      </c>
      <c r="BG73" s="975">
        <f>+BG74*Assumptions!$G$229</f>
        <v>0</v>
      </c>
      <c r="BH73" s="975">
        <f>+BH74*Assumptions!$G$229</f>
        <v>0</v>
      </c>
      <c r="BI73" s="975">
        <f>+BI74*Assumptions!$G$229</f>
        <v>0</v>
      </c>
      <c r="BJ73" s="975">
        <f>+BJ74*Assumptions!$G$229</f>
        <v>0</v>
      </c>
      <c r="BK73" s="975">
        <f>+BK74*Assumptions!$G$229</f>
        <v>0</v>
      </c>
      <c r="BL73" s="975">
        <f>+BL74*Assumptions!$G$229</f>
        <v>0</v>
      </c>
      <c r="BM73" s="975">
        <f>+BM74*Assumptions!$G$229</f>
        <v>0</v>
      </c>
      <c r="BN73" s="975">
        <f>+BN74*Assumptions!$G$229</f>
        <v>0</v>
      </c>
      <c r="BO73" s="975">
        <f>+BO74*Assumptions!$G$229</f>
        <v>0</v>
      </c>
      <c r="BP73" s="975">
        <f>+BP74*Assumptions!$G$229</f>
        <v>0</v>
      </c>
      <c r="BQ73" s="975">
        <f>+BQ74*Assumptions!$G$229</f>
        <v>0</v>
      </c>
      <c r="BR73" s="151"/>
      <c r="BS73" s="151"/>
      <c r="BT73" s="151"/>
      <c r="BU73" s="151"/>
      <c r="BV73" s="151"/>
      <c r="BW73" s="151"/>
      <c r="BX73" s="151"/>
    </row>
    <row r="74" spans="1:76">
      <c r="A74" s="699"/>
      <c r="B74" s="699" t="s">
        <v>1132</v>
      </c>
      <c r="C74" s="699"/>
      <c r="D74" s="699"/>
      <c r="E74" s="699"/>
      <c r="F74" s="1087">
        <f>+F63*Assumptions!$O$106*F67</f>
        <v>0</v>
      </c>
      <c r="G74" s="1087">
        <f>+G63*Assumptions!$O$106*G67</f>
        <v>0</v>
      </c>
      <c r="H74" s="1087">
        <f>+H63*Assumptions!$O$106*H67</f>
        <v>0</v>
      </c>
      <c r="I74" s="1087">
        <f>+I63*Assumptions!$O$106*I67</f>
        <v>509591.31953366025</v>
      </c>
      <c r="J74" s="1087">
        <f>+J63*Assumptions!$O$106*J67</f>
        <v>1049758.1182393401</v>
      </c>
      <c r="K74" s="1087">
        <f>+K63*Assumptions!$O$106*K67</f>
        <v>1081250.8617865203</v>
      </c>
      <c r="L74" s="1087">
        <f>+L63*Assumptions!$O$106*L67</f>
        <v>1113688.387640116</v>
      </c>
      <c r="M74" s="1087">
        <f>+M63*Assumptions!$O$106*M67</f>
        <v>1147099.0392693195</v>
      </c>
      <c r="N74" s="1087">
        <f>+N63*Assumptions!$O$106*N67</f>
        <v>1181512.0104473992</v>
      </c>
      <c r="O74" s="1087">
        <f>+O63*Assumptions!$O$106*O67</f>
        <v>1216957.3707608213</v>
      </c>
      <c r="P74" s="1087">
        <f>+P63*Assumptions!$O$106*P67</f>
        <v>1253466.0918836459</v>
      </c>
      <c r="Q74" s="1087">
        <f>+Q63*Assumptions!$O$106*Q67</f>
        <v>1291070.0746401553</v>
      </c>
      <c r="R74" s="1087">
        <f>+R63*Assumptions!$O$106*R67</f>
        <v>1329802.1768793599</v>
      </c>
      <c r="S74" s="1087">
        <f>+S63*Assumptions!$O$106*S67</f>
        <v>1369696.242185741</v>
      </c>
      <c r="T74" s="1087">
        <f>+T63*Assumptions!$O$106*T67</f>
        <v>1410787.1294513133</v>
      </c>
      <c r="U74" s="1087">
        <f>+U63*Assumptions!$O$106*U67</f>
        <v>1453110.7433348526</v>
      </c>
      <c r="V74" s="1087">
        <f>+V63*Assumptions!$O$106*V67</f>
        <v>1496704.0656348984</v>
      </c>
      <c r="W74" s="1087">
        <f>+W63*Assumptions!$O$106*W67</f>
        <v>1541605.1876039454</v>
      </c>
      <c r="X74" s="1087">
        <f>+X63*Assumptions!$O$106*X67</f>
        <v>1587853.3432320636</v>
      </c>
      <c r="Y74" s="1087">
        <f>+Y63*Assumptions!$O$106*Y67</f>
        <v>1635488.9435290257</v>
      </c>
      <c r="Z74" s="1087">
        <f>+Z63*Assumptions!$O$106*Z67</f>
        <v>1684553.6118348965</v>
      </c>
      <c r="AA74" s="699"/>
      <c r="AB74" s="699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 t="s">
        <v>1125</v>
      </c>
      <c r="AT74" s="151"/>
      <c r="AU74" s="151"/>
      <c r="AV74" s="151"/>
      <c r="AW74" s="749">
        <f t="shared" ref="AW74:BQ74" si="40">+IFERROR(AW71/SUM($AW70:$BQ70),0)</f>
        <v>0</v>
      </c>
      <c r="AX74" s="749">
        <f t="shared" si="40"/>
        <v>0</v>
      </c>
      <c r="AY74" s="749">
        <f t="shared" si="40"/>
        <v>0</v>
      </c>
      <c r="AZ74" s="749">
        <f t="shared" si="40"/>
        <v>0</v>
      </c>
      <c r="BA74" s="749">
        <f t="shared" si="40"/>
        <v>0</v>
      </c>
      <c r="BB74" s="749">
        <f t="shared" si="40"/>
        <v>0</v>
      </c>
      <c r="BC74" s="749">
        <f t="shared" si="40"/>
        <v>0</v>
      </c>
      <c r="BD74" s="749">
        <f t="shared" si="40"/>
        <v>0</v>
      </c>
      <c r="BE74" s="749">
        <f t="shared" si="40"/>
        <v>0</v>
      </c>
      <c r="BF74" s="749">
        <f t="shared" si="40"/>
        <v>0</v>
      </c>
      <c r="BG74" s="749">
        <f t="shared" si="40"/>
        <v>0</v>
      </c>
      <c r="BH74" s="749">
        <f t="shared" si="40"/>
        <v>0</v>
      </c>
      <c r="BI74" s="749">
        <f t="shared" si="40"/>
        <v>0</v>
      </c>
      <c r="BJ74" s="749">
        <f t="shared" si="40"/>
        <v>0</v>
      </c>
      <c r="BK74" s="749">
        <f t="shared" si="40"/>
        <v>0</v>
      </c>
      <c r="BL74" s="749">
        <f t="shared" si="40"/>
        <v>0</v>
      </c>
      <c r="BM74" s="749">
        <f t="shared" si="40"/>
        <v>0</v>
      </c>
      <c r="BN74" s="749">
        <f t="shared" si="40"/>
        <v>0</v>
      </c>
      <c r="BO74" s="749">
        <f t="shared" si="40"/>
        <v>0</v>
      </c>
      <c r="BP74" s="749">
        <f t="shared" si="40"/>
        <v>0</v>
      </c>
      <c r="BQ74" s="749">
        <f t="shared" si="40"/>
        <v>0</v>
      </c>
      <c r="BR74" s="151"/>
      <c r="BS74" s="151"/>
      <c r="BT74" s="151"/>
      <c r="BU74" s="151"/>
      <c r="BV74" s="151"/>
      <c r="BW74" s="151"/>
      <c r="BX74" s="151"/>
    </row>
    <row r="75" spans="1:76">
      <c r="A75" s="699"/>
      <c r="B75" s="699" t="s">
        <v>1133</v>
      </c>
      <c r="C75" s="699"/>
      <c r="D75" s="699"/>
      <c r="E75" s="699"/>
      <c r="F75" s="1050">
        <f ca="1">+IFERROR(INDEX('Taxes and TIF'!$AC$11:$AC$45,MATCH('Phase 2 Pro Forma'!F$7,'Taxes and TIF'!$R$11:$R$45,0)),0)*'Loan Sizing'!$K$26*'Phase 2 Pro Forma'!F64</f>
        <v>0</v>
      </c>
      <c r="G75" s="1050">
        <f ca="1">+IFERROR(INDEX('Taxes and TIF'!$AC$11:$AC$45,MATCH('Phase 2 Pro Forma'!G$7,'Taxes and TIF'!$R$11:$R$45,0)),0)*'Loan Sizing'!$K$26*'Phase 2 Pro Forma'!G64</f>
        <v>0</v>
      </c>
      <c r="H75" s="1050">
        <f ca="1">+IFERROR(INDEX('Taxes and TIF'!$AC$11:$AC$45,MATCH('Phase 2 Pro Forma'!H$7,'Taxes and TIF'!$R$11:$R$45,0)),0)*'Loan Sizing'!$K$26*'Phase 2 Pro Forma'!H64</f>
        <v>0</v>
      </c>
      <c r="I75" s="1050">
        <f ca="1">+IFERROR(INDEX('Taxes and TIF'!$AC$11:$AC$45,MATCH('Phase 2 Pro Forma'!I$7,'Taxes and TIF'!$R$11:$R$45,0)),0)*'Loan Sizing'!$K$26*'Phase 2 Pro Forma'!I64</f>
        <v>435918.18955946341</v>
      </c>
      <c r="J75" s="1050">
        <f ca="1">+IFERROR(INDEX('Taxes and TIF'!$AC$11:$AC$45,MATCH('Phase 2 Pro Forma'!J$7,'Taxes and TIF'!$R$11:$R$45,0)),0)*'Loan Sizing'!$K$26*'Phase 2 Pro Forma'!J64</f>
        <v>897991.47049249453</v>
      </c>
      <c r="K75" s="1050">
        <f ca="1">+IFERROR(INDEX('Taxes and TIF'!$AC$11:$AC$45,MATCH('Phase 2 Pro Forma'!K$7,'Taxes and TIF'!$R$11:$R$45,0)),0)*'Loan Sizing'!$K$26*'Phase 2 Pro Forma'!K64</f>
        <v>897991.47049249453</v>
      </c>
      <c r="L75" s="1050">
        <f ca="1">+IFERROR(INDEX('Taxes and TIF'!$AC$11:$AC$45,MATCH('Phase 2 Pro Forma'!L$7,'Taxes and TIF'!$R$11:$R$45,0)),0)*'Loan Sizing'!$K$26*'Phase 2 Pro Forma'!L64</f>
        <v>897991.47049249453</v>
      </c>
      <c r="M75" s="1050">
        <f ca="1">+IFERROR(INDEX('Taxes and TIF'!$AC$11:$AC$45,MATCH('Phase 2 Pro Forma'!M$7,'Taxes and TIF'!$R$11:$R$45,0)),0)*'Loan Sizing'!$K$26*'Phase 2 Pro Forma'!M64</f>
        <v>924931.2146072695</v>
      </c>
      <c r="N75" s="1050">
        <f ca="1">+IFERROR(INDEX('Taxes and TIF'!$AC$11:$AC$45,MATCH('Phase 2 Pro Forma'!N$7,'Taxes and TIF'!$R$11:$R$45,0)),0)*'Loan Sizing'!$K$26*'Phase 2 Pro Forma'!N64</f>
        <v>924931.2146072695</v>
      </c>
      <c r="O75" s="1050">
        <f ca="1">+IFERROR(INDEX('Taxes and TIF'!$AC$11:$AC$45,MATCH('Phase 2 Pro Forma'!O$7,'Taxes and TIF'!$R$11:$R$45,0)),0)*'Loan Sizing'!$K$26*'Phase 2 Pro Forma'!O64</f>
        <v>924931.2146072695</v>
      </c>
      <c r="P75" s="1050">
        <f ca="1">+IFERROR(INDEX('Taxes and TIF'!$AC$11:$AC$45,MATCH('Phase 2 Pro Forma'!P$7,'Taxes and TIF'!$R$11:$R$45,0)),0)*'Loan Sizing'!$K$26*'Phase 2 Pro Forma'!P64</f>
        <v>952679.1510454875</v>
      </c>
      <c r="Q75" s="1050">
        <f ca="1">+IFERROR(INDEX('Taxes and TIF'!$AC$11:$AC$45,MATCH('Phase 2 Pro Forma'!Q$7,'Taxes and TIF'!$R$11:$R$45,0)),0)*'Loan Sizing'!$K$26*'Phase 2 Pro Forma'!Q64</f>
        <v>952679.1510454875</v>
      </c>
      <c r="R75" s="1050">
        <f ca="1">+IFERROR(INDEX('Taxes and TIF'!$AC$11:$AC$45,MATCH('Phase 2 Pro Forma'!R$7,'Taxes and TIF'!$R$11:$R$45,0)),0)*'Loan Sizing'!$K$26*'Phase 2 Pro Forma'!R64</f>
        <v>952679.1510454875</v>
      </c>
      <c r="S75" s="1050">
        <f ca="1">+IFERROR(INDEX('Taxes and TIF'!$AC$11:$AC$45,MATCH('Phase 2 Pro Forma'!S$7,'Taxes and TIF'!$R$11:$R$45,0)),0)*'Loan Sizing'!$K$26*'Phase 2 Pro Forma'!S64</f>
        <v>981259.52557685215</v>
      </c>
      <c r="T75" s="1050">
        <f ca="1">+IFERROR(INDEX('Taxes and TIF'!$AC$11:$AC$45,MATCH('Phase 2 Pro Forma'!T$7,'Taxes and TIF'!$R$11:$R$45,0)),0)*'Loan Sizing'!$K$26*'Phase 2 Pro Forma'!T64</f>
        <v>981259.52557685215</v>
      </c>
      <c r="U75" s="1050">
        <f ca="1">+IFERROR(INDEX('Taxes and TIF'!$AC$11:$AC$45,MATCH('Phase 2 Pro Forma'!U$7,'Taxes and TIF'!$R$11:$R$45,0)),0)*'Loan Sizing'!$K$26*'Phase 2 Pro Forma'!U64</f>
        <v>981259.52557685215</v>
      </c>
      <c r="V75" s="1050">
        <f ca="1">+IFERROR(INDEX('Taxes and TIF'!$AC$11:$AC$45,MATCH('Phase 2 Pro Forma'!V$7,'Taxes and TIF'!$R$11:$R$45,0)),0)*'Loan Sizing'!$K$26*'Phase 2 Pro Forma'!V64</f>
        <v>1010697.3113441578</v>
      </c>
      <c r="W75" s="1050">
        <f ca="1">+IFERROR(INDEX('Taxes and TIF'!$AC$11:$AC$45,MATCH('Phase 2 Pro Forma'!W$7,'Taxes and TIF'!$R$11:$R$45,0)),0)*'Loan Sizing'!$K$26*'Phase 2 Pro Forma'!W64</f>
        <v>1010697.3113441578</v>
      </c>
      <c r="X75" s="1050">
        <f ca="1">+IFERROR(INDEX('Taxes and TIF'!$AC$11:$AC$45,MATCH('Phase 2 Pro Forma'!X$7,'Taxes and TIF'!$R$11:$R$45,0)),0)*'Loan Sizing'!$K$26*'Phase 2 Pro Forma'!X64</f>
        <v>1010697.3113441578</v>
      </c>
      <c r="Y75" s="1050">
        <f ca="1">+IFERROR(INDEX('Taxes and TIF'!$AC$11:$AC$45,MATCH('Phase 2 Pro Forma'!Y$7,'Taxes and TIF'!$R$11:$R$45,0)),0)*'Loan Sizing'!$K$26*'Phase 2 Pro Forma'!Y64</f>
        <v>1041018.2306844827</v>
      </c>
      <c r="Z75" s="1050">
        <f ca="1">+IFERROR(INDEX('Taxes and TIF'!$AC$11:$AC$45,MATCH('Phase 2 Pro Forma'!Z$7,'Taxes and TIF'!$R$11:$R$45,0)),0)*'Loan Sizing'!$K$26*'Phase 2 Pro Forma'!Z64</f>
        <v>1041018.2306844827</v>
      </c>
      <c r="AA75" s="699"/>
      <c r="AB75" s="699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</row>
    <row r="76" spans="1:76">
      <c r="A76" s="699" t="s">
        <v>511</v>
      </c>
      <c r="B76" s="52" t="s">
        <v>1134</v>
      </c>
      <c r="C76" s="1052"/>
      <c r="D76" s="1052"/>
      <c r="E76" s="1052"/>
      <c r="F76" s="1088">
        <f ca="1">+SUM(F74:F75)</f>
        <v>0</v>
      </c>
      <c r="G76" s="1088">
        <f t="shared" ref="G76:Z76" ca="1" si="41">+SUM(G74:G75)</f>
        <v>0</v>
      </c>
      <c r="H76" s="1088">
        <f t="shared" ca="1" si="41"/>
        <v>0</v>
      </c>
      <c r="I76" s="1088">
        <f t="shared" ca="1" si="41"/>
        <v>945509.50909312372</v>
      </c>
      <c r="J76" s="1088">
        <f t="shared" ca="1" si="41"/>
        <v>1947749.5887318347</v>
      </c>
      <c r="K76" s="1088">
        <f t="shared" ca="1" si="41"/>
        <v>1979242.3322790149</v>
      </c>
      <c r="L76" s="1088">
        <f t="shared" ca="1" si="41"/>
        <v>2011679.8581326106</v>
      </c>
      <c r="M76" s="1088">
        <f t="shared" ca="1" si="41"/>
        <v>2072030.253876589</v>
      </c>
      <c r="N76" s="1088">
        <f t="shared" ca="1" si="41"/>
        <v>2106443.2250546687</v>
      </c>
      <c r="O76" s="1088">
        <f t="shared" ca="1" si="41"/>
        <v>2141888.5853680908</v>
      </c>
      <c r="P76" s="1088">
        <f t="shared" ca="1" si="41"/>
        <v>2206145.2429291336</v>
      </c>
      <c r="Q76" s="1088">
        <f t="shared" ca="1" si="41"/>
        <v>2243749.225685643</v>
      </c>
      <c r="R76" s="1088">
        <f t="shared" ca="1" si="41"/>
        <v>2282481.3279248476</v>
      </c>
      <c r="S76" s="1088">
        <f t="shared" ca="1" si="41"/>
        <v>2350955.767762593</v>
      </c>
      <c r="T76" s="1088">
        <f t="shared" ca="1" si="41"/>
        <v>2392046.6550281653</v>
      </c>
      <c r="U76" s="1088">
        <f t="shared" ca="1" si="41"/>
        <v>2434370.2689117049</v>
      </c>
      <c r="V76" s="1088">
        <f t="shared" ca="1" si="41"/>
        <v>2507401.3769790563</v>
      </c>
      <c r="W76" s="1088">
        <f t="shared" ca="1" si="41"/>
        <v>2552302.4989481033</v>
      </c>
      <c r="X76" s="1088">
        <f t="shared" ca="1" si="41"/>
        <v>2598550.6545762215</v>
      </c>
      <c r="Y76" s="1088">
        <f t="shared" ca="1" si="41"/>
        <v>2676507.1742135081</v>
      </c>
      <c r="Z76" s="1088">
        <f t="shared" ca="1" si="41"/>
        <v>2725571.8425193792</v>
      </c>
      <c r="AA76" s="699"/>
      <c r="AB76" s="699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 t="s">
        <v>1126</v>
      </c>
      <c r="AT76" s="151"/>
      <c r="AU76" s="151"/>
      <c r="AV76" s="151"/>
      <c r="AW76" s="749">
        <v>1</v>
      </c>
      <c r="AX76" s="749">
        <f>+AW76*(1+Assumptions!$AQ$86)</f>
        <v>1.03</v>
      </c>
      <c r="AY76" s="749">
        <f>+AX76*(1+Assumptions!$AQ$86)</f>
        <v>1.0609</v>
      </c>
      <c r="AZ76" s="749">
        <f>+AY76*(1+Assumptions!$AQ$86)</f>
        <v>1.092727</v>
      </c>
      <c r="BA76" s="749">
        <f>+AZ76*(1+Assumptions!$AQ$86)</f>
        <v>1.1255088100000001</v>
      </c>
      <c r="BB76" s="749">
        <f>+BA76*(1+Assumptions!$AQ$86)</f>
        <v>1.1592740743000001</v>
      </c>
      <c r="BC76" s="749">
        <f>+BB76*(1+Assumptions!$AQ$86)</f>
        <v>1.1940522965290001</v>
      </c>
      <c r="BD76" s="749">
        <f>+BC76*(1+Assumptions!$AQ$86)</f>
        <v>1.2298738654248702</v>
      </c>
      <c r="BE76" s="749">
        <f>+BD76*(1+Assumptions!$AQ$86)</f>
        <v>1.2667700813876164</v>
      </c>
      <c r="BF76" s="749">
        <f>+BE76*(1+Assumptions!$AQ$86)</f>
        <v>1.3047731838292449</v>
      </c>
      <c r="BG76" s="749">
        <f>+BF76*(1+Assumptions!$AQ$86)</f>
        <v>1.3439163793441222</v>
      </c>
      <c r="BH76" s="749">
        <f>+BG76*(1+Assumptions!$AQ$86)</f>
        <v>1.3842338707244459</v>
      </c>
      <c r="BI76" s="749">
        <f>+BH76*(1+Assumptions!$AQ$86)</f>
        <v>1.4257608868461793</v>
      </c>
      <c r="BJ76" s="749">
        <f>+BI76*(1+Assumptions!$AQ$86)</f>
        <v>1.4685337134515648</v>
      </c>
      <c r="BK76" s="749">
        <f>+BJ76*(1+Assumptions!$AQ$86)</f>
        <v>1.5125897248551119</v>
      </c>
      <c r="BL76" s="749">
        <f>+BK76*(1+Assumptions!$AQ$86)</f>
        <v>1.5579674166007653</v>
      </c>
      <c r="BM76" s="749">
        <f>+BL76*(1+Assumptions!$AQ$86)</f>
        <v>1.6047064390987884</v>
      </c>
      <c r="BN76" s="749">
        <f>+BM76*(1+Assumptions!$AQ$86)</f>
        <v>1.652847632271752</v>
      </c>
      <c r="BO76" s="749">
        <f>+BN76*(1+Assumptions!$AQ$86)</f>
        <v>1.7024330612399046</v>
      </c>
      <c r="BP76" s="749">
        <f>+BO76*(1+Assumptions!$AQ$86)</f>
        <v>1.7535060530771018</v>
      </c>
      <c r="BQ76" s="749">
        <f>+BP76*(1+Assumptions!$AQ$86)</f>
        <v>1.806111234669415</v>
      </c>
      <c r="BR76" s="151"/>
      <c r="BS76" s="151"/>
      <c r="BT76" s="151"/>
      <c r="BU76" s="151"/>
      <c r="BV76" s="151"/>
      <c r="BW76" s="151"/>
      <c r="BX76" s="151"/>
    </row>
    <row r="77" spans="1:76">
      <c r="A77" s="699"/>
      <c r="B77" s="699"/>
      <c r="C77" s="699"/>
      <c r="D77" s="699"/>
      <c r="E77" s="699"/>
      <c r="F77" s="699"/>
      <c r="G77" s="699"/>
      <c r="H77" s="699"/>
      <c r="I77" s="699"/>
      <c r="J77" s="699"/>
      <c r="K77" s="699"/>
      <c r="L77" s="699"/>
      <c r="M77" s="699"/>
      <c r="N77" s="699"/>
      <c r="O77" s="699"/>
      <c r="P77" s="699"/>
      <c r="Q77" s="699"/>
      <c r="R77" s="699"/>
      <c r="S77" s="699"/>
      <c r="T77" s="699"/>
      <c r="U77" s="699"/>
      <c r="V77" s="699"/>
      <c r="W77" s="699"/>
      <c r="X77" s="699"/>
      <c r="Y77" s="699"/>
      <c r="Z77" s="699"/>
      <c r="AA77" s="699"/>
      <c r="AB77" s="699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 t="s">
        <v>1127</v>
      </c>
      <c r="AT77" s="151"/>
      <c r="AU77" s="151"/>
      <c r="AV77" s="151"/>
      <c r="AW77" s="749">
        <v>1</v>
      </c>
      <c r="AX77" s="749">
        <f>+AW77*(1+Assumptions!$AQ$97)</f>
        <v>1.03</v>
      </c>
      <c r="AY77" s="749">
        <f>+AX77*(1+Assumptions!$AQ$97)</f>
        <v>1.0609</v>
      </c>
      <c r="AZ77" s="749">
        <f>+AY77*(1+Assumptions!$AQ$97)</f>
        <v>1.092727</v>
      </c>
      <c r="BA77" s="749">
        <f>+AZ77*(1+Assumptions!$AQ$97)</f>
        <v>1.1255088100000001</v>
      </c>
      <c r="BB77" s="749">
        <f>+BA77*(1+Assumptions!$AQ$97)</f>
        <v>1.1592740743000001</v>
      </c>
      <c r="BC77" s="749">
        <f>+BB77*(1+Assumptions!$AQ$97)</f>
        <v>1.1940522965290001</v>
      </c>
      <c r="BD77" s="749">
        <f>+BC77*(1+Assumptions!$AQ$97)</f>
        <v>1.2298738654248702</v>
      </c>
      <c r="BE77" s="749">
        <f>+BD77*(1+Assumptions!$AQ$97)</f>
        <v>1.2667700813876164</v>
      </c>
      <c r="BF77" s="749">
        <f>+BE77*(1+Assumptions!$AQ$97)</f>
        <v>1.3047731838292449</v>
      </c>
      <c r="BG77" s="749">
        <f>+BF77*(1+Assumptions!$AQ$97)</f>
        <v>1.3439163793441222</v>
      </c>
      <c r="BH77" s="749">
        <f>+BG77*(1+Assumptions!$AQ$97)</f>
        <v>1.3842338707244459</v>
      </c>
      <c r="BI77" s="749">
        <f>+BH77*(1+Assumptions!$AQ$97)</f>
        <v>1.4257608868461793</v>
      </c>
      <c r="BJ77" s="749">
        <f>+BI77*(1+Assumptions!$AQ$97)</f>
        <v>1.4685337134515648</v>
      </c>
      <c r="BK77" s="749">
        <f>+BJ77*(1+Assumptions!$AQ$97)</f>
        <v>1.5125897248551119</v>
      </c>
      <c r="BL77" s="749">
        <f>+BK77*(1+Assumptions!$AQ$97)</f>
        <v>1.5579674166007653</v>
      </c>
      <c r="BM77" s="749">
        <f>+BL77*(1+Assumptions!$AQ$97)</f>
        <v>1.6047064390987884</v>
      </c>
      <c r="BN77" s="749">
        <f>+BM77*(1+Assumptions!$AQ$97)</f>
        <v>1.652847632271752</v>
      </c>
      <c r="BO77" s="749">
        <f>+BN77*(1+Assumptions!$AQ$97)</f>
        <v>1.7024330612399046</v>
      </c>
      <c r="BP77" s="749">
        <f>+BO77*(1+Assumptions!$AQ$97)</f>
        <v>1.7535060530771018</v>
      </c>
      <c r="BQ77" s="749">
        <f>+BP77*(1+Assumptions!$AQ$97)</f>
        <v>1.806111234669415</v>
      </c>
      <c r="BR77" s="151"/>
      <c r="BS77" s="151"/>
      <c r="BT77" s="151"/>
      <c r="BU77" s="151"/>
      <c r="BV77" s="151"/>
      <c r="BW77" s="151"/>
      <c r="BX77" s="151"/>
    </row>
    <row r="78" spans="1:76" ht="15.75">
      <c r="A78" s="699"/>
      <c r="B78" s="50" t="s">
        <v>1135</v>
      </c>
      <c r="C78" s="50"/>
      <c r="D78" s="50"/>
      <c r="E78" s="50"/>
      <c r="F78" s="55">
        <f ca="1">+F72-F76</f>
        <v>0</v>
      </c>
      <c r="G78" s="55">
        <f t="shared" ref="G78:Z78" ca="1" si="42">+G72-G76</f>
        <v>0</v>
      </c>
      <c r="H78" s="55">
        <f t="shared" ca="1" si="42"/>
        <v>0</v>
      </c>
      <c r="I78" s="55">
        <f t="shared" ca="1" si="42"/>
        <v>2120395.6823785482</v>
      </c>
      <c r="J78" s="55">
        <f t="shared" ca="1" si="42"/>
        <v>4235118.3077025386</v>
      </c>
      <c r="K78" s="55">
        <f t="shared" ca="1" si="42"/>
        <v>4231969.0333478209</v>
      </c>
      <c r="L78" s="55">
        <f t="shared" ca="1" si="42"/>
        <v>4893209.2707488202</v>
      </c>
      <c r="M78" s="55">
        <f t="shared" ca="1" si="42"/>
        <v>4887174.2311744206</v>
      </c>
      <c r="N78" s="55">
        <f t="shared" ca="1" si="42"/>
        <v>4883732.9340566136</v>
      </c>
      <c r="O78" s="55">
        <f t="shared" ca="1" si="42"/>
        <v>4880188.3980252706</v>
      </c>
      <c r="P78" s="55">
        <f t="shared" ca="1" si="42"/>
        <v>4873762.732269167</v>
      </c>
      <c r="Q78" s="55">
        <f t="shared" ca="1" si="42"/>
        <v>5634158.9224778265</v>
      </c>
      <c r="R78" s="55">
        <f t="shared" ca="1" si="42"/>
        <v>5630285.7122539068</v>
      </c>
      <c r="S78" s="55">
        <f t="shared" ca="1" si="42"/>
        <v>5623438.2682701331</v>
      </c>
      <c r="T78" s="55">
        <f t="shared" ca="1" si="42"/>
        <v>5619329.1795435762</v>
      </c>
      <c r="U78" s="55">
        <f t="shared" ca="1" si="42"/>
        <v>5615096.8181552216</v>
      </c>
      <c r="V78" s="55">
        <f t="shared" ca="1" si="42"/>
        <v>6486573.7841054425</v>
      </c>
      <c r="W78" s="55">
        <f t="shared" ca="1" si="42"/>
        <v>6482083.6719085388</v>
      </c>
      <c r="X78" s="55">
        <f t="shared" ca="1" si="42"/>
        <v>6477458.8563457262</v>
      </c>
      <c r="Y78" s="55">
        <f t="shared" ca="1" si="42"/>
        <v>6469663.2043819986</v>
      </c>
      <c r="Z78" s="55">
        <f t="shared" ca="1" si="42"/>
        <v>6464756.7375514107</v>
      </c>
      <c r="AA78" s="699"/>
      <c r="AB78" s="699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</row>
    <row r="79" spans="1:76">
      <c r="A79" s="699"/>
      <c r="B79" s="51" t="s">
        <v>1136</v>
      </c>
      <c r="C79" s="51"/>
      <c r="D79" s="51"/>
      <c r="E79" s="51"/>
      <c r="F79" s="56" t="str">
        <f ca="1">+IFERROR(F78/F72,"")</f>
        <v/>
      </c>
      <c r="G79" s="56" t="str">
        <f t="shared" ref="G79:Z79" ca="1" si="43">+IFERROR(G78/G72,"")</f>
        <v/>
      </c>
      <c r="H79" s="56" t="str">
        <f t="shared" ca="1" si="43"/>
        <v/>
      </c>
      <c r="I79" s="56">
        <f t="shared" ca="1" si="43"/>
        <v>0.69160510516658613</v>
      </c>
      <c r="J79" s="56">
        <f t="shared" ca="1" si="43"/>
        <v>0.68497635379609334</v>
      </c>
      <c r="K79" s="56">
        <f t="shared" ca="1" si="43"/>
        <v>0.6813435873021092</v>
      </c>
      <c r="L79" s="56">
        <f t="shared" ca="1" si="43"/>
        <v>0.70865863005413732</v>
      </c>
      <c r="M79" s="56">
        <f t="shared" ca="1" si="43"/>
        <v>0.70226047268369618</v>
      </c>
      <c r="N79" s="56">
        <f t="shared" ca="1" si="43"/>
        <v>0.69865663223536312</v>
      </c>
      <c r="O79" s="56">
        <f t="shared" ca="1" si="43"/>
        <v>0.69497791174413459</v>
      </c>
      <c r="P79" s="56">
        <f t="shared" ca="1" si="43"/>
        <v>0.6883935143426293</v>
      </c>
      <c r="Q79" s="56">
        <f t="shared" ca="1" si="43"/>
        <v>0.71518464248549085</v>
      </c>
      <c r="R79" s="56">
        <f t="shared" ca="1" si="43"/>
        <v>0.71154448041562901</v>
      </c>
      <c r="S79" s="56">
        <f t="shared" ca="1" si="43"/>
        <v>0.70518690735124534</v>
      </c>
      <c r="T79" s="56">
        <f t="shared" ca="1" si="43"/>
        <v>0.70141874449258879</v>
      </c>
      <c r="U79" s="56">
        <f t="shared" ca="1" si="43"/>
        <v>0.69757373468574013</v>
      </c>
      <c r="V79" s="56">
        <f t="shared" ca="1" si="43"/>
        <v>0.72121321973089458</v>
      </c>
      <c r="W79" s="56">
        <f t="shared" ca="1" si="43"/>
        <v>0.71749021453373485</v>
      </c>
      <c r="X79" s="56">
        <f t="shared" ca="1" si="43"/>
        <v>0.71369017942861779</v>
      </c>
      <c r="Y79" s="56">
        <f t="shared" ca="1" si="43"/>
        <v>0.70736307509892304</v>
      </c>
      <c r="Z79" s="56">
        <f t="shared" ca="1" si="43"/>
        <v>0.70343042484576923</v>
      </c>
      <c r="AA79" s="699"/>
      <c r="AB79" s="699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 t="s">
        <v>1128</v>
      </c>
      <c r="AT79" s="151"/>
      <c r="AU79" s="151"/>
      <c r="AV79" s="151"/>
      <c r="AW79" s="822">
        <f>+AW74*Assumptions!$G$227*AW76</f>
        <v>0</v>
      </c>
      <c r="AX79" s="822">
        <f>+AX74*Assumptions!$G$227*AX76</f>
        <v>0</v>
      </c>
      <c r="AY79" s="822">
        <f>+AY74*Assumptions!$G$227*AY76</f>
        <v>0</v>
      </c>
      <c r="AZ79" s="822">
        <f>+AZ74*Assumptions!$G$227*AZ76</f>
        <v>0</v>
      </c>
      <c r="BA79" s="822">
        <f>+BA74*Assumptions!$G$227*BA76</f>
        <v>0</v>
      </c>
      <c r="BB79" s="822">
        <f>+BB74*Assumptions!$G$227*BB76</f>
        <v>0</v>
      </c>
      <c r="BC79" s="822">
        <f>+BC74*Assumptions!$G$227*BC76</f>
        <v>0</v>
      </c>
      <c r="BD79" s="822">
        <f>+BD74*Assumptions!$G$227*BD76</f>
        <v>0</v>
      </c>
      <c r="BE79" s="822">
        <f>+BE74*Assumptions!$G$227*BE76</f>
        <v>0</v>
      </c>
      <c r="BF79" s="822">
        <f>+BF74*Assumptions!$G$227*BF76</f>
        <v>0</v>
      </c>
      <c r="BG79" s="822">
        <f>+BG74*Assumptions!$G$227*BG76</f>
        <v>0</v>
      </c>
      <c r="BH79" s="822">
        <f>+BH74*Assumptions!$G$227*BH76</f>
        <v>0</v>
      </c>
      <c r="BI79" s="822">
        <f>+BI74*Assumptions!$G$227*BI76</f>
        <v>0</v>
      </c>
      <c r="BJ79" s="822">
        <f>+BJ74*Assumptions!$G$227*BJ76</f>
        <v>0</v>
      </c>
      <c r="BK79" s="822">
        <f>+BK74*Assumptions!$G$227*BK76</f>
        <v>0</v>
      </c>
      <c r="BL79" s="822">
        <f>+BL74*Assumptions!$G$227*BL76</f>
        <v>0</v>
      </c>
      <c r="BM79" s="822">
        <f>+BM74*Assumptions!$G$227*BM76</f>
        <v>0</v>
      </c>
      <c r="BN79" s="822">
        <f>+BN74*Assumptions!$G$227*BN76</f>
        <v>0</v>
      </c>
      <c r="BO79" s="822">
        <f>+BO74*Assumptions!$G$227*BO76</f>
        <v>0</v>
      </c>
      <c r="BP79" s="822">
        <f>+BP74*Assumptions!$G$227*BP76</f>
        <v>0</v>
      </c>
      <c r="BQ79" s="822">
        <f>+BQ74*Assumptions!$G$227*BQ76</f>
        <v>0</v>
      </c>
      <c r="BR79" s="151"/>
      <c r="BS79" s="151"/>
      <c r="BT79" s="151"/>
      <c r="BU79" s="151"/>
      <c r="BV79" s="151"/>
      <c r="BW79" s="151"/>
      <c r="BX79" s="151"/>
    </row>
    <row r="80" spans="1:76">
      <c r="A80" s="699"/>
      <c r="B80" s="223"/>
      <c r="C80" s="223"/>
      <c r="D80" s="223"/>
      <c r="E80" s="223"/>
      <c r="F80" s="641"/>
      <c r="G80" s="641"/>
      <c r="H80" s="641"/>
      <c r="I80" s="641"/>
      <c r="J80" s="641"/>
      <c r="K80" s="641"/>
      <c r="L80" s="641"/>
      <c r="M80" s="641"/>
      <c r="N80" s="641"/>
      <c r="O80" s="641"/>
      <c r="P80" s="641"/>
      <c r="Q80" s="641"/>
      <c r="R80" s="641"/>
      <c r="S80" s="641"/>
      <c r="T80" s="641"/>
      <c r="U80" s="641"/>
      <c r="V80" s="641"/>
      <c r="W80" s="641"/>
      <c r="X80" s="641"/>
      <c r="Y80" s="641"/>
      <c r="Z80" s="641"/>
      <c r="AA80" s="699"/>
      <c r="AB80" s="699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 t="s">
        <v>1129</v>
      </c>
      <c r="AT80" s="151"/>
      <c r="AU80" s="151"/>
      <c r="AV80" s="151"/>
      <c r="AW80" s="972">
        <f>-Assumptions!$E$99*'Phase 2 Pro Forma'!AW79</f>
        <v>0</v>
      </c>
      <c r="AX80" s="972">
        <f>-Assumptions!$E$99*'Phase 2 Pro Forma'!AX79</f>
        <v>0</v>
      </c>
      <c r="AY80" s="972">
        <f>-Assumptions!$E$99*'Phase 2 Pro Forma'!AY79</f>
        <v>0</v>
      </c>
      <c r="AZ80" s="972">
        <f>-Assumptions!$E$99*'Phase 2 Pro Forma'!AZ79</f>
        <v>0</v>
      </c>
      <c r="BA80" s="972">
        <f>-Assumptions!$E$99*'Phase 2 Pro Forma'!BA79</f>
        <v>0</v>
      </c>
      <c r="BB80" s="972">
        <f>-Assumptions!$E$99*'Phase 2 Pro Forma'!BB79</f>
        <v>0</v>
      </c>
      <c r="BC80" s="972">
        <f>-Assumptions!$E$99*'Phase 2 Pro Forma'!BC79</f>
        <v>0</v>
      </c>
      <c r="BD80" s="972">
        <f>-Assumptions!$E$99*'Phase 2 Pro Forma'!BD79</f>
        <v>0</v>
      </c>
      <c r="BE80" s="972">
        <f>-Assumptions!$E$99*'Phase 2 Pro Forma'!BE79</f>
        <v>0</v>
      </c>
      <c r="BF80" s="972">
        <f>-Assumptions!$E$99*'Phase 2 Pro Forma'!BF79</f>
        <v>0</v>
      </c>
      <c r="BG80" s="972">
        <f>-Assumptions!$E$99*'Phase 2 Pro Forma'!BG79</f>
        <v>0</v>
      </c>
      <c r="BH80" s="972">
        <f>-Assumptions!$E$99*'Phase 2 Pro Forma'!BH79</f>
        <v>0</v>
      </c>
      <c r="BI80" s="972">
        <f>-Assumptions!$E$99*'Phase 2 Pro Forma'!BI79</f>
        <v>0</v>
      </c>
      <c r="BJ80" s="972">
        <f>-Assumptions!$E$99*'Phase 2 Pro Forma'!BJ79</f>
        <v>0</v>
      </c>
      <c r="BK80" s="972">
        <f>-Assumptions!$E$99*'Phase 2 Pro Forma'!BK79</f>
        <v>0</v>
      </c>
      <c r="BL80" s="972">
        <f>-Assumptions!$E$99*'Phase 2 Pro Forma'!BL79</f>
        <v>0</v>
      </c>
      <c r="BM80" s="972">
        <f>-Assumptions!$E$99*'Phase 2 Pro Forma'!BM79</f>
        <v>0</v>
      </c>
      <c r="BN80" s="972">
        <f>-Assumptions!$E$99*'Phase 2 Pro Forma'!BN79</f>
        <v>0</v>
      </c>
      <c r="BO80" s="972">
        <f>-Assumptions!$E$99*'Phase 2 Pro Forma'!BO79</f>
        <v>0</v>
      </c>
      <c r="BP80" s="972">
        <f>-Assumptions!$E$99*'Phase 2 Pro Forma'!BP79</f>
        <v>0</v>
      </c>
      <c r="BQ80" s="972">
        <f>-Assumptions!$E$99*'Phase 2 Pro Forma'!BQ79</f>
        <v>0</v>
      </c>
      <c r="BR80" s="151"/>
      <c r="BS80" s="151"/>
      <c r="BT80" s="151"/>
      <c r="BU80" s="151"/>
      <c r="BV80" s="151"/>
      <c r="BW80" s="151"/>
      <c r="BX80" s="151"/>
    </row>
    <row r="81" spans="2:76">
      <c r="B81" s="49" t="s">
        <v>1140</v>
      </c>
      <c r="C81" s="223"/>
      <c r="D81" s="223"/>
      <c r="E81" s="223"/>
      <c r="F81" s="642">
        <f>+F62*Assumptions!$O$109</f>
        <v>0</v>
      </c>
      <c r="G81" s="642">
        <f>+G62*Assumptions!$O$109</f>
        <v>0</v>
      </c>
      <c r="H81" s="642">
        <f>+H62*Assumptions!$O$109</f>
        <v>0</v>
      </c>
      <c r="I81" s="642">
        <f>+I62*Assumptions!$O$109</f>
        <v>4922103.6295285802</v>
      </c>
      <c r="J81" s="642">
        <f>+J62*Assumptions!$O$109</f>
        <v>4922103.6295285802</v>
      </c>
      <c r="K81" s="642">
        <f>+K62*Assumptions!$O$109</f>
        <v>0</v>
      </c>
      <c r="L81" s="642">
        <f>+L62*Assumptions!$O$109</f>
        <v>0</v>
      </c>
      <c r="M81" s="642">
        <f>+M62*Assumptions!$O$109</f>
        <v>0</v>
      </c>
      <c r="N81" s="642">
        <f>+N62*Assumptions!$O$109</f>
        <v>0</v>
      </c>
      <c r="O81" s="642">
        <f>+O62*Assumptions!$O$109</f>
        <v>0</v>
      </c>
      <c r="P81" s="642">
        <f>+P62*Assumptions!$O$109</f>
        <v>0</v>
      </c>
      <c r="Q81" s="642">
        <f>+Q62*Assumptions!$O$109</f>
        <v>0</v>
      </c>
      <c r="R81" s="642">
        <f>+R62*Assumptions!$O$109</f>
        <v>0</v>
      </c>
      <c r="S81" s="642">
        <f>+S62*Assumptions!$O$109</f>
        <v>0</v>
      </c>
      <c r="T81" s="642">
        <f>+T62*Assumptions!$O$109</f>
        <v>0</v>
      </c>
      <c r="U81" s="642">
        <f>+U62*Assumptions!$O$109</f>
        <v>0</v>
      </c>
      <c r="V81" s="642">
        <f>+V62*Assumptions!$O$109</f>
        <v>0</v>
      </c>
      <c r="W81" s="642">
        <f>+W62*Assumptions!$O$109</f>
        <v>0</v>
      </c>
      <c r="X81" s="642">
        <f>+X62*Assumptions!$O$109</f>
        <v>0</v>
      </c>
      <c r="Y81" s="642">
        <f>+Y62*Assumptions!$O$109</f>
        <v>0</v>
      </c>
      <c r="Z81" s="642">
        <f>+Z62*Assumptions!$O$109</f>
        <v>0</v>
      </c>
      <c r="AA81" s="699"/>
      <c r="AB81" s="699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 t="s">
        <v>1130</v>
      </c>
      <c r="AT81" s="151"/>
      <c r="AU81" s="151"/>
      <c r="AV81" s="151"/>
      <c r="AW81" s="972">
        <f>-AW79*Assumptions!$AQ$77</f>
        <v>0</v>
      </c>
      <c r="AX81" s="972">
        <f>-AX79*Assumptions!$AQ$77</f>
        <v>0</v>
      </c>
      <c r="AY81" s="972">
        <f>-AY79*Assumptions!$AQ$77</f>
        <v>0</v>
      </c>
      <c r="AZ81" s="972">
        <f>-AZ79*Assumptions!$AQ$77</f>
        <v>0</v>
      </c>
      <c r="BA81" s="972">
        <f>-BA79*Assumptions!$AQ$77</f>
        <v>0</v>
      </c>
      <c r="BB81" s="972">
        <f>-BB79*Assumptions!$AQ$77</f>
        <v>0</v>
      </c>
      <c r="BC81" s="972">
        <f>-BC79*Assumptions!$AQ$77</f>
        <v>0</v>
      </c>
      <c r="BD81" s="972">
        <f>-BD79*Assumptions!$AQ$77</f>
        <v>0</v>
      </c>
      <c r="BE81" s="972">
        <f>-BE79*Assumptions!$AQ$77</f>
        <v>0</v>
      </c>
      <c r="BF81" s="972">
        <f>-BF79*Assumptions!$AQ$77</f>
        <v>0</v>
      </c>
      <c r="BG81" s="972">
        <f>-BG79*Assumptions!$AQ$77</f>
        <v>0</v>
      </c>
      <c r="BH81" s="972">
        <f>-BH79*Assumptions!$AQ$77</f>
        <v>0</v>
      </c>
      <c r="BI81" s="972">
        <f>-BI79*Assumptions!$AQ$77</f>
        <v>0</v>
      </c>
      <c r="BJ81" s="972">
        <f>-BJ79*Assumptions!$AQ$77</f>
        <v>0</v>
      </c>
      <c r="BK81" s="972">
        <f>-BK79*Assumptions!$AQ$77</f>
        <v>0</v>
      </c>
      <c r="BL81" s="972">
        <f>-BL79*Assumptions!$AQ$77</f>
        <v>0</v>
      </c>
      <c r="BM81" s="972">
        <f>-BM79*Assumptions!$AQ$77</f>
        <v>0</v>
      </c>
      <c r="BN81" s="972">
        <f>-BN79*Assumptions!$AQ$77</f>
        <v>0</v>
      </c>
      <c r="BO81" s="972">
        <f>-BO79*Assumptions!$AQ$77</f>
        <v>0</v>
      </c>
      <c r="BP81" s="972">
        <f>-BP79*Assumptions!$AQ$77</f>
        <v>0</v>
      </c>
      <c r="BQ81" s="972">
        <f>-BQ79*Assumptions!$AQ$77</f>
        <v>0</v>
      </c>
      <c r="BR81" s="151"/>
      <c r="BS81" s="151"/>
      <c r="BT81" s="151"/>
      <c r="BU81" s="151"/>
      <c r="BV81" s="151"/>
      <c r="BW81" s="151"/>
      <c r="BX81" s="151"/>
    </row>
    <row r="82" spans="2:76">
      <c r="B82" s="49" t="s">
        <v>1141</v>
      </c>
      <c r="C82" s="223"/>
      <c r="D82" s="223"/>
      <c r="E82" s="223"/>
      <c r="F82" s="642">
        <f>IF(F61=P2_Const_Completion,SUM('Phase 2 Pro Forma'!F69:O69)*Assumptions!$O$111,0)</f>
        <v>0</v>
      </c>
      <c r="G82" s="642">
        <f>IF(G61=P2_Const_Completion,SUM('Phase 2 Pro Forma'!G69:P69)*Assumptions!$O$111,0)</f>
        <v>0</v>
      </c>
      <c r="H82" s="642">
        <f>IF(H61=P2_Const_Completion,SUM('Phase 2 Pro Forma'!H69:Q69)*Assumptions!$O$111,0)</f>
        <v>0</v>
      </c>
      <c r="I82" s="642">
        <f>IF(I61=P2_Const_Completion,SUM('Phase 2 Pro Forma'!I69:R69)*Assumptions!$O$111,0)</f>
        <v>3217579.1426228327</v>
      </c>
      <c r="J82" s="642">
        <f>IF(J61=P2_Const_Completion,SUM('Phase 2 Pro Forma'!J69:S69)*Assumptions!$O$111,0)</f>
        <v>0</v>
      </c>
      <c r="K82" s="642">
        <f>IF(K61=P2_Const_Completion,SUM('Phase 2 Pro Forma'!K69:T69)*Assumptions!$O$111,0)</f>
        <v>0</v>
      </c>
      <c r="L82" s="642">
        <f>IF(L61=P2_Const_Completion,SUM('Phase 2 Pro Forma'!L69:U69)*Assumptions!$O$111,0)</f>
        <v>0</v>
      </c>
      <c r="M82" s="642">
        <f>IF(M61=P2_Const_Completion,SUM('Phase 2 Pro Forma'!M69:V69)*Assumptions!$O$111,0)</f>
        <v>0</v>
      </c>
      <c r="N82" s="642">
        <f>IF(N61=P2_Const_Completion,SUM('Phase 2 Pro Forma'!N69:W69)*Assumptions!$O$111,0)</f>
        <v>0</v>
      </c>
      <c r="O82" s="642">
        <f>IF(O61=P2_Const_Completion,SUM('Phase 2 Pro Forma'!O69:X69)*Assumptions!$O$111,0)</f>
        <v>0</v>
      </c>
      <c r="P82" s="642">
        <f>IF(P61=P2_Const_Completion,SUM('Phase 2 Pro Forma'!P69:Y69)*Assumptions!$O$111,0)</f>
        <v>0</v>
      </c>
      <c r="Q82" s="642">
        <f>IF(Q61=P2_Const_Completion,SUM('Phase 2 Pro Forma'!Q69:Z69)*Assumptions!$O$111,0)</f>
        <v>0</v>
      </c>
      <c r="R82" s="642">
        <f>IF(R61=P2_Const_Completion,SUM('Phase 2 Pro Forma'!R225:AA225)*Assumptions!$O$111,0)</f>
        <v>0</v>
      </c>
      <c r="S82" s="642">
        <f>IF(S61=P2_Const_Completion,SUM('Phase 2 Pro Forma'!S225:AB225)*Assumptions!$O$111,0)</f>
        <v>0</v>
      </c>
      <c r="T82" s="642">
        <f>IF(T61=P2_Const_Completion,SUM('Phase 2 Pro Forma'!T225:AC225)*Assumptions!$O$111,0)</f>
        <v>0</v>
      </c>
      <c r="U82" s="642">
        <f>IF(U61=P2_Const_Completion,SUM('Phase 2 Pro Forma'!U225:AD225)*Assumptions!$O$111,0)</f>
        <v>0</v>
      </c>
      <c r="V82" s="642">
        <f>IF(V61=P2_Const_Completion,SUM('Phase 2 Pro Forma'!V225:AE225)*Assumptions!$O$111,0)</f>
        <v>0</v>
      </c>
      <c r="W82" s="642">
        <f>IF(W61=P2_Const_Completion,SUM('Phase 2 Pro Forma'!W225:AF225)*Assumptions!$O$111,0)</f>
        <v>0</v>
      </c>
      <c r="X82" s="642">
        <f>IF(X61=P2_Const_Completion,SUM('Phase 2 Pro Forma'!X225:AG225)*Assumptions!$O$111,0)</f>
        <v>0</v>
      </c>
      <c r="Y82" s="642">
        <f>IF(Y61=P2_Const_Completion,SUM('Phase 2 Pro Forma'!Y225:AH225)*Assumptions!$O$111,0)</f>
        <v>0</v>
      </c>
      <c r="Z82" s="642">
        <f>IF(Z61=P2_Const_Completion,SUM('Phase 2 Pro Forma'!Z225:AI225)*Assumptions!$O$111,0)</f>
        <v>0</v>
      </c>
      <c r="AA82" s="699"/>
      <c r="AB82" s="699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 t="s">
        <v>675</v>
      </c>
      <c r="AT82" s="151"/>
      <c r="AU82" s="151"/>
      <c r="AV82" s="151"/>
      <c r="AW82" s="972">
        <f>+AW73*Assumptions!$AF$158*(1-Assumptions!$AQ$77)*12</f>
        <v>0</v>
      </c>
      <c r="AX82" s="972">
        <f>+AX73*Assumptions!$AF$158*(1-Assumptions!$AQ$77)*12</f>
        <v>0</v>
      </c>
      <c r="AY82" s="972">
        <f>+AY73*Assumptions!$AF$158*(1-Assumptions!$AQ$77)*12</f>
        <v>0</v>
      </c>
      <c r="AZ82" s="972">
        <f>+AZ73*Assumptions!$AF$158*(1-Assumptions!$AQ$77)*12</f>
        <v>0</v>
      </c>
      <c r="BA82" s="972">
        <f>+BA73*Assumptions!$AF$158*(1-Assumptions!$AQ$77)*12</f>
        <v>0</v>
      </c>
      <c r="BB82" s="972">
        <f>+BB73*Assumptions!$AF$158*(1-Assumptions!$AQ$77)*12</f>
        <v>0</v>
      </c>
      <c r="BC82" s="972">
        <f>+BC73*Assumptions!$AF$158*(1-Assumptions!$AQ$77)*12</f>
        <v>0</v>
      </c>
      <c r="BD82" s="972">
        <f>+BD73*Assumptions!$AF$158*(1-Assumptions!$AQ$77)*12</f>
        <v>0</v>
      </c>
      <c r="BE82" s="972">
        <f>+BE73*Assumptions!$AF$158*(1-Assumptions!$AQ$77)*12</f>
        <v>0</v>
      </c>
      <c r="BF82" s="972">
        <f>+BF73*Assumptions!$AF$158*(1-Assumptions!$AQ$77)*12</f>
        <v>0</v>
      </c>
      <c r="BG82" s="972">
        <f>+BG73*Assumptions!$AF$158*(1-Assumptions!$AQ$77)*12</f>
        <v>0</v>
      </c>
      <c r="BH82" s="972">
        <f>+BH73*Assumptions!$AF$158*(1-Assumptions!$AQ$77)*12</f>
        <v>0</v>
      </c>
      <c r="BI82" s="972">
        <f>+BI73*Assumptions!$AF$158*(1-Assumptions!$AQ$77)*12</f>
        <v>0</v>
      </c>
      <c r="BJ82" s="972">
        <f>+BJ73*Assumptions!$AF$158*(1-Assumptions!$AQ$77)*12</f>
        <v>0</v>
      </c>
      <c r="BK82" s="972">
        <f>+BK73*Assumptions!$AF$158*(1-Assumptions!$AQ$77)*12</f>
        <v>0</v>
      </c>
      <c r="BL82" s="972">
        <f>+BL73*Assumptions!$AF$158*(1-Assumptions!$AQ$77)*12</f>
        <v>0</v>
      </c>
      <c r="BM82" s="972">
        <f>+BM73*Assumptions!$AF$158*(1-Assumptions!$AQ$77)*12</f>
        <v>0</v>
      </c>
      <c r="BN82" s="972">
        <f>+BN73*Assumptions!$AF$158*(1-Assumptions!$AQ$77)*12</f>
        <v>0</v>
      </c>
      <c r="BO82" s="972">
        <f>+BO73*Assumptions!$AF$158*(1-Assumptions!$AQ$77)*12</f>
        <v>0</v>
      </c>
      <c r="BP82" s="972">
        <f>+BP73*Assumptions!$AF$158*(1-Assumptions!$AQ$77)*12</f>
        <v>0</v>
      </c>
      <c r="BQ82" s="972">
        <f>+BQ73*Assumptions!$AF$158*(1-Assumptions!$AQ$77)*12</f>
        <v>0</v>
      </c>
      <c r="BR82" s="151"/>
      <c r="BS82" s="151"/>
      <c r="BT82" s="151"/>
      <c r="BU82" s="151"/>
      <c r="BV82" s="151"/>
      <c r="BW82" s="151"/>
      <c r="BX82" s="151"/>
    </row>
    <row r="83" spans="2:76" ht="15.75">
      <c r="B83" s="81"/>
      <c r="C83" s="223"/>
      <c r="D83" s="223"/>
      <c r="E83" s="223"/>
      <c r="F83" s="641"/>
      <c r="G83" s="641"/>
      <c r="H83" s="641"/>
      <c r="I83" s="641"/>
      <c r="J83" s="641"/>
      <c r="K83" s="641"/>
      <c r="L83" s="641"/>
      <c r="M83" s="641"/>
      <c r="N83" s="641"/>
      <c r="O83" s="641"/>
      <c r="P83" s="641"/>
      <c r="Q83" s="641"/>
      <c r="R83" s="641"/>
      <c r="S83" s="641"/>
      <c r="T83" s="641"/>
      <c r="U83" s="641"/>
      <c r="V83" s="641"/>
      <c r="W83" s="641"/>
      <c r="X83" s="641"/>
      <c r="Y83" s="641"/>
      <c r="Z83" s="641"/>
      <c r="AA83" s="699"/>
      <c r="AB83" s="699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 t="s">
        <v>48</v>
      </c>
      <c r="AT83" s="151"/>
      <c r="AU83" s="151"/>
      <c r="AV83" s="151"/>
      <c r="AW83" s="972">
        <f>+(AW73*Assumptions!$AD$160*Assumptions!$AD$161)*12</f>
        <v>0</v>
      </c>
      <c r="AX83" s="972">
        <f>+(AX73*Assumptions!$AD$160*Assumptions!$AD$161)*12</f>
        <v>0</v>
      </c>
      <c r="AY83" s="972">
        <f>+(AY73*Assumptions!$AD$160*Assumptions!$AD$161)*12</f>
        <v>0</v>
      </c>
      <c r="AZ83" s="972">
        <f>+(AZ73*Assumptions!$AD$160*Assumptions!$AD$161)*12</f>
        <v>0</v>
      </c>
      <c r="BA83" s="972">
        <f>+(BA73*Assumptions!$AD$160*Assumptions!$AD$161)*12</f>
        <v>0</v>
      </c>
      <c r="BB83" s="972">
        <f>+(BB73*Assumptions!$AD$160*Assumptions!$AD$161)*12</f>
        <v>0</v>
      </c>
      <c r="BC83" s="972">
        <f>+(BC73*Assumptions!$AD$160*Assumptions!$AD$161)*12</f>
        <v>0</v>
      </c>
      <c r="BD83" s="972">
        <f>+(BD73*Assumptions!$AD$160*Assumptions!$AD$161)*12</f>
        <v>0</v>
      </c>
      <c r="BE83" s="972">
        <f>+(BE73*Assumptions!$AD$160*Assumptions!$AD$161)*12</f>
        <v>0</v>
      </c>
      <c r="BF83" s="972">
        <f>+(BF73*Assumptions!$AD$160*Assumptions!$AD$161)*12</f>
        <v>0</v>
      </c>
      <c r="BG83" s="972">
        <f>+(BG73*Assumptions!$AD$160*Assumptions!$AD$161)*12</f>
        <v>0</v>
      </c>
      <c r="BH83" s="972">
        <f>+(BH73*Assumptions!$AD$160*Assumptions!$AD$161)*12</f>
        <v>0</v>
      </c>
      <c r="BI83" s="972">
        <f>+(BI73*Assumptions!$AD$160*Assumptions!$AD$161)*12</f>
        <v>0</v>
      </c>
      <c r="BJ83" s="972">
        <f>+(BJ73*Assumptions!$AD$160*Assumptions!$AD$161)*12</f>
        <v>0</v>
      </c>
      <c r="BK83" s="972">
        <f>+(BK73*Assumptions!$AD$160*Assumptions!$AD$161)*12</f>
        <v>0</v>
      </c>
      <c r="BL83" s="972">
        <f>+(BL73*Assumptions!$AD$160*Assumptions!$AD$161)*12</f>
        <v>0</v>
      </c>
      <c r="BM83" s="972">
        <f>+(BM73*Assumptions!$AD$160*Assumptions!$AD$161)*12</f>
        <v>0</v>
      </c>
      <c r="BN83" s="972">
        <f>+(BN73*Assumptions!$AD$160*Assumptions!$AD$161)*12</f>
        <v>0</v>
      </c>
      <c r="BO83" s="972">
        <f>+(BO73*Assumptions!$AD$160*Assumptions!$AD$161)*12</f>
        <v>0</v>
      </c>
      <c r="BP83" s="972">
        <f>+(BP73*Assumptions!$AD$160*Assumptions!$AD$161)*12</f>
        <v>0</v>
      </c>
      <c r="BQ83" s="972">
        <f>+(BQ73*Assumptions!$AD$160*Assumptions!$AD$161)*12</f>
        <v>0</v>
      </c>
      <c r="BR83" s="151"/>
      <c r="BS83" s="151"/>
      <c r="BT83" s="151"/>
      <c r="BU83" s="151"/>
      <c r="BV83" s="151"/>
      <c r="BW83" s="151"/>
      <c r="BX83" s="151"/>
    </row>
    <row r="84" spans="2:76" ht="15.75">
      <c r="B84" s="50" t="s">
        <v>1142</v>
      </c>
      <c r="C84" s="50"/>
      <c r="D84" s="50"/>
      <c r="E84" s="50"/>
      <c r="F84" s="55">
        <f ca="1">+F78-SUM(F81:F82)</f>
        <v>0</v>
      </c>
      <c r="G84" s="55">
        <f t="shared" ref="G84:Z84" ca="1" si="44">+G78-SUM(G81:G82)</f>
        <v>0</v>
      </c>
      <c r="H84" s="55">
        <f t="shared" ca="1" si="44"/>
        <v>0</v>
      </c>
      <c r="I84" s="55">
        <f t="shared" ca="1" si="44"/>
        <v>-6019287.0897728642</v>
      </c>
      <c r="J84" s="55">
        <f t="shared" ca="1" si="44"/>
        <v>-686985.32182604168</v>
      </c>
      <c r="K84" s="55">
        <f t="shared" ca="1" si="44"/>
        <v>4231969.0333478209</v>
      </c>
      <c r="L84" s="55">
        <f t="shared" ca="1" si="44"/>
        <v>4893209.2707488202</v>
      </c>
      <c r="M84" s="55">
        <f t="shared" ca="1" si="44"/>
        <v>4887174.2311744206</v>
      </c>
      <c r="N84" s="55">
        <f t="shared" ca="1" si="44"/>
        <v>4883732.9340566136</v>
      </c>
      <c r="O84" s="55">
        <f t="shared" ca="1" si="44"/>
        <v>4880188.3980252706</v>
      </c>
      <c r="P84" s="55">
        <f t="shared" ca="1" si="44"/>
        <v>4873762.732269167</v>
      </c>
      <c r="Q84" s="55">
        <f t="shared" ca="1" si="44"/>
        <v>5634158.9224778265</v>
      </c>
      <c r="R84" s="55">
        <f t="shared" ca="1" si="44"/>
        <v>5630285.7122539068</v>
      </c>
      <c r="S84" s="55">
        <f t="shared" ca="1" si="44"/>
        <v>5623438.2682701331</v>
      </c>
      <c r="T84" s="55">
        <f t="shared" ca="1" si="44"/>
        <v>5619329.1795435762</v>
      </c>
      <c r="U84" s="55">
        <f t="shared" ca="1" si="44"/>
        <v>5615096.8181552216</v>
      </c>
      <c r="V84" s="55">
        <f t="shared" ca="1" si="44"/>
        <v>6486573.7841054425</v>
      </c>
      <c r="W84" s="55">
        <f t="shared" ca="1" si="44"/>
        <v>6482083.6719085388</v>
      </c>
      <c r="X84" s="55">
        <f t="shared" ca="1" si="44"/>
        <v>6477458.8563457262</v>
      </c>
      <c r="Y84" s="55">
        <f t="shared" ca="1" si="44"/>
        <v>6469663.2043819986</v>
      </c>
      <c r="Z84" s="55">
        <f t="shared" ca="1" si="44"/>
        <v>6464756.7375514107</v>
      </c>
      <c r="AA84" s="699"/>
      <c r="AB84" s="699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 t="s">
        <v>50</v>
      </c>
      <c r="AT84" s="151"/>
      <c r="AU84" s="151"/>
      <c r="AV84" s="151"/>
      <c r="AW84" s="972">
        <f>+AW73*Assumptions!$AD$162*Assumptions!$AD$163*12</f>
        <v>0</v>
      </c>
      <c r="AX84" s="972">
        <f>+AX73*Assumptions!$AD$162*Assumptions!$AD$163*12</f>
        <v>0</v>
      </c>
      <c r="AY84" s="972">
        <f>+AY73*Assumptions!$AD$162*Assumptions!$AD$163*12</f>
        <v>0</v>
      </c>
      <c r="AZ84" s="972">
        <f>+AZ73*Assumptions!$AD$162*Assumptions!$AD$163*12</f>
        <v>0</v>
      </c>
      <c r="BA84" s="972">
        <f>+BA73*Assumptions!$AD$162*Assumptions!$AD$163*12</f>
        <v>0</v>
      </c>
      <c r="BB84" s="972">
        <f>+BB73*Assumptions!$AD$162*Assumptions!$AD$163*12</f>
        <v>0</v>
      </c>
      <c r="BC84" s="972">
        <f>+BC73*Assumptions!$AD$162*Assumptions!$AD$163*12</f>
        <v>0</v>
      </c>
      <c r="BD84" s="972">
        <f>+BD73*Assumptions!$AD$162*Assumptions!$AD$163*12</f>
        <v>0</v>
      </c>
      <c r="BE84" s="972">
        <f>+BE73*Assumptions!$AD$162*Assumptions!$AD$163*12</f>
        <v>0</v>
      </c>
      <c r="BF84" s="972">
        <f>+BF73*Assumptions!$AD$162*Assumptions!$AD$163*12</f>
        <v>0</v>
      </c>
      <c r="BG84" s="972">
        <f>+BG73*Assumptions!$AD$162*Assumptions!$AD$163*12</f>
        <v>0</v>
      </c>
      <c r="BH84" s="972">
        <f>+BH73*Assumptions!$AD$162*Assumptions!$AD$163*12</f>
        <v>0</v>
      </c>
      <c r="BI84" s="972">
        <f>+BI73*Assumptions!$AD$162*Assumptions!$AD$163*12</f>
        <v>0</v>
      </c>
      <c r="BJ84" s="972">
        <f>+BJ73*Assumptions!$AD$162*Assumptions!$AD$163*12</f>
        <v>0</v>
      </c>
      <c r="BK84" s="972">
        <f>+BK73*Assumptions!$AD$162*Assumptions!$AD$163*12</f>
        <v>0</v>
      </c>
      <c r="BL84" s="972">
        <f>+BL73*Assumptions!$AD$162*Assumptions!$AD$163*12</f>
        <v>0</v>
      </c>
      <c r="BM84" s="972">
        <f>+BM73*Assumptions!$AD$162*Assumptions!$AD$163*12</f>
        <v>0</v>
      </c>
      <c r="BN84" s="972">
        <f>+BN73*Assumptions!$AD$162*Assumptions!$AD$163*12</f>
        <v>0</v>
      </c>
      <c r="BO84" s="972">
        <f>+BO73*Assumptions!$AD$162*Assumptions!$AD$163*12</f>
        <v>0</v>
      </c>
      <c r="BP84" s="972">
        <f>+BP73*Assumptions!$AD$162*Assumptions!$AD$163*12</f>
        <v>0</v>
      </c>
      <c r="BQ84" s="972">
        <f>+BQ73*Assumptions!$AD$162*Assumptions!$AD$163*12</f>
        <v>0</v>
      </c>
      <c r="BR84" s="151"/>
      <c r="BS84" s="151"/>
      <c r="BT84" s="151"/>
      <c r="BU84" s="151"/>
      <c r="BV84" s="151"/>
      <c r="BW84" s="151"/>
      <c r="BX84" s="151"/>
    </row>
    <row r="85" spans="2:76">
      <c r="B85" s="51" t="s">
        <v>1064</v>
      </c>
      <c r="C85" s="51"/>
      <c r="D85" s="51"/>
      <c r="E85" s="51"/>
      <c r="F85" s="57">
        <f ca="1">+IF(F84&gt;0,F84/Assumptions!$G$48,0)</f>
        <v>0</v>
      </c>
      <c r="G85" s="57">
        <f ca="1">+IF(G84&gt;0,G84/Assumptions!$G$48,0)</f>
        <v>0</v>
      </c>
      <c r="H85" s="57">
        <f ca="1">+IF(H84&gt;0,H84/Assumptions!$G$48,0)</f>
        <v>0</v>
      </c>
      <c r="I85" s="57">
        <f ca="1">+IF(I84&gt;0,I84/Assumptions!$G$48,0)</f>
        <v>0</v>
      </c>
      <c r="J85" s="57">
        <f ca="1">+IF(J84&gt;0,J84/Assumptions!$G$48,0)</f>
        <v>0</v>
      </c>
      <c r="K85" s="57">
        <f ca="1">+IF(K84&gt;0,K84/Assumptions!$G$48,0)</f>
        <v>81698243.887023568</v>
      </c>
      <c r="L85" s="57">
        <f ca="1">+IF(L84&gt;0,L84/Assumptions!$G$48,0)</f>
        <v>94463499.435305417</v>
      </c>
      <c r="M85" s="57">
        <f ca="1">+IF(M84&gt;0,M84/Assumptions!$G$48,0)</f>
        <v>94346992.879815072</v>
      </c>
      <c r="N85" s="57">
        <f ca="1">+IF(N84&gt;0,N84/Assumptions!$G$48,0)</f>
        <v>94280558.572521493</v>
      </c>
      <c r="O85" s="57">
        <f ca="1">+IF(O84&gt;0,O84/Assumptions!$G$48,0)</f>
        <v>94212131.236009091</v>
      </c>
      <c r="P85" s="57">
        <f ca="1">+IF(P84&gt;0,P84/Assumptions!$G$48,0)</f>
        <v>94088083.634539902</v>
      </c>
      <c r="Q85" s="57">
        <f ca="1">+IF(Q84&gt;0,Q84/Assumptions!$G$48,0)</f>
        <v>108767546.76598121</v>
      </c>
      <c r="R85" s="57">
        <f ca="1">+IF(R84&gt;0,R84/Assumptions!$G$48,0)</f>
        <v>108692774.36783604</v>
      </c>
      <c r="S85" s="57">
        <f ca="1">+IF(S84&gt;0,S84/Assumptions!$G$48,0)</f>
        <v>108560584.32953925</v>
      </c>
      <c r="T85" s="57">
        <f ca="1">+IF(T84&gt;0,T84/Assumptions!$G$48,0)</f>
        <v>108481258.29234703</v>
      </c>
      <c r="U85" s="57">
        <f ca="1">+IF(U84&gt;0,U84/Assumptions!$G$48,0)</f>
        <v>108399552.47403903</v>
      </c>
      <c r="V85" s="57">
        <f ca="1">+IF(V84&gt;0,V84/Assumptions!$G$48,0)</f>
        <v>125223432.1255877</v>
      </c>
      <c r="W85" s="57">
        <f ca="1">+IF(W84&gt;0,W84/Assumptions!$G$48,0)</f>
        <v>125136750.42294477</v>
      </c>
      <c r="X85" s="57">
        <f ca="1">+IF(X84&gt;0,X84/Assumptions!$G$48,0)</f>
        <v>125047468.26922251</v>
      </c>
      <c r="Y85" s="57">
        <f ca="1">+IF(Y84&gt;0,Y84/Assumptions!$G$48,0)</f>
        <v>124896973.05756754</v>
      </c>
      <c r="Z85" s="57">
        <f ca="1">+IF(Z84&gt;0,Z84/Assumptions!$G$48,0)</f>
        <v>124802253.62068361</v>
      </c>
      <c r="AA85" s="699"/>
      <c r="AB85" s="699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 t="s">
        <v>52</v>
      </c>
      <c r="AT85" s="151"/>
      <c r="AU85" s="151"/>
      <c r="AV85" s="151"/>
      <c r="AW85" s="972">
        <f>+AW73*Assumptions!$AD$164*Assumptions!$AD$165*12</f>
        <v>0</v>
      </c>
      <c r="AX85" s="972">
        <f>+AX73*Assumptions!$AD$164*Assumptions!$AD$165*12</f>
        <v>0</v>
      </c>
      <c r="AY85" s="972">
        <f>+AY73*Assumptions!$AD$164*Assumptions!$AD$165*12</f>
        <v>0</v>
      </c>
      <c r="AZ85" s="972">
        <f>+AZ73*Assumptions!$AD$164*Assumptions!$AD$165*12</f>
        <v>0</v>
      </c>
      <c r="BA85" s="972">
        <f>+BA73*Assumptions!$AD$164*Assumptions!$AD$165*12</f>
        <v>0</v>
      </c>
      <c r="BB85" s="972">
        <f>+BB73*Assumptions!$AD$164*Assumptions!$AD$165*12</f>
        <v>0</v>
      </c>
      <c r="BC85" s="972">
        <f>+BC73*Assumptions!$AD$164*Assumptions!$AD$165*12</f>
        <v>0</v>
      </c>
      <c r="BD85" s="972">
        <f>+BD73*Assumptions!$AD$164*Assumptions!$AD$165*12</f>
        <v>0</v>
      </c>
      <c r="BE85" s="972">
        <f>+BE73*Assumptions!$AD$164*Assumptions!$AD$165*12</f>
        <v>0</v>
      </c>
      <c r="BF85" s="972">
        <f>+BF73*Assumptions!$AD$164*Assumptions!$AD$165*12</f>
        <v>0</v>
      </c>
      <c r="BG85" s="972">
        <f>+BG73*Assumptions!$AD$164*Assumptions!$AD$165*12</f>
        <v>0</v>
      </c>
      <c r="BH85" s="972">
        <f>+BH73*Assumptions!$AD$164*Assumptions!$AD$165*12</f>
        <v>0</v>
      </c>
      <c r="BI85" s="972">
        <f>+BI73*Assumptions!$AD$164*Assumptions!$AD$165*12</f>
        <v>0</v>
      </c>
      <c r="BJ85" s="972">
        <f>+BJ73*Assumptions!$AD$164*Assumptions!$AD$165*12</f>
        <v>0</v>
      </c>
      <c r="BK85" s="972">
        <f>+BK73*Assumptions!$AD$164*Assumptions!$AD$165*12</f>
        <v>0</v>
      </c>
      <c r="BL85" s="972">
        <f>+BL73*Assumptions!$AD$164*Assumptions!$AD$165*12</f>
        <v>0</v>
      </c>
      <c r="BM85" s="972">
        <f>+BM73*Assumptions!$AD$164*Assumptions!$AD$165*12</f>
        <v>0</v>
      </c>
      <c r="BN85" s="972">
        <f>+BN73*Assumptions!$AD$164*Assumptions!$AD$165*12</f>
        <v>0</v>
      </c>
      <c r="BO85" s="972">
        <f>+BO73*Assumptions!$AD$164*Assumptions!$AD$165*12</f>
        <v>0</v>
      </c>
      <c r="BP85" s="972">
        <f>+BP73*Assumptions!$AD$164*Assumptions!$AD$165*12</f>
        <v>0</v>
      </c>
      <c r="BQ85" s="972">
        <f>+BQ73*Assumptions!$AD$164*Assumptions!$AD$165*12</f>
        <v>0</v>
      </c>
      <c r="BR85" s="151"/>
      <c r="BS85" s="151"/>
      <c r="BT85" s="151"/>
      <c r="BU85" s="151"/>
      <c r="BV85" s="151"/>
      <c r="BW85" s="151"/>
      <c r="BX85" s="151"/>
    </row>
    <row r="86" spans="2:76">
      <c r="B86" s="699"/>
      <c r="C86" s="699"/>
      <c r="D86" s="699"/>
      <c r="E86" s="699"/>
      <c r="F86" s="699"/>
      <c r="G86" s="699"/>
      <c r="H86" s="699"/>
      <c r="I86" s="699"/>
      <c r="J86" s="699"/>
      <c r="K86" s="699"/>
      <c r="L86" s="699"/>
      <c r="M86" s="699"/>
      <c r="N86" s="699"/>
      <c r="O86" s="699"/>
      <c r="P86" s="699"/>
      <c r="Q86" s="699"/>
      <c r="R86" s="699"/>
      <c r="S86" s="699"/>
      <c r="T86" s="699"/>
      <c r="U86" s="699"/>
      <c r="V86" s="699"/>
      <c r="W86" s="699"/>
      <c r="X86" s="699"/>
      <c r="Y86" s="699"/>
      <c r="Z86" s="699"/>
      <c r="AA86" s="699"/>
      <c r="AB86" s="699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 t="s">
        <v>1131</v>
      </c>
      <c r="AT86" s="151"/>
      <c r="AU86" s="151"/>
      <c r="AV86" s="151"/>
      <c r="AW86" s="822">
        <f>SUM(AW79:AW85)</f>
        <v>0</v>
      </c>
      <c r="AX86" s="822">
        <f t="shared" ref="AX86:BQ86" si="45">SUM(AX79:AX85)</f>
        <v>0</v>
      </c>
      <c r="AY86" s="822">
        <f t="shared" si="45"/>
        <v>0</v>
      </c>
      <c r="AZ86" s="822">
        <f t="shared" si="45"/>
        <v>0</v>
      </c>
      <c r="BA86" s="822">
        <f t="shared" si="45"/>
        <v>0</v>
      </c>
      <c r="BB86" s="822">
        <f t="shared" si="45"/>
        <v>0</v>
      </c>
      <c r="BC86" s="822">
        <f t="shared" si="45"/>
        <v>0</v>
      </c>
      <c r="BD86" s="822">
        <f t="shared" si="45"/>
        <v>0</v>
      </c>
      <c r="BE86" s="822">
        <f t="shared" si="45"/>
        <v>0</v>
      </c>
      <c r="BF86" s="822">
        <f t="shared" si="45"/>
        <v>0</v>
      </c>
      <c r="BG86" s="822">
        <f t="shared" si="45"/>
        <v>0</v>
      </c>
      <c r="BH86" s="822">
        <f t="shared" si="45"/>
        <v>0</v>
      </c>
      <c r="BI86" s="822">
        <f t="shared" si="45"/>
        <v>0</v>
      </c>
      <c r="BJ86" s="822">
        <f t="shared" si="45"/>
        <v>0</v>
      </c>
      <c r="BK86" s="822">
        <f t="shared" si="45"/>
        <v>0</v>
      </c>
      <c r="BL86" s="822">
        <f t="shared" si="45"/>
        <v>0</v>
      </c>
      <c r="BM86" s="822">
        <f t="shared" si="45"/>
        <v>0</v>
      </c>
      <c r="BN86" s="822">
        <f t="shared" si="45"/>
        <v>0</v>
      </c>
      <c r="BO86" s="822">
        <f t="shared" si="45"/>
        <v>0</v>
      </c>
      <c r="BP86" s="822">
        <f t="shared" si="45"/>
        <v>0</v>
      </c>
      <c r="BQ86" s="822">
        <f t="shared" si="45"/>
        <v>0</v>
      </c>
      <c r="BR86" s="151"/>
      <c r="BS86" s="151"/>
      <c r="BT86" s="151"/>
      <c r="BU86" s="151"/>
      <c r="BV86" s="151"/>
      <c r="BW86" s="151"/>
      <c r="BX86" s="151"/>
    </row>
    <row r="87" spans="2:76" ht="15.75">
      <c r="B87" s="53" t="s">
        <v>160</v>
      </c>
      <c r="C87" s="699"/>
      <c r="D87" s="699"/>
      <c r="E87" s="699"/>
      <c r="F87" s="54">
        <f>+Assumptions!$G$27</f>
        <v>46387</v>
      </c>
      <c r="G87" s="54">
        <f>+EOMONTH(F87,12)</f>
        <v>46752</v>
      </c>
      <c r="H87" s="54">
        <f t="shared" ref="H87:Z87" si="46">+EOMONTH(G87,12)</f>
        <v>47118</v>
      </c>
      <c r="I87" s="54">
        <f t="shared" si="46"/>
        <v>47483</v>
      </c>
      <c r="J87" s="54">
        <f t="shared" si="46"/>
        <v>47848</v>
      </c>
      <c r="K87" s="54">
        <f t="shared" si="46"/>
        <v>48213</v>
      </c>
      <c r="L87" s="54">
        <f t="shared" si="46"/>
        <v>48579</v>
      </c>
      <c r="M87" s="54">
        <f t="shared" si="46"/>
        <v>48944</v>
      </c>
      <c r="N87" s="54">
        <f t="shared" si="46"/>
        <v>49309</v>
      </c>
      <c r="O87" s="54">
        <f t="shared" si="46"/>
        <v>49674</v>
      </c>
      <c r="P87" s="54">
        <f t="shared" si="46"/>
        <v>50040</v>
      </c>
      <c r="Q87" s="54">
        <f t="shared" si="46"/>
        <v>50405</v>
      </c>
      <c r="R87" s="54">
        <f t="shared" si="46"/>
        <v>50770</v>
      </c>
      <c r="S87" s="54">
        <f t="shared" si="46"/>
        <v>51135</v>
      </c>
      <c r="T87" s="54">
        <f t="shared" si="46"/>
        <v>51501</v>
      </c>
      <c r="U87" s="54">
        <f t="shared" si="46"/>
        <v>51866</v>
      </c>
      <c r="V87" s="54">
        <f t="shared" si="46"/>
        <v>52231</v>
      </c>
      <c r="W87" s="54">
        <f t="shared" si="46"/>
        <v>52596</v>
      </c>
      <c r="X87" s="54">
        <f t="shared" si="46"/>
        <v>52962</v>
      </c>
      <c r="Y87" s="54">
        <f t="shared" si="46"/>
        <v>53327</v>
      </c>
      <c r="Z87" s="54">
        <f t="shared" si="46"/>
        <v>53692</v>
      </c>
      <c r="AA87" s="699"/>
      <c r="AB87" s="699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</row>
    <row r="88" spans="2:76">
      <c r="B88" s="699" t="s">
        <v>1138</v>
      </c>
      <c r="C88" s="699"/>
      <c r="D88" s="699"/>
      <c r="E88" s="1050"/>
      <c r="F88" s="1050">
        <f>+IF(AND(F87&gt;=Assumptions!$G$31,F87&lt;Assumptions!$G$33),Assumptions!$G$124/ROUNDUP((Assumptions!$G$32/12),0),)</f>
        <v>0</v>
      </c>
      <c r="G88" s="1050">
        <f>+IF(AND(G87&gt;=Assumptions!$G$31,G87&lt;Assumptions!$G$33),Assumptions!$G$124/ROUNDUP((Assumptions!$G$32/12),0),)</f>
        <v>0</v>
      </c>
      <c r="H88" s="1050">
        <f>+IF(AND(H87&gt;=Assumptions!$G$31,H87&lt;Assumptions!$G$33),Assumptions!$G$124/ROUNDUP((Assumptions!$G$32/12),0),)</f>
        <v>0</v>
      </c>
      <c r="I88" s="1050">
        <f>+IF(AND(I87&gt;=Assumptions!$G$31,I87&lt;Assumptions!$G$33),Assumptions!$G$124/ROUNDUP((Assumptions!$G$32/12),0),)</f>
        <v>24242.25</v>
      </c>
      <c r="J88" s="1050">
        <f>+IF(AND(J87&gt;=Assumptions!$G$31,J87&lt;Assumptions!$G$33),Assumptions!$G$124/ROUNDUP((Assumptions!$G$32/12),0),)</f>
        <v>24242.25</v>
      </c>
      <c r="K88" s="1050">
        <f>+IF(AND(K87&gt;=Assumptions!$G$31,K87&lt;Assumptions!$G$33),Assumptions!$G$124/ROUNDUP((Assumptions!$G$32/12),0),)</f>
        <v>0</v>
      </c>
      <c r="L88" s="1050">
        <f>+IF(AND(L87&gt;=Assumptions!$G$31,L87&lt;Assumptions!$G$33),Assumptions!$G$124/ROUNDUP((Assumptions!$G$32/12),0),)</f>
        <v>0</v>
      </c>
      <c r="M88" s="1050">
        <f>+IF(AND(M87&gt;=Assumptions!$G$31,M87&lt;Assumptions!$G$33),Assumptions!$G$124/ROUNDUP((Assumptions!$G$32/12),0),)</f>
        <v>0</v>
      </c>
      <c r="N88" s="1050">
        <f>+IF(AND(N87&gt;=Assumptions!$G$31,N87&lt;Assumptions!$G$33),Assumptions!$G$124/ROUNDUP((Assumptions!$G$32/12),0),)</f>
        <v>0</v>
      </c>
      <c r="O88" s="1050">
        <f>+IF(AND(O87&gt;=Assumptions!$G$31,O87&lt;Assumptions!$G$33),Assumptions!$G$124/ROUNDUP((Assumptions!$G$32/12),0),)</f>
        <v>0</v>
      </c>
      <c r="P88" s="1050">
        <f>+IF(AND(P87&gt;=Assumptions!$G$31,P87&lt;Assumptions!$G$33),Assumptions!$G$124/ROUNDUP((Assumptions!$G$32/12),0),)</f>
        <v>0</v>
      </c>
      <c r="Q88" s="1050">
        <f>+IF(AND(Q87&gt;=Assumptions!$G$31,Q87&lt;Assumptions!$G$33),Assumptions!$G$124/ROUNDUP((Assumptions!$G$32/12),0),)</f>
        <v>0</v>
      </c>
      <c r="R88" s="1050">
        <f>+IF(AND(R87&gt;=Assumptions!$G$31,R87&lt;Assumptions!$G$33),Assumptions!$G$124/ROUNDUP((Assumptions!$G$32/12),0),)</f>
        <v>0</v>
      </c>
      <c r="S88" s="1050">
        <f>+IF(AND(S87&gt;=Assumptions!$G$31,S87&lt;Assumptions!$G$33),Assumptions!$G$124/ROUNDUP((Assumptions!$G$32/12),0),)</f>
        <v>0</v>
      </c>
      <c r="T88" s="1050">
        <f>+IF(AND(T87&gt;=Assumptions!$G$31,T87&lt;Assumptions!$G$33),Assumptions!$G$124/ROUNDUP((Assumptions!$G$32/12),0),)</f>
        <v>0</v>
      </c>
      <c r="U88" s="1050">
        <f>+IF(AND(U87&gt;=Assumptions!$G$31,U87&lt;Assumptions!$G$33),Assumptions!$G$124/ROUNDUP((Assumptions!$G$32/12),0),)</f>
        <v>0</v>
      </c>
      <c r="V88" s="1050">
        <f>+IF(AND(V87&gt;=Assumptions!$G$31,V87&lt;Assumptions!$G$33),Assumptions!$G$124/ROUNDUP((Assumptions!$G$32/12),0),)</f>
        <v>0</v>
      </c>
      <c r="W88" s="1050">
        <f>+IF(AND(W87&gt;=Assumptions!$G$31,W87&lt;Assumptions!$G$33),Assumptions!$G$124/ROUNDUP((Assumptions!$G$32/12),0),)</f>
        <v>0</v>
      </c>
      <c r="X88" s="1050">
        <f>+IF(AND(X87&gt;=Assumptions!$G$31,X87&lt;Assumptions!$G$33),Assumptions!$G$124/ROUNDUP((Assumptions!$G$32/12),0),)</f>
        <v>0</v>
      </c>
      <c r="Y88" s="1050">
        <f>+IF(AND(Y87&gt;=Assumptions!$G$31,Y87&lt;Assumptions!$G$33),Assumptions!$G$124/ROUNDUP((Assumptions!$G$32/12),0),)</f>
        <v>0</v>
      </c>
      <c r="Z88" s="1050">
        <f>+IF(AND(Z87&gt;=Assumptions!$G$31,Z87&lt;Assumptions!$G$33),Assumptions!$G$124/ROUNDUP((Assumptions!$G$32/12),0),)</f>
        <v>0</v>
      </c>
      <c r="AA88" s="699"/>
      <c r="AB88" s="699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 t="s">
        <v>1132</v>
      </c>
      <c r="AT88" s="151"/>
      <c r="AU88" s="151"/>
      <c r="AV88" s="151"/>
      <c r="AW88" s="946">
        <f>+AW73*Assumptions!$AF$263*AW77</f>
        <v>0</v>
      </c>
      <c r="AX88" s="946">
        <f>+AX73*Assumptions!$AF$263*AX77</f>
        <v>0</v>
      </c>
      <c r="AY88" s="946">
        <f>+AY73*Assumptions!$AF$263*AY77</f>
        <v>0</v>
      </c>
      <c r="AZ88" s="946">
        <f>+AZ73*Assumptions!$AF$263*AZ77</f>
        <v>0</v>
      </c>
      <c r="BA88" s="946">
        <f>+BA73*Assumptions!$AF$263*BA77</f>
        <v>0</v>
      </c>
      <c r="BB88" s="946">
        <f>+BB73*Assumptions!$AF$263*BB77</f>
        <v>0</v>
      </c>
      <c r="BC88" s="946">
        <f>+BC73*Assumptions!$AF$263*BC77</f>
        <v>0</v>
      </c>
      <c r="BD88" s="946">
        <f>+BD73*Assumptions!$AF$263*BD77</f>
        <v>0</v>
      </c>
      <c r="BE88" s="946">
        <f>+BE73*Assumptions!$AF$263*BE77</f>
        <v>0</v>
      </c>
      <c r="BF88" s="946">
        <f>+BF73*Assumptions!$AF$263*BF77</f>
        <v>0</v>
      </c>
      <c r="BG88" s="946">
        <f>+BG73*Assumptions!$AF$263*BG77</f>
        <v>0</v>
      </c>
      <c r="BH88" s="946">
        <f>+BH73*Assumptions!$AF$263*BH77</f>
        <v>0</v>
      </c>
      <c r="BI88" s="946">
        <f>+BI73*Assumptions!$AF$263*BI77</f>
        <v>0</v>
      </c>
      <c r="BJ88" s="946">
        <f>+BJ73*Assumptions!$AF$263*BJ77</f>
        <v>0</v>
      </c>
      <c r="BK88" s="946">
        <f>+BK73*Assumptions!$AF$263*BK77</f>
        <v>0</v>
      </c>
      <c r="BL88" s="946">
        <f>+BL73*Assumptions!$AF$263*BL77</f>
        <v>0</v>
      </c>
      <c r="BM88" s="946">
        <f>+BM73*Assumptions!$AF$263*BM77</f>
        <v>0</v>
      </c>
      <c r="BN88" s="946">
        <f>+BN73*Assumptions!$AF$263*BN77</f>
        <v>0</v>
      </c>
      <c r="BO88" s="946">
        <f>+BO73*Assumptions!$AF$263*BO77</f>
        <v>0</v>
      </c>
      <c r="BP88" s="946">
        <f>+BP73*Assumptions!$AF$263*BP77</f>
        <v>0</v>
      </c>
      <c r="BQ88" s="946">
        <f>+BQ73*Assumptions!$AF$263*BQ77</f>
        <v>0</v>
      </c>
      <c r="BR88" s="151"/>
      <c r="BS88" s="151"/>
      <c r="BT88" s="151"/>
      <c r="BU88" s="151"/>
      <c r="BV88" s="151"/>
      <c r="BW88" s="151"/>
      <c r="BX88" s="151"/>
    </row>
    <row r="89" spans="2:76">
      <c r="B89" s="699" t="s">
        <v>1121</v>
      </c>
      <c r="C89" s="699"/>
      <c r="D89" s="699"/>
      <c r="E89" s="1050">
        <v>0</v>
      </c>
      <c r="F89" s="1050">
        <f>+E89+F88</f>
        <v>0</v>
      </c>
      <c r="G89" s="1050">
        <f t="shared" ref="G89:Z89" si="47">+F89+G88</f>
        <v>0</v>
      </c>
      <c r="H89" s="1050">
        <f t="shared" si="47"/>
        <v>0</v>
      </c>
      <c r="I89" s="1050">
        <f t="shared" si="47"/>
        <v>24242.25</v>
      </c>
      <c r="J89" s="1050">
        <f t="shared" si="47"/>
        <v>48484.5</v>
      </c>
      <c r="K89" s="1050">
        <f t="shared" si="47"/>
        <v>48484.5</v>
      </c>
      <c r="L89" s="1050">
        <f t="shared" si="47"/>
        <v>48484.5</v>
      </c>
      <c r="M89" s="1050">
        <f t="shared" si="47"/>
        <v>48484.5</v>
      </c>
      <c r="N89" s="1050">
        <f t="shared" si="47"/>
        <v>48484.5</v>
      </c>
      <c r="O89" s="1050">
        <f t="shared" si="47"/>
        <v>48484.5</v>
      </c>
      <c r="P89" s="1050">
        <f t="shared" si="47"/>
        <v>48484.5</v>
      </c>
      <c r="Q89" s="1050">
        <f t="shared" si="47"/>
        <v>48484.5</v>
      </c>
      <c r="R89" s="1050">
        <f t="shared" si="47"/>
        <v>48484.5</v>
      </c>
      <c r="S89" s="1050">
        <f t="shared" si="47"/>
        <v>48484.5</v>
      </c>
      <c r="T89" s="1050">
        <f t="shared" si="47"/>
        <v>48484.5</v>
      </c>
      <c r="U89" s="1050">
        <f t="shared" si="47"/>
        <v>48484.5</v>
      </c>
      <c r="V89" s="1050">
        <f t="shared" si="47"/>
        <v>48484.5</v>
      </c>
      <c r="W89" s="1050">
        <f t="shared" si="47"/>
        <v>48484.5</v>
      </c>
      <c r="X89" s="1050">
        <f t="shared" si="47"/>
        <v>48484.5</v>
      </c>
      <c r="Y89" s="1050">
        <f t="shared" si="47"/>
        <v>48484.5</v>
      </c>
      <c r="Z89" s="1050">
        <f t="shared" si="47"/>
        <v>48484.5</v>
      </c>
      <c r="AA89" s="699"/>
      <c r="AB89" s="699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 t="s">
        <v>1133</v>
      </c>
      <c r="AT89" s="151"/>
      <c r="AU89" s="151"/>
      <c r="AV89" s="151"/>
      <c r="AW89" s="687">
        <f ca="1">+IFERROR(INDEX('Taxes and TIF'!$AC$11:$AC$45,MATCH('Phase 2 Pro Forma'!F$7,'Taxes and TIF'!$R$11:$R$45,0)),0)*'Loan Sizing'!$K$32*'Phase 2 Pro Forma'!AW74</f>
        <v>0</v>
      </c>
      <c r="AX89" s="687">
        <f ca="1">+IFERROR(INDEX('Taxes and TIF'!$AC$11:$AC$45,MATCH('Phase 2 Pro Forma'!G$7,'Taxes and TIF'!$R$11:$R$45,0)),0)*'Loan Sizing'!$K$32*'Phase 2 Pro Forma'!AX74</f>
        <v>0</v>
      </c>
      <c r="AY89" s="687">
        <f ca="1">+IFERROR(INDEX('Taxes and TIF'!$AC$11:$AC$45,MATCH('Phase 2 Pro Forma'!H$7,'Taxes and TIF'!$R$11:$R$45,0)),0)*'Loan Sizing'!$K$32*'Phase 2 Pro Forma'!AY74</f>
        <v>0</v>
      </c>
      <c r="AZ89" s="687">
        <f ca="1">+IFERROR(INDEX('Taxes and TIF'!$AC$11:$AC$45,MATCH('Phase 2 Pro Forma'!I$7,'Taxes and TIF'!$R$11:$R$45,0)),0)*'Loan Sizing'!$K$32*'Phase 2 Pro Forma'!AZ74</f>
        <v>0</v>
      </c>
      <c r="BA89" s="687">
        <f ca="1">+IFERROR(INDEX('Taxes and TIF'!$AC$11:$AC$45,MATCH('Phase 2 Pro Forma'!J$7,'Taxes and TIF'!$R$11:$R$45,0)),0)*'Loan Sizing'!$K$32*'Phase 2 Pro Forma'!BA74</f>
        <v>0</v>
      </c>
      <c r="BB89" s="687">
        <f ca="1">+IFERROR(INDEX('Taxes and TIF'!$AC$11:$AC$45,MATCH('Phase 2 Pro Forma'!K$7,'Taxes and TIF'!$R$11:$R$45,0)),0)*'Loan Sizing'!$K$32*'Phase 2 Pro Forma'!BB74</f>
        <v>0</v>
      </c>
      <c r="BC89" s="687">
        <f ca="1">+IFERROR(INDEX('Taxes and TIF'!$AC$11:$AC$45,MATCH('Phase 2 Pro Forma'!L$7,'Taxes and TIF'!$R$11:$R$45,0)),0)*'Loan Sizing'!$K$32*'Phase 2 Pro Forma'!BC74</f>
        <v>0</v>
      </c>
      <c r="BD89" s="687">
        <f ca="1">+IFERROR(INDEX('Taxes and TIF'!$AC$11:$AC$45,MATCH('Phase 2 Pro Forma'!M$7,'Taxes and TIF'!$R$11:$R$45,0)),0)*'Loan Sizing'!$K$32*'Phase 2 Pro Forma'!BD74</f>
        <v>0</v>
      </c>
      <c r="BE89" s="687">
        <f ca="1">+IFERROR(INDEX('Taxes and TIF'!$AC$11:$AC$45,MATCH('Phase 2 Pro Forma'!N$7,'Taxes and TIF'!$R$11:$R$45,0)),0)*'Loan Sizing'!$K$32*'Phase 2 Pro Forma'!BE74</f>
        <v>0</v>
      </c>
      <c r="BF89" s="687">
        <f ca="1">+IFERROR(INDEX('Taxes and TIF'!$AC$11:$AC$45,MATCH('Phase 2 Pro Forma'!O$7,'Taxes and TIF'!$R$11:$R$45,0)),0)*'Loan Sizing'!$K$32*'Phase 2 Pro Forma'!BF74</f>
        <v>0</v>
      </c>
      <c r="BG89" s="687">
        <f ca="1">+IFERROR(INDEX('Taxes and TIF'!$AC$11:$AC$45,MATCH('Phase 2 Pro Forma'!P$7,'Taxes and TIF'!$R$11:$R$45,0)),0)*'Loan Sizing'!$K$32*'Phase 2 Pro Forma'!BG74</f>
        <v>0</v>
      </c>
      <c r="BH89" s="687">
        <f ca="1">+IFERROR(INDEX('Taxes and TIF'!$AC$11:$AC$45,MATCH('Phase 2 Pro Forma'!Q$7,'Taxes and TIF'!$R$11:$R$45,0)),0)*'Loan Sizing'!$K$32*'Phase 2 Pro Forma'!BH74</f>
        <v>0</v>
      </c>
      <c r="BI89" s="687">
        <f ca="1">+IFERROR(INDEX('Taxes and TIF'!$AC$11:$AC$45,MATCH('Phase 2 Pro Forma'!R$7,'Taxes and TIF'!$R$11:$R$45,0)),0)*'Loan Sizing'!$K$32*'Phase 2 Pro Forma'!BI74</f>
        <v>0</v>
      </c>
      <c r="BJ89" s="687">
        <f ca="1">+IFERROR(INDEX('Taxes and TIF'!$AC$11:$AC$45,MATCH('Phase 2 Pro Forma'!S$7,'Taxes and TIF'!$R$11:$R$45,0)),0)*'Loan Sizing'!$K$32*'Phase 2 Pro Forma'!BJ74</f>
        <v>0</v>
      </c>
      <c r="BK89" s="687">
        <f ca="1">+IFERROR(INDEX('Taxes and TIF'!$AC$11:$AC$45,MATCH('Phase 2 Pro Forma'!T$7,'Taxes and TIF'!$R$11:$R$45,0)),0)*'Loan Sizing'!$K$32*'Phase 2 Pro Forma'!BK74</f>
        <v>0</v>
      </c>
      <c r="BL89" s="687">
        <f ca="1">+IFERROR(INDEX('Taxes and TIF'!$AC$11:$AC$45,MATCH('Phase 2 Pro Forma'!U$7,'Taxes and TIF'!$R$11:$R$45,0)),0)*'Loan Sizing'!$K$32*'Phase 2 Pro Forma'!BL74</f>
        <v>0</v>
      </c>
      <c r="BM89" s="687">
        <f ca="1">+IFERROR(INDEX('Taxes and TIF'!$AC$11:$AC$45,MATCH('Phase 2 Pro Forma'!V$7,'Taxes and TIF'!$R$11:$R$45,0)),0)*'Loan Sizing'!$K$32*'Phase 2 Pro Forma'!BM74</f>
        <v>0</v>
      </c>
      <c r="BN89" s="687">
        <f ca="1">+IFERROR(INDEX('Taxes and TIF'!$AC$11:$AC$45,MATCH('Phase 2 Pro Forma'!W$7,'Taxes and TIF'!$R$11:$R$45,0)),0)*'Loan Sizing'!$K$32*'Phase 2 Pro Forma'!BN74</f>
        <v>0</v>
      </c>
      <c r="BO89" s="687">
        <f ca="1">+IFERROR(INDEX('Taxes and TIF'!$AC$11:$AC$45,MATCH('Phase 2 Pro Forma'!X$7,'Taxes and TIF'!$R$11:$R$45,0)),0)*'Loan Sizing'!$K$32*'Phase 2 Pro Forma'!BO74</f>
        <v>0</v>
      </c>
      <c r="BP89" s="687">
        <f ca="1">+IFERROR(INDEX('Taxes and TIF'!$AC$11:$AC$45,MATCH('Phase 2 Pro Forma'!Y$7,'Taxes and TIF'!$R$11:$R$45,0)),0)*'Loan Sizing'!$K$32*'Phase 2 Pro Forma'!BP74</f>
        <v>0</v>
      </c>
      <c r="BQ89" s="687">
        <f ca="1">+IFERROR(INDEX('Taxes and TIF'!$AC$11:$AC$45,MATCH('Phase 2 Pro Forma'!Z$7,'Taxes and TIF'!$R$11:$R$45,0)),0)*'Loan Sizing'!$K$32*'Phase 2 Pro Forma'!BQ74</f>
        <v>0</v>
      </c>
      <c r="BR89" s="151"/>
      <c r="BS89" s="151"/>
      <c r="BT89" s="151"/>
      <c r="BU89" s="151"/>
      <c r="BV89" s="151"/>
      <c r="BW89" s="151"/>
      <c r="BX89" s="151"/>
    </row>
    <row r="90" spans="2:76">
      <c r="B90" s="699" t="s">
        <v>1125</v>
      </c>
      <c r="C90" s="699"/>
      <c r="D90" s="699"/>
      <c r="E90" s="699"/>
      <c r="F90" s="1074">
        <f>+IFERROR(F89/SUM($F$88:$Z$88),0)</f>
        <v>0</v>
      </c>
      <c r="G90" s="1074">
        <f t="shared" ref="G90:Z90" si="48">+IFERROR(G89/SUM($F$88:$Z$88),0)</f>
        <v>0</v>
      </c>
      <c r="H90" s="1074">
        <f t="shared" si="48"/>
        <v>0</v>
      </c>
      <c r="I90" s="1074">
        <f t="shared" si="48"/>
        <v>0.5</v>
      </c>
      <c r="J90" s="1074">
        <f t="shared" si="48"/>
        <v>1</v>
      </c>
      <c r="K90" s="1074">
        <f t="shared" si="48"/>
        <v>1</v>
      </c>
      <c r="L90" s="1074">
        <f t="shared" si="48"/>
        <v>1</v>
      </c>
      <c r="M90" s="1074">
        <f t="shared" si="48"/>
        <v>1</v>
      </c>
      <c r="N90" s="1074">
        <f t="shared" si="48"/>
        <v>1</v>
      </c>
      <c r="O90" s="1074">
        <f t="shared" si="48"/>
        <v>1</v>
      </c>
      <c r="P90" s="1074">
        <f t="shared" si="48"/>
        <v>1</v>
      </c>
      <c r="Q90" s="1074">
        <f t="shared" si="48"/>
        <v>1</v>
      </c>
      <c r="R90" s="1074">
        <f t="shared" si="48"/>
        <v>1</v>
      </c>
      <c r="S90" s="1074">
        <f t="shared" si="48"/>
        <v>1</v>
      </c>
      <c r="T90" s="1074">
        <f t="shared" si="48"/>
        <v>1</v>
      </c>
      <c r="U90" s="1074">
        <f t="shared" si="48"/>
        <v>1</v>
      </c>
      <c r="V90" s="1074">
        <f t="shared" si="48"/>
        <v>1</v>
      </c>
      <c r="W90" s="1074">
        <f t="shared" si="48"/>
        <v>1</v>
      </c>
      <c r="X90" s="1074">
        <f t="shared" si="48"/>
        <v>1</v>
      </c>
      <c r="Y90" s="1074">
        <f t="shared" si="48"/>
        <v>1</v>
      </c>
      <c r="Z90" s="1074">
        <f t="shared" si="48"/>
        <v>1</v>
      </c>
      <c r="AA90" s="699"/>
      <c r="AB90" s="699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 t="s">
        <v>1134</v>
      </c>
      <c r="AT90" s="151"/>
      <c r="AU90" s="151"/>
      <c r="AV90" s="151"/>
      <c r="AW90" s="946">
        <f ca="1">+SUM(AW88:AW89)</f>
        <v>0</v>
      </c>
      <c r="AX90" s="946">
        <f t="shared" ref="AX90:BQ90" ca="1" si="49">+SUM(AX88:AX89)</f>
        <v>0</v>
      </c>
      <c r="AY90" s="946">
        <f t="shared" ca="1" si="49"/>
        <v>0</v>
      </c>
      <c r="AZ90" s="946">
        <f t="shared" ca="1" si="49"/>
        <v>0</v>
      </c>
      <c r="BA90" s="946">
        <f t="shared" ca="1" si="49"/>
        <v>0</v>
      </c>
      <c r="BB90" s="946">
        <f t="shared" ca="1" si="49"/>
        <v>0</v>
      </c>
      <c r="BC90" s="946">
        <f t="shared" ca="1" si="49"/>
        <v>0</v>
      </c>
      <c r="BD90" s="946">
        <f t="shared" ca="1" si="49"/>
        <v>0</v>
      </c>
      <c r="BE90" s="946">
        <f t="shared" ca="1" si="49"/>
        <v>0</v>
      </c>
      <c r="BF90" s="946">
        <f t="shared" ca="1" si="49"/>
        <v>0</v>
      </c>
      <c r="BG90" s="946">
        <f t="shared" ca="1" si="49"/>
        <v>0</v>
      </c>
      <c r="BH90" s="946">
        <f t="shared" ca="1" si="49"/>
        <v>0</v>
      </c>
      <c r="BI90" s="946">
        <f t="shared" ca="1" si="49"/>
        <v>0</v>
      </c>
      <c r="BJ90" s="946">
        <f t="shared" ca="1" si="49"/>
        <v>0</v>
      </c>
      <c r="BK90" s="946">
        <f t="shared" ca="1" si="49"/>
        <v>0</v>
      </c>
      <c r="BL90" s="946">
        <f t="shared" ca="1" si="49"/>
        <v>0</v>
      </c>
      <c r="BM90" s="946">
        <f t="shared" ca="1" si="49"/>
        <v>0</v>
      </c>
      <c r="BN90" s="946">
        <f t="shared" ca="1" si="49"/>
        <v>0</v>
      </c>
      <c r="BO90" s="946">
        <f t="shared" ca="1" si="49"/>
        <v>0</v>
      </c>
      <c r="BP90" s="946">
        <f t="shared" ca="1" si="49"/>
        <v>0</v>
      </c>
      <c r="BQ90" s="946">
        <f t="shared" ca="1" si="49"/>
        <v>0</v>
      </c>
      <c r="BR90" s="151"/>
      <c r="BS90" s="151"/>
      <c r="BT90" s="151"/>
      <c r="BU90" s="151"/>
      <c r="BV90" s="151"/>
      <c r="BW90" s="151"/>
      <c r="BX90" s="151"/>
    </row>
    <row r="91" spans="2:76">
      <c r="B91" s="699"/>
      <c r="C91" s="699"/>
      <c r="D91" s="699"/>
      <c r="E91" s="699"/>
      <c r="F91" s="699"/>
      <c r="G91" s="699"/>
      <c r="H91" s="699"/>
      <c r="I91" s="699"/>
      <c r="J91" s="699"/>
      <c r="K91" s="699"/>
      <c r="L91" s="699"/>
      <c r="M91" s="699"/>
      <c r="N91" s="699"/>
      <c r="O91" s="699"/>
      <c r="P91" s="699"/>
      <c r="Q91" s="699"/>
      <c r="R91" s="699"/>
      <c r="S91" s="699"/>
      <c r="T91" s="699"/>
      <c r="U91" s="699"/>
      <c r="V91" s="699"/>
      <c r="W91" s="699"/>
      <c r="X91" s="699"/>
      <c r="Y91" s="699"/>
      <c r="Z91" s="699"/>
      <c r="AA91" s="699"/>
      <c r="AB91" s="699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/>
    </row>
    <row r="92" spans="2:76" ht="15.75">
      <c r="B92" s="699" t="s">
        <v>1126</v>
      </c>
      <c r="C92" s="699"/>
      <c r="D92" s="699"/>
      <c r="E92" s="699"/>
      <c r="F92" s="1074">
        <v>1</v>
      </c>
      <c r="G92" s="1074">
        <f>+IF(MOD(G$2,Assumptions!$O$73)=(Assumptions!$O$73-1),'Phase 2 Pro Forma'!F92*(1+Assumptions!$O$72),'Phase 2 Pro Forma'!F92)</f>
        <v>1</v>
      </c>
      <c r="H92" s="1074">
        <f>+IF(MOD(H$2,Assumptions!$O$73)=(Assumptions!$O$73-1),'Phase 2 Pro Forma'!G92*(1+Assumptions!$O$72),'Phase 2 Pro Forma'!G92)</f>
        <v>1</v>
      </c>
      <c r="I92" s="1074">
        <f>+IF(MOD(I$2,Assumptions!$O$73)=(Assumptions!$O$73-1),'Phase 2 Pro Forma'!H92*(1+Assumptions!$O$72),'Phase 2 Pro Forma'!H92)</f>
        <v>1</v>
      </c>
      <c r="J92" s="1074">
        <f>+IF(MOD(J$2,Assumptions!$O$73)=(Assumptions!$O$73-1),'Phase 2 Pro Forma'!I92*(1+Assumptions!$O$72),'Phase 2 Pro Forma'!I92)</f>
        <v>1</v>
      </c>
      <c r="K92" s="1074">
        <f>+IF(MOD(K$2,Assumptions!$O$73)=(Assumptions!$O$73-1),'Phase 2 Pro Forma'!J92*(1+Assumptions!$O$72),'Phase 2 Pro Forma'!J92)</f>
        <v>1</v>
      </c>
      <c r="L92" s="1074">
        <f>+IF(MOD(L$2,Assumptions!$O$73)=(Assumptions!$O$73-1),'Phase 2 Pro Forma'!K92*(1+Assumptions!$O$72),'Phase 2 Pro Forma'!K92)</f>
        <v>1.1499999999999999</v>
      </c>
      <c r="M92" s="1074">
        <f>+IF(MOD(M$2,Assumptions!$O$73)=(Assumptions!$O$73-1),'Phase 2 Pro Forma'!L92*(1+Assumptions!$O$72),'Phase 2 Pro Forma'!L92)</f>
        <v>1.1499999999999999</v>
      </c>
      <c r="N92" s="1074">
        <f>+IF(MOD(N$2,Assumptions!$O$73)=(Assumptions!$O$73-1),'Phase 2 Pro Forma'!M92*(1+Assumptions!$O$72),'Phase 2 Pro Forma'!M92)</f>
        <v>1.1499999999999999</v>
      </c>
      <c r="O92" s="1074">
        <f>+IF(MOD(O$2,Assumptions!$O$73)=(Assumptions!$O$73-1),'Phase 2 Pro Forma'!N92*(1+Assumptions!$O$72),'Phase 2 Pro Forma'!N92)</f>
        <v>1.1499999999999999</v>
      </c>
      <c r="P92" s="1074">
        <f>+IF(MOD(P$2,Assumptions!$O$73)=(Assumptions!$O$73-1),'Phase 2 Pro Forma'!O92*(1+Assumptions!$O$72),'Phase 2 Pro Forma'!O92)</f>
        <v>1.1499999999999999</v>
      </c>
      <c r="Q92" s="1074">
        <f>+IF(MOD(Q$2,Assumptions!$O$73)=(Assumptions!$O$73-1),'Phase 2 Pro Forma'!P92*(1+Assumptions!$O$72),'Phase 2 Pro Forma'!P92)</f>
        <v>1.3224999999999998</v>
      </c>
      <c r="R92" s="1074">
        <f>+IF(MOD(R$2,Assumptions!$O$73)=(Assumptions!$O$73-1),'Phase 2 Pro Forma'!Q92*(1+Assumptions!$O$72),'Phase 2 Pro Forma'!Q92)</f>
        <v>1.3224999999999998</v>
      </c>
      <c r="S92" s="1074">
        <f>+IF(MOD(S$2,Assumptions!$O$73)=(Assumptions!$O$73-1),'Phase 2 Pro Forma'!R92*(1+Assumptions!$O$72),'Phase 2 Pro Forma'!R92)</f>
        <v>1.3224999999999998</v>
      </c>
      <c r="T92" s="1074">
        <f>+IF(MOD(T$2,Assumptions!$O$73)=(Assumptions!$O$73-1),'Phase 2 Pro Forma'!S92*(1+Assumptions!$O$72),'Phase 2 Pro Forma'!S92)</f>
        <v>1.3224999999999998</v>
      </c>
      <c r="U92" s="1074">
        <f>+IF(MOD(U$2,Assumptions!$O$73)=(Assumptions!$O$73-1),'Phase 2 Pro Forma'!T92*(1+Assumptions!$O$72),'Phase 2 Pro Forma'!T92)</f>
        <v>1.3224999999999998</v>
      </c>
      <c r="V92" s="1074">
        <f>+IF(MOD(V$2,Assumptions!$O$73)=(Assumptions!$O$73-1),'Phase 2 Pro Forma'!U92*(1+Assumptions!$O$72),'Phase 2 Pro Forma'!U92)</f>
        <v>1.5208749999999995</v>
      </c>
      <c r="W92" s="1074">
        <f>+IF(MOD(W$2,Assumptions!$O$73)=(Assumptions!$O$73-1),'Phase 2 Pro Forma'!V92*(1+Assumptions!$O$72),'Phase 2 Pro Forma'!V92)</f>
        <v>1.5208749999999995</v>
      </c>
      <c r="X92" s="1074">
        <f>+IF(MOD(X$2,Assumptions!$O$73)=(Assumptions!$O$73-1),'Phase 2 Pro Forma'!W92*(1+Assumptions!$O$72),'Phase 2 Pro Forma'!W92)</f>
        <v>1.5208749999999995</v>
      </c>
      <c r="Y92" s="1074">
        <f>+IF(MOD(Y$2,Assumptions!$O$73)=(Assumptions!$O$73-1),'Phase 2 Pro Forma'!X92*(1+Assumptions!$O$72),'Phase 2 Pro Forma'!X92)</f>
        <v>1.5208749999999995</v>
      </c>
      <c r="Z92" s="1074">
        <f>+IF(MOD(Z$2,Assumptions!$O$73)=(Assumptions!$O$73-1),'Phase 2 Pro Forma'!Y92*(1+Assumptions!$O$72),'Phase 2 Pro Forma'!Y92)</f>
        <v>1.5208749999999995</v>
      </c>
      <c r="AA92" s="699"/>
      <c r="AB92" s="699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718" t="s">
        <v>1135</v>
      </c>
      <c r="AT92" s="718"/>
      <c r="AU92" s="718"/>
      <c r="AV92" s="718"/>
      <c r="AW92" s="948">
        <f ca="1">+AW86-AW90</f>
        <v>0</v>
      </c>
      <c r="AX92" s="948">
        <f t="shared" ref="AX92:BQ92" ca="1" si="50">+AX86-AX90</f>
        <v>0</v>
      </c>
      <c r="AY92" s="948">
        <f t="shared" ca="1" si="50"/>
        <v>0</v>
      </c>
      <c r="AZ92" s="948">
        <f t="shared" ca="1" si="50"/>
        <v>0</v>
      </c>
      <c r="BA92" s="948">
        <f t="shared" ca="1" si="50"/>
        <v>0</v>
      </c>
      <c r="BB92" s="948">
        <f t="shared" ca="1" si="50"/>
        <v>0</v>
      </c>
      <c r="BC92" s="948">
        <f t="shared" ca="1" si="50"/>
        <v>0</v>
      </c>
      <c r="BD92" s="948">
        <f t="shared" ca="1" si="50"/>
        <v>0</v>
      </c>
      <c r="BE92" s="948">
        <f t="shared" ca="1" si="50"/>
        <v>0</v>
      </c>
      <c r="BF92" s="948">
        <f t="shared" ca="1" si="50"/>
        <v>0</v>
      </c>
      <c r="BG92" s="948">
        <f t="shared" ca="1" si="50"/>
        <v>0</v>
      </c>
      <c r="BH92" s="948">
        <f t="shared" ca="1" si="50"/>
        <v>0</v>
      </c>
      <c r="BI92" s="948">
        <f t="shared" ca="1" si="50"/>
        <v>0</v>
      </c>
      <c r="BJ92" s="948">
        <f t="shared" ca="1" si="50"/>
        <v>0</v>
      </c>
      <c r="BK92" s="948">
        <f t="shared" ca="1" si="50"/>
        <v>0</v>
      </c>
      <c r="BL92" s="948">
        <f t="shared" ca="1" si="50"/>
        <v>0</v>
      </c>
      <c r="BM92" s="948">
        <f t="shared" ca="1" si="50"/>
        <v>0</v>
      </c>
      <c r="BN92" s="948">
        <f t="shared" ca="1" si="50"/>
        <v>0</v>
      </c>
      <c r="BO92" s="948">
        <f t="shared" ca="1" si="50"/>
        <v>0</v>
      </c>
      <c r="BP92" s="948">
        <f t="shared" ca="1" si="50"/>
        <v>0</v>
      </c>
      <c r="BQ92" s="948">
        <f t="shared" ca="1" si="50"/>
        <v>0</v>
      </c>
      <c r="BR92" s="151"/>
      <c r="BS92" s="151"/>
      <c r="BT92" s="151"/>
      <c r="BU92" s="151"/>
      <c r="BV92" s="151"/>
      <c r="BW92" s="151"/>
      <c r="BX92" s="151"/>
    </row>
    <row r="93" spans="2:76">
      <c r="B93" s="699" t="s">
        <v>1127</v>
      </c>
      <c r="C93" s="699"/>
      <c r="D93" s="699"/>
      <c r="E93" s="699"/>
      <c r="F93" s="1074">
        <v>1</v>
      </c>
      <c r="G93" s="1074">
        <f>+F93*(1+Assumptions!$O$83)</f>
        <v>1.03</v>
      </c>
      <c r="H93" s="1074">
        <f>+G93*(1+Assumptions!$O$83)</f>
        <v>1.0609</v>
      </c>
      <c r="I93" s="1074">
        <f>+H93*(1+Assumptions!$O$83)</f>
        <v>1.092727</v>
      </c>
      <c r="J93" s="1074">
        <f>+I93*(1+Assumptions!$O$83)</f>
        <v>1.1255088100000001</v>
      </c>
      <c r="K93" s="1074">
        <f>+J93*(1+Assumptions!$O$83)</f>
        <v>1.1592740743000001</v>
      </c>
      <c r="L93" s="1074">
        <f>+K93*(1+Assumptions!$O$83)</f>
        <v>1.1940522965290001</v>
      </c>
      <c r="M93" s="1074">
        <f>+L93*(1+Assumptions!$O$83)</f>
        <v>1.2298738654248702</v>
      </c>
      <c r="N93" s="1074">
        <f>+M93*(1+Assumptions!$O$83)</f>
        <v>1.2667700813876164</v>
      </c>
      <c r="O93" s="1074">
        <f>+N93*(1+Assumptions!$O$83)</f>
        <v>1.3047731838292449</v>
      </c>
      <c r="P93" s="1074">
        <f>+O93*(1+Assumptions!$O$83)</f>
        <v>1.3439163793441222</v>
      </c>
      <c r="Q93" s="1074">
        <f>+P93*(1+Assumptions!$O$83)</f>
        <v>1.3842338707244459</v>
      </c>
      <c r="R93" s="1074">
        <f>+Q93*(1+Assumptions!$O$83)</f>
        <v>1.4257608868461793</v>
      </c>
      <c r="S93" s="1074">
        <f>+R93*(1+Assumptions!$O$83)</f>
        <v>1.4685337134515648</v>
      </c>
      <c r="T93" s="1074">
        <f>+S93*(1+Assumptions!$O$83)</f>
        <v>1.5125897248551119</v>
      </c>
      <c r="U93" s="1074">
        <f>+T93*(1+Assumptions!$O$83)</f>
        <v>1.5579674166007653</v>
      </c>
      <c r="V93" s="1074">
        <f>+U93*(1+Assumptions!$O$83)</f>
        <v>1.6047064390987884</v>
      </c>
      <c r="W93" s="1074">
        <f>+V93*(1+Assumptions!$O$83)</f>
        <v>1.652847632271752</v>
      </c>
      <c r="X93" s="1074">
        <f>+W93*(1+Assumptions!$O$83)</f>
        <v>1.7024330612399046</v>
      </c>
      <c r="Y93" s="1074">
        <f>+X93*(1+Assumptions!$O$83)</f>
        <v>1.7535060530771018</v>
      </c>
      <c r="Z93" s="1074">
        <f>+Y93*(1+Assumptions!$O$83)</f>
        <v>1.806111234669415</v>
      </c>
      <c r="AA93" s="699"/>
      <c r="AB93" s="699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826" t="s">
        <v>1136</v>
      </c>
      <c r="AT93" s="826"/>
      <c r="AU93" s="826"/>
      <c r="AV93" s="826"/>
      <c r="AW93" s="973" t="str">
        <f ca="1">+IFERROR(AW92/AW86,"")</f>
        <v/>
      </c>
      <c r="AX93" s="973" t="str">
        <f t="shared" ref="AX93:BQ93" ca="1" si="51">+IFERROR(AX92/AX86,"")</f>
        <v/>
      </c>
      <c r="AY93" s="973" t="str">
        <f t="shared" ca="1" si="51"/>
        <v/>
      </c>
      <c r="AZ93" s="973" t="str">
        <f t="shared" ca="1" si="51"/>
        <v/>
      </c>
      <c r="BA93" s="973" t="str">
        <f t="shared" ca="1" si="51"/>
        <v/>
      </c>
      <c r="BB93" s="973" t="str">
        <f t="shared" ca="1" si="51"/>
        <v/>
      </c>
      <c r="BC93" s="973" t="str">
        <f t="shared" ca="1" si="51"/>
        <v/>
      </c>
      <c r="BD93" s="973" t="str">
        <f t="shared" ca="1" si="51"/>
        <v/>
      </c>
      <c r="BE93" s="973" t="str">
        <f t="shared" ca="1" si="51"/>
        <v/>
      </c>
      <c r="BF93" s="973" t="str">
        <f t="shared" ca="1" si="51"/>
        <v/>
      </c>
      <c r="BG93" s="973" t="str">
        <f t="shared" ca="1" si="51"/>
        <v/>
      </c>
      <c r="BH93" s="973" t="str">
        <f t="shared" ca="1" si="51"/>
        <v/>
      </c>
      <c r="BI93" s="973" t="str">
        <f t="shared" ca="1" si="51"/>
        <v/>
      </c>
      <c r="BJ93" s="973" t="str">
        <f t="shared" ca="1" si="51"/>
        <v/>
      </c>
      <c r="BK93" s="973" t="str">
        <f t="shared" ca="1" si="51"/>
        <v/>
      </c>
      <c r="BL93" s="973" t="str">
        <f t="shared" ca="1" si="51"/>
        <v/>
      </c>
      <c r="BM93" s="973" t="str">
        <f t="shared" ca="1" si="51"/>
        <v/>
      </c>
      <c r="BN93" s="973" t="str">
        <f t="shared" ca="1" si="51"/>
        <v/>
      </c>
      <c r="BO93" s="973" t="str">
        <f t="shared" ca="1" si="51"/>
        <v/>
      </c>
      <c r="BP93" s="973" t="str">
        <f t="shared" ca="1" si="51"/>
        <v/>
      </c>
      <c r="BQ93" s="973" t="str">
        <f t="shared" ca="1" si="51"/>
        <v/>
      </c>
      <c r="BR93" s="151"/>
      <c r="BS93" s="151"/>
      <c r="BT93" s="151"/>
      <c r="BU93" s="151"/>
      <c r="BV93" s="151"/>
      <c r="BW93" s="151"/>
      <c r="BX93" s="151"/>
    </row>
    <row r="94" spans="2:76">
      <c r="B94" s="699"/>
      <c r="C94" s="699"/>
      <c r="D94" s="699"/>
      <c r="E94" s="699"/>
      <c r="F94" s="699"/>
      <c r="G94" s="699"/>
      <c r="H94" s="699"/>
      <c r="I94" s="699"/>
      <c r="J94" s="699"/>
      <c r="K94" s="699"/>
      <c r="L94" s="699"/>
      <c r="M94" s="699"/>
      <c r="N94" s="699"/>
      <c r="O94" s="699"/>
      <c r="P94" s="699"/>
      <c r="Q94" s="699"/>
      <c r="R94" s="699"/>
      <c r="S94" s="699"/>
      <c r="T94" s="699"/>
      <c r="U94" s="699"/>
      <c r="V94" s="699"/>
      <c r="W94" s="699"/>
      <c r="X94" s="699"/>
      <c r="Y94" s="699"/>
      <c r="Z94" s="699"/>
      <c r="AA94" s="699"/>
      <c r="AB94" s="699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826" t="s">
        <v>1064</v>
      </c>
      <c r="AT94" s="826"/>
      <c r="AU94" s="826"/>
      <c r="AV94" s="826"/>
      <c r="AW94" s="974">
        <f ca="1">+AW92/Assumptions!$AF$33</f>
        <v>0</v>
      </c>
      <c r="AX94" s="974">
        <f ca="1">+AX92/Assumptions!$AF$33</f>
        <v>0</v>
      </c>
      <c r="AY94" s="974">
        <f ca="1">+AY92/Assumptions!$AF$33</f>
        <v>0</v>
      </c>
      <c r="AZ94" s="974">
        <f ca="1">+AZ92/Assumptions!$AF$33</f>
        <v>0</v>
      </c>
      <c r="BA94" s="974">
        <f ca="1">+BA92/Assumptions!$AF$33</f>
        <v>0</v>
      </c>
      <c r="BB94" s="974">
        <f ca="1">+BB92/Assumptions!$AF$33</f>
        <v>0</v>
      </c>
      <c r="BC94" s="974">
        <f ca="1">+BC92/Assumptions!$AF$33</f>
        <v>0</v>
      </c>
      <c r="BD94" s="974">
        <f ca="1">+BD92/Assumptions!$AF$33</f>
        <v>0</v>
      </c>
      <c r="BE94" s="974">
        <f ca="1">+BE92/Assumptions!$AF$33</f>
        <v>0</v>
      </c>
      <c r="BF94" s="974">
        <f ca="1">+BF92/Assumptions!$AF$33</f>
        <v>0</v>
      </c>
      <c r="BG94" s="974">
        <f ca="1">+BG92/Assumptions!$AF$33</f>
        <v>0</v>
      </c>
      <c r="BH94" s="974">
        <f ca="1">+BH92/Assumptions!$AF$33</f>
        <v>0</v>
      </c>
      <c r="BI94" s="974">
        <f ca="1">+BI92/Assumptions!$AF$33</f>
        <v>0</v>
      </c>
      <c r="BJ94" s="974">
        <f ca="1">+BJ92/Assumptions!$AF$33</f>
        <v>0</v>
      </c>
      <c r="BK94" s="974">
        <f ca="1">+BK92/Assumptions!$AF$33</f>
        <v>0</v>
      </c>
      <c r="BL94" s="974">
        <f ca="1">+BL92/Assumptions!$AF$33</f>
        <v>0</v>
      </c>
      <c r="BM94" s="974">
        <f ca="1">+BM92/Assumptions!$AF$33</f>
        <v>0</v>
      </c>
      <c r="BN94" s="974">
        <f ca="1">+BN92/Assumptions!$AF$33</f>
        <v>0</v>
      </c>
      <c r="BO94" s="974">
        <f ca="1">+BO92/Assumptions!$AF$33</f>
        <v>0</v>
      </c>
      <c r="BP94" s="974">
        <f ca="1">+BP92/Assumptions!$AF$33</f>
        <v>0</v>
      </c>
      <c r="BQ94" s="974">
        <f ca="1">+BQ92/Assumptions!$AF$33</f>
        <v>0</v>
      </c>
      <c r="BR94" s="151"/>
      <c r="BS94" s="151"/>
      <c r="BT94" s="151"/>
      <c r="BU94" s="151"/>
      <c r="BV94" s="151"/>
      <c r="BW94" s="151"/>
      <c r="BX94" s="151"/>
    </row>
    <row r="95" spans="2:76" ht="15.75">
      <c r="B95" s="699" t="s">
        <v>1128</v>
      </c>
      <c r="C95" s="699"/>
      <c r="D95" s="699"/>
      <c r="E95" s="699"/>
      <c r="F95" s="1028">
        <f>+F90*Assumptions!$G$123*F92</f>
        <v>0</v>
      </c>
      <c r="G95" s="1028">
        <f>+G90*Assumptions!$G$123*G92</f>
        <v>0</v>
      </c>
      <c r="H95" s="1028">
        <f>+H90*Assumptions!$G$123*H92</f>
        <v>0</v>
      </c>
      <c r="I95" s="1028">
        <f>+I90*Assumptions!$G$123*I92</f>
        <v>1787131.0309361743</v>
      </c>
      <c r="J95" s="1028">
        <f>+J90*Assumptions!$G$123*J92</f>
        <v>3574262.0618723487</v>
      </c>
      <c r="K95" s="1028">
        <f>+K90*Assumptions!$G$123*K92</f>
        <v>3574262.0618723487</v>
      </c>
      <c r="L95" s="1028">
        <f>+L90*Assumptions!$G$123*L92</f>
        <v>4110401.3711532005</v>
      </c>
      <c r="M95" s="1028">
        <f>+M90*Assumptions!$G$123*M92</f>
        <v>4110401.3711532005</v>
      </c>
      <c r="N95" s="1028">
        <f>+N90*Assumptions!$G$123*N92</f>
        <v>4110401.3711532005</v>
      </c>
      <c r="O95" s="1028">
        <f>+O90*Assumptions!$G$123*O92</f>
        <v>4110401.3711532005</v>
      </c>
      <c r="P95" s="1028">
        <f>+P90*Assumptions!$G$123*P92</f>
        <v>4110401.3711532005</v>
      </c>
      <c r="Q95" s="1028">
        <f>+Q90*Assumptions!$G$123*Q92</f>
        <v>4726961.5768261803</v>
      </c>
      <c r="R95" s="1028">
        <f>+R90*Assumptions!$G$123*R92</f>
        <v>4726961.5768261803</v>
      </c>
      <c r="S95" s="1028">
        <f>+S90*Assumptions!$G$123*S92</f>
        <v>4726961.5768261803</v>
      </c>
      <c r="T95" s="1028">
        <f>+T90*Assumptions!$G$123*T92</f>
        <v>4726961.5768261803</v>
      </c>
      <c r="U95" s="1028">
        <f>+U90*Assumptions!$G$123*U92</f>
        <v>4726961.5768261803</v>
      </c>
      <c r="V95" s="1028">
        <f>+V90*Assumptions!$G$123*V92</f>
        <v>5436005.8133501066</v>
      </c>
      <c r="W95" s="1028">
        <f>+W90*Assumptions!$G$123*W92</f>
        <v>5436005.8133501066</v>
      </c>
      <c r="X95" s="1028">
        <f>+X90*Assumptions!$G$123*X92</f>
        <v>5436005.8133501066</v>
      </c>
      <c r="Y95" s="1028">
        <f>+Y90*Assumptions!$G$123*Y92</f>
        <v>5436005.8133501066</v>
      </c>
      <c r="Z95" s="1028">
        <f>+Z90*Assumptions!$G$123*Z92</f>
        <v>5436005.8133501066</v>
      </c>
      <c r="AA95" s="699"/>
      <c r="AB95" s="699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718"/>
      <c r="AT95" s="151"/>
      <c r="AU95" s="151"/>
      <c r="AV95" s="151"/>
      <c r="AW95" s="971"/>
      <c r="AX95" s="971"/>
      <c r="AY95" s="971"/>
      <c r="AZ95" s="971"/>
      <c r="BA95" s="971"/>
      <c r="BB95" s="971"/>
      <c r="BC95" s="971"/>
      <c r="BD95" s="971"/>
      <c r="BE95" s="971"/>
      <c r="BF95" s="971"/>
      <c r="BG95" s="971"/>
      <c r="BH95" s="971"/>
      <c r="BI95" s="971"/>
      <c r="BJ95" s="971"/>
      <c r="BK95" s="971"/>
      <c r="BL95" s="971"/>
      <c r="BM95" s="971"/>
      <c r="BN95" s="971"/>
      <c r="BO95" s="971"/>
      <c r="BP95" s="971"/>
      <c r="BQ95" s="971"/>
      <c r="BR95" s="151"/>
      <c r="BS95" s="151"/>
      <c r="BT95" s="151"/>
      <c r="BU95" s="151"/>
      <c r="BV95" s="151"/>
      <c r="BW95" s="151"/>
      <c r="BX95" s="151"/>
    </row>
    <row r="96" spans="2:76" ht="15.75">
      <c r="B96" s="699" t="s">
        <v>1130</v>
      </c>
      <c r="C96" s="699"/>
      <c r="D96" s="699"/>
      <c r="E96" s="699"/>
      <c r="F96" s="1085">
        <f>-F95*Assumptions!$O$63</f>
        <v>0</v>
      </c>
      <c r="G96" s="1085">
        <f>-G95*Assumptions!$O$63</f>
        <v>0</v>
      </c>
      <c r="H96" s="1085">
        <f>-H95*Assumptions!$O$63</f>
        <v>0</v>
      </c>
      <c r="I96" s="1085">
        <f>-I95*Assumptions!$O$63</f>
        <v>-125099.17216553222</v>
      </c>
      <c r="J96" s="1085">
        <f>-J95*Assumptions!$O$63</f>
        <v>-250198.34433106444</v>
      </c>
      <c r="K96" s="1085">
        <f>-K95*Assumptions!$O$63</f>
        <v>-250198.34433106444</v>
      </c>
      <c r="L96" s="1085">
        <f>-L95*Assumptions!$O$63</f>
        <v>-287728.09598072409</v>
      </c>
      <c r="M96" s="1085">
        <f>-M95*Assumptions!$O$63</f>
        <v>-287728.09598072409</v>
      </c>
      <c r="N96" s="1085">
        <f>-N95*Assumptions!$O$63</f>
        <v>-287728.09598072409</v>
      </c>
      <c r="O96" s="1085">
        <f>-O95*Assumptions!$O$63</f>
        <v>-287728.09598072409</v>
      </c>
      <c r="P96" s="1085">
        <f>-P95*Assumptions!$O$63</f>
        <v>-287728.09598072409</v>
      </c>
      <c r="Q96" s="1085">
        <f>-Q95*Assumptions!$O$63</f>
        <v>-330887.31037783268</v>
      </c>
      <c r="R96" s="1085">
        <f>-R95*Assumptions!$O$63</f>
        <v>-330887.31037783268</v>
      </c>
      <c r="S96" s="1085">
        <f>-S95*Assumptions!$O$63</f>
        <v>-330887.31037783268</v>
      </c>
      <c r="T96" s="1085">
        <f>-T95*Assumptions!$O$63</f>
        <v>-330887.31037783268</v>
      </c>
      <c r="U96" s="1085">
        <f>-U95*Assumptions!$O$63</f>
        <v>-330887.31037783268</v>
      </c>
      <c r="V96" s="1085">
        <f>-V95*Assumptions!$O$63</f>
        <v>-380520.40693450748</v>
      </c>
      <c r="W96" s="1085">
        <f>-W95*Assumptions!$O$63</f>
        <v>-380520.40693450748</v>
      </c>
      <c r="X96" s="1085">
        <f>-X95*Assumptions!$O$63</f>
        <v>-380520.40693450748</v>
      </c>
      <c r="Y96" s="1085">
        <f>-Y95*Assumptions!$O$63</f>
        <v>-380520.40693450748</v>
      </c>
      <c r="Z96" s="1085">
        <f>-Z95*Assumptions!$O$63</f>
        <v>-380520.40693450748</v>
      </c>
      <c r="AA96" s="699"/>
      <c r="AB96" s="699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718" t="s">
        <v>342</v>
      </c>
      <c r="AT96" s="151"/>
      <c r="AU96" s="151"/>
      <c r="AV96" s="151"/>
      <c r="AW96" s="971">
        <f>+Assumptions!$G$27</f>
        <v>46387</v>
      </c>
      <c r="AX96" s="971">
        <f>+EOMONTH(AW96,12)</f>
        <v>46752</v>
      </c>
      <c r="AY96" s="971">
        <f t="shared" ref="AY96:BQ96" si="52">+EOMONTH(AX96,12)</f>
        <v>47118</v>
      </c>
      <c r="AZ96" s="971">
        <f t="shared" si="52"/>
        <v>47483</v>
      </c>
      <c r="BA96" s="971">
        <f t="shared" si="52"/>
        <v>47848</v>
      </c>
      <c r="BB96" s="971">
        <f t="shared" si="52"/>
        <v>48213</v>
      </c>
      <c r="BC96" s="971">
        <f t="shared" si="52"/>
        <v>48579</v>
      </c>
      <c r="BD96" s="971">
        <f t="shared" si="52"/>
        <v>48944</v>
      </c>
      <c r="BE96" s="971">
        <f t="shared" si="52"/>
        <v>49309</v>
      </c>
      <c r="BF96" s="971">
        <f t="shared" si="52"/>
        <v>49674</v>
      </c>
      <c r="BG96" s="971">
        <f t="shared" si="52"/>
        <v>50040</v>
      </c>
      <c r="BH96" s="971">
        <f t="shared" si="52"/>
        <v>50405</v>
      </c>
      <c r="BI96" s="971">
        <f t="shared" si="52"/>
        <v>50770</v>
      </c>
      <c r="BJ96" s="971">
        <f t="shared" si="52"/>
        <v>51135</v>
      </c>
      <c r="BK96" s="971">
        <f t="shared" si="52"/>
        <v>51501</v>
      </c>
      <c r="BL96" s="971">
        <f t="shared" si="52"/>
        <v>51866</v>
      </c>
      <c r="BM96" s="971">
        <f t="shared" si="52"/>
        <v>52231</v>
      </c>
      <c r="BN96" s="971">
        <f t="shared" si="52"/>
        <v>52596</v>
      </c>
      <c r="BO96" s="971">
        <f t="shared" si="52"/>
        <v>52962</v>
      </c>
      <c r="BP96" s="971">
        <f t="shared" si="52"/>
        <v>53327</v>
      </c>
      <c r="BQ96" s="971">
        <f t="shared" si="52"/>
        <v>53692</v>
      </c>
      <c r="BR96" s="151"/>
      <c r="BS96" s="151"/>
      <c r="BT96" s="151"/>
      <c r="BU96" s="151"/>
      <c r="BV96" s="151"/>
      <c r="BW96" s="151"/>
      <c r="BX96" s="151"/>
    </row>
    <row r="97" spans="1:76">
      <c r="A97" s="699"/>
      <c r="B97" s="699" t="s">
        <v>1139</v>
      </c>
      <c r="C97" s="699"/>
      <c r="D97" s="699"/>
      <c r="E97" s="699"/>
      <c r="F97" s="1085">
        <f ca="1">+F102*Assumptions!$O$92</f>
        <v>0</v>
      </c>
      <c r="G97" s="1085">
        <f ca="1">+G102*Assumptions!$O$92</f>
        <v>0</v>
      </c>
      <c r="H97" s="1085">
        <f ca="1">+H102*Assumptions!$O$92</f>
        <v>0</v>
      </c>
      <c r="I97" s="1085">
        <f ca="1">+I102*Assumptions!$O$92</f>
        <v>665857.71691212908</v>
      </c>
      <c r="J97" s="1085">
        <f ca="1">+J102*Assumptions!$O$92</f>
        <v>1371666.8968389858</v>
      </c>
      <c r="K97" s="1085">
        <f ca="1">+K102*Assumptions!$O$92</f>
        <v>1394660.5082111782</v>
      </c>
      <c r="L97" s="1085">
        <f ca="1">+L102*Assumptions!$O$92</f>
        <v>1418343.9279245369</v>
      </c>
      <c r="M97" s="1085">
        <f ca="1">+M102*Assumptions!$O$92</f>
        <v>1460894.245762273</v>
      </c>
      <c r="N97" s="1085">
        <f ca="1">+N102*Assumptions!$O$92</f>
        <v>1486019.985736175</v>
      </c>
      <c r="O97" s="1085">
        <f ca="1">+O102*Assumptions!$O$92</f>
        <v>1511899.4979092942</v>
      </c>
      <c r="P97" s="1085">
        <f ca="1">+P102*Assumptions!$O$92</f>
        <v>1557256.4828465728</v>
      </c>
      <c r="Q97" s="1085">
        <f ca="1">+Q102*Assumptions!$O$92</f>
        <v>1584712.0573110345</v>
      </c>
      <c r="R97" s="1085">
        <f ca="1">+R102*Assumptions!$O$92</f>
        <v>1612991.2990094305</v>
      </c>
      <c r="S97" s="1085">
        <f ca="1">+S102*Assumptions!$O$92</f>
        <v>1661381.0379797134</v>
      </c>
      <c r="T97" s="1085">
        <f ca="1">+T102*Assumptions!$O$92</f>
        <v>1691382.4854975415</v>
      </c>
      <c r="U97" s="1085">
        <f ca="1">+U102*Assumptions!$O$92</f>
        <v>1722283.9764409044</v>
      </c>
      <c r="V97" s="1085">
        <f ca="1">+V102*Assumptions!$O$92</f>
        <v>1773952.4957341317</v>
      </c>
      <c r="W97" s="1085">
        <f ca="1">+W102*Assumptions!$O$92</f>
        <v>1806735.8874759453</v>
      </c>
      <c r="X97" s="1085">
        <f ca="1">+X102*Assumptions!$O$92</f>
        <v>1840502.7809700137</v>
      </c>
      <c r="Y97" s="1085">
        <f ca="1">+Y102*Assumptions!$O$92</f>
        <v>1895717.8643991142</v>
      </c>
      <c r="Z97" s="1085">
        <f ca="1">+Z102*Assumptions!$O$92</f>
        <v>1931541.1617069712</v>
      </c>
      <c r="AA97" s="699"/>
      <c r="AB97" s="699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 t="s">
        <v>1120</v>
      </c>
      <c r="AT97" s="151"/>
      <c r="AU97" s="151"/>
      <c r="AV97" s="687"/>
      <c r="AW97" s="687">
        <f>+IF(AW96=Assumptions!$G$31,Assumptions!$G$255/ROUNDUP((12/12),0),)</f>
        <v>0</v>
      </c>
      <c r="AX97" s="687">
        <f>+IF(AX96=Assumptions!$G$31,Assumptions!$G$255/ROUNDUP((12/12),0),)</f>
        <v>0</v>
      </c>
      <c r="AY97" s="687">
        <f>+IF(AY96=Assumptions!$G$31,Assumptions!$G$255/ROUNDUP((12/12),0),)</f>
        <v>0</v>
      </c>
      <c r="AZ97" s="687">
        <f>+IF(AZ96=Assumptions!$G$31,Assumptions!$G$255/ROUNDUP((12/12),0),)</f>
        <v>0</v>
      </c>
      <c r="BA97" s="687">
        <f>+IF(BA96=Assumptions!$G$31,Assumptions!$G$255/ROUNDUP((12/12),0),)</f>
        <v>0</v>
      </c>
      <c r="BB97" s="687">
        <f>+IF(BB96=Assumptions!$G$31,Assumptions!$G$255/ROUNDUP((12/12),0),)</f>
        <v>0</v>
      </c>
      <c r="BC97" s="687">
        <f>+IF(BC96=Assumptions!$G$31,Assumptions!$G$255/ROUNDUP((12/12),0),)</f>
        <v>0</v>
      </c>
      <c r="BD97" s="687">
        <f>+IF(BD96=Assumptions!$G$31,Assumptions!$G$255/ROUNDUP((12/12),0),)</f>
        <v>0</v>
      </c>
      <c r="BE97" s="687">
        <f>+IF(BE96=Assumptions!$G$31,Assumptions!$G$255/ROUNDUP((12/12),0),)</f>
        <v>0</v>
      </c>
      <c r="BF97" s="687">
        <f>+IF(BF96=Assumptions!$G$31,Assumptions!$G$255/ROUNDUP((12/12),0),)</f>
        <v>0</v>
      </c>
      <c r="BG97" s="687">
        <f>+IF(BG96=Assumptions!$G$31,Assumptions!$G$255/ROUNDUP((12/12),0),)</f>
        <v>0</v>
      </c>
      <c r="BH97" s="687">
        <f>+IF(BH96=Assumptions!$G$31,Assumptions!$G$255/ROUNDUP((12/12),0),)</f>
        <v>0</v>
      </c>
      <c r="BI97" s="687">
        <f>+IF(BI96=Assumptions!$G$31,Assumptions!$G$255/ROUNDUP((12/12),0),)</f>
        <v>0</v>
      </c>
      <c r="BJ97" s="687">
        <f>+IF(BJ96=Assumptions!$G$31,Assumptions!$G$255/ROUNDUP((12/12),0),)</f>
        <v>0</v>
      </c>
      <c r="BK97" s="687">
        <f>+IF(BK96=Assumptions!$G$31,Assumptions!$G$255/ROUNDUP((12/12),0),)</f>
        <v>0</v>
      </c>
      <c r="BL97" s="687">
        <f>+IF(BL96=Assumptions!$G$31,Assumptions!$G$255/ROUNDUP((12/12),0),)</f>
        <v>0</v>
      </c>
      <c r="BM97" s="687">
        <f>+IF(BM96=Assumptions!$G$31,Assumptions!$G$255/ROUNDUP((12/12),0),)</f>
        <v>0</v>
      </c>
      <c r="BN97" s="687">
        <f>+IF(BN96=Assumptions!$G$31,Assumptions!$G$255/ROUNDUP((12/12),0),)</f>
        <v>0</v>
      </c>
      <c r="BO97" s="687">
        <f>+IF(BO96=Assumptions!$G$31,Assumptions!$G$255/ROUNDUP((12/12),0),)</f>
        <v>0</v>
      </c>
      <c r="BP97" s="687">
        <f>+IF(BP96=Assumptions!$G$31,Assumptions!$G$255/ROUNDUP((12/12),0),)</f>
        <v>0</v>
      </c>
      <c r="BQ97" s="687">
        <f>+IF(BQ96=Assumptions!$G$31,Assumptions!$G$255/ROUNDUP((12/12),0),)</f>
        <v>0</v>
      </c>
      <c r="BR97" s="151"/>
      <c r="BS97" s="151"/>
      <c r="BT97" s="151"/>
      <c r="BU97" s="151"/>
      <c r="BV97" s="151"/>
      <c r="BW97" s="151"/>
      <c r="BX97" s="151"/>
    </row>
    <row r="98" spans="1:76">
      <c r="A98" s="699"/>
      <c r="B98" s="52" t="s">
        <v>1131</v>
      </c>
      <c r="C98" s="1052"/>
      <c r="D98" s="1052"/>
      <c r="E98" s="1052"/>
      <c r="F98" s="1086">
        <f ca="1">SUM(F95:F97)</f>
        <v>0</v>
      </c>
      <c r="G98" s="1086">
        <f t="shared" ref="G98:Z98" ca="1" si="53">SUM(G95:G97)</f>
        <v>0</v>
      </c>
      <c r="H98" s="1086">
        <f t="shared" ca="1" si="53"/>
        <v>0</v>
      </c>
      <c r="I98" s="1086">
        <f t="shared" ca="1" si="53"/>
        <v>2327889.5756827714</v>
      </c>
      <c r="J98" s="1086">
        <f t="shared" ca="1" si="53"/>
        <v>4695730.6143802702</v>
      </c>
      <c r="K98" s="1086">
        <f t="shared" ca="1" si="53"/>
        <v>4718724.2257524626</v>
      </c>
      <c r="L98" s="1086">
        <f t="shared" ca="1" si="53"/>
        <v>5241017.2030970138</v>
      </c>
      <c r="M98" s="1086">
        <f t="shared" ca="1" si="53"/>
        <v>5283567.5209347494</v>
      </c>
      <c r="N98" s="1086">
        <f t="shared" ca="1" si="53"/>
        <v>5308693.2609086521</v>
      </c>
      <c r="O98" s="1086">
        <f t="shared" ca="1" si="53"/>
        <v>5334572.7730817711</v>
      </c>
      <c r="P98" s="1086">
        <f t="shared" ca="1" si="53"/>
        <v>5379929.7580190497</v>
      </c>
      <c r="Q98" s="1086">
        <f t="shared" ca="1" si="53"/>
        <v>5980786.3237593826</v>
      </c>
      <c r="R98" s="1086">
        <f t="shared" ca="1" si="53"/>
        <v>6009065.5654577781</v>
      </c>
      <c r="S98" s="1086">
        <f t="shared" ca="1" si="53"/>
        <v>6057455.3044280615</v>
      </c>
      <c r="T98" s="1086">
        <f t="shared" ca="1" si="53"/>
        <v>6087456.7519458896</v>
      </c>
      <c r="U98" s="1086">
        <f t="shared" ca="1" si="53"/>
        <v>6118358.2428892525</v>
      </c>
      <c r="V98" s="1086">
        <f t="shared" ca="1" si="53"/>
        <v>6829437.9021497313</v>
      </c>
      <c r="W98" s="1086">
        <f t="shared" ca="1" si="53"/>
        <v>6862221.2938915445</v>
      </c>
      <c r="X98" s="1086">
        <f t="shared" ca="1" si="53"/>
        <v>6895988.1873856131</v>
      </c>
      <c r="Y98" s="1086">
        <f t="shared" ca="1" si="53"/>
        <v>6951203.2708147131</v>
      </c>
      <c r="Z98" s="1086">
        <f t="shared" ca="1" si="53"/>
        <v>6987026.5681225704</v>
      </c>
      <c r="AA98" s="699"/>
      <c r="AB98" s="699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 t="s">
        <v>1121</v>
      </c>
      <c r="AT98" s="151"/>
      <c r="AU98" s="151"/>
      <c r="AV98" s="687">
        <v>0</v>
      </c>
      <c r="AW98" s="687">
        <f>+AV98+AW97</f>
        <v>0</v>
      </c>
      <c r="AX98" s="687">
        <f t="shared" ref="AX98:BQ98" si="54">+AW98+AX97</f>
        <v>0</v>
      </c>
      <c r="AY98" s="687">
        <f t="shared" si="54"/>
        <v>0</v>
      </c>
      <c r="AZ98" s="687">
        <f t="shared" si="54"/>
        <v>0</v>
      </c>
      <c r="BA98" s="687">
        <f t="shared" si="54"/>
        <v>0</v>
      </c>
      <c r="BB98" s="687">
        <f t="shared" si="54"/>
        <v>0</v>
      </c>
      <c r="BC98" s="687">
        <f t="shared" si="54"/>
        <v>0</v>
      </c>
      <c r="BD98" s="687">
        <f t="shared" si="54"/>
        <v>0</v>
      </c>
      <c r="BE98" s="687">
        <f t="shared" si="54"/>
        <v>0</v>
      </c>
      <c r="BF98" s="687">
        <f t="shared" si="54"/>
        <v>0</v>
      </c>
      <c r="BG98" s="687">
        <f t="shared" si="54"/>
        <v>0</v>
      </c>
      <c r="BH98" s="687">
        <f t="shared" si="54"/>
        <v>0</v>
      </c>
      <c r="BI98" s="687">
        <f t="shared" si="54"/>
        <v>0</v>
      </c>
      <c r="BJ98" s="687">
        <f t="shared" si="54"/>
        <v>0</v>
      </c>
      <c r="BK98" s="687">
        <f t="shared" si="54"/>
        <v>0</v>
      </c>
      <c r="BL98" s="687">
        <f t="shared" si="54"/>
        <v>0</v>
      </c>
      <c r="BM98" s="687">
        <f t="shared" si="54"/>
        <v>0</v>
      </c>
      <c r="BN98" s="687">
        <f t="shared" si="54"/>
        <v>0</v>
      </c>
      <c r="BO98" s="687">
        <f t="shared" si="54"/>
        <v>0</v>
      </c>
      <c r="BP98" s="687">
        <f t="shared" si="54"/>
        <v>0</v>
      </c>
      <c r="BQ98" s="687">
        <f t="shared" si="54"/>
        <v>0</v>
      </c>
      <c r="BR98" s="151"/>
      <c r="BS98" s="151"/>
      <c r="BT98" s="151"/>
      <c r="BU98" s="151"/>
      <c r="BV98" s="151"/>
      <c r="BW98" s="151"/>
      <c r="BX98" s="151"/>
    </row>
    <row r="99" spans="1:76">
      <c r="A99" s="699" t="s">
        <v>881</v>
      </c>
      <c r="B99" s="49"/>
      <c r="C99" s="699"/>
      <c r="D99" s="699"/>
      <c r="E99" s="699"/>
      <c r="F99" s="699"/>
      <c r="G99" s="699"/>
      <c r="H99" s="699"/>
      <c r="I99" s="699"/>
      <c r="J99" s="699"/>
      <c r="K99" s="699"/>
      <c r="L99" s="699"/>
      <c r="M99" s="699"/>
      <c r="N99" s="699"/>
      <c r="O99" s="699"/>
      <c r="P99" s="699"/>
      <c r="Q99" s="699"/>
      <c r="R99" s="699"/>
      <c r="S99" s="699"/>
      <c r="T99" s="699"/>
      <c r="U99" s="699"/>
      <c r="V99" s="699"/>
      <c r="W99" s="699"/>
      <c r="X99" s="699"/>
      <c r="Y99" s="699"/>
      <c r="Z99" s="699"/>
      <c r="AA99" s="699"/>
      <c r="AB99" s="699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 t="s">
        <v>1123</v>
      </c>
      <c r="AT99" s="151"/>
      <c r="AU99" s="151"/>
      <c r="AV99" s="151"/>
      <c r="AW99" s="975">
        <f>+AW100-AV100</f>
        <v>0</v>
      </c>
      <c r="AX99" s="975">
        <f t="shared" ref="AX99:BQ99" si="55">+AX100-AW100</f>
        <v>0</v>
      </c>
      <c r="AY99" s="975">
        <f t="shared" si="55"/>
        <v>0</v>
      </c>
      <c r="AZ99" s="975">
        <f t="shared" si="55"/>
        <v>0</v>
      </c>
      <c r="BA99" s="975">
        <f t="shared" si="55"/>
        <v>0</v>
      </c>
      <c r="BB99" s="975">
        <f t="shared" si="55"/>
        <v>0</v>
      </c>
      <c r="BC99" s="975">
        <f t="shared" si="55"/>
        <v>0</v>
      </c>
      <c r="BD99" s="975">
        <f t="shared" si="55"/>
        <v>0</v>
      </c>
      <c r="BE99" s="975">
        <f t="shared" si="55"/>
        <v>0</v>
      </c>
      <c r="BF99" s="975">
        <f t="shared" si="55"/>
        <v>0</v>
      </c>
      <c r="BG99" s="975">
        <f t="shared" si="55"/>
        <v>0</v>
      </c>
      <c r="BH99" s="975">
        <f t="shared" si="55"/>
        <v>0</v>
      </c>
      <c r="BI99" s="975">
        <f t="shared" si="55"/>
        <v>0</v>
      </c>
      <c r="BJ99" s="975">
        <f t="shared" si="55"/>
        <v>0</v>
      </c>
      <c r="BK99" s="975">
        <f t="shared" si="55"/>
        <v>0</v>
      </c>
      <c r="BL99" s="975">
        <f t="shared" si="55"/>
        <v>0</v>
      </c>
      <c r="BM99" s="975">
        <f t="shared" si="55"/>
        <v>0</v>
      </c>
      <c r="BN99" s="975">
        <f t="shared" si="55"/>
        <v>0</v>
      </c>
      <c r="BO99" s="975">
        <f t="shared" si="55"/>
        <v>0</v>
      </c>
      <c r="BP99" s="975">
        <f t="shared" si="55"/>
        <v>0</v>
      </c>
      <c r="BQ99" s="975">
        <f t="shared" si="55"/>
        <v>0</v>
      </c>
      <c r="BR99" s="151"/>
      <c r="BS99" s="151"/>
      <c r="BT99" s="151"/>
      <c r="BU99" s="151"/>
      <c r="BV99" s="151"/>
      <c r="BW99" s="151"/>
      <c r="BX99" s="151"/>
    </row>
    <row r="100" spans="1:76">
      <c r="A100" s="699"/>
      <c r="B100" s="699" t="s">
        <v>1132</v>
      </c>
      <c r="C100" s="699"/>
      <c r="D100" s="699"/>
      <c r="E100" s="699"/>
      <c r="F100" s="1087">
        <f>+F89*Assumptions!$O$105*F93</f>
        <v>0</v>
      </c>
      <c r="G100" s="1087">
        <f>+G89*Assumptions!$O$105*G93</f>
        <v>0</v>
      </c>
      <c r="H100" s="1087">
        <f>+H89*Assumptions!$O$105*H93</f>
        <v>0</v>
      </c>
      <c r="I100" s="1087">
        <f>+I89*Assumptions!$O$105*I93</f>
        <v>413405.45437239448</v>
      </c>
      <c r="J100" s="1087">
        <f>+J89*Assumptions!$O$105*J93</f>
        <v>851615.23600713268</v>
      </c>
      <c r="K100" s="1087">
        <f>+K89*Assumptions!$O$105*K93</f>
        <v>877163.69308734662</v>
      </c>
      <c r="L100" s="1087">
        <f>+L89*Assumptions!$O$105*L93</f>
        <v>903478.60387996712</v>
      </c>
      <c r="M100" s="1087">
        <f>+M89*Assumptions!$O$105*M93</f>
        <v>930582.96199636615</v>
      </c>
      <c r="N100" s="1087">
        <f>+N89*Assumptions!$O$105*N93</f>
        <v>958500.45085625723</v>
      </c>
      <c r="O100" s="1087">
        <f>+O89*Assumptions!$O$105*O93</f>
        <v>987255.46438194497</v>
      </c>
      <c r="P100" s="1087">
        <f>+P89*Assumptions!$O$105*P93</f>
        <v>1016873.1283134032</v>
      </c>
      <c r="Q100" s="1087">
        <f>+Q89*Assumptions!$O$105*Q93</f>
        <v>1047379.3221628054</v>
      </c>
      <c r="R100" s="1087">
        <f>+R89*Assumptions!$O$105*R93</f>
        <v>1078800.7018276895</v>
      </c>
      <c r="S100" s="1087">
        <f>+S89*Assumptions!$O$105*S93</f>
        <v>1111164.7228825204</v>
      </c>
      <c r="T100" s="1087">
        <f>+T89*Assumptions!$O$105*T93</f>
        <v>1144499.6645689961</v>
      </c>
      <c r="U100" s="1087">
        <f>+U89*Assumptions!$O$105*U93</f>
        <v>1178834.6545060659</v>
      </c>
      <c r="V100" s="1087">
        <f>+V89*Assumptions!$O$105*V93</f>
        <v>1214199.694141248</v>
      </c>
      <c r="W100" s="1087">
        <f>+W89*Assumptions!$O$105*W93</f>
        <v>1250625.6849654855</v>
      </c>
      <c r="X100" s="1087">
        <f>+X89*Assumptions!$O$105*X93</f>
        <v>1288144.4555144501</v>
      </c>
      <c r="Y100" s="1087">
        <f>+Y89*Assumptions!$O$105*Y93</f>
        <v>1326788.7891798837</v>
      </c>
      <c r="Z100" s="1087">
        <f>+Z89*Assumptions!$O$105*Z93</f>
        <v>1366592.4528552804</v>
      </c>
      <c r="AA100" s="699"/>
      <c r="AB100" s="699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 t="s">
        <v>1124</v>
      </c>
      <c r="AT100" s="151"/>
      <c r="AU100" s="151"/>
      <c r="AV100" s="151"/>
      <c r="AW100" s="975">
        <f>+AW101*Assumptions!$G$256</f>
        <v>0</v>
      </c>
      <c r="AX100" s="975">
        <f>+AX101*Assumptions!$G$256</f>
        <v>0</v>
      </c>
      <c r="AY100" s="975">
        <f>+AY101*Assumptions!$G$256</f>
        <v>0</v>
      </c>
      <c r="AZ100" s="975">
        <f>+AZ101*Assumptions!$G$256</f>
        <v>0</v>
      </c>
      <c r="BA100" s="975">
        <f>+BA101*Assumptions!$G$256</f>
        <v>0</v>
      </c>
      <c r="BB100" s="975">
        <f>+BB101*Assumptions!$G$256</f>
        <v>0</v>
      </c>
      <c r="BC100" s="975">
        <f>+BC101*Assumptions!$G$256</f>
        <v>0</v>
      </c>
      <c r="BD100" s="975">
        <f>+BD101*Assumptions!$G$256</f>
        <v>0</v>
      </c>
      <c r="BE100" s="975">
        <f>+BE101*Assumptions!$G$256</f>
        <v>0</v>
      </c>
      <c r="BF100" s="975">
        <f>+BF101*Assumptions!$G$256</f>
        <v>0</v>
      </c>
      <c r="BG100" s="975">
        <f>+BG101*Assumptions!$G$256</f>
        <v>0</v>
      </c>
      <c r="BH100" s="975">
        <f>+BH101*Assumptions!$G$256</f>
        <v>0</v>
      </c>
      <c r="BI100" s="975">
        <f>+BI101*Assumptions!$G$256</f>
        <v>0</v>
      </c>
      <c r="BJ100" s="975">
        <f>+BJ101*Assumptions!$G$256</f>
        <v>0</v>
      </c>
      <c r="BK100" s="975">
        <f>+BK101*Assumptions!$G$256</f>
        <v>0</v>
      </c>
      <c r="BL100" s="975">
        <f>+BL101*Assumptions!$G$256</f>
        <v>0</v>
      </c>
      <c r="BM100" s="975">
        <f>+BM101*Assumptions!$G$256</f>
        <v>0</v>
      </c>
      <c r="BN100" s="975">
        <f>+BN101*Assumptions!$G$256</f>
        <v>0</v>
      </c>
      <c r="BO100" s="975">
        <f>+BO101*Assumptions!$G$256</f>
        <v>0</v>
      </c>
      <c r="BP100" s="975">
        <f>+BP101*Assumptions!$G$256</f>
        <v>0</v>
      </c>
      <c r="BQ100" s="975">
        <f>+BQ101*Assumptions!$G$256</f>
        <v>0</v>
      </c>
      <c r="BR100" s="151"/>
      <c r="BS100" s="151"/>
      <c r="BT100" s="151"/>
      <c r="BU100" s="151"/>
      <c r="BV100" s="151"/>
      <c r="BW100" s="151"/>
      <c r="BX100" s="151"/>
    </row>
    <row r="101" spans="1:76">
      <c r="A101" s="699"/>
      <c r="B101" s="699" t="s">
        <v>1133</v>
      </c>
      <c r="C101" s="699"/>
      <c r="D101" s="699"/>
      <c r="E101" s="699"/>
      <c r="F101" s="1050">
        <f ca="1">+IFERROR(INDEX('Taxes and TIF'!$AC$11:$AC$45,MATCH('Phase 2 Pro Forma'!F$7,'Taxes and TIF'!$R$11:$R$45,0)),0)*'Loan Sizing'!$K$27*'Phase 2 Pro Forma'!F90</f>
        <v>0</v>
      </c>
      <c r="G101" s="1050">
        <f ca="1">+IFERROR(INDEX('Taxes and TIF'!$AC$11:$AC$45,MATCH('Phase 2 Pro Forma'!G$7,'Taxes and TIF'!$R$11:$R$45,0)),0)*'Loan Sizing'!$K$27*'Phase 2 Pro Forma'!G90</f>
        <v>0</v>
      </c>
      <c r="H101" s="1050">
        <f ca="1">+IFERROR(INDEX('Taxes and TIF'!$AC$11:$AC$45,MATCH('Phase 2 Pro Forma'!H$7,'Taxes and TIF'!$R$11:$R$45,0)),0)*'Loan Sizing'!$K$27*'Phase 2 Pro Forma'!H90</f>
        <v>0</v>
      </c>
      <c r="I101" s="1050">
        <f ca="1">+IFERROR(INDEX('Taxes and TIF'!$AC$11:$AC$45,MATCH('Phase 2 Pro Forma'!I$7,'Taxes and TIF'!$R$11:$R$45,0)),0)*'Loan Sizing'!$K$27*'Phase 2 Pro Forma'!I90</f>
        <v>326436.45330774901</v>
      </c>
      <c r="J101" s="1050">
        <f ca="1">+IFERROR(INDEX('Taxes and TIF'!$AC$11:$AC$45,MATCH('Phase 2 Pro Forma'!J$7,'Taxes and TIF'!$R$11:$R$45,0)),0)*'Loan Sizing'!$K$27*'Phase 2 Pro Forma'!J90</f>
        <v>672459.09381396289</v>
      </c>
      <c r="K101" s="1050">
        <f ca="1">+IFERROR(INDEX('Taxes and TIF'!$AC$11:$AC$45,MATCH('Phase 2 Pro Forma'!K$7,'Taxes and TIF'!$R$11:$R$45,0)),0)*'Loan Sizing'!$K$27*'Phase 2 Pro Forma'!K90</f>
        <v>672459.09381396289</v>
      </c>
      <c r="L101" s="1050">
        <f ca="1">+IFERROR(INDEX('Taxes and TIF'!$AC$11:$AC$45,MATCH('Phase 2 Pro Forma'!L$7,'Taxes and TIF'!$R$11:$R$45,0)),0)*'Loan Sizing'!$K$27*'Phase 2 Pro Forma'!L90</f>
        <v>672459.09381396289</v>
      </c>
      <c r="M101" s="1050">
        <f ca="1">+IFERROR(INDEX('Taxes and TIF'!$AC$11:$AC$45,MATCH('Phase 2 Pro Forma'!M$7,'Taxes and TIF'!$R$11:$R$45,0)),0)*'Loan Sizing'!$K$27*'Phase 2 Pro Forma'!M90</f>
        <v>692632.86662838177</v>
      </c>
      <c r="N101" s="1050">
        <f ca="1">+IFERROR(INDEX('Taxes and TIF'!$AC$11:$AC$45,MATCH('Phase 2 Pro Forma'!N$7,'Taxes and TIF'!$R$11:$R$45,0)),0)*'Loan Sizing'!$K$27*'Phase 2 Pro Forma'!N90</f>
        <v>692632.86662838177</v>
      </c>
      <c r="O101" s="1050">
        <f ca="1">+IFERROR(INDEX('Taxes and TIF'!$AC$11:$AC$45,MATCH('Phase 2 Pro Forma'!O$7,'Taxes and TIF'!$R$11:$R$45,0)),0)*'Loan Sizing'!$K$27*'Phase 2 Pro Forma'!O90</f>
        <v>692632.86662838177</v>
      </c>
      <c r="P101" s="1050">
        <f ca="1">+IFERROR(INDEX('Taxes and TIF'!$AC$11:$AC$45,MATCH('Phase 2 Pro Forma'!P$7,'Taxes and TIF'!$R$11:$R$45,0)),0)*'Loan Sizing'!$K$27*'Phase 2 Pro Forma'!P90</f>
        <v>713411.85262723325</v>
      </c>
      <c r="Q101" s="1050">
        <f ca="1">+IFERROR(INDEX('Taxes and TIF'!$AC$11:$AC$45,MATCH('Phase 2 Pro Forma'!Q$7,'Taxes and TIF'!$R$11:$R$45,0)),0)*'Loan Sizing'!$K$27*'Phase 2 Pro Forma'!Q90</f>
        <v>713411.85262723325</v>
      </c>
      <c r="R101" s="1050">
        <f ca="1">+IFERROR(INDEX('Taxes and TIF'!$AC$11:$AC$45,MATCH('Phase 2 Pro Forma'!R$7,'Taxes and TIF'!$R$11:$R$45,0)),0)*'Loan Sizing'!$K$27*'Phase 2 Pro Forma'!R90</f>
        <v>713411.85262723325</v>
      </c>
      <c r="S101" s="1050">
        <f ca="1">+IFERROR(INDEX('Taxes and TIF'!$AC$11:$AC$45,MATCH('Phase 2 Pro Forma'!S$7,'Taxes and TIF'!$R$11:$R$45,0)),0)*'Loan Sizing'!$K$27*'Phase 2 Pro Forma'!S90</f>
        <v>734814.20820605033</v>
      </c>
      <c r="T101" s="1050">
        <f ca="1">+IFERROR(INDEX('Taxes and TIF'!$AC$11:$AC$45,MATCH('Phase 2 Pro Forma'!T$7,'Taxes and TIF'!$R$11:$R$45,0)),0)*'Loan Sizing'!$K$27*'Phase 2 Pro Forma'!T90</f>
        <v>734814.20820605033</v>
      </c>
      <c r="U101" s="1050">
        <f ca="1">+IFERROR(INDEX('Taxes and TIF'!$AC$11:$AC$45,MATCH('Phase 2 Pro Forma'!U$7,'Taxes and TIF'!$R$11:$R$45,0)),0)*'Loan Sizing'!$K$27*'Phase 2 Pro Forma'!U90</f>
        <v>734814.20820605033</v>
      </c>
      <c r="V101" s="1050">
        <f ca="1">+IFERROR(INDEX('Taxes and TIF'!$AC$11:$AC$45,MATCH('Phase 2 Pro Forma'!V$7,'Taxes and TIF'!$R$11:$R$45,0)),0)*'Loan Sizing'!$K$27*'Phase 2 Pro Forma'!V90</f>
        <v>756858.63445223181</v>
      </c>
      <c r="W101" s="1050">
        <f ca="1">+IFERROR(INDEX('Taxes and TIF'!$AC$11:$AC$45,MATCH('Phase 2 Pro Forma'!W$7,'Taxes and TIF'!$R$11:$R$45,0)),0)*'Loan Sizing'!$K$27*'Phase 2 Pro Forma'!W90</f>
        <v>756858.63445223181</v>
      </c>
      <c r="X101" s="1050">
        <f ca="1">+IFERROR(INDEX('Taxes and TIF'!$AC$11:$AC$45,MATCH('Phase 2 Pro Forma'!X$7,'Taxes and TIF'!$R$11:$R$45,0)),0)*'Loan Sizing'!$K$27*'Phase 2 Pro Forma'!X90</f>
        <v>756858.63445223181</v>
      </c>
      <c r="Y101" s="1050">
        <f ca="1">+IFERROR(INDEX('Taxes and TIF'!$AC$11:$AC$45,MATCH('Phase 2 Pro Forma'!Y$7,'Taxes and TIF'!$R$11:$R$45,0)),0)*'Loan Sizing'!$K$27*'Phase 2 Pro Forma'!Y90</f>
        <v>779564.39348579897</v>
      </c>
      <c r="Z101" s="1050">
        <f ca="1">+IFERROR(INDEX('Taxes and TIF'!$AC$11:$AC$45,MATCH('Phase 2 Pro Forma'!Z$7,'Taxes and TIF'!$R$11:$R$45,0)),0)*'Loan Sizing'!$K$27*'Phase 2 Pro Forma'!Z90</f>
        <v>779564.39348579897</v>
      </c>
      <c r="AA101" s="699"/>
      <c r="AB101" s="699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 t="s">
        <v>1125</v>
      </c>
      <c r="AT101" s="151"/>
      <c r="AU101" s="151"/>
      <c r="AV101" s="151"/>
      <c r="AW101" s="749">
        <f t="shared" ref="AW101:BQ101" si="56">+IFERROR(AW98/SUM($AW97:$BQ97),0)</f>
        <v>0</v>
      </c>
      <c r="AX101" s="749">
        <f t="shared" si="56"/>
        <v>0</v>
      </c>
      <c r="AY101" s="749">
        <f t="shared" si="56"/>
        <v>0</v>
      </c>
      <c r="AZ101" s="749">
        <f t="shared" si="56"/>
        <v>0</v>
      </c>
      <c r="BA101" s="749">
        <f t="shared" si="56"/>
        <v>0</v>
      </c>
      <c r="BB101" s="749">
        <f t="shared" si="56"/>
        <v>0</v>
      </c>
      <c r="BC101" s="749">
        <f t="shared" si="56"/>
        <v>0</v>
      </c>
      <c r="BD101" s="749">
        <f t="shared" si="56"/>
        <v>0</v>
      </c>
      <c r="BE101" s="749">
        <f t="shared" si="56"/>
        <v>0</v>
      </c>
      <c r="BF101" s="749">
        <f t="shared" si="56"/>
        <v>0</v>
      </c>
      <c r="BG101" s="749">
        <f t="shared" si="56"/>
        <v>0</v>
      </c>
      <c r="BH101" s="749">
        <f t="shared" si="56"/>
        <v>0</v>
      </c>
      <c r="BI101" s="749">
        <f t="shared" si="56"/>
        <v>0</v>
      </c>
      <c r="BJ101" s="749">
        <f t="shared" si="56"/>
        <v>0</v>
      </c>
      <c r="BK101" s="749">
        <f t="shared" si="56"/>
        <v>0</v>
      </c>
      <c r="BL101" s="749">
        <f t="shared" si="56"/>
        <v>0</v>
      </c>
      <c r="BM101" s="749">
        <f t="shared" si="56"/>
        <v>0</v>
      </c>
      <c r="BN101" s="749">
        <f t="shared" si="56"/>
        <v>0</v>
      </c>
      <c r="BO101" s="749">
        <f t="shared" si="56"/>
        <v>0</v>
      </c>
      <c r="BP101" s="749">
        <f t="shared" si="56"/>
        <v>0</v>
      </c>
      <c r="BQ101" s="749">
        <f t="shared" si="56"/>
        <v>0</v>
      </c>
      <c r="BR101" s="151"/>
      <c r="BS101" s="151"/>
      <c r="BT101" s="151"/>
      <c r="BU101" s="151"/>
      <c r="BV101" s="151"/>
      <c r="BW101" s="151"/>
      <c r="BX101" s="151"/>
    </row>
    <row r="102" spans="1:76">
      <c r="A102" s="699"/>
      <c r="B102" s="52" t="s">
        <v>1134</v>
      </c>
      <c r="C102" s="1052"/>
      <c r="D102" s="1052"/>
      <c r="E102" s="1052"/>
      <c r="F102" s="1088">
        <f ca="1">+SUM(F100:F101)</f>
        <v>0</v>
      </c>
      <c r="G102" s="1088">
        <f t="shared" ref="G102:Z102" ca="1" si="57">+SUM(G100:G101)</f>
        <v>0</v>
      </c>
      <c r="H102" s="1088">
        <f t="shared" ca="1" si="57"/>
        <v>0</v>
      </c>
      <c r="I102" s="1088">
        <f t="shared" ca="1" si="57"/>
        <v>739841.90768014349</v>
      </c>
      <c r="J102" s="1088">
        <f t="shared" ca="1" si="57"/>
        <v>1524074.3298210956</v>
      </c>
      <c r="K102" s="1088">
        <f t="shared" ca="1" si="57"/>
        <v>1549622.7869013096</v>
      </c>
      <c r="L102" s="1088">
        <f t="shared" ca="1" si="57"/>
        <v>1575937.69769393</v>
      </c>
      <c r="M102" s="1088">
        <f t="shared" ca="1" si="57"/>
        <v>1623215.8286247479</v>
      </c>
      <c r="N102" s="1088">
        <f t="shared" ca="1" si="57"/>
        <v>1651133.3174846391</v>
      </c>
      <c r="O102" s="1088">
        <f t="shared" ca="1" si="57"/>
        <v>1679888.3310103267</v>
      </c>
      <c r="P102" s="1088">
        <f t="shared" ca="1" si="57"/>
        <v>1730284.9809406365</v>
      </c>
      <c r="Q102" s="1088">
        <f t="shared" ca="1" si="57"/>
        <v>1760791.1747900387</v>
      </c>
      <c r="R102" s="1088">
        <f t="shared" ca="1" si="57"/>
        <v>1792212.5544549227</v>
      </c>
      <c r="S102" s="1088">
        <f t="shared" ca="1" si="57"/>
        <v>1845978.9310885707</v>
      </c>
      <c r="T102" s="1088">
        <f t="shared" ca="1" si="57"/>
        <v>1879313.8727750464</v>
      </c>
      <c r="U102" s="1088">
        <f t="shared" ca="1" si="57"/>
        <v>1913648.8627121162</v>
      </c>
      <c r="V102" s="1088">
        <f t="shared" ca="1" si="57"/>
        <v>1971058.3285934799</v>
      </c>
      <c r="W102" s="1088">
        <f t="shared" ca="1" si="57"/>
        <v>2007484.3194177174</v>
      </c>
      <c r="X102" s="1088">
        <f t="shared" ca="1" si="57"/>
        <v>2045003.0899666818</v>
      </c>
      <c r="Y102" s="1088">
        <f t="shared" ca="1" si="57"/>
        <v>2106353.1826656824</v>
      </c>
      <c r="Z102" s="1088">
        <f t="shared" ca="1" si="57"/>
        <v>2146156.8463410791</v>
      </c>
      <c r="AA102" s="699"/>
      <c r="AB102" s="699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</row>
    <row r="103" spans="1:76">
      <c r="A103" s="699"/>
      <c r="B103" s="699"/>
      <c r="C103" s="699"/>
      <c r="D103" s="699"/>
      <c r="E103" s="699"/>
      <c r="F103" s="699"/>
      <c r="G103" s="699"/>
      <c r="H103" s="699"/>
      <c r="I103" s="699"/>
      <c r="J103" s="699"/>
      <c r="K103" s="699"/>
      <c r="L103" s="699"/>
      <c r="M103" s="699"/>
      <c r="N103" s="699"/>
      <c r="O103" s="699"/>
      <c r="P103" s="699"/>
      <c r="Q103" s="699"/>
      <c r="R103" s="699"/>
      <c r="S103" s="699"/>
      <c r="T103" s="699"/>
      <c r="U103" s="699"/>
      <c r="V103" s="699"/>
      <c r="W103" s="699"/>
      <c r="X103" s="699"/>
      <c r="Y103" s="699"/>
      <c r="Z103" s="699"/>
      <c r="AA103" s="699"/>
      <c r="AB103" s="699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 t="s">
        <v>1126</v>
      </c>
      <c r="AT103" s="151"/>
      <c r="AU103" s="151"/>
      <c r="AV103" s="151"/>
      <c r="AW103" s="749">
        <v>1</v>
      </c>
      <c r="AX103" s="749">
        <f>+AW103*(1+Assumptions!$AQ$87)</f>
        <v>1.03</v>
      </c>
      <c r="AY103" s="749">
        <f>+AX103*(1+Assumptions!$AQ$87)</f>
        <v>1.0609</v>
      </c>
      <c r="AZ103" s="749">
        <f>+AY103*(1+Assumptions!$AQ$87)</f>
        <v>1.092727</v>
      </c>
      <c r="BA103" s="749">
        <f>+AZ103*(1+Assumptions!$AQ$87)</f>
        <v>1.1255088100000001</v>
      </c>
      <c r="BB103" s="749">
        <f>+BA103*(1+Assumptions!$AQ$87)</f>
        <v>1.1592740743000001</v>
      </c>
      <c r="BC103" s="749">
        <f>+BB103*(1+Assumptions!$AQ$87)</f>
        <v>1.1940522965290001</v>
      </c>
      <c r="BD103" s="749">
        <f>+BC103*(1+Assumptions!$AQ$87)</f>
        <v>1.2298738654248702</v>
      </c>
      <c r="BE103" s="749">
        <f>+BD103*(1+Assumptions!$AQ$87)</f>
        <v>1.2667700813876164</v>
      </c>
      <c r="BF103" s="749">
        <f>+BE103*(1+Assumptions!$AQ$87)</f>
        <v>1.3047731838292449</v>
      </c>
      <c r="BG103" s="749">
        <f>+BF103*(1+Assumptions!$AQ$87)</f>
        <v>1.3439163793441222</v>
      </c>
      <c r="BH103" s="749">
        <f>+BG103*(1+Assumptions!$AQ$87)</f>
        <v>1.3842338707244459</v>
      </c>
      <c r="BI103" s="749">
        <f>+BH103*(1+Assumptions!$AQ$87)</f>
        <v>1.4257608868461793</v>
      </c>
      <c r="BJ103" s="749">
        <f>+BI103*(1+Assumptions!$AQ$87)</f>
        <v>1.4685337134515648</v>
      </c>
      <c r="BK103" s="749">
        <f>+BJ103*(1+Assumptions!$AQ$87)</f>
        <v>1.5125897248551119</v>
      </c>
      <c r="BL103" s="749">
        <f>+BK103*(1+Assumptions!$AQ$87)</f>
        <v>1.5579674166007653</v>
      </c>
      <c r="BM103" s="749">
        <f>+BL103*(1+Assumptions!$AQ$87)</f>
        <v>1.6047064390987884</v>
      </c>
      <c r="BN103" s="749">
        <f>+BM103*(1+Assumptions!$AQ$87)</f>
        <v>1.652847632271752</v>
      </c>
      <c r="BO103" s="749">
        <f>+BN103*(1+Assumptions!$AQ$87)</f>
        <v>1.7024330612399046</v>
      </c>
      <c r="BP103" s="749">
        <f>+BO103*(1+Assumptions!$AQ$87)</f>
        <v>1.7535060530771018</v>
      </c>
      <c r="BQ103" s="749">
        <f>+BP103*(1+Assumptions!$AQ$87)</f>
        <v>1.806111234669415</v>
      </c>
      <c r="BR103" s="151"/>
      <c r="BS103" s="151"/>
      <c r="BT103" s="151"/>
      <c r="BU103" s="151"/>
      <c r="BV103" s="151"/>
      <c r="BW103" s="151"/>
      <c r="BX103" s="151"/>
    </row>
    <row r="104" spans="1:76" ht="15.75">
      <c r="A104" s="699"/>
      <c r="B104" s="50" t="s">
        <v>1135</v>
      </c>
      <c r="C104" s="50"/>
      <c r="D104" s="50"/>
      <c r="E104" s="50"/>
      <c r="F104" s="55">
        <f ca="1">+F98-F102</f>
        <v>0</v>
      </c>
      <c r="G104" s="55">
        <f t="shared" ref="G104:Z104" ca="1" si="58">+G98-G102</f>
        <v>0</v>
      </c>
      <c r="H104" s="55">
        <f t="shared" ca="1" si="58"/>
        <v>0</v>
      </c>
      <c r="I104" s="55">
        <f t="shared" ca="1" si="58"/>
        <v>1588047.6680026278</v>
      </c>
      <c r="J104" s="55">
        <f t="shared" ca="1" si="58"/>
        <v>3171656.2845591744</v>
      </c>
      <c r="K104" s="55">
        <f t="shared" ca="1" si="58"/>
        <v>3169101.438851153</v>
      </c>
      <c r="L104" s="55">
        <f t="shared" ca="1" si="58"/>
        <v>3665079.5054030837</v>
      </c>
      <c r="M104" s="55">
        <f t="shared" ca="1" si="58"/>
        <v>3660351.6923100017</v>
      </c>
      <c r="N104" s="55">
        <f t="shared" ca="1" si="58"/>
        <v>3657559.943424013</v>
      </c>
      <c r="O104" s="55">
        <f t="shared" ca="1" si="58"/>
        <v>3654684.4420714444</v>
      </c>
      <c r="P104" s="55">
        <f t="shared" ca="1" si="58"/>
        <v>3649644.7770784134</v>
      </c>
      <c r="Q104" s="55">
        <f t="shared" ca="1" si="58"/>
        <v>4219995.1489693439</v>
      </c>
      <c r="R104" s="55">
        <f t="shared" ca="1" si="58"/>
        <v>4216853.0110028554</v>
      </c>
      <c r="S104" s="55">
        <f t="shared" ca="1" si="58"/>
        <v>4211476.373339491</v>
      </c>
      <c r="T104" s="55">
        <f t="shared" ca="1" si="58"/>
        <v>4208142.8791708434</v>
      </c>
      <c r="U104" s="55">
        <f t="shared" ca="1" si="58"/>
        <v>4204709.3801771365</v>
      </c>
      <c r="V104" s="55">
        <f t="shared" ca="1" si="58"/>
        <v>4858379.5735562518</v>
      </c>
      <c r="W104" s="55">
        <f t="shared" ca="1" si="58"/>
        <v>4854736.9744738266</v>
      </c>
      <c r="X104" s="55">
        <f t="shared" ca="1" si="58"/>
        <v>4850985.0974189313</v>
      </c>
      <c r="Y104" s="55">
        <f t="shared" ca="1" si="58"/>
        <v>4844850.0881490307</v>
      </c>
      <c r="Z104" s="55">
        <f t="shared" ca="1" si="58"/>
        <v>4840869.7217814913</v>
      </c>
      <c r="AA104" s="699"/>
      <c r="AB104" s="699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 t="s">
        <v>1127</v>
      </c>
      <c r="AT104" s="151"/>
      <c r="AU104" s="151"/>
      <c r="AV104" s="151"/>
      <c r="AW104" s="749">
        <v>1</v>
      </c>
      <c r="AX104" s="749">
        <f>+AW104*(1+Assumptions!$O$78)</f>
        <v>1</v>
      </c>
      <c r="AY104" s="749">
        <f>+AX104*(1+Assumptions!$AQ$98)</f>
        <v>1.03</v>
      </c>
      <c r="AZ104" s="749">
        <f>+AY104*(1+Assumptions!$AQ$98)</f>
        <v>1.0609</v>
      </c>
      <c r="BA104" s="749">
        <f>+AZ104*(1+Assumptions!$AQ$98)</f>
        <v>1.092727</v>
      </c>
      <c r="BB104" s="749">
        <f>+BA104*(1+Assumptions!$AQ$98)</f>
        <v>1.1255088100000001</v>
      </c>
      <c r="BC104" s="749">
        <f>+BB104*(1+Assumptions!$AQ$98)</f>
        <v>1.1592740743000001</v>
      </c>
      <c r="BD104" s="749">
        <f>+BC104*(1+Assumptions!$AQ$98)</f>
        <v>1.1940522965290001</v>
      </c>
      <c r="BE104" s="749">
        <f>+BD104*(1+Assumptions!$AQ$98)</f>
        <v>1.2298738654248702</v>
      </c>
      <c r="BF104" s="749">
        <f>+BE104*(1+Assumptions!$AQ$98)</f>
        <v>1.2667700813876164</v>
      </c>
      <c r="BG104" s="749">
        <f>+BF104*(1+Assumptions!$AQ$98)</f>
        <v>1.3047731838292449</v>
      </c>
      <c r="BH104" s="749">
        <f>+BG104*(1+Assumptions!$AQ$98)</f>
        <v>1.3439163793441222</v>
      </c>
      <c r="BI104" s="749">
        <f>+BH104*(1+Assumptions!$AQ$98)</f>
        <v>1.3842338707244459</v>
      </c>
      <c r="BJ104" s="749">
        <f>+BI104*(1+Assumptions!$AQ$98)</f>
        <v>1.4257608868461793</v>
      </c>
      <c r="BK104" s="749">
        <f>+BJ104*(1+Assumptions!$AQ$98)</f>
        <v>1.4685337134515648</v>
      </c>
      <c r="BL104" s="749">
        <f>+BK104*(1+Assumptions!$AQ$98)</f>
        <v>1.5125897248551119</v>
      </c>
      <c r="BM104" s="749">
        <f>+BL104*(1+Assumptions!$AQ$98)</f>
        <v>1.5579674166007653</v>
      </c>
      <c r="BN104" s="749">
        <f>+BM104*(1+Assumptions!$AQ$98)</f>
        <v>1.6047064390987884</v>
      </c>
      <c r="BO104" s="749">
        <f>+BN104*(1+Assumptions!$AQ$98)</f>
        <v>1.652847632271752</v>
      </c>
      <c r="BP104" s="749">
        <f>+BO104*(1+Assumptions!$AQ$98)</f>
        <v>1.7024330612399046</v>
      </c>
      <c r="BQ104" s="749">
        <f>+BP104*(1+Assumptions!$AQ$98)</f>
        <v>1.7535060530771018</v>
      </c>
      <c r="BR104" s="151"/>
      <c r="BS104" s="151"/>
      <c r="BT104" s="151"/>
      <c r="BU104" s="151"/>
      <c r="BV104" s="151"/>
      <c r="BW104" s="151"/>
      <c r="BX104" s="151"/>
    </row>
    <row r="105" spans="1:76">
      <c r="A105" s="699"/>
      <c r="B105" s="51" t="s">
        <v>1136</v>
      </c>
      <c r="C105" s="51"/>
      <c r="D105" s="51"/>
      <c r="E105" s="51"/>
      <c r="F105" s="56" t="str">
        <f t="shared" ref="F105:Z105" ca="1" si="59">+IFERROR(F104/F98,"")</f>
        <v/>
      </c>
      <c r="G105" s="56" t="str">
        <f t="shared" ca="1" si="59"/>
        <v/>
      </c>
      <c r="H105" s="56" t="str">
        <f t="shared" ca="1" si="59"/>
        <v/>
      </c>
      <c r="I105" s="56">
        <f t="shared" ca="1" si="59"/>
        <v>0.6821834182305887</v>
      </c>
      <c r="J105" s="56">
        <f t="shared" ca="1" si="59"/>
        <v>0.67543403679211289</v>
      </c>
      <c r="K105" s="56">
        <f t="shared" ca="1" si="59"/>
        <v>0.67160132426382646</v>
      </c>
      <c r="L105" s="56">
        <f t="shared" ca="1" si="59"/>
        <v>0.69930690233898118</v>
      </c>
      <c r="M105" s="56">
        <f t="shared" ca="1" si="59"/>
        <v>0.69278033786959647</v>
      </c>
      <c r="N105" s="56">
        <f t="shared" ca="1" si="59"/>
        <v>0.68897556586231801</v>
      </c>
      <c r="O105" s="56">
        <f t="shared" ca="1" si="59"/>
        <v>0.685094120472583</v>
      </c>
      <c r="P105" s="56">
        <f t="shared" ca="1" si="59"/>
        <v>0.67838149218183352</v>
      </c>
      <c r="Q105" s="56">
        <f t="shared" ca="1" si="59"/>
        <v>0.70559202762434647</v>
      </c>
      <c r="R105" s="56">
        <f t="shared" ca="1" si="59"/>
        <v>0.70174854394047714</v>
      </c>
      <c r="S105" s="56">
        <f t="shared" ca="1" si="59"/>
        <v>0.69525504715831066</v>
      </c>
      <c r="T105" s="56">
        <f t="shared" ca="1" si="59"/>
        <v>0.69128094878467716</v>
      </c>
      <c r="U105" s="56">
        <f t="shared" ca="1" si="59"/>
        <v>0.68722837291586247</v>
      </c>
      <c r="V105" s="56">
        <f t="shared" ca="1" si="59"/>
        <v>0.71138791261678491</v>
      </c>
      <c r="W105" s="56">
        <f t="shared" ca="1" si="59"/>
        <v>0.70745852786696128</v>
      </c>
      <c r="X105" s="56">
        <f t="shared" ca="1" si="59"/>
        <v>0.7034503200415172</v>
      </c>
      <c r="Y105" s="56">
        <f t="shared" ca="1" si="59"/>
        <v>0.69698006221319897</v>
      </c>
      <c r="Z105" s="56">
        <f t="shared" ca="1" si="59"/>
        <v>0.69283688484416972</v>
      </c>
      <c r="AA105" s="699"/>
      <c r="AB105" s="699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</row>
    <row r="106" spans="1:76">
      <c r="A106" s="699"/>
      <c r="B106" s="223"/>
      <c r="C106" s="223"/>
      <c r="D106" s="223"/>
      <c r="E106" s="223"/>
      <c r="F106" s="641"/>
      <c r="G106" s="641"/>
      <c r="H106" s="641"/>
      <c r="I106" s="641"/>
      <c r="J106" s="641"/>
      <c r="K106" s="641"/>
      <c r="L106" s="641"/>
      <c r="M106" s="641"/>
      <c r="N106" s="641"/>
      <c r="O106" s="641"/>
      <c r="P106" s="641"/>
      <c r="Q106" s="641"/>
      <c r="R106" s="641"/>
      <c r="S106" s="641"/>
      <c r="T106" s="641"/>
      <c r="U106" s="641"/>
      <c r="V106" s="641"/>
      <c r="W106" s="641"/>
      <c r="X106" s="641"/>
      <c r="Y106" s="641"/>
      <c r="Z106" s="641"/>
      <c r="AA106" s="699"/>
      <c r="AB106" s="699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 t="s">
        <v>1128</v>
      </c>
      <c r="AT106" s="151"/>
      <c r="AU106" s="151"/>
      <c r="AV106" s="151"/>
      <c r="AW106" s="822">
        <f>+AW101*Assumptions!$G$254*AW103</f>
        <v>0</v>
      </c>
      <c r="AX106" s="822">
        <f>+AX101*Assumptions!$G$254*AX103</f>
        <v>0</v>
      </c>
      <c r="AY106" s="822">
        <f>+AY101*Assumptions!$G$254*AY103</f>
        <v>0</v>
      </c>
      <c r="AZ106" s="822">
        <f>+AZ101*Assumptions!$G$254*AZ103</f>
        <v>0</v>
      </c>
      <c r="BA106" s="822">
        <f>+BA101*Assumptions!$G$254*BA103</f>
        <v>0</v>
      </c>
      <c r="BB106" s="822">
        <f>+BB101*Assumptions!$G$254*BB103</f>
        <v>0</v>
      </c>
      <c r="BC106" s="822">
        <f>+BC101*Assumptions!$G$254*BC103</f>
        <v>0</v>
      </c>
      <c r="BD106" s="822">
        <f>+BD101*Assumptions!$G$254*BD103</f>
        <v>0</v>
      </c>
      <c r="BE106" s="822">
        <f>+BE101*Assumptions!$G$254*BE103</f>
        <v>0</v>
      </c>
      <c r="BF106" s="822">
        <f>+BF101*Assumptions!$G$254*BF103</f>
        <v>0</v>
      </c>
      <c r="BG106" s="822">
        <f>+BG101*Assumptions!$G$254*BG103</f>
        <v>0</v>
      </c>
      <c r="BH106" s="822">
        <f>+BH101*Assumptions!$G$254*BH103</f>
        <v>0</v>
      </c>
      <c r="BI106" s="822">
        <f>+BI101*Assumptions!$G$254*BI103</f>
        <v>0</v>
      </c>
      <c r="BJ106" s="822">
        <f>+BJ101*Assumptions!$G$254*BJ103</f>
        <v>0</v>
      </c>
      <c r="BK106" s="822">
        <f>+BK101*Assumptions!$G$254*BK103</f>
        <v>0</v>
      </c>
      <c r="BL106" s="822">
        <f>+BL101*Assumptions!$G$254*BL103</f>
        <v>0</v>
      </c>
      <c r="BM106" s="822">
        <f>+BM101*Assumptions!$G$254*BM103</f>
        <v>0</v>
      </c>
      <c r="BN106" s="822">
        <f>+BN101*Assumptions!$G$254*BN103</f>
        <v>0</v>
      </c>
      <c r="BO106" s="822">
        <f>+BO101*Assumptions!$G$254*BO103</f>
        <v>0</v>
      </c>
      <c r="BP106" s="822">
        <f>+BP101*Assumptions!$G$254*BP103</f>
        <v>0</v>
      </c>
      <c r="BQ106" s="822">
        <f>+BQ101*Assumptions!$G$254*BQ103</f>
        <v>0</v>
      </c>
      <c r="BR106" s="151"/>
      <c r="BS106" s="151"/>
      <c r="BT106" s="151"/>
      <c r="BU106" s="151"/>
      <c r="BV106" s="151"/>
      <c r="BW106" s="151"/>
      <c r="BX106" s="151"/>
    </row>
    <row r="107" spans="1:76">
      <c r="A107" s="699"/>
      <c r="B107" s="49" t="s">
        <v>1140</v>
      </c>
      <c r="C107" s="223"/>
      <c r="D107" s="223"/>
      <c r="E107" s="223"/>
      <c r="F107" s="642">
        <f>+F88*Assumptions!$O$110</f>
        <v>0</v>
      </c>
      <c r="G107" s="642">
        <f>+G88*Assumptions!$O$110</f>
        <v>0</v>
      </c>
      <c r="H107" s="642">
        <f>+H88*Assumptions!$O$110</f>
        <v>0</v>
      </c>
      <c r="I107" s="642">
        <f>+I88*Assumptions!$O$110</f>
        <v>3321216.9601468728</v>
      </c>
      <c r="J107" s="642">
        <f>+J88*Assumptions!$O$110</f>
        <v>3321216.9601468728</v>
      </c>
      <c r="K107" s="642">
        <f>+K88*Assumptions!$O$110</f>
        <v>0</v>
      </c>
      <c r="L107" s="642">
        <f>+L88*Assumptions!$O$110</f>
        <v>0</v>
      </c>
      <c r="M107" s="642">
        <f>+M88*Assumptions!$O$110</f>
        <v>0</v>
      </c>
      <c r="N107" s="642">
        <f>+N88*Assumptions!$O$110</f>
        <v>0</v>
      </c>
      <c r="O107" s="642">
        <f>+O88*Assumptions!$O$110</f>
        <v>0</v>
      </c>
      <c r="P107" s="642">
        <f>+P88*Assumptions!$O$110</f>
        <v>0</v>
      </c>
      <c r="Q107" s="642">
        <f>+Q88*Assumptions!$O$110</f>
        <v>0</v>
      </c>
      <c r="R107" s="642">
        <f>+R88*Assumptions!$O$110</f>
        <v>0</v>
      </c>
      <c r="S107" s="642">
        <f>+S88*Assumptions!$O$110</f>
        <v>0</v>
      </c>
      <c r="T107" s="642">
        <f>+T88*Assumptions!$O$110</f>
        <v>0</v>
      </c>
      <c r="U107" s="642">
        <f>+U88*Assumptions!$O$110</f>
        <v>0</v>
      </c>
      <c r="V107" s="642">
        <f>+V88*Assumptions!$O$110</f>
        <v>0</v>
      </c>
      <c r="W107" s="642">
        <f>+W88*Assumptions!$O$110</f>
        <v>0</v>
      </c>
      <c r="X107" s="642">
        <f>+X88*Assumptions!$O$110</f>
        <v>0</v>
      </c>
      <c r="Y107" s="642">
        <f>+Y88*Assumptions!$O$110</f>
        <v>0</v>
      </c>
      <c r="Z107" s="642">
        <f>+Z88*Assumptions!$O$110</f>
        <v>0</v>
      </c>
      <c r="AA107" s="699"/>
      <c r="AB107" s="699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 t="s">
        <v>1129</v>
      </c>
      <c r="AT107" s="151"/>
      <c r="AU107" s="151"/>
      <c r="AV107" s="151"/>
      <c r="AW107" s="972">
        <f>-Assumptions!$E$99*'Phase 2 Pro Forma'!AW106</f>
        <v>0</v>
      </c>
      <c r="AX107" s="972">
        <f>-Assumptions!$E$99*'Phase 2 Pro Forma'!AX106</f>
        <v>0</v>
      </c>
      <c r="AY107" s="972">
        <f>-Assumptions!$E$99*'Phase 2 Pro Forma'!AY106</f>
        <v>0</v>
      </c>
      <c r="AZ107" s="972">
        <f>-Assumptions!$E$99*'Phase 2 Pro Forma'!AZ106</f>
        <v>0</v>
      </c>
      <c r="BA107" s="972">
        <f>-Assumptions!$E$99*'Phase 2 Pro Forma'!BA106</f>
        <v>0</v>
      </c>
      <c r="BB107" s="972">
        <f>-Assumptions!$E$99*'Phase 2 Pro Forma'!BB106</f>
        <v>0</v>
      </c>
      <c r="BC107" s="972">
        <f>-Assumptions!$E$99*'Phase 2 Pro Forma'!BC106</f>
        <v>0</v>
      </c>
      <c r="BD107" s="972">
        <f>-Assumptions!$E$99*'Phase 2 Pro Forma'!BD106</f>
        <v>0</v>
      </c>
      <c r="BE107" s="972">
        <f>-Assumptions!$E$99*'Phase 2 Pro Forma'!BE106</f>
        <v>0</v>
      </c>
      <c r="BF107" s="972">
        <f>-Assumptions!$E$99*'Phase 2 Pro Forma'!BF106</f>
        <v>0</v>
      </c>
      <c r="BG107" s="972">
        <f>-Assumptions!$E$99*'Phase 2 Pro Forma'!BG106</f>
        <v>0</v>
      </c>
      <c r="BH107" s="972">
        <f>-Assumptions!$E$99*'Phase 2 Pro Forma'!BH106</f>
        <v>0</v>
      </c>
      <c r="BI107" s="972">
        <f>-Assumptions!$E$99*'Phase 2 Pro Forma'!BI106</f>
        <v>0</v>
      </c>
      <c r="BJ107" s="972">
        <f>-Assumptions!$E$99*'Phase 2 Pro Forma'!BJ106</f>
        <v>0</v>
      </c>
      <c r="BK107" s="972">
        <f>-Assumptions!$E$99*'Phase 2 Pro Forma'!BK106</f>
        <v>0</v>
      </c>
      <c r="BL107" s="972">
        <f>-Assumptions!$E$99*'Phase 2 Pro Forma'!BL106</f>
        <v>0</v>
      </c>
      <c r="BM107" s="972">
        <f>-Assumptions!$E$99*'Phase 2 Pro Forma'!BM106</f>
        <v>0</v>
      </c>
      <c r="BN107" s="972">
        <f>-Assumptions!$E$99*'Phase 2 Pro Forma'!BN106</f>
        <v>0</v>
      </c>
      <c r="BO107" s="972">
        <f>-Assumptions!$E$99*'Phase 2 Pro Forma'!BO106</f>
        <v>0</v>
      </c>
      <c r="BP107" s="972">
        <f>-Assumptions!$E$99*'Phase 2 Pro Forma'!BP106</f>
        <v>0</v>
      </c>
      <c r="BQ107" s="972">
        <f>-Assumptions!$E$99*'Phase 2 Pro Forma'!BQ106</f>
        <v>0</v>
      </c>
      <c r="BR107" s="151"/>
      <c r="BS107" s="151"/>
      <c r="BT107" s="151"/>
      <c r="BU107" s="151"/>
      <c r="BV107" s="151"/>
      <c r="BW107" s="151"/>
      <c r="BX107" s="151"/>
    </row>
    <row r="108" spans="1:76">
      <c r="A108" s="699"/>
      <c r="B108" s="49" t="s">
        <v>1141</v>
      </c>
      <c r="C108" s="223"/>
      <c r="D108" s="223"/>
      <c r="E108" s="223"/>
      <c r="F108" s="642">
        <f>IF(F87=P2_Const_Completion,SUM('Phase 2 Pro Forma'!F95:O95)*Assumptions!$O$112,0)</f>
        <v>0</v>
      </c>
      <c r="G108" s="642">
        <f>IF(G87=P2_Const_Completion,SUM('Phase 2 Pro Forma'!G95:P95)*Assumptions!$O$112,0)</f>
        <v>0</v>
      </c>
      <c r="H108" s="642">
        <f>IF(H87=P2_Const_Completion,SUM('Phase 2 Pro Forma'!H95:Q95)*Assumptions!$O$112,0)</f>
        <v>0</v>
      </c>
      <c r="I108" s="642">
        <f>IF(I87=P2_Const_Completion,SUM('Phase 2 Pro Forma'!I95:R95)*Assumptions!$O$112,0)</f>
        <v>2336495.1098459545</v>
      </c>
      <c r="J108" s="642">
        <f>IF(J87=P2_Const_Completion,SUM('Phase 2 Pro Forma'!J95:S95)*Assumptions!$O$112,0)</f>
        <v>0</v>
      </c>
      <c r="K108" s="642">
        <f>IF(K87=P2_Const_Completion,SUM('Phase 2 Pro Forma'!K95:T95)*Assumptions!$O$112,0)</f>
        <v>0</v>
      </c>
      <c r="L108" s="642">
        <f>IF(L87=P2_Const_Completion,SUM('Phase 2 Pro Forma'!L95:U95)*Assumptions!$O$112,0)</f>
        <v>0</v>
      </c>
      <c r="M108" s="642">
        <f>IF(M87=P2_Const_Completion,SUM('Phase 2 Pro Forma'!M95:V95)*Assumptions!$O$112,0)</f>
        <v>0</v>
      </c>
      <c r="N108" s="642">
        <f>IF(N87=P2_Const_Completion,SUM('Phase 2 Pro Forma'!N95:W95)*Assumptions!$O$112,0)</f>
        <v>0</v>
      </c>
      <c r="O108" s="642">
        <f>IF(O87=P2_Const_Completion,SUM('Phase 2 Pro Forma'!O95:X95)*Assumptions!$O$112,0)</f>
        <v>0</v>
      </c>
      <c r="P108" s="642">
        <f>IF(P87=P2_Const_Completion,SUM('Phase 2 Pro Forma'!P95:Y95)*Assumptions!$O$112,0)</f>
        <v>0</v>
      </c>
      <c r="Q108" s="642">
        <f>IF(Q87=P2_Const_Completion,SUM('Phase 2 Pro Forma'!Q95:Z95)*Assumptions!$O$112,0)</f>
        <v>0</v>
      </c>
      <c r="R108" s="642">
        <f>IF(R87=P2_Const_Completion,SUM('Phase 2 Pro Forma'!R251:AA251)*Assumptions!$O$112,0)</f>
        <v>0</v>
      </c>
      <c r="S108" s="642">
        <f>IF(S87=P2_Const_Completion,SUM('Phase 2 Pro Forma'!S251:AB251)*Assumptions!$O$112,0)</f>
        <v>0</v>
      </c>
      <c r="T108" s="642">
        <f>IF(T87=P2_Const_Completion,SUM('Phase 2 Pro Forma'!T251:AC251)*Assumptions!$O$112,0)</f>
        <v>0</v>
      </c>
      <c r="U108" s="642">
        <f>IF(U87=P2_Const_Completion,SUM('Phase 2 Pro Forma'!U251:AD251)*Assumptions!$O$112,0)</f>
        <v>0</v>
      </c>
      <c r="V108" s="642">
        <f>IF(V87=P2_Const_Completion,SUM('Phase 2 Pro Forma'!V251:AE251)*Assumptions!$O$112,0)</f>
        <v>0</v>
      </c>
      <c r="W108" s="642">
        <f>IF(W87=P2_Const_Completion,SUM('Phase 2 Pro Forma'!W251:AF251)*Assumptions!$O$112,0)</f>
        <v>0</v>
      </c>
      <c r="X108" s="642">
        <f>IF(X87=P2_Const_Completion,SUM('Phase 2 Pro Forma'!X251:AG251)*Assumptions!$O$112,0)</f>
        <v>0</v>
      </c>
      <c r="Y108" s="642">
        <f>IF(Y87=P2_Const_Completion,SUM('Phase 2 Pro Forma'!Y251:AH251)*Assumptions!$O$112,0)</f>
        <v>0</v>
      </c>
      <c r="Z108" s="642">
        <f>IF(Z87=P2_Const_Completion,SUM('Phase 2 Pro Forma'!Z251:AI251)*Assumptions!$O$112,0)</f>
        <v>0</v>
      </c>
      <c r="AA108" s="699"/>
      <c r="AB108" s="699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 t="s">
        <v>1130</v>
      </c>
      <c r="AT108" s="151"/>
      <c r="AU108" s="151"/>
      <c r="AV108" s="151"/>
      <c r="AW108" s="972">
        <f>-AW106*Assumptions!$AQ$78</f>
        <v>0</v>
      </c>
      <c r="AX108" s="972">
        <f>-AX106*Assumptions!$AQ$78</f>
        <v>0</v>
      </c>
      <c r="AY108" s="972">
        <f>-AY106*Assumptions!$AQ$78</f>
        <v>0</v>
      </c>
      <c r="AZ108" s="972">
        <f>-AZ106*Assumptions!$AQ$78</f>
        <v>0</v>
      </c>
      <c r="BA108" s="972">
        <f>-BA106*Assumptions!$AQ$78</f>
        <v>0</v>
      </c>
      <c r="BB108" s="972">
        <f>-BB106*Assumptions!$AQ$78</f>
        <v>0</v>
      </c>
      <c r="BC108" s="972">
        <f>-BC106*Assumptions!$AQ$78</f>
        <v>0</v>
      </c>
      <c r="BD108" s="972">
        <f>-BD106*Assumptions!$AQ$78</f>
        <v>0</v>
      </c>
      <c r="BE108" s="972">
        <f>-BE106*Assumptions!$AQ$78</f>
        <v>0</v>
      </c>
      <c r="BF108" s="972">
        <f>-BF106*Assumptions!$AQ$78</f>
        <v>0</v>
      </c>
      <c r="BG108" s="972">
        <f>-BG106*Assumptions!$AQ$78</f>
        <v>0</v>
      </c>
      <c r="BH108" s="972">
        <f>-BH106*Assumptions!$AQ$78</f>
        <v>0</v>
      </c>
      <c r="BI108" s="972">
        <f>-BI106*Assumptions!$AQ$78</f>
        <v>0</v>
      </c>
      <c r="BJ108" s="972">
        <f>-BJ106*Assumptions!$AQ$78</f>
        <v>0</v>
      </c>
      <c r="BK108" s="972">
        <f>-BK106*Assumptions!$AQ$78</f>
        <v>0</v>
      </c>
      <c r="BL108" s="972">
        <f>-BL106*Assumptions!$AQ$78</f>
        <v>0</v>
      </c>
      <c r="BM108" s="972">
        <f>-BM106*Assumptions!$AQ$78</f>
        <v>0</v>
      </c>
      <c r="BN108" s="972">
        <f>-BN106*Assumptions!$AQ$78</f>
        <v>0</v>
      </c>
      <c r="BO108" s="972">
        <f>-BO106*Assumptions!$AQ$78</f>
        <v>0</v>
      </c>
      <c r="BP108" s="972">
        <f>-BP106*Assumptions!$AQ$78</f>
        <v>0</v>
      </c>
      <c r="BQ108" s="972">
        <f>-BQ106*Assumptions!$AQ$78</f>
        <v>0</v>
      </c>
      <c r="BR108" s="151"/>
      <c r="BS108" s="151"/>
      <c r="BT108" s="151"/>
      <c r="BU108" s="151"/>
      <c r="BV108" s="151"/>
      <c r="BW108" s="151"/>
      <c r="BX108" s="151"/>
    </row>
    <row r="109" spans="1:76" ht="15.75">
      <c r="A109" s="699"/>
      <c r="B109" s="81"/>
      <c r="C109" s="223"/>
      <c r="D109" s="223"/>
      <c r="E109" s="223"/>
      <c r="F109" s="641"/>
      <c r="G109" s="641"/>
      <c r="H109" s="641"/>
      <c r="I109" s="641"/>
      <c r="J109" s="641"/>
      <c r="K109" s="641"/>
      <c r="L109" s="641"/>
      <c r="M109" s="641"/>
      <c r="N109" s="641"/>
      <c r="O109" s="641"/>
      <c r="P109" s="641"/>
      <c r="Q109" s="641"/>
      <c r="R109" s="641"/>
      <c r="S109" s="641"/>
      <c r="T109" s="641"/>
      <c r="U109" s="641"/>
      <c r="V109" s="641"/>
      <c r="W109" s="641"/>
      <c r="X109" s="641"/>
      <c r="Y109" s="641"/>
      <c r="Z109" s="641"/>
      <c r="AA109" s="699"/>
      <c r="AB109" s="699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 t="s">
        <v>675</v>
      </c>
      <c r="AT109" s="151"/>
      <c r="AU109" s="151"/>
      <c r="AV109" s="151"/>
      <c r="AW109" s="972">
        <f>+AW100*Assumptions!$AF$159*(1-Assumptions!$AQ$78)*12</f>
        <v>0</v>
      </c>
      <c r="AX109" s="972">
        <f>+AX100*Assumptions!$AF$159*(1-Assumptions!$AQ$78)*12</f>
        <v>0</v>
      </c>
      <c r="AY109" s="972">
        <f>+AY100*Assumptions!$AF$159*(1-Assumptions!$AQ$78)*12</f>
        <v>0</v>
      </c>
      <c r="AZ109" s="972">
        <f>+AZ100*Assumptions!$AF$159*(1-Assumptions!$AQ$78)*12</f>
        <v>0</v>
      </c>
      <c r="BA109" s="972">
        <f>+BA100*Assumptions!$AF$159*(1-Assumptions!$AQ$78)*12</f>
        <v>0</v>
      </c>
      <c r="BB109" s="972">
        <f>+BB100*Assumptions!$AF$159*(1-Assumptions!$AQ$78)*12</f>
        <v>0</v>
      </c>
      <c r="BC109" s="972">
        <f>+BC100*Assumptions!$AF$159*(1-Assumptions!$AQ$78)*12</f>
        <v>0</v>
      </c>
      <c r="BD109" s="972">
        <f>+BD100*Assumptions!$AF$159*(1-Assumptions!$AQ$78)*12</f>
        <v>0</v>
      </c>
      <c r="BE109" s="972">
        <f>+BE100*Assumptions!$AF$159*(1-Assumptions!$AQ$78)*12</f>
        <v>0</v>
      </c>
      <c r="BF109" s="972">
        <f>+BF100*Assumptions!$AF$159*(1-Assumptions!$AQ$78)*12</f>
        <v>0</v>
      </c>
      <c r="BG109" s="972">
        <f>+BG100*Assumptions!$AF$159*(1-Assumptions!$AQ$78)*12</f>
        <v>0</v>
      </c>
      <c r="BH109" s="972">
        <f>+BH100*Assumptions!$AF$159*(1-Assumptions!$AQ$78)*12</f>
        <v>0</v>
      </c>
      <c r="BI109" s="972">
        <f>+BI100*Assumptions!$AF$159*(1-Assumptions!$AQ$78)*12</f>
        <v>0</v>
      </c>
      <c r="BJ109" s="972">
        <f>+BJ100*Assumptions!$AF$159*(1-Assumptions!$AQ$78)*12</f>
        <v>0</v>
      </c>
      <c r="BK109" s="972">
        <f>+BK100*Assumptions!$AF$159*(1-Assumptions!$AQ$78)*12</f>
        <v>0</v>
      </c>
      <c r="BL109" s="972">
        <f>+BL100*Assumptions!$AF$159*(1-Assumptions!$AQ$78)*12</f>
        <v>0</v>
      </c>
      <c r="BM109" s="972">
        <f>+BM100*Assumptions!$AF$159*(1-Assumptions!$AQ$78)*12</f>
        <v>0</v>
      </c>
      <c r="BN109" s="972">
        <f>+BN100*Assumptions!$AF$159*(1-Assumptions!$AQ$78)*12</f>
        <v>0</v>
      </c>
      <c r="BO109" s="972">
        <f>+BO100*Assumptions!$AF$159*(1-Assumptions!$AQ$78)*12</f>
        <v>0</v>
      </c>
      <c r="BP109" s="972">
        <f>+BP100*Assumptions!$AF$159*(1-Assumptions!$AQ$78)*12</f>
        <v>0</v>
      </c>
      <c r="BQ109" s="972">
        <f>+BQ100*Assumptions!$AF$159*(1-Assumptions!$AQ$78)*12</f>
        <v>0</v>
      </c>
      <c r="BR109" s="151"/>
      <c r="BS109" s="151"/>
      <c r="BT109" s="151"/>
      <c r="BU109" s="151"/>
      <c r="BV109" s="151"/>
      <c r="BW109" s="151"/>
      <c r="BX109" s="151"/>
    </row>
    <row r="110" spans="1:76" ht="15.75">
      <c r="A110" s="699"/>
      <c r="B110" s="50" t="s">
        <v>1142</v>
      </c>
      <c r="C110" s="50"/>
      <c r="D110" s="50"/>
      <c r="E110" s="50"/>
      <c r="F110" s="55">
        <f ca="1">+F104-SUM(F107:F108)</f>
        <v>0</v>
      </c>
      <c r="G110" s="55">
        <f t="shared" ref="G110:Z110" ca="1" si="60">+G104-SUM(G107:G108)</f>
        <v>0</v>
      </c>
      <c r="H110" s="55">
        <f t="shared" ca="1" si="60"/>
        <v>0</v>
      </c>
      <c r="I110" s="55">
        <f t="shared" ca="1" si="60"/>
        <v>-4069664.4019901995</v>
      </c>
      <c r="J110" s="55">
        <f t="shared" ca="1" si="60"/>
        <v>-149560.67558769835</v>
      </c>
      <c r="K110" s="55">
        <f t="shared" ca="1" si="60"/>
        <v>3169101.438851153</v>
      </c>
      <c r="L110" s="55">
        <f t="shared" ca="1" si="60"/>
        <v>3665079.5054030837</v>
      </c>
      <c r="M110" s="55">
        <f t="shared" ca="1" si="60"/>
        <v>3660351.6923100017</v>
      </c>
      <c r="N110" s="55">
        <f t="shared" ca="1" si="60"/>
        <v>3657559.943424013</v>
      </c>
      <c r="O110" s="55">
        <f t="shared" ca="1" si="60"/>
        <v>3654684.4420714444</v>
      </c>
      <c r="P110" s="55">
        <f t="shared" ca="1" si="60"/>
        <v>3649644.7770784134</v>
      </c>
      <c r="Q110" s="55">
        <f t="shared" ca="1" si="60"/>
        <v>4219995.1489693439</v>
      </c>
      <c r="R110" s="55">
        <f t="shared" ca="1" si="60"/>
        <v>4216853.0110028554</v>
      </c>
      <c r="S110" s="55">
        <f t="shared" ca="1" si="60"/>
        <v>4211476.373339491</v>
      </c>
      <c r="T110" s="55">
        <f t="shared" ca="1" si="60"/>
        <v>4208142.8791708434</v>
      </c>
      <c r="U110" s="55">
        <f t="shared" ca="1" si="60"/>
        <v>4204709.3801771365</v>
      </c>
      <c r="V110" s="55">
        <f t="shared" ca="1" si="60"/>
        <v>4858379.5735562518</v>
      </c>
      <c r="W110" s="55">
        <f t="shared" ca="1" si="60"/>
        <v>4854736.9744738266</v>
      </c>
      <c r="X110" s="55">
        <f t="shared" ca="1" si="60"/>
        <v>4850985.0974189313</v>
      </c>
      <c r="Y110" s="55">
        <f t="shared" ca="1" si="60"/>
        <v>4844850.0881490307</v>
      </c>
      <c r="Z110" s="55">
        <f t="shared" ca="1" si="60"/>
        <v>4840869.7217814913</v>
      </c>
      <c r="AA110" s="699"/>
      <c r="AB110" s="699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 t="s">
        <v>48</v>
      </c>
      <c r="AT110" s="151"/>
      <c r="AU110" s="151"/>
      <c r="AV110" s="151"/>
      <c r="AW110" s="972">
        <f>+(AW100*Assumptions!$AD$160*Assumptions!$AD$161)*12</f>
        <v>0</v>
      </c>
      <c r="AX110" s="972">
        <f>+(AX100*Assumptions!$AD$160*Assumptions!$AD$161)*12</f>
        <v>0</v>
      </c>
      <c r="AY110" s="972">
        <f>+(AY100*Assumptions!$AD$160*Assumptions!$AD$161)*12</f>
        <v>0</v>
      </c>
      <c r="AZ110" s="972">
        <f>+(AZ100*Assumptions!$AD$160*Assumptions!$AD$161)*12</f>
        <v>0</v>
      </c>
      <c r="BA110" s="972">
        <f>+(BA100*Assumptions!$AD$160*Assumptions!$AD$161)*12</f>
        <v>0</v>
      </c>
      <c r="BB110" s="972">
        <f>+(BB100*Assumptions!$AD$160*Assumptions!$AD$161)*12</f>
        <v>0</v>
      </c>
      <c r="BC110" s="972">
        <f>+(BC100*Assumptions!$AD$160*Assumptions!$AD$161)*12</f>
        <v>0</v>
      </c>
      <c r="BD110" s="972">
        <f>+(BD100*Assumptions!$AD$160*Assumptions!$AD$161)*12</f>
        <v>0</v>
      </c>
      <c r="BE110" s="972">
        <f>+(BE100*Assumptions!$AD$160*Assumptions!$AD$161)*12</f>
        <v>0</v>
      </c>
      <c r="BF110" s="972">
        <f>+(BF100*Assumptions!$AD$160*Assumptions!$AD$161)*12</f>
        <v>0</v>
      </c>
      <c r="BG110" s="972">
        <f>+(BG100*Assumptions!$AD$160*Assumptions!$AD$161)*12</f>
        <v>0</v>
      </c>
      <c r="BH110" s="972">
        <f>+(BH100*Assumptions!$AD$160*Assumptions!$AD$161)*12</f>
        <v>0</v>
      </c>
      <c r="BI110" s="972">
        <f>+(BI100*Assumptions!$AD$160*Assumptions!$AD$161)*12</f>
        <v>0</v>
      </c>
      <c r="BJ110" s="972">
        <f>+(BJ100*Assumptions!$AD$160*Assumptions!$AD$161)*12</f>
        <v>0</v>
      </c>
      <c r="BK110" s="972">
        <f>+(BK100*Assumptions!$AD$160*Assumptions!$AD$161)*12</f>
        <v>0</v>
      </c>
      <c r="BL110" s="972">
        <f>+(BL100*Assumptions!$AD$160*Assumptions!$AD$161)*12</f>
        <v>0</v>
      </c>
      <c r="BM110" s="972">
        <f>+(BM100*Assumptions!$AD$160*Assumptions!$AD$161)*12</f>
        <v>0</v>
      </c>
      <c r="BN110" s="972">
        <f>+(BN100*Assumptions!$AD$160*Assumptions!$AD$161)*12</f>
        <v>0</v>
      </c>
      <c r="BO110" s="972">
        <f>+(BO100*Assumptions!$AD$160*Assumptions!$AD$161)*12</f>
        <v>0</v>
      </c>
      <c r="BP110" s="972">
        <f>+(BP100*Assumptions!$AD$160*Assumptions!$AD$161)*12</f>
        <v>0</v>
      </c>
      <c r="BQ110" s="972">
        <f>+(BQ100*Assumptions!$AD$160*Assumptions!$AD$161)*12</f>
        <v>0</v>
      </c>
      <c r="BR110" s="151"/>
      <c r="BS110" s="151"/>
      <c r="BT110" s="151"/>
      <c r="BU110" s="151"/>
      <c r="BV110" s="151"/>
      <c r="BW110" s="151"/>
      <c r="BX110" s="151"/>
    </row>
    <row r="111" spans="1:76">
      <c r="A111" s="699"/>
      <c r="B111" s="51" t="s">
        <v>1064</v>
      </c>
      <c r="C111" s="51"/>
      <c r="D111" s="51"/>
      <c r="E111" s="51"/>
      <c r="F111" s="57">
        <f ca="1">+F104/Assumptions!$G$49</f>
        <v>0</v>
      </c>
      <c r="G111" s="57">
        <f ca="1">+G104/Assumptions!$G$49</f>
        <v>0</v>
      </c>
      <c r="H111" s="57">
        <f ca="1">+H104/Assumptions!$G$49</f>
        <v>0</v>
      </c>
      <c r="I111" s="57">
        <f ca="1">+I104/Assumptions!$G$49</f>
        <v>30835877.048594717</v>
      </c>
      <c r="J111" s="57">
        <f ca="1">+J104/Assumptions!$G$49</f>
        <v>61585558.923479117</v>
      </c>
      <c r="K111" s="57">
        <f ca="1">+K104/Assumptions!$G$49</f>
        <v>61535950.268954434</v>
      </c>
      <c r="L111" s="57">
        <f ca="1">+L104/Assumptions!$G$49</f>
        <v>71166592.337923959</v>
      </c>
      <c r="M111" s="57">
        <f ca="1">+M104/Assumptions!$G$49</f>
        <v>71074790.141941786</v>
      </c>
      <c r="N111" s="57">
        <f ca="1">+N104/Assumptions!$G$49</f>
        <v>71020581.425708994</v>
      </c>
      <c r="O111" s="57">
        <f ca="1">+O104/Assumptions!$G$49</f>
        <v>70964746.44798921</v>
      </c>
      <c r="P111" s="57">
        <f ca="1">+P104/Assumptions!$G$49</f>
        <v>70866888.875309005</v>
      </c>
      <c r="Q111" s="57">
        <f ca="1">+Q104/Assumptions!$G$49</f>
        <v>81941653.378045514</v>
      </c>
      <c r="R111" s="57">
        <f ca="1">+R104/Assumptions!$G$49</f>
        <v>81880640.990346715</v>
      </c>
      <c r="S111" s="57">
        <f ca="1">+S104/Assumptions!$G$49</f>
        <v>81776240.259019241</v>
      </c>
      <c r="T111" s="57">
        <f ca="1">+T104/Assumptions!$G$49</f>
        <v>81711512.216909587</v>
      </c>
      <c r="U111" s="57">
        <f ca="1">+U104/Assumptions!$G$49</f>
        <v>81644842.33353664</v>
      </c>
      <c r="V111" s="57">
        <f ca="1">+V104/Assumptions!$G$49</f>
        <v>94337467.447694212</v>
      </c>
      <c r="W111" s="57">
        <f ca="1">+W104/Assumptions!$G$49</f>
        <v>94266737.36842382</v>
      </c>
      <c r="X111" s="57">
        <f ca="1">+X104/Assumptions!$G$49</f>
        <v>94193885.386775374</v>
      </c>
      <c r="Y111" s="57">
        <f ca="1">+Y104/Assumptions!$G$49</f>
        <v>94074758.993185073</v>
      </c>
      <c r="Z111" s="57">
        <f ca="1">+Z104/Assumptions!$G$49</f>
        <v>93997470.325854212</v>
      </c>
      <c r="AA111" s="699"/>
      <c r="AB111" s="699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 t="s">
        <v>50</v>
      </c>
      <c r="AT111" s="151"/>
      <c r="AU111" s="151"/>
      <c r="AV111" s="151"/>
      <c r="AW111" s="972">
        <f>+AW100*Assumptions!$AD$162*Assumptions!$AD$163*12</f>
        <v>0</v>
      </c>
      <c r="AX111" s="972">
        <f>+AX100*Assumptions!$AD$162*Assumptions!$AD$163*12</f>
        <v>0</v>
      </c>
      <c r="AY111" s="972">
        <f>+AY100*Assumptions!$AD$162*Assumptions!$AD$163*12</f>
        <v>0</v>
      </c>
      <c r="AZ111" s="972">
        <f>+AZ100*Assumptions!$AD$162*Assumptions!$AD$163*12</f>
        <v>0</v>
      </c>
      <c r="BA111" s="972">
        <f>+BA100*Assumptions!$AD$162*Assumptions!$AD$163*12</f>
        <v>0</v>
      </c>
      <c r="BB111" s="972">
        <f>+BB100*Assumptions!$AD$162*Assumptions!$AD$163*12</f>
        <v>0</v>
      </c>
      <c r="BC111" s="972">
        <f>+BC100*Assumptions!$AD$162*Assumptions!$AD$163*12</f>
        <v>0</v>
      </c>
      <c r="BD111" s="972">
        <f>+BD100*Assumptions!$AD$162*Assumptions!$AD$163*12</f>
        <v>0</v>
      </c>
      <c r="BE111" s="972">
        <f>+BE100*Assumptions!$AD$162*Assumptions!$AD$163*12</f>
        <v>0</v>
      </c>
      <c r="BF111" s="972">
        <f>+BF100*Assumptions!$AD$162*Assumptions!$AD$163*12</f>
        <v>0</v>
      </c>
      <c r="BG111" s="972">
        <f>+BG100*Assumptions!$AD$162*Assumptions!$AD$163*12</f>
        <v>0</v>
      </c>
      <c r="BH111" s="972">
        <f>+BH100*Assumptions!$AD$162*Assumptions!$AD$163*12</f>
        <v>0</v>
      </c>
      <c r="BI111" s="972">
        <f>+BI100*Assumptions!$AD$162*Assumptions!$AD$163*12</f>
        <v>0</v>
      </c>
      <c r="BJ111" s="972">
        <f>+BJ100*Assumptions!$AD$162*Assumptions!$AD$163*12</f>
        <v>0</v>
      </c>
      <c r="BK111" s="972">
        <f>+BK100*Assumptions!$AD$162*Assumptions!$AD$163*12</f>
        <v>0</v>
      </c>
      <c r="BL111" s="972">
        <f>+BL100*Assumptions!$AD$162*Assumptions!$AD$163*12</f>
        <v>0</v>
      </c>
      <c r="BM111" s="972">
        <f>+BM100*Assumptions!$AD$162*Assumptions!$AD$163*12</f>
        <v>0</v>
      </c>
      <c r="BN111" s="972">
        <f>+BN100*Assumptions!$AD$162*Assumptions!$AD$163*12</f>
        <v>0</v>
      </c>
      <c r="BO111" s="972">
        <f>+BO100*Assumptions!$AD$162*Assumptions!$AD$163*12</f>
        <v>0</v>
      </c>
      <c r="BP111" s="972">
        <f>+BP100*Assumptions!$AD$162*Assumptions!$AD$163*12</f>
        <v>0</v>
      </c>
      <c r="BQ111" s="972">
        <f>+BQ100*Assumptions!$AD$162*Assumptions!$AD$163*12</f>
        <v>0</v>
      </c>
      <c r="BR111" s="151"/>
      <c r="BS111" s="151"/>
      <c r="BT111" s="151"/>
      <c r="BU111" s="151"/>
      <c r="BV111" s="151"/>
      <c r="BW111" s="151"/>
      <c r="BX111" s="151"/>
    </row>
    <row r="112" spans="1:76" ht="15.75">
      <c r="A112" s="699"/>
      <c r="B112" s="699"/>
      <c r="C112" s="699"/>
      <c r="D112" s="699"/>
      <c r="E112" s="699"/>
      <c r="F112" s="699"/>
      <c r="G112" s="699"/>
      <c r="H112" s="699"/>
      <c r="I112" s="699"/>
      <c r="J112" s="699"/>
      <c r="K112" s="699"/>
      <c r="L112" s="699"/>
      <c r="M112" s="699"/>
      <c r="N112" s="699"/>
      <c r="O112" s="699"/>
      <c r="P112" s="699"/>
      <c r="Q112" s="699"/>
      <c r="R112" s="699"/>
      <c r="S112" s="699"/>
      <c r="T112" s="699"/>
      <c r="U112" s="699"/>
      <c r="V112" s="699"/>
      <c r="W112" s="699"/>
      <c r="X112" s="699"/>
      <c r="Y112" s="699"/>
      <c r="Z112" s="699"/>
      <c r="AA112" s="699"/>
      <c r="AB112" s="699"/>
      <c r="AC112" s="151"/>
      <c r="AD112" s="151"/>
      <c r="AE112" s="718" t="s">
        <v>161</v>
      </c>
      <c r="AF112" s="151"/>
      <c r="AG112" s="151"/>
      <c r="AH112" s="151"/>
      <c r="AI112" s="971">
        <f>+Assumptions!$G$27</f>
        <v>46387</v>
      </c>
      <c r="AJ112" s="971">
        <f>+EOMONTH(AI112,12)</f>
        <v>46752</v>
      </c>
      <c r="AK112" s="971">
        <f t="shared" ref="AK112:BC112" si="61">+EOMONTH(AJ112,12)</f>
        <v>47118</v>
      </c>
      <c r="AL112" s="971">
        <f t="shared" si="61"/>
        <v>47483</v>
      </c>
      <c r="AM112" s="971">
        <f t="shared" si="61"/>
        <v>47848</v>
      </c>
      <c r="AN112" s="971">
        <f t="shared" si="61"/>
        <v>48213</v>
      </c>
      <c r="AO112" s="971">
        <f t="shared" si="61"/>
        <v>48579</v>
      </c>
      <c r="AP112" s="971">
        <f t="shared" si="61"/>
        <v>48944</v>
      </c>
      <c r="AQ112" s="971">
        <f t="shared" si="61"/>
        <v>49309</v>
      </c>
      <c r="AR112" s="971">
        <f t="shared" si="61"/>
        <v>49674</v>
      </c>
      <c r="AS112" s="971">
        <f t="shared" si="61"/>
        <v>50040</v>
      </c>
      <c r="AT112" s="971">
        <f t="shared" si="61"/>
        <v>50405</v>
      </c>
      <c r="AU112" s="971">
        <f t="shared" si="61"/>
        <v>50770</v>
      </c>
      <c r="AV112" s="971">
        <f t="shared" si="61"/>
        <v>51135</v>
      </c>
      <c r="AW112" s="971">
        <f t="shared" si="61"/>
        <v>51501</v>
      </c>
      <c r="AX112" s="971">
        <f t="shared" si="61"/>
        <v>51866</v>
      </c>
      <c r="AY112" s="971">
        <f t="shared" si="61"/>
        <v>52231</v>
      </c>
      <c r="AZ112" s="971">
        <f t="shared" si="61"/>
        <v>52596</v>
      </c>
      <c r="BA112" s="971">
        <f t="shared" si="61"/>
        <v>52962</v>
      </c>
      <c r="BB112" s="971">
        <f t="shared" si="61"/>
        <v>53327</v>
      </c>
      <c r="BC112" s="971">
        <f t="shared" si="61"/>
        <v>53692</v>
      </c>
      <c r="BD112" s="972">
        <f>+BD100*Assumptions!$AD$164*Assumptions!$AD$165*12</f>
        <v>0</v>
      </c>
      <c r="BE112" s="972">
        <f>+BE100*Assumptions!$AD$164*Assumptions!$AD$165*12</f>
        <v>0</v>
      </c>
      <c r="BF112" s="972">
        <f>+BF100*Assumptions!$AD$164*Assumptions!$AD$165*12</f>
        <v>0</v>
      </c>
      <c r="BG112" s="972">
        <f>+BG100*Assumptions!$AD$164*Assumptions!$AD$165*12</f>
        <v>0</v>
      </c>
      <c r="BH112" s="972">
        <f>+BH100*Assumptions!$AD$164*Assumptions!$AD$165*12</f>
        <v>0</v>
      </c>
      <c r="BI112" s="972">
        <f>+BI100*Assumptions!$AD$164*Assumptions!$AD$165*12</f>
        <v>0</v>
      </c>
      <c r="BJ112" s="972">
        <f>+BJ100*Assumptions!$AD$164*Assumptions!$AD$165*12</f>
        <v>0</v>
      </c>
      <c r="BK112" s="972">
        <f>+BK100*Assumptions!$AD$164*Assumptions!$AD$165*12</f>
        <v>0</v>
      </c>
      <c r="BL112" s="972">
        <f>+BL100*Assumptions!$AD$164*Assumptions!$AD$165*12</f>
        <v>0</v>
      </c>
      <c r="BM112" s="972">
        <f>+BM100*Assumptions!$AD$164*Assumptions!$AD$165*12</f>
        <v>0</v>
      </c>
      <c r="BN112" s="972">
        <f>+BN100*Assumptions!$AD$164*Assumptions!$AD$165*12</f>
        <v>0</v>
      </c>
      <c r="BO112" s="972">
        <f>+BO100*Assumptions!$AD$164*Assumptions!$AD$165*12</f>
        <v>0</v>
      </c>
      <c r="BP112" s="972">
        <f>+BP100*Assumptions!$AD$164*Assumptions!$AD$165*12</f>
        <v>0</v>
      </c>
      <c r="BQ112" s="972">
        <f>+BQ100*Assumptions!$AD$164*Assumptions!$AD$165*12</f>
        <v>0</v>
      </c>
      <c r="BR112" s="151"/>
      <c r="BS112" s="151"/>
      <c r="BT112" s="151"/>
      <c r="BU112" s="151"/>
      <c r="BV112" s="151"/>
      <c r="BW112" s="151"/>
      <c r="BX112" s="151"/>
    </row>
    <row r="113" spans="1:76" ht="15.75">
      <c r="A113" s="699"/>
      <c r="B113" s="53" t="s">
        <v>543</v>
      </c>
      <c r="C113" s="699"/>
      <c r="D113" s="699"/>
      <c r="E113" s="699"/>
      <c r="F113" s="54">
        <f>+Assumptions!$G$27</f>
        <v>46387</v>
      </c>
      <c r="G113" s="54">
        <f>+EOMONTH(F113,12)</f>
        <v>46752</v>
      </c>
      <c r="H113" s="54">
        <f t="shared" ref="H113:Z113" si="62">+EOMONTH(G113,12)</f>
        <v>47118</v>
      </c>
      <c r="I113" s="54">
        <f t="shared" si="62"/>
        <v>47483</v>
      </c>
      <c r="J113" s="54">
        <f t="shared" si="62"/>
        <v>47848</v>
      </c>
      <c r="K113" s="54">
        <f t="shared" si="62"/>
        <v>48213</v>
      </c>
      <c r="L113" s="54">
        <f t="shared" si="62"/>
        <v>48579</v>
      </c>
      <c r="M113" s="54">
        <f t="shared" si="62"/>
        <v>48944</v>
      </c>
      <c r="N113" s="54">
        <f t="shared" si="62"/>
        <v>49309</v>
      </c>
      <c r="O113" s="54">
        <f t="shared" si="62"/>
        <v>49674</v>
      </c>
      <c r="P113" s="54">
        <f t="shared" si="62"/>
        <v>50040</v>
      </c>
      <c r="Q113" s="54">
        <f t="shared" si="62"/>
        <v>50405</v>
      </c>
      <c r="R113" s="54">
        <f t="shared" si="62"/>
        <v>50770</v>
      </c>
      <c r="S113" s="54">
        <f t="shared" si="62"/>
        <v>51135</v>
      </c>
      <c r="T113" s="54">
        <f t="shared" si="62"/>
        <v>51501</v>
      </c>
      <c r="U113" s="54">
        <f t="shared" si="62"/>
        <v>51866</v>
      </c>
      <c r="V113" s="54">
        <f t="shared" si="62"/>
        <v>52231</v>
      </c>
      <c r="W113" s="54">
        <f t="shared" si="62"/>
        <v>52596</v>
      </c>
      <c r="X113" s="54">
        <f t="shared" si="62"/>
        <v>52962</v>
      </c>
      <c r="Y113" s="54">
        <f t="shared" si="62"/>
        <v>53327</v>
      </c>
      <c r="Z113" s="54">
        <f t="shared" si="62"/>
        <v>53692</v>
      </c>
      <c r="AA113" s="699"/>
      <c r="AB113" s="699"/>
      <c r="AC113" s="151"/>
      <c r="AD113" s="151"/>
      <c r="AE113" s="151" t="s">
        <v>1138</v>
      </c>
      <c r="AF113" s="151"/>
      <c r="AG113" s="151"/>
      <c r="AH113" s="687"/>
      <c r="AI113" s="687">
        <f>+IF(AND(AI112&gt;=Assumptions!$G$31,AI112&lt;Assumptions!$G$33),Assumptions!$AF$232/ROUNDUP((Assumptions!$G$32/12),0),)</f>
        <v>0</v>
      </c>
      <c r="AJ113" s="687">
        <f>+IF(AND(AJ112&gt;=Assumptions!$G$31,AJ112&lt;Assumptions!$G$33),Assumptions!$AF$232/ROUNDUP((Assumptions!$G$32/12),0),)</f>
        <v>0</v>
      </c>
      <c r="AK113" s="687">
        <f>+IF(AND(AK112&gt;=Assumptions!$G$31,AK112&lt;Assumptions!$G$33),Assumptions!$AF$232/ROUNDUP((Assumptions!$G$32/12),0),)</f>
        <v>0</v>
      </c>
      <c r="AL113" s="687">
        <f>+IF(AND(AL112&gt;=Assumptions!$G$31,AL112&lt;Assumptions!$G$33),Assumptions!$AF$232/ROUNDUP((Assumptions!$G$32/12),0),)</f>
        <v>0</v>
      </c>
      <c r="AM113" s="687">
        <f>+IF(AND(AM112&gt;=Assumptions!$G$31,AM112&lt;Assumptions!$G$33),Assumptions!$AF$232/ROUNDUP((Assumptions!$G$32/12),0),)</f>
        <v>0</v>
      </c>
      <c r="AN113" s="687">
        <f>+IF(AND(AN112&gt;=Assumptions!$G$31,AN112&lt;Assumptions!$G$33),Assumptions!$AF$232/ROUNDUP((Assumptions!$G$32/12),0),)</f>
        <v>0</v>
      </c>
      <c r="AO113" s="687">
        <f>+IF(AND(AO112&gt;=Assumptions!$G$31,AO112&lt;Assumptions!$G$33),Assumptions!$AF$232/ROUNDUP((Assumptions!$G$32/12),0),)</f>
        <v>0</v>
      </c>
      <c r="AP113" s="687">
        <f>+IF(AND(AP112&gt;=Assumptions!$G$31,AP112&lt;Assumptions!$G$33),Assumptions!$AF$232/ROUNDUP((Assumptions!$G$32/12),0),)</f>
        <v>0</v>
      </c>
      <c r="AQ113" s="687">
        <f>+IF(AND(AQ112&gt;=Assumptions!$G$31,AQ112&lt;Assumptions!$G$33),Assumptions!$AF$232/ROUNDUP((Assumptions!$G$32/12),0),)</f>
        <v>0</v>
      </c>
      <c r="AR113" s="687">
        <f>+IF(AND(AR112&gt;=Assumptions!$G$31,AR112&lt;Assumptions!$G$33),Assumptions!$AF$232/ROUNDUP((Assumptions!$G$32/12),0),)</f>
        <v>0</v>
      </c>
      <c r="AS113" s="687">
        <f>+IF(AND(AS112&gt;=Assumptions!$G$31,AS112&lt;Assumptions!$G$33),Assumptions!$AF$232/ROUNDUP((Assumptions!$G$32/12),0),)</f>
        <v>0</v>
      </c>
      <c r="AT113" s="687">
        <f>+IF(AND(AT112&gt;=Assumptions!$G$31,AT112&lt;Assumptions!$G$33),Assumptions!$AF$232/ROUNDUP((Assumptions!$G$32/12),0),)</f>
        <v>0</v>
      </c>
      <c r="AU113" s="687">
        <f>+IF(AND(AU112&gt;=Assumptions!$G$31,AU112&lt;Assumptions!$G$33),Assumptions!$AF$232/ROUNDUP((Assumptions!$G$32/12),0),)</f>
        <v>0</v>
      </c>
      <c r="AV113" s="687">
        <f>+IF(AND(AV112&gt;=Assumptions!$G$31,AV112&lt;Assumptions!$G$33),Assumptions!$AF$232/ROUNDUP((Assumptions!$G$32/12),0),)</f>
        <v>0</v>
      </c>
      <c r="AW113" s="687">
        <f>+IF(AND(AW112&gt;=Assumptions!$G$31,AW112&lt;Assumptions!$G$33),Assumptions!$AF$232/ROUNDUP((Assumptions!$G$32/12),0),)</f>
        <v>0</v>
      </c>
      <c r="AX113" s="687">
        <f>+IF(AND(AX112&gt;=Assumptions!$G$31,AX112&lt;Assumptions!$G$33),Assumptions!$AF$232/ROUNDUP((Assumptions!$G$32/12),0),)</f>
        <v>0</v>
      </c>
      <c r="AY113" s="687">
        <f>+IF(AND(AY112&gt;=Assumptions!$G$31,AY112&lt;Assumptions!$G$33),Assumptions!$AF$232/ROUNDUP((Assumptions!$G$32/12),0),)</f>
        <v>0</v>
      </c>
      <c r="AZ113" s="687">
        <f>+IF(AND(AZ112&gt;=Assumptions!$G$31,AZ112&lt;Assumptions!$G$33),Assumptions!$AF$232/ROUNDUP((Assumptions!$G$32/12),0),)</f>
        <v>0</v>
      </c>
      <c r="BA113" s="687">
        <f>+IF(AND(BA112&gt;=Assumptions!$G$31,BA112&lt;Assumptions!$G$33),Assumptions!$AF$232/ROUNDUP((Assumptions!$G$32/12),0),)</f>
        <v>0</v>
      </c>
      <c r="BB113" s="687">
        <f>+IF(AND(BB112&gt;=Assumptions!$G$31,BB112&lt;Assumptions!$G$33),Assumptions!$AF$232/ROUNDUP((Assumptions!$G$32/12),0),)</f>
        <v>0</v>
      </c>
      <c r="BC113" s="687">
        <f>+IF(AND(BC112&gt;=Assumptions!$G$31,BC112&lt;Assumptions!$G$33),Assumptions!$AF$232/ROUNDUP((Assumptions!$G$32/12),0),)</f>
        <v>0</v>
      </c>
      <c r="BD113" s="822">
        <f t="shared" ref="BD113:BQ113" si="63">SUM(BD106:BD112)</f>
        <v>0</v>
      </c>
      <c r="BE113" s="822">
        <f t="shared" si="63"/>
        <v>0</v>
      </c>
      <c r="BF113" s="822">
        <f t="shared" si="63"/>
        <v>0</v>
      </c>
      <c r="BG113" s="822">
        <f t="shared" si="63"/>
        <v>0</v>
      </c>
      <c r="BH113" s="822">
        <f t="shared" si="63"/>
        <v>0</v>
      </c>
      <c r="BI113" s="822">
        <f t="shared" si="63"/>
        <v>0</v>
      </c>
      <c r="BJ113" s="822">
        <f t="shared" si="63"/>
        <v>0</v>
      </c>
      <c r="BK113" s="822">
        <f t="shared" si="63"/>
        <v>0</v>
      </c>
      <c r="BL113" s="822">
        <f t="shared" si="63"/>
        <v>0</v>
      </c>
      <c r="BM113" s="822">
        <f t="shared" si="63"/>
        <v>0</v>
      </c>
      <c r="BN113" s="822">
        <f t="shared" si="63"/>
        <v>0</v>
      </c>
      <c r="BO113" s="822">
        <f t="shared" si="63"/>
        <v>0</v>
      </c>
      <c r="BP113" s="822">
        <f t="shared" si="63"/>
        <v>0</v>
      </c>
      <c r="BQ113" s="822">
        <f t="shared" si="63"/>
        <v>0</v>
      </c>
      <c r="BR113" s="151"/>
      <c r="BS113" s="151"/>
      <c r="BT113" s="151"/>
      <c r="BU113" s="151"/>
      <c r="BV113" s="151"/>
      <c r="BW113" s="151"/>
      <c r="BX113" s="151"/>
    </row>
    <row r="114" spans="1:76">
      <c r="A114" s="699"/>
      <c r="B114" s="699" t="s">
        <v>1120</v>
      </c>
      <c r="C114" s="699"/>
      <c r="D114" s="699"/>
      <c r="E114" s="1050"/>
      <c r="F114" s="1050">
        <f>+IF(AND(F113&gt;=Assumptions!$G$31,F113&lt;Assumptions!$G$33),SUM(Assumptions!$G$199:$G$199)/ROUNDUP((Assumptions!$G$32/12),0),0)</f>
        <v>0</v>
      </c>
      <c r="G114" s="1050">
        <f>+IF(AND(G113&gt;=Assumptions!$G$31,G113&lt;Assumptions!$G$33),SUM(Assumptions!$G$199:$G$199)/ROUNDUP((Assumptions!$G$32/12),0),0)</f>
        <v>0</v>
      </c>
      <c r="H114" s="1050">
        <f>+IF(AND(H113&gt;=Assumptions!$G$31,H113&lt;Assumptions!$G$33),SUM(Assumptions!$G$199:$G$199)/ROUNDUP((Assumptions!$G$32/12),0),0)</f>
        <v>0</v>
      </c>
      <c r="I114" s="1050">
        <f>+IF(AND(I113&gt;=Assumptions!$G$31,I113&lt;Assumptions!$G$33),SUM(Assumptions!$G$199:$G$199)/ROUNDUP((Assumptions!$G$32/12),0),0)</f>
        <v>82080</v>
      </c>
      <c r="J114" s="1050">
        <f>+IF(AND(J113&gt;=Assumptions!$G$31,J113&lt;Assumptions!$G$33),SUM(Assumptions!$G$199:$G$199)/ROUNDUP((Assumptions!$G$32/12),0),0)</f>
        <v>82080</v>
      </c>
      <c r="K114" s="1050">
        <f>+IF(AND(K113&gt;=Assumptions!$G$31,K113&lt;Assumptions!$G$33),SUM(Assumptions!$G$199:$G$199)/ROUNDUP((Assumptions!$G$32/12),0),0)</f>
        <v>0</v>
      </c>
      <c r="L114" s="1050">
        <f>+IF(AND(L113&gt;=Assumptions!$G$31,L113&lt;Assumptions!$G$33),SUM(Assumptions!$G$199:$G$199)/ROUNDUP((Assumptions!$G$32/12),0),0)</f>
        <v>0</v>
      </c>
      <c r="M114" s="1050">
        <f>+IF(AND(M113&gt;=Assumptions!$G$31,M113&lt;Assumptions!$G$33),SUM(Assumptions!$G$199:$G$199)/ROUNDUP((Assumptions!$G$32/12),0),0)</f>
        <v>0</v>
      </c>
      <c r="N114" s="1050">
        <f>+IF(AND(N113&gt;=Assumptions!$G$31,N113&lt;Assumptions!$G$33),SUM(Assumptions!$G$199:$G$199)/ROUNDUP((Assumptions!$G$32/12),0),0)</f>
        <v>0</v>
      </c>
      <c r="O114" s="1050">
        <f>+IF(AND(O113&gt;=Assumptions!$G$31,O113&lt;Assumptions!$G$33),SUM(Assumptions!$G$199:$G$199)/ROUNDUP((Assumptions!$G$32/12),0),0)</f>
        <v>0</v>
      </c>
      <c r="P114" s="1050">
        <f>+IF(AND(P113&gt;=Assumptions!$G$31,P113&lt;Assumptions!$G$33),SUM(Assumptions!$G$199:$G$199)/ROUNDUP((Assumptions!$G$32/12),0),0)</f>
        <v>0</v>
      </c>
      <c r="Q114" s="1050">
        <f>+IF(AND(Q113&gt;=Assumptions!$G$31,Q113&lt;Assumptions!$G$33),SUM(Assumptions!$G$199:$G$199)/ROUNDUP((Assumptions!$G$32/12),0),0)</f>
        <v>0</v>
      </c>
      <c r="R114" s="1050">
        <f>+IF(AND(R113&gt;=Assumptions!$G$31,R113&lt;Assumptions!$G$33),SUM(Assumptions!$G$199:$G$199)/ROUNDUP((Assumptions!$G$32/12),0),0)</f>
        <v>0</v>
      </c>
      <c r="S114" s="1050">
        <f>+IF(AND(S113&gt;=Assumptions!$G$31,S113&lt;Assumptions!$G$33),SUM(Assumptions!$G$199:$G$199)/ROUNDUP((Assumptions!$G$32/12),0),0)</f>
        <v>0</v>
      </c>
      <c r="T114" s="1050">
        <f>+IF(AND(T113&gt;=Assumptions!$G$31,T113&lt;Assumptions!$G$33),SUM(Assumptions!$G$199:$G$199)/ROUNDUP((Assumptions!$G$32/12),0),0)</f>
        <v>0</v>
      </c>
      <c r="U114" s="1050">
        <f>+IF(AND(U113&gt;=Assumptions!$G$31,U113&lt;Assumptions!$G$33),SUM(Assumptions!$G$199:$G$199)/ROUNDUP((Assumptions!$G$32/12),0),0)</f>
        <v>0</v>
      </c>
      <c r="V114" s="1050">
        <f>+IF(AND(V113&gt;=Assumptions!$G$31,V113&lt;Assumptions!$G$33),SUM(Assumptions!$G$199:$G$199)/ROUNDUP((Assumptions!$G$32/12),0),0)</f>
        <v>0</v>
      </c>
      <c r="W114" s="1050">
        <f>+IF(AND(W113&gt;=Assumptions!$G$31,W113&lt;Assumptions!$G$33),SUM(Assumptions!$G$199:$G$199)/ROUNDUP((Assumptions!$G$32/12),0),0)</f>
        <v>0</v>
      </c>
      <c r="X114" s="1050">
        <f>+IF(AND(X113&gt;=Assumptions!$G$31,X113&lt;Assumptions!$G$33),SUM(Assumptions!$G$199:$G$199)/ROUNDUP((Assumptions!$G$32/12),0),0)</f>
        <v>0</v>
      </c>
      <c r="Y114" s="1050">
        <f>+IF(AND(Y113&gt;=Assumptions!$G$31,Y113&lt;Assumptions!$G$33),SUM(Assumptions!$G$199:$G$199)/ROUNDUP((Assumptions!$G$32/12),0),0)</f>
        <v>0</v>
      </c>
      <c r="Z114" s="1050">
        <f>+IF(AND(Z113&gt;=Assumptions!$G$31,Z113&lt;Assumptions!$G$33),SUM(Assumptions!$G$199:$G$199)/ROUNDUP((Assumptions!$G$32/12),0),0)</f>
        <v>0</v>
      </c>
      <c r="AA114" s="699"/>
      <c r="AB114" s="699"/>
      <c r="AC114" s="151"/>
      <c r="AD114" s="151"/>
      <c r="AE114" s="151" t="s">
        <v>1121</v>
      </c>
      <c r="AF114" s="151"/>
      <c r="AG114" s="151"/>
      <c r="AH114" s="687">
        <v>0</v>
      </c>
      <c r="AI114" s="687">
        <f>+AH114+AI113</f>
        <v>0</v>
      </c>
      <c r="AJ114" s="687">
        <f t="shared" ref="AJ114:BC114" si="64">+AI114+AJ113</f>
        <v>0</v>
      </c>
      <c r="AK114" s="687">
        <f t="shared" si="64"/>
        <v>0</v>
      </c>
      <c r="AL114" s="687">
        <f t="shared" si="64"/>
        <v>0</v>
      </c>
      <c r="AM114" s="687">
        <f t="shared" si="64"/>
        <v>0</v>
      </c>
      <c r="AN114" s="687">
        <f t="shared" si="64"/>
        <v>0</v>
      </c>
      <c r="AO114" s="687">
        <f t="shared" si="64"/>
        <v>0</v>
      </c>
      <c r="AP114" s="687">
        <f t="shared" si="64"/>
        <v>0</v>
      </c>
      <c r="AQ114" s="687">
        <f t="shared" si="64"/>
        <v>0</v>
      </c>
      <c r="AR114" s="687">
        <f t="shared" si="64"/>
        <v>0</v>
      </c>
      <c r="AS114" s="687">
        <f t="shared" si="64"/>
        <v>0</v>
      </c>
      <c r="AT114" s="687">
        <f t="shared" si="64"/>
        <v>0</v>
      </c>
      <c r="AU114" s="687">
        <f t="shared" si="64"/>
        <v>0</v>
      </c>
      <c r="AV114" s="687">
        <f t="shared" si="64"/>
        <v>0</v>
      </c>
      <c r="AW114" s="687">
        <f t="shared" si="64"/>
        <v>0</v>
      </c>
      <c r="AX114" s="687">
        <f t="shared" si="64"/>
        <v>0</v>
      </c>
      <c r="AY114" s="687">
        <f t="shared" si="64"/>
        <v>0</v>
      </c>
      <c r="AZ114" s="687">
        <f t="shared" si="64"/>
        <v>0</v>
      </c>
      <c r="BA114" s="687">
        <f t="shared" si="64"/>
        <v>0</v>
      </c>
      <c r="BB114" s="687">
        <f t="shared" si="64"/>
        <v>0</v>
      </c>
      <c r="BC114" s="687">
        <f t="shared" si="64"/>
        <v>0</v>
      </c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</row>
    <row r="115" spans="1:76">
      <c r="A115" s="699"/>
      <c r="B115" s="699" t="s">
        <v>1123</v>
      </c>
      <c r="C115" s="699"/>
      <c r="D115" s="699"/>
      <c r="E115" s="1050">
        <v>0</v>
      </c>
      <c r="F115" s="1050">
        <f>+F116-E116</f>
        <v>0</v>
      </c>
      <c r="G115" s="1050">
        <f t="shared" ref="G115:Z115" si="65">+G116-F116</f>
        <v>0</v>
      </c>
      <c r="H115" s="1050">
        <f t="shared" si="65"/>
        <v>0</v>
      </c>
      <c r="I115" s="1050">
        <f t="shared" si="65"/>
        <v>252.55384615384617</v>
      </c>
      <c r="J115" s="1050">
        <f t="shared" si="65"/>
        <v>252.55384615384617</v>
      </c>
      <c r="K115" s="1050">
        <f t="shared" si="65"/>
        <v>0</v>
      </c>
      <c r="L115" s="1050">
        <f t="shared" si="65"/>
        <v>0</v>
      </c>
      <c r="M115" s="1050">
        <f t="shared" si="65"/>
        <v>0</v>
      </c>
      <c r="N115" s="1050">
        <f t="shared" si="65"/>
        <v>0</v>
      </c>
      <c r="O115" s="1050">
        <f t="shared" si="65"/>
        <v>0</v>
      </c>
      <c r="P115" s="1050">
        <f t="shared" si="65"/>
        <v>0</v>
      </c>
      <c r="Q115" s="1050">
        <f t="shared" si="65"/>
        <v>0</v>
      </c>
      <c r="R115" s="1050">
        <f t="shared" si="65"/>
        <v>0</v>
      </c>
      <c r="S115" s="1050">
        <f t="shared" si="65"/>
        <v>0</v>
      </c>
      <c r="T115" s="1050">
        <f t="shared" si="65"/>
        <v>0</v>
      </c>
      <c r="U115" s="1050">
        <f t="shared" si="65"/>
        <v>0</v>
      </c>
      <c r="V115" s="1050">
        <f t="shared" si="65"/>
        <v>0</v>
      </c>
      <c r="W115" s="1050">
        <f t="shared" si="65"/>
        <v>0</v>
      </c>
      <c r="X115" s="1050">
        <f t="shared" si="65"/>
        <v>0</v>
      </c>
      <c r="Y115" s="1050">
        <f t="shared" si="65"/>
        <v>0</v>
      </c>
      <c r="Z115" s="1050">
        <f t="shared" si="65"/>
        <v>0</v>
      </c>
      <c r="AA115" s="699"/>
      <c r="AB115" s="699"/>
      <c r="AC115" s="151"/>
      <c r="AD115" s="151"/>
      <c r="AE115" s="151" t="s">
        <v>1125</v>
      </c>
      <c r="AF115" s="151"/>
      <c r="AG115" s="151"/>
      <c r="AH115" s="151"/>
      <c r="AI115" s="749">
        <f t="shared" ref="AI115:BC115" si="66">+IFERROR(AI114/SUM($AI$113:$BC$113),0)</f>
        <v>0</v>
      </c>
      <c r="AJ115" s="749">
        <f t="shared" si="66"/>
        <v>0</v>
      </c>
      <c r="AK115" s="749">
        <f t="shared" si="66"/>
        <v>0</v>
      </c>
      <c r="AL115" s="749">
        <f t="shared" si="66"/>
        <v>0</v>
      </c>
      <c r="AM115" s="749">
        <f t="shared" si="66"/>
        <v>0</v>
      </c>
      <c r="AN115" s="749">
        <f t="shared" si="66"/>
        <v>0</v>
      </c>
      <c r="AO115" s="749">
        <f t="shared" si="66"/>
        <v>0</v>
      </c>
      <c r="AP115" s="749">
        <f t="shared" si="66"/>
        <v>0</v>
      </c>
      <c r="AQ115" s="749">
        <f t="shared" si="66"/>
        <v>0</v>
      </c>
      <c r="AR115" s="749">
        <f t="shared" si="66"/>
        <v>0</v>
      </c>
      <c r="AS115" s="749">
        <f t="shared" si="66"/>
        <v>0</v>
      </c>
      <c r="AT115" s="749">
        <f t="shared" si="66"/>
        <v>0</v>
      </c>
      <c r="AU115" s="749">
        <f t="shared" si="66"/>
        <v>0</v>
      </c>
      <c r="AV115" s="749">
        <f t="shared" si="66"/>
        <v>0</v>
      </c>
      <c r="AW115" s="749">
        <f t="shared" si="66"/>
        <v>0</v>
      </c>
      <c r="AX115" s="749">
        <f t="shared" si="66"/>
        <v>0</v>
      </c>
      <c r="AY115" s="749">
        <f t="shared" si="66"/>
        <v>0</v>
      </c>
      <c r="AZ115" s="749">
        <f t="shared" si="66"/>
        <v>0</v>
      </c>
      <c r="BA115" s="749">
        <f t="shared" si="66"/>
        <v>0</v>
      </c>
      <c r="BB115" s="749">
        <f t="shared" si="66"/>
        <v>0</v>
      </c>
      <c r="BC115" s="749">
        <f t="shared" si="66"/>
        <v>0</v>
      </c>
      <c r="BD115" s="946">
        <f>+BD100*Assumptions!$AF$264*BD104</f>
        <v>0</v>
      </c>
      <c r="BE115" s="946">
        <f>+BE100*Assumptions!$AF$264*BE104</f>
        <v>0</v>
      </c>
      <c r="BF115" s="946">
        <f>+BF100*Assumptions!$AF$264*BF104</f>
        <v>0</v>
      </c>
      <c r="BG115" s="946">
        <f>+BG100*Assumptions!$AF$264*BG104</f>
        <v>0</v>
      </c>
      <c r="BH115" s="946">
        <f>+BH100*Assumptions!$AF$264*BH104</f>
        <v>0</v>
      </c>
      <c r="BI115" s="946">
        <f>+BI100*Assumptions!$AF$264*BI104</f>
        <v>0</v>
      </c>
      <c r="BJ115" s="946">
        <f>+BJ100*Assumptions!$AF$264*BJ104</f>
        <v>0</v>
      </c>
      <c r="BK115" s="946">
        <f>+BK100*Assumptions!$AF$264*BK104</f>
        <v>0</v>
      </c>
      <c r="BL115" s="946">
        <f>+BL100*Assumptions!$AF$264*BL104</f>
        <v>0</v>
      </c>
      <c r="BM115" s="946">
        <f>+BM100*Assumptions!$AF$264*BM104</f>
        <v>0</v>
      </c>
      <c r="BN115" s="946">
        <f>+BN100*Assumptions!$AF$264*BN104</f>
        <v>0</v>
      </c>
      <c r="BO115" s="946">
        <f>+BO100*Assumptions!$AF$264*BO104</f>
        <v>0</v>
      </c>
      <c r="BP115" s="946">
        <f>+BP100*Assumptions!$AF$264*BP104</f>
        <v>0</v>
      </c>
      <c r="BQ115" s="946">
        <f>+BQ100*Assumptions!$AF$264*BQ104</f>
        <v>0</v>
      </c>
      <c r="BR115" s="151"/>
      <c r="BS115" s="151"/>
      <c r="BT115" s="151"/>
      <c r="BU115" s="151"/>
      <c r="BV115" s="151"/>
      <c r="BW115" s="151"/>
      <c r="BX115" s="151"/>
    </row>
    <row r="116" spans="1:76">
      <c r="A116" s="699"/>
      <c r="B116" s="699" t="s">
        <v>1124</v>
      </c>
      <c r="C116" s="699"/>
      <c r="D116" s="699"/>
      <c r="E116" s="699"/>
      <c r="F116" s="1084">
        <f>+F118*SUM(Assumptions!$O$55:$O$55)</f>
        <v>0</v>
      </c>
      <c r="G116" s="1084">
        <f>+G118*SUM(Assumptions!$O$55:$O$55)</f>
        <v>0</v>
      </c>
      <c r="H116" s="1084">
        <f>+H118*SUM(Assumptions!$O$55:$O$55)</f>
        <v>0</v>
      </c>
      <c r="I116" s="1084">
        <f>+I118*SUM(Assumptions!$O$55:$O$55)</f>
        <v>252.55384615384617</v>
      </c>
      <c r="J116" s="1084">
        <f>+J118*SUM(Assumptions!$O$55:$O$55)</f>
        <v>505.10769230769233</v>
      </c>
      <c r="K116" s="1084">
        <f>+K118*SUM(Assumptions!$O$55:$O$55)</f>
        <v>505.10769230769233</v>
      </c>
      <c r="L116" s="1084">
        <f>+L118*SUM(Assumptions!$O$55:$O$55)</f>
        <v>505.10769230769233</v>
      </c>
      <c r="M116" s="1084">
        <f>+M118*SUM(Assumptions!$O$55:$O$55)</f>
        <v>505.10769230769233</v>
      </c>
      <c r="N116" s="1084">
        <f>+N118*SUM(Assumptions!$O$55:$O$55)</f>
        <v>505.10769230769233</v>
      </c>
      <c r="O116" s="1084">
        <f>+O118*SUM(Assumptions!$O$55:$O$55)</f>
        <v>505.10769230769233</v>
      </c>
      <c r="P116" s="1084">
        <f>+P118*SUM(Assumptions!$O$55:$O$55)</f>
        <v>505.10769230769233</v>
      </c>
      <c r="Q116" s="1084">
        <f>+Q118*SUM(Assumptions!$O$55:$O$55)</f>
        <v>505.10769230769233</v>
      </c>
      <c r="R116" s="1084">
        <f>+R118*SUM(Assumptions!$O$55:$O$55)</f>
        <v>505.10769230769233</v>
      </c>
      <c r="S116" s="1084">
        <f>+S118*SUM(Assumptions!$O$55:$O$55)</f>
        <v>505.10769230769233</v>
      </c>
      <c r="T116" s="1084">
        <f>+T118*SUM(Assumptions!$O$55:$O$55)</f>
        <v>505.10769230769233</v>
      </c>
      <c r="U116" s="1084">
        <f>+U118*SUM(Assumptions!$O$55:$O$55)</f>
        <v>505.10769230769233</v>
      </c>
      <c r="V116" s="1084">
        <f>+V118*SUM(Assumptions!$O$55:$O$55)</f>
        <v>505.10769230769233</v>
      </c>
      <c r="W116" s="1084">
        <f>+W118*SUM(Assumptions!$O$55:$O$55)</f>
        <v>505.10769230769233</v>
      </c>
      <c r="X116" s="1084">
        <f>+X118*SUM(Assumptions!$O$55:$O$55)</f>
        <v>505.10769230769233</v>
      </c>
      <c r="Y116" s="1084">
        <f>+Y118*SUM(Assumptions!$O$55:$O$55)</f>
        <v>505.10769230769233</v>
      </c>
      <c r="Z116" s="1084">
        <f>+Z118*SUM(Assumptions!$O$55:$O$55)</f>
        <v>505.10769230769233</v>
      </c>
      <c r="AA116" s="699"/>
      <c r="AB116" s="699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687">
        <f ca="1">+IFERROR(INDEX('Taxes and TIF'!$AC$11:$AC$45,MATCH('Phase 2 Pro Forma'!M$7,'Taxes and TIF'!$R$11:$R$45,0)),0)*'Loan Sizing'!$K$33*'Phase 2 Pro Forma'!BD101</f>
        <v>0</v>
      </c>
      <c r="BE116" s="687">
        <f ca="1">+IFERROR(INDEX('Taxes and TIF'!$AC$11:$AC$45,MATCH('Phase 2 Pro Forma'!N$7,'Taxes and TIF'!$R$11:$R$45,0)),0)*'Loan Sizing'!$K$33*'Phase 2 Pro Forma'!BE101</f>
        <v>0</v>
      </c>
      <c r="BF116" s="687">
        <f ca="1">+IFERROR(INDEX('Taxes and TIF'!$AC$11:$AC$45,MATCH('Phase 2 Pro Forma'!O$7,'Taxes and TIF'!$R$11:$R$45,0)),0)*'Loan Sizing'!$K$33*'Phase 2 Pro Forma'!BF101</f>
        <v>0</v>
      </c>
      <c r="BG116" s="687">
        <f ca="1">+IFERROR(INDEX('Taxes and TIF'!$AC$11:$AC$45,MATCH('Phase 2 Pro Forma'!P$7,'Taxes and TIF'!$R$11:$R$45,0)),0)*'Loan Sizing'!$K$33*'Phase 2 Pro Forma'!BG101</f>
        <v>0</v>
      </c>
      <c r="BH116" s="687">
        <f ca="1">+IFERROR(INDEX('Taxes and TIF'!$AC$11:$AC$45,MATCH('Phase 2 Pro Forma'!Q$7,'Taxes and TIF'!$R$11:$R$45,0)),0)*'Loan Sizing'!$K$33*'Phase 2 Pro Forma'!BH101</f>
        <v>0</v>
      </c>
      <c r="BI116" s="687">
        <f ca="1">+IFERROR(INDEX('Taxes and TIF'!$AC$11:$AC$45,MATCH('Phase 2 Pro Forma'!R$7,'Taxes and TIF'!$R$11:$R$45,0)),0)*'Loan Sizing'!$K$33*'Phase 2 Pro Forma'!BI101</f>
        <v>0</v>
      </c>
      <c r="BJ116" s="687">
        <f ca="1">+IFERROR(INDEX('Taxes and TIF'!$AC$11:$AC$45,MATCH('Phase 2 Pro Forma'!S$7,'Taxes and TIF'!$R$11:$R$45,0)),0)*'Loan Sizing'!$K$33*'Phase 2 Pro Forma'!BJ101</f>
        <v>0</v>
      </c>
      <c r="BK116" s="687">
        <f ca="1">+IFERROR(INDEX('Taxes and TIF'!$AC$11:$AC$45,MATCH('Phase 2 Pro Forma'!T$7,'Taxes and TIF'!$R$11:$R$45,0)),0)*'Loan Sizing'!$K$33*'Phase 2 Pro Forma'!BK101</f>
        <v>0</v>
      </c>
      <c r="BL116" s="687">
        <f ca="1">+IFERROR(INDEX('Taxes and TIF'!$AC$11:$AC$45,MATCH('Phase 2 Pro Forma'!U$7,'Taxes and TIF'!$R$11:$R$45,0)),0)*'Loan Sizing'!$K$33*'Phase 2 Pro Forma'!BL101</f>
        <v>0</v>
      </c>
      <c r="BM116" s="687">
        <f ca="1">+IFERROR(INDEX('Taxes and TIF'!$AC$11:$AC$45,MATCH('Phase 2 Pro Forma'!V$7,'Taxes and TIF'!$R$11:$R$45,0)),0)*'Loan Sizing'!$K$33*'Phase 2 Pro Forma'!BM101</f>
        <v>0</v>
      </c>
      <c r="BN116" s="687">
        <f ca="1">+IFERROR(INDEX('Taxes and TIF'!$AC$11:$AC$45,MATCH('Phase 2 Pro Forma'!W$7,'Taxes and TIF'!$R$11:$R$45,0)),0)*'Loan Sizing'!$K$33*'Phase 2 Pro Forma'!BN101</f>
        <v>0</v>
      </c>
      <c r="BO116" s="687">
        <f ca="1">+IFERROR(INDEX('Taxes and TIF'!$AC$11:$AC$45,MATCH('Phase 2 Pro Forma'!X$7,'Taxes and TIF'!$R$11:$R$45,0)),0)*'Loan Sizing'!$K$33*'Phase 2 Pro Forma'!BO101</f>
        <v>0</v>
      </c>
      <c r="BP116" s="687">
        <f ca="1">+IFERROR(INDEX('Taxes and TIF'!$AC$11:$AC$45,MATCH('Phase 2 Pro Forma'!Y$7,'Taxes and TIF'!$R$11:$R$45,0)),0)*'Loan Sizing'!$K$33*'Phase 2 Pro Forma'!BP101</f>
        <v>0</v>
      </c>
      <c r="BQ116" s="687">
        <f ca="1">+IFERROR(INDEX('Taxes and TIF'!$AC$11:$AC$45,MATCH('Phase 2 Pro Forma'!Z$7,'Taxes and TIF'!$R$11:$R$45,0)),0)*'Loan Sizing'!$K$33*'Phase 2 Pro Forma'!BQ101</f>
        <v>0</v>
      </c>
      <c r="BR116" s="151"/>
      <c r="BS116" s="151"/>
      <c r="BT116" s="151"/>
      <c r="BU116" s="151"/>
      <c r="BV116" s="151"/>
      <c r="BW116" s="151"/>
      <c r="BX116" s="151"/>
    </row>
    <row r="117" spans="1:76">
      <c r="A117" s="699"/>
      <c r="B117" s="699" t="s">
        <v>1121</v>
      </c>
      <c r="C117" s="699"/>
      <c r="D117" s="699"/>
      <c r="E117" s="699"/>
      <c r="F117" s="1050">
        <f>+E117+F114</f>
        <v>0</v>
      </c>
      <c r="G117" s="1050">
        <f t="shared" ref="G117:Z117" si="67">+F117+G114</f>
        <v>0</v>
      </c>
      <c r="H117" s="1050">
        <f t="shared" si="67"/>
        <v>0</v>
      </c>
      <c r="I117" s="1050">
        <f t="shared" si="67"/>
        <v>82080</v>
      </c>
      <c r="J117" s="1050">
        <f t="shared" si="67"/>
        <v>164160</v>
      </c>
      <c r="K117" s="1050">
        <f t="shared" si="67"/>
        <v>164160</v>
      </c>
      <c r="L117" s="1050">
        <f t="shared" si="67"/>
        <v>164160</v>
      </c>
      <c r="M117" s="1050">
        <f t="shared" si="67"/>
        <v>164160</v>
      </c>
      <c r="N117" s="1050">
        <f t="shared" si="67"/>
        <v>164160</v>
      </c>
      <c r="O117" s="1050">
        <f t="shared" si="67"/>
        <v>164160</v>
      </c>
      <c r="P117" s="1050">
        <f t="shared" si="67"/>
        <v>164160</v>
      </c>
      <c r="Q117" s="1050">
        <f t="shared" si="67"/>
        <v>164160</v>
      </c>
      <c r="R117" s="1050">
        <f t="shared" si="67"/>
        <v>164160</v>
      </c>
      <c r="S117" s="1050">
        <f t="shared" si="67"/>
        <v>164160</v>
      </c>
      <c r="T117" s="1050">
        <f t="shared" si="67"/>
        <v>164160</v>
      </c>
      <c r="U117" s="1050">
        <f t="shared" si="67"/>
        <v>164160</v>
      </c>
      <c r="V117" s="1050">
        <f t="shared" si="67"/>
        <v>164160</v>
      </c>
      <c r="W117" s="1050">
        <f t="shared" si="67"/>
        <v>164160</v>
      </c>
      <c r="X117" s="1050">
        <f t="shared" si="67"/>
        <v>164160</v>
      </c>
      <c r="Y117" s="1050">
        <f t="shared" si="67"/>
        <v>164160</v>
      </c>
      <c r="Z117" s="1050">
        <f t="shared" si="67"/>
        <v>164160</v>
      </c>
      <c r="AA117" s="699"/>
      <c r="AB117" s="699"/>
      <c r="AC117" s="151"/>
      <c r="AD117" s="151"/>
      <c r="AE117" s="151" t="s">
        <v>1126</v>
      </c>
      <c r="AF117" s="151"/>
      <c r="AG117" s="151"/>
      <c r="AH117" s="151"/>
      <c r="AI117" s="749">
        <v>1</v>
      </c>
      <c r="AJ117" s="749">
        <f>+IF(MOD(G$2,Assumptions!$AQ$90)=(Assumptions!$AQ$90-1),'Phase 2 Pro Forma'!AI117*(1+Assumptions!$AQ$89),'Phase 2 Pro Forma'!AI117)</f>
        <v>1</v>
      </c>
      <c r="AK117" s="749">
        <f>+IF(MOD(H$2,Assumptions!$AQ$90)=(Assumptions!$AQ$90-1),'Phase 2 Pro Forma'!AJ117*(1+Assumptions!$AQ$89),'Phase 2 Pro Forma'!AJ117)</f>
        <v>1</v>
      </c>
      <c r="AL117" s="749">
        <f>+IF(MOD(I$2,Assumptions!$AQ$90)=(Assumptions!$AQ$90-1),'Phase 2 Pro Forma'!AK117*(1+Assumptions!$AQ$89),'Phase 2 Pro Forma'!AK117)</f>
        <v>1</v>
      </c>
      <c r="AM117" s="749">
        <f>+IF(MOD(J$2,Assumptions!$AQ$90)=(Assumptions!$AQ$90-1),'Phase 2 Pro Forma'!AL117*(1+Assumptions!$AQ$89),'Phase 2 Pro Forma'!AL117)</f>
        <v>1</v>
      </c>
      <c r="AN117" s="749">
        <f>+IF(MOD(K$2,Assumptions!$AQ$90)=(Assumptions!$AQ$90-1),'Phase 2 Pro Forma'!AM117*(1+Assumptions!$AQ$89),'Phase 2 Pro Forma'!AM117)</f>
        <v>1</v>
      </c>
      <c r="AO117" s="749">
        <f>+IF(MOD(L$2,Assumptions!$AQ$90)=(Assumptions!$AQ$90-1),'Phase 2 Pro Forma'!AN117*(1+Assumptions!$AQ$89),'Phase 2 Pro Forma'!AN117)</f>
        <v>1.1000000000000001</v>
      </c>
      <c r="AP117" s="749">
        <f>+IF(MOD(M$2,Assumptions!$AQ$90)=(Assumptions!$AQ$90-1),'Phase 2 Pro Forma'!AO117*(1+Assumptions!$AQ$89),'Phase 2 Pro Forma'!AO117)</f>
        <v>1.1000000000000001</v>
      </c>
      <c r="AQ117" s="749">
        <f>+IF(MOD(N$2,Assumptions!$AQ$90)=(Assumptions!$AQ$90-1),'Phase 2 Pro Forma'!AP117*(1+Assumptions!$AQ$89),'Phase 2 Pro Forma'!AP117)</f>
        <v>1.1000000000000001</v>
      </c>
      <c r="AR117" s="749">
        <f>+IF(MOD(O$2,Assumptions!$AQ$90)=(Assumptions!$AQ$90-1),'Phase 2 Pro Forma'!AQ117*(1+Assumptions!$AQ$89),'Phase 2 Pro Forma'!AQ117)</f>
        <v>1.1000000000000001</v>
      </c>
      <c r="AS117" s="749">
        <f>+IF(MOD(P$2,Assumptions!$AQ$90)=(Assumptions!$AQ$90-1),'Phase 2 Pro Forma'!AR117*(1+Assumptions!$AQ$89),'Phase 2 Pro Forma'!AR117)</f>
        <v>1.1000000000000001</v>
      </c>
      <c r="AT117" s="749">
        <f>+IF(MOD(Q$2,Assumptions!$AQ$90)=(Assumptions!$AQ$90-1),'Phase 2 Pro Forma'!AS117*(1+Assumptions!$AQ$89),'Phase 2 Pro Forma'!AS117)</f>
        <v>1.2100000000000002</v>
      </c>
      <c r="AU117" s="749">
        <f>+IF(MOD(R$2,Assumptions!$AQ$90)=(Assumptions!$AQ$90-1),'Phase 2 Pro Forma'!AT117*(1+Assumptions!$AQ$89),'Phase 2 Pro Forma'!AT117)</f>
        <v>1.2100000000000002</v>
      </c>
      <c r="AV117" s="749">
        <f>+IF(MOD(S$2,Assumptions!$AQ$90)=(Assumptions!$AQ$90-1),'Phase 2 Pro Forma'!AU117*(1+Assumptions!$AQ$89),'Phase 2 Pro Forma'!AU117)</f>
        <v>1.2100000000000002</v>
      </c>
      <c r="AW117" s="749">
        <f>+IF(MOD(T$2,Assumptions!$AQ$90)=(Assumptions!$AQ$90-1),'Phase 2 Pro Forma'!AV117*(1+Assumptions!$AQ$89),'Phase 2 Pro Forma'!AV117)</f>
        <v>1.2100000000000002</v>
      </c>
      <c r="AX117" s="749">
        <f>+IF(MOD(U$2,Assumptions!$AQ$90)=(Assumptions!$AQ$90-1),'Phase 2 Pro Forma'!AW117*(1+Assumptions!$AQ$89),'Phase 2 Pro Forma'!AW117)</f>
        <v>1.2100000000000002</v>
      </c>
      <c r="AY117" s="749">
        <f>+IF(MOD(V$2,Assumptions!$AQ$90)=(Assumptions!$AQ$90-1),'Phase 2 Pro Forma'!AX117*(1+Assumptions!$AQ$89),'Phase 2 Pro Forma'!AX117)</f>
        <v>1.3310000000000004</v>
      </c>
      <c r="AZ117" s="749">
        <f>+IF(MOD(W$2,Assumptions!$AQ$90)=(Assumptions!$AQ$90-1),'Phase 2 Pro Forma'!AY117*(1+Assumptions!$AQ$89),'Phase 2 Pro Forma'!AY117)</f>
        <v>1.3310000000000004</v>
      </c>
      <c r="BA117" s="749">
        <f>+IF(MOD(X$2,Assumptions!$AQ$90)=(Assumptions!$AQ$90-1),'Phase 2 Pro Forma'!AZ117*(1+Assumptions!$AQ$89),'Phase 2 Pro Forma'!AZ117)</f>
        <v>1.3310000000000004</v>
      </c>
      <c r="BB117" s="749">
        <f>+IF(MOD(Y$2,Assumptions!$AQ$90)=(Assumptions!$AQ$90-1),'Phase 2 Pro Forma'!BA117*(1+Assumptions!$AQ$89),'Phase 2 Pro Forma'!BA117)</f>
        <v>1.3310000000000004</v>
      </c>
      <c r="BC117" s="749">
        <f>+IF(MOD(Z$2,Assumptions!$AQ$90)=(Assumptions!$AQ$90-1),'Phase 2 Pro Forma'!BB117*(1+Assumptions!$AQ$89),'Phase 2 Pro Forma'!BB117)</f>
        <v>1.3310000000000004</v>
      </c>
      <c r="BD117" s="946">
        <f t="shared" ref="BD117:BQ117" ca="1" si="68">+SUM(BD115:BD116)</f>
        <v>0</v>
      </c>
      <c r="BE117" s="946">
        <f t="shared" ca="1" si="68"/>
        <v>0</v>
      </c>
      <c r="BF117" s="946">
        <f t="shared" ca="1" si="68"/>
        <v>0</v>
      </c>
      <c r="BG117" s="946">
        <f t="shared" ca="1" si="68"/>
        <v>0</v>
      </c>
      <c r="BH117" s="946">
        <f t="shared" ca="1" si="68"/>
        <v>0</v>
      </c>
      <c r="BI117" s="946">
        <f t="shared" ca="1" si="68"/>
        <v>0</v>
      </c>
      <c r="BJ117" s="946">
        <f t="shared" ca="1" si="68"/>
        <v>0</v>
      </c>
      <c r="BK117" s="946">
        <f t="shared" ca="1" si="68"/>
        <v>0</v>
      </c>
      <c r="BL117" s="946">
        <f t="shared" ca="1" si="68"/>
        <v>0</v>
      </c>
      <c r="BM117" s="946">
        <f t="shared" ca="1" si="68"/>
        <v>0</v>
      </c>
      <c r="BN117" s="946">
        <f t="shared" ca="1" si="68"/>
        <v>0</v>
      </c>
      <c r="BO117" s="946">
        <f t="shared" ca="1" si="68"/>
        <v>0</v>
      </c>
      <c r="BP117" s="946">
        <f t="shared" ca="1" si="68"/>
        <v>0</v>
      </c>
      <c r="BQ117" s="946">
        <f t="shared" ca="1" si="68"/>
        <v>0</v>
      </c>
      <c r="BR117" s="151"/>
      <c r="BS117" s="151"/>
      <c r="BT117" s="151"/>
      <c r="BU117" s="151"/>
      <c r="BV117" s="151"/>
      <c r="BW117" s="151"/>
      <c r="BX117" s="151"/>
    </row>
    <row r="118" spans="1:76">
      <c r="A118" s="699"/>
      <c r="B118" s="699" t="s">
        <v>1125</v>
      </c>
      <c r="C118" s="699"/>
      <c r="D118" s="699"/>
      <c r="E118" s="699"/>
      <c r="F118" s="1074">
        <f>+IFERROR(F117/SUM($F$114:$Z$114),0)</f>
        <v>0</v>
      </c>
      <c r="G118" s="1074">
        <f t="shared" ref="G118:Z118" si="69">+IFERROR(G117/SUM($F$114:$Z$114),0)</f>
        <v>0</v>
      </c>
      <c r="H118" s="1074">
        <f t="shared" si="69"/>
        <v>0</v>
      </c>
      <c r="I118" s="1074">
        <f t="shared" si="69"/>
        <v>0.5</v>
      </c>
      <c r="J118" s="1074">
        <f t="shared" si="69"/>
        <v>1</v>
      </c>
      <c r="K118" s="1074">
        <f t="shared" si="69"/>
        <v>1</v>
      </c>
      <c r="L118" s="1074">
        <f t="shared" si="69"/>
        <v>1</v>
      </c>
      <c r="M118" s="1074">
        <f t="shared" si="69"/>
        <v>1</v>
      </c>
      <c r="N118" s="1074">
        <f t="shared" si="69"/>
        <v>1</v>
      </c>
      <c r="O118" s="1074">
        <f t="shared" si="69"/>
        <v>1</v>
      </c>
      <c r="P118" s="1074">
        <f t="shared" si="69"/>
        <v>1</v>
      </c>
      <c r="Q118" s="1074">
        <f t="shared" si="69"/>
        <v>1</v>
      </c>
      <c r="R118" s="1074">
        <f t="shared" si="69"/>
        <v>1</v>
      </c>
      <c r="S118" s="1074">
        <f t="shared" si="69"/>
        <v>1</v>
      </c>
      <c r="T118" s="1074">
        <f t="shared" si="69"/>
        <v>1</v>
      </c>
      <c r="U118" s="1074">
        <f t="shared" si="69"/>
        <v>1</v>
      </c>
      <c r="V118" s="1074">
        <f t="shared" si="69"/>
        <v>1</v>
      </c>
      <c r="W118" s="1074">
        <f t="shared" si="69"/>
        <v>1</v>
      </c>
      <c r="X118" s="1074">
        <f t="shared" si="69"/>
        <v>1</v>
      </c>
      <c r="Y118" s="1074">
        <f t="shared" si="69"/>
        <v>1</v>
      </c>
      <c r="Z118" s="1074">
        <f t="shared" si="69"/>
        <v>1</v>
      </c>
      <c r="AA118" s="699"/>
      <c r="AB118" s="699"/>
      <c r="AC118" s="151"/>
      <c r="AD118" s="151"/>
      <c r="AE118" s="151" t="s">
        <v>1127</v>
      </c>
      <c r="AF118" s="151"/>
      <c r="AG118" s="151"/>
      <c r="AH118" s="151"/>
      <c r="AI118" s="749">
        <v>1</v>
      </c>
      <c r="AJ118" s="749">
        <f>+AI118*(1+Assumptions!$AQ$100)</f>
        <v>1.03</v>
      </c>
      <c r="AK118" s="749">
        <f>+AJ118*(1+Assumptions!$AQ$100)</f>
        <v>1.0609</v>
      </c>
      <c r="AL118" s="749">
        <f>+AK118*(1+Assumptions!$AQ$100)</f>
        <v>1.092727</v>
      </c>
      <c r="AM118" s="749">
        <f>+AL118*(1+Assumptions!$AQ$100)</f>
        <v>1.1255088100000001</v>
      </c>
      <c r="AN118" s="749">
        <f>+AM118*(1+Assumptions!$AQ$100)</f>
        <v>1.1592740743000001</v>
      </c>
      <c r="AO118" s="749">
        <f>+AN118*(1+Assumptions!$AQ$100)</f>
        <v>1.1940522965290001</v>
      </c>
      <c r="AP118" s="749">
        <f>+AO118*(1+Assumptions!$AQ$100)</f>
        <v>1.2298738654248702</v>
      </c>
      <c r="AQ118" s="749">
        <f>+AP118*(1+Assumptions!$AQ$100)</f>
        <v>1.2667700813876164</v>
      </c>
      <c r="AR118" s="749">
        <f>+AQ118*(1+Assumptions!$AQ$100)</f>
        <v>1.3047731838292449</v>
      </c>
      <c r="AS118" s="749">
        <f>+AR118*(1+Assumptions!$AQ$100)</f>
        <v>1.3439163793441222</v>
      </c>
      <c r="AT118" s="749">
        <f>+AS118*(1+Assumptions!$AQ$100)</f>
        <v>1.3842338707244459</v>
      </c>
      <c r="AU118" s="749">
        <f>+AT118*(1+Assumptions!$AQ$100)</f>
        <v>1.4257608868461793</v>
      </c>
      <c r="AV118" s="749">
        <f>+AU118*(1+Assumptions!$AQ$100)</f>
        <v>1.4685337134515648</v>
      </c>
      <c r="AW118" s="749">
        <f>+AV118*(1+Assumptions!$AQ$100)</f>
        <v>1.5125897248551119</v>
      </c>
      <c r="AX118" s="749">
        <f>+AW118*(1+Assumptions!$AQ$100)</f>
        <v>1.5579674166007653</v>
      </c>
      <c r="AY118" s="749">
        <f>+AX118*(1+Assumptions!$AQ$100)</f>
        <v>1.6047064390987884</v>
      </c>
      <c r="AZ118" s="749">
        <f>+AY118*(1+Assumptions!$AQ$100)</f>
        <v>1.652847632271752</v>
      </c>
      <c r="BA118" s="749">
        <f>+AZ118*(1+Assumptions!$AQ$100)</f>
        <v>1.7024330612399046</v>
      </c>
      <c r="BB118" s="749">
        <f>+BA118*(1+Assumptions!$AQ$100)</f>
        <v>1.7535060530771018</v>
      </c>
      <c r="BC118" s="749">
        <f>+BB118*(1+Assumptions!$AQ$100)</f>
        <v>1.806111234669415</v>
      </c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</row>
    <row r="119" spans="1:76" ht="15.75">
      <c r="A119" s="699"/>
      <c r="B119" s="699"/>
      <c r="C119" s="699"/>
      <c r="D119" s="699"/>
      <c r="E119" s="699"/>
      <c r="F119" s="699"/>
      <c r="G119" s="699"/>
      <c r="H119" s="699"/>
      <c r="I119" s="699"/>
      <c r="J119" s="699"/>
      <c r="K119" s="699"/>
      <c r="L119" s="699"/>
      <c r="M119" s="699"/>
      <c r="N119" s="699"/>
      <c r="O119" s="699"/>
      <c r="P119" s="699"/>
      <c r="Q119" s="699"/>
      <c r="R119" s="699"/>
      <c r="S119" s="699"/>
      <c r="T119" s="699"/>
      <c r="U119" s="699"/>
      <c r="V119" s="699"/>
      <c r="W119" s="699"/>
      <c r="X119" s="699"/>
      <c r="Y119" s="699"/>
      <c r="Z119" s="699"/>
      <c r="AA119" s="699"/>
      <c r="AB119" s="699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948">
        <f t="shared" ref="BD119:BQ119" ca="1" si="70">+BD113-BD117</f>
        <v>0</v>
      </c>
      <c r="BE119" s="948">
        <f t="shared" ca="1" si="70"/>
        <v>0</v>
      </c>
      <c r="BF119" s="948">
        <f t="shared" ca="1" si="70"/>
        <v>0</v>
      </c>
      <c r="BG119" s="948">
        <f t="shared" ca="1" si="70"/>
        <v>0</v>
      </c>
      <c r="BH119" s="948">
        <f t="shared" ca="1" si="70"/>
        <v>0</v>
      </c>
      <c r="BI119" s="948">
        <f t="shared" ca="1" si="70"/>
        <v>0</v>
      </c>
      <c r="BJ119" s="948">
        <f t="shared" ca="1" si="70"/>
        <v>0</v>
      </c>
      <c r="BK119" s="948">
        <f t="shared" ca="1" si="70"/>
        <v>0</v>
      </c>
      <c r="BL119" s="948">
        <f t="shared" ca="1" si="70"/>
        <v>0</v>
      </c>
      <c r="BM119" s="948">
        <f t="shared" ca="1" si="70"/>
        <v>0</v>
      </c>
      <c r="BN119" s="948">
        <f t="shared" ca="1" si="70"/>
        <v>0</v>
      </c>
      <c r="BO119" s="948">
        <f t="shared" ca="1" si="70"/>
        <v>0</v>
      </c>
      <c r="BP119" s="948">
        <f t="shared" ca="1" si="70"/>
        <v>0</v>
      </c>
      <c r="BQ119" s="948">
        <f t="shared" ca="1" si="70"/>
        <v>0</v>
      </c>
      <c r="BR119" s="151"/>
      <c r="BS119" s="151"/>
      <c r="BT119" s="151"/>
      <c r="BU119" s="151"/>
      <c r="BV119" s="151"/>
      <c r="BW119" s="151"/>
      <c r="BX119" s="151"/>
    </row>
    <row r="120" spans="1:76">
      <c r="A120" s="699"/>
      <c r="B120" s="699" t="s">
        <v>1126</v>
      </c>
      <c r="C120" s="699"/>
      <c r="D120" s="699"/>
      <c r="E120" s="699"/>
      <c r="F120" s="1074">
        <v>1</v>
      </c>
      <c r="G120" s="1074">
        <f>+F120*(1+Assumptions!$O$77)</f>
        <v>1.03</v>
      </c>
      <c r="H120" s="1074">
        <f>+G120*(1+Assumptions!$O$77)</f>
        <v>1.0609</v>
      </c>
      <c r="I120" s="1074">
        <f>+H120*(1+Assumptions!$O$77)</f>
        <v>1.092727</v>
      </c>
      <c r="J120" s="1074">
        <f>+I120*(1+Assumptions!$O$77)</f>
        <v>1.1255088100000001</v>
      </c>
      <c r="K120" s="1074">
        <f>+J120*(1+Assumptions!$O$77)</f>
        <v>1.1592740743000001</v>
      </c>
      <c r="L120" s="1074">
        <f>+K120*(1+Assumptions!$O$77)</f>
        <v>1.1940522965290001</v>
      </c>
      <c r="M120" s="1074">
        <f>+L120*(1+Assumptions!$O$77)</f>
        <v>1.2298738654248702</v>
      </c>
      <c r="N120" s="1074">
        <f>+M120*(1+Assumptions!$O$77)</f>
        <v>1.2667700813876164</v>
      </c>
      <c r="O120" s="1074">
        <f>+N120*(1+Assumptions!$O$77)</f>
        <v>1.3047731838292449</v>
      </c>
      <c r="P120" s="1074">
        <f>+O120*(1+Assumptions!$O$77)</f>
        <v>1.3439163793441222</v>
      </c>
      <c r="Q120" s="1074">
        <f>+P120*(1+Assumptions!$O$77)</f>
        <v>1.3842338707244459</v>
      </c>
      <c r="R120" s="1074">
        <f>+Q120*(1+Assumptions!$O$77)</f>
        <v>1.4257608868461793</v>
      </c>
      <c r="S120" s="1074">
        <f>+R120*(1+Assumptions!$O$77)</f>
        <v>1.4685337134515648</v>
      </c>
      <c r="T120" s="1074">
        <f>+S120*(1+Assumptions!$O$77)</f>
        <v>1.5125897248551119</v>
      </c>
      <c r="U120" s="1074">
        <f>+T120*(1+Assumptions!$O$77)</f>
        <v>1.5579674166007653</v>
      </c>
      <c r="V120" s="1074">
        <f>+U120*(1+Assumptions!$O$77)</f>
        <v>1.6047064390987884</v>
      </c>
      <c r="W120" s="1074">
        <f>+V120*(1+Assumptions!$O$77)</f>
        <v>1.652847632271752</v>
      </c>
      <c r="X120" s="1074">
        <f>+W120*(1+Assumptions!$O$77)</f>
        <v>1.7024330612399046</v>
      </c>
      <c r="Y120" s="1074">
        <f>+X120*(1+Assumptions!$O$77)</f>
        <v>1.7535060530771018</v>
      </c>
      <c r="Z120" s="1074">
        <f>+Y120*(1+Assumptions!$O$77)</f>
        <v>1.806111234669415</v>
      </c>
      <c r="AA120" s="699"/>
      <c r="AB120" s="699"/>
      <c r="AC120" s="151"/>
      <c r="AD120" s="151"/>
      <c r="AE120" s="151" t="s">
        <v>1128</v>
      </c>
      <c r="AF120" s="151"/>
      <c r="AG120" s="151"/>
      <c r="AH120" s="151"/>
      <c r="AI120" s="822">
        <f>+AI115*Assumptions!$AF$231*AI117</f>
        <v>0</v>
      </c>
      <c r="AJ120" s="822">
        <f>+AJ115*Assumptions!$AF$231*AJ117</f>
        <v>0</v>
      </c>
      <c r="AK120" s="822">
        <f>+AK115*Assumptions!$AF$231*AK117</f>
        <v>0</v>
      </c>
      <c r="AL120" s="822">
        <f>+AL115*Assumptions!$AF$231*AL117</f>
        <v>0</v>
      </c>
      <c r="AM120" s="822">
        <f>+AM115*Assumptions!$AF$231*AM117</f>
        <v>0</v>
      </c>
      <c r="AN120" s="822">
        <f>+AN115*Assumptions!$AF$231*AN117</f>
        <v>0</v>
      </c>
      <c r="AO120" s="822">
        <f>+AO115*Assumptions!$AF$231*AO117</f>
        <v>0</v>
      </c>
      <c r="AP120" s="822">
        <f>+AP115*Assumptions!$AF$231*AP117</f>
        <v>0</v>
      </c>
      <c r="AQ120" s="822">
        <f>+AQ115*Assumptions!$AF$231*AQ117</f>
        <v>0</v>
      </c>
      <c r="AR120" s="822">
        <f>+AR115*Assumptions!$AF$231*AR117</f>
        <v>0</v>
      </c>
      <c r="AS120" s="822">
        <f>+AS115*Assumptions!$AF$231*AS117</f>
        <v>0</v>
      </c>
      <c r="AT120" s="822">
        <f>+AT115*Assumptions!$AF$231*AT117</f>
        <v>0</v>
      </c>
      <c r="AU120" s="822">
        <f>+AU115*Assumptions!$AF$231*AU117</f>
        <v>0</v>
      </c>
      <c r="AV120" s="822">
        <f>+AV115*Assumptions!$AF$231*AV117</f>
        <v>0</v>
      </c>
      <c r="AW120" s="822">
        <f>+AW115*Assumptions!$AF$231*AW117</f>
        <v>0</v>
      </c>
      <c r="AX120" s="822">
        <f>+AX115*Assumptions!$AF$231*AX117</f>
        <v>0</v>
      </c>
      <c r="AY120" s="822">
        <f>+AY115*Assumptions!$AF$231*AY117</f>
        <v>0</v>
      </c>
      <c r="AZ120" s="822">
        <f>+AZ115*Assumptions!$AF$231*AZ117</f>
        <v>0</v>
      </c>
      <c r="BA120" s="822">
        <f>+BA115*Assumptions!$AF$231*BA117</f>
        <v>0</v>
      </c>
      <c r="BB120" s="822">
        <f>+BB115*Assumptions!$AF$231*BB117</f>
        <v>0</v>
      </c>
      <c r="BC120" s="822">
        <f>+BC115*Assumptions!$AF$231*BC117</f>
        <v>0</v>
      </c>
      <c r="BD120" s="973" t="str">
        <f t="shared" ref="BD120:BQ120" ca="1" si="71">+IFERROR(BD119/BD113,"")</f>
        <v/>
      </c>
      <c r="BE120" s="973" t="str">
        <f t="shared" ca="1" si="71"/>
        <v/>
      </c>
      <c r="BF120" s="973" t="str">
        <f t="shared" ca="1" si="71"/>
        <v/>
      </c>
      <c r="BG120" s="973" t="str">
        <f t="shared" ca="1" si="71"/>
        <v/>
      </c>
      <c r="BH120" s="973" t="str">
        <f t="shared" ca="1" si="71"/>
        <v/>
      </c>
      <c r="BI120" s="973" t="str">
        <f t="shared" ca="1" si="71"/>
        <v/>
      </c>
      <c r="BJ120" s="973" t="str">
        <f t="shared" ca="1" si="71"/>
        <v/>
      </c>
      <c r="BK120" s="973" t="str">
        <f t="shared" ca="1" si="71"/>
        <v/>
      </c>
      <c r="BL120" s="973" t="str">
        <f t="shared" ca="1" si="71"/>
        <v/>
      </c>
      <c r="BM120" s="973" t="str">
        <f t="shared" ca="1" si="71"/>
        <v/>
      </c>
      <c r="BN120" s="973" t="str">
        <f t="shared" ca="1" si="71"/>
        <v/>
      </c>
      <c r="BO120" s="973" t="str">
        <f t="shared" ca="1" si="71"/>
        <v/>
      </c>
      <c r="BP120" s="973" t="str">
        <f t="shared" ca="1" si="71"/>
        <v/>
      </c>
      <c r="BQ120" s="973" t="str">
        <f t="shared" ca="1" si="71"/>
        <v/>
      </c>
      <c r="BR120" s="151"/>
      <c r="BS120" s="151"/>
      <c r="BT120" s="151"/>
      <c r="BU120" s="151"/>
      <c r="BV120" s="151"/>
      <c r="BW120" s="151"/>
      <c r="BX120" s="151"/>
    </row>
    <row r="121" spans="1:76">
      <c r="A121" s="699"/>
      <c r="B121" s="699" t="s">
        <v>1127</v>
      </c>
      <c r="C121" s="699"/>
      <c r="D121" s="699"/>
      <c r="E121" s="699"/>
      <c r="F121" s="1074">
        <v>1</v>
      </c>
      <c r="G121" s="1074">
        <f>+F121*(1+Assumptions!$O$85)</f>
        <v>1.03</v>
      </c>
      <c r="H121" s="1074">
        <f>+G121*(1+Assumptions!$O$85)</f>
        <v>1.0609</v>
      </c>
      <c r="I121" s="1074">
        <f>+H121*(1+Assumptions!$O$85)</f>
        <v>1.092727</v>
      </c>
      <c r="J121" s="1074">
        <f>+I121*(1+Assumptions!$O$85)</f>
        <v>1.1255088100000001</v>
      </c>
      <c r="K121" s="1074">
        <f>+J121*(1+Assumptions!$O$85)</f>
        <v>1.1592740743000001</v>
      </c>
      <c r="L121" s="1074">
        <f>+K121*(1+Assumptions!$O$85)</f>
        <v>1.1940522965290001</v>
      </c>
      <c r="M121" s="1074">
        <f>+L121*(1+Assumptions!$O$85)</f>
        <v>1.2298738654248702</v>
      </c>
      <c r="N121" s="1074">
        <f>+M121*(1+Assumptions!$O$85)</f>
        <v>1.2667700813876164</v>
      </c>
      <c r="O121" s="1074">
        <f>+N121*(1+Assumptions!$O$85)</f>
        <v>1.3047731838292449</v>
      </c>
      <c r="P121" s="1074">
        <f>+O121*(1+Assumptions!$O$85)</f>
        <v>1.3439163793441222</v>
      </c>
      <c r="Q121" s="1074">
        <f>+P121*(1+Assumptions!$O$85)</f>
        <v>1.3842338707244459</v>
      </c>
      <c r="R121" s="1074">
        <f>+Q121*(1+Assumptions!$O$85)</f>
        <v>1.4257608868461793</v>
      </c>
      <c r="S121" s="1074">
        <f>+R121*(1+Assumptions!$O$85)</f>
        <v>1.4685337134515648</v>
      </c>
      <c r="T121" s="1074">
        <f>+S121*(1+Assumptions!$O$85)</f>
        <v>1.5125897248551119</v>
      </c>
      <c r="U121" s="1074">
        <f>+T121*(1+Assumptions!$O$85)</f>
        <v>1.5579674166007653</v>
      </c>
      <c r="V121" s="1074">
        <f>+U121*(1+Assumptions!$O$85)</f>
        <v>1.6047064390987884</v>
      </c>
      <c r="W121" s="1074">
        <f>+V121*(1+Assumptions!$O$85)</f>
        <v>1.652847632271752</v>
      </c>
      <c r="X121" s="1074">
        <f>+W121*(1+Assumptions!$O$85)</f>
        <v>1.7024330612399046</v>
      </c>
      <c r="Y121" s="1074">
        <f>+X121*(1+Assumptions!$O$85)</f>
        <v>1.7535060530771018</v>
      </c>
      <c r="Z121" s="1074">
        <f>+Y121*(1+Assumptions!$O$85)</f>
        <v>1.806111234669415</v>
      </c>
      <c r="AA121" s="699"/>
      <c r="AB121" s="699"/>
      <c r="AC121" s="151"/>
      <c r="AD121" s="151"/>
      <c r="AE121" s="151" t="s">
        <v>1130</v>
      </c>
      <c r="AF121" s="151"/>
      <c r="AG121" s="151"/>
      <c r="AH121" s="151"/>
      <c r="AI121" s="972">
        <f>-AI120*Assumptions!$AQ$80</f>
        <v>0</v>
      </c>
      <c r="AJ121" s="972">
        <f>-AJ120*Assumptions!$AQ$80</f>
        <v>0</v>
      </c>
      <c r="AK121" s="972">
        <f>-AK120*Assumptions!$AQ$80</f>
        <v>0</v>
      </c>
      <c r="AL121" s="972">
        <f>-AL120*Assumptions!$AQ$80</f>
        <v>0</v>
      </c>
      <c r="AM121" s="972">
        <f>-AM120*Assumptions!$AQ$80</f>
        <v>0</v>
      </c>
      <c r="AN121" s="972">
        <f>-AN120*Assumptions!$AQ$80</f>
        <v>0</v>
      </c>
      <c r="AO121" s="972">
        <f>-AO120*Assumptions!$AQ$80</f>
        <v>0</v>
      </c>
      <c r="AP121" s="972">
        <f>-AP120*Assumptions!$AQ$80</f>
        <v>0</v>
      </c>
      <c r="AQ121" s="972">
        <f>-AQ120*Assumptions!$AQ$80</f>
        <v>0</v>
      </c>
      <c r="AR121" s="972">
        <f>-AR120*Assumptions!$AQ$80</f>
        <v>0</v>
      </c>
      <c r="AS121" s="972">
        <f>-AS120*Assumptions!$AQ$80</f>
        <v>0</v>
      </c>
      <c r="AT121" s="972">
        <f>-AT120*Assumptions!$AQ$80</f>
        <v>0</v>
      </c>
      <c r="AU121" s="972">
        <f>-AU120*Assumptions!$AQ$80</f>
        <v>0</v>
      </c>
      <c r="AV121" s="972">
        <f>-AV120*Assumptions!$AQ$80</f>
        <v>0</v>
      </c>
      <c r="AW121" s="972">
        <f>-AW120*Assumptions!$AQ$80</f>
        <v>0</v>
      </c>
      <c r="AX121" s="972">
        <f>-AX120*Assumptions!$AQ$80</f>
        <v>0</v>
      </c>
      <c r="AY121" s="972">
        <f>-AY120*Assumptions!$AQ$80</f>
        <v>0</v>
      </c>
      <c r="AZ121" s="972">
        <f>-AZ120*Assumptions!$AQ$80</f>
        <v>0</v>
      </c>
      <c r="BA121" s="972">
        <f>-BA120*Assumptions!$AQ$80</f>
        <v>0</v>
      </c>
      <c r="BB121" s="972">
        <f>-BB120*Assumptions!$AQ$80</f>
        <v>0</v>
      </c>
      <c r="BC121" s="972">
        <f>-BC120*Assumptions!$AQ$80</f>
        <v>0</v>
      </c>
      <c r="BD121" s="974">
        <f ca="1">+BD119/Assumptions!$AF$34</f>
        <v>0</v>
      </c>
      <c r="BE121" s="974">
        <f ca="1">+BE119/Assumptions!$AF$34</f>
        <v>0</v>
      </c>
      <c r="BF121" s="974">
        <f ca="1">+BF119/Assumptions!$AF$34</f>
        <v>0</v>
      </c>
      <c r="BG121" s="974">
        <f ca="1">+BG119/Assumptions!$AF$34</f>
        <v>0</v>
      </c>
      <c r="BH121" s="974">
        <f ca="1">+BH119/Assumptions!$AF$34</f>
        <v>0</v>
      </c>
      <c r="BI121" s="974">
        <f ca="1">+BI119/Assumptions!$AF$34</f>
        <v>0</v>
      </c>
      <c r="BJ121" s="974">
        <f ca="1">+BJ119/Assumptions!$AF$34</f>
        <v>0</v>
      </c>
      <c r="BK121" s="974">
        <f ca="1">+BK119/Assumptions!$AF$34</f>
        <v>0</v>
      </c>
      <c r="BL121" s="974">
        <f ca="1">+BL119/Assumptions!$AF$34</f>
        <v>0</v>
      </c>
      <c r="BM121" s="974">
        <f ca="1">+BM119/Assumptions!$AF$34</f>
        <v>0</v>
      </c>
      <c r="BN121" s="974">
        <f ca="1">+BN119/Assumptions!$AF$34</f>
        <v>0</v>
      </c>
      <c r="BO121" s="974">
        <f ca="1">+BO119/Assumptions!$AF$34</f>
        <v>0</v>
      </c>
      <c r="BP121" s="974">
        <f ca="1">+BP119/Assumptions!$AF$34</f>
        <v>0</v>
      </c>
      <c r="BQ121" s="974">
        <f ca="1">+BQ119/Assumptions!$AF$34</f>
        <v>0</v>
      </c>
      <c r="BR121" s="151"/>
      <c r="BS121" s="151"/>
      <c r="BT121" s="151"/>
      <c r="BU121" s="151"/>
      <c r="BV121" s="151"/>
      <c r="BW121" s="151"/>
      <c r="BX121" s="151"/>
    </row>
    <row r="122" spans="1:76">
      <c r="A122" s="699"/>
      <c r="B122" s="699"/>
      <c r="C122" s="699"/>
      <c r="D122" s="699"/>
      <c r="E122" s="699"/>
      <c r="F122" s="699"/>
      <c r="G122" s="699"/>
      <c r="H122" s="699"/>
      <c r="I122" s="699"/>
      <c r="J122" s="699"/>
      <c r="K122" s="699"/>
      <c r="L122" s="699"/>
      <c r="M122" s="699"/>
      <c r="N122" s="699"/>
      <c r="O122" s="699"/>
      <c r="P122" s="699"/>
      <c r="Q122" s="699"/>
      <c r="R122" s="699"/>
      <c r="S122" s="699"/>
      <c r="T122" s="699"/>
      <c r="U122" s="699"/>
      <c r="V122" s="699"/>
      <c r="W122" s="699"/>
      <c r="X122" s="699"/>
      <c r="Y122" s="699"/>
      <c r="Z122" s="699"/>
      <c r="AA122" s="699"/>
      <c r="AB122" s="699"/>
      <c r="AC122" s="151"/>
      <c r="AD122" s="151"/>
      <c r="AE122" s="151" t="s">
        <v>1139</v>
      </c>
      <c r="AF122" s="151"/>
      <c r="AG122" s="151"/>
      <c r="AH122" s="151"/>
      <c r="AI122" s="972">
        <f ca="1">+AI127*Assumptions!$AQ$108</f>
        <v>0</v>
      </c>
      <c r="AJ122" s="972">
        <f ca="1">+AJ127*Assumptions!$AQ$108</f>
        <v>0</v>
      </c>
      <c r="AK122" s="972">
        <f ca="1">+AK127*Assumptions!$AQ$108</f>
        <v>0</v>
      </c>
      <c r="AL122" s="972">
        <f ca="1">+AL127*Assumptions!$AQ$108</f>
        <v>0</v>
      </c>
      <c r="AM122" s="972">
        <f ca="1">+AM127*Assumptions!$AQ$108</f>
        <v>0</v>
      </c>
      <c r="AN122" s="972">
        <f ca="1">+AN127*Assumptions!$AQ$108</f>
        <v>0</v>
      </c>
      <c r="AO122" s="972">
        <f ca="1">+AO127*Assumptions!$AQ$108</f>
        <v>0</v>
      </c>
      <c r="AP122" s="972">
        <f ca="1">+AP127*Assumptions!$AQ$108</f>
        <v>0</v>
      </c>
      <c r="AQ122" s="972">
        <f ca="1">+AQ127*Assumptions!$AQ$108</f>
        <v>0</v>
      </c>
      <c r="AR122" s="972">
        <f ca="1">+AR127*Assumptions!$AQ$108</f>
        <v>0</v>
      </c>
      <c r="AS122" s="972">
        <f ca="1">+AS127*Assumptions!$AQ$108</f>
        <v>0</v>
      </c>
      <c r="AT122" s="972">
        <f ca="1">+AT127*Assumptions!$AQ$108</f>
        <v>0</v>
      </c>
      <c r="AU122" s="972">
        <f ca="1">+AU127*Assumptions!$AQ$108</f>
        <v>0</v>
      </c>
      <c r="AV122" s="972">
        <f ca="1">+AV127*Assumptions!$AQ$108</f>
        <v>0</v>
      </c>
      <c r="AW122" s="972">
        <f ca="1">+AW127*Assumptions!$AQ$108</f>
        <v>0</v>
      </c>
      <c r="AX122" s="972">
        <f ca="1">+AX127*Assumptions!$AQ$108</f>
        <v>0</v>
      </c>
      <c r="AY122" s="972">
        <f ca="1">+AY127*Assumptions!$AQ$108</f>
        <v>0</v>
      </c>
      <c r="AZ122" s="972">
        <f ca="1">+AZ127*Assumptions!$AQ$108</f>
        <v>0</v>
      </c>
      <c r="BA122" s="972">
        <f ca="1">+BA127*Assumptions!$AQ$108</f>
        <v>0</v>
      </c>
      <c r="BB122" s="972">
        <f ca="1">+BB127*Assumptions!$AQ$108</f>
        <v>0</v>
      </c>
      <c r="BC122" s="972">
        <f ca="1">+BC127*Assumptions!$AQ$108</f>
        <v>0</v>
      </c>
      <c r="BD122" s="974"/>
      <c r="BE122" s="974"/>
      <c r="BF122" s="974"/>
      <c r="BG122" s="974"/>
      <c r="BH122" s="974"/>
      <c r="BI122" s="974"/>
      <c r="BJ122" s="974"/>
      <c r="BK122" s="974"/>
      <c r="BL122" s="974"/>
      <c r="BM122" s="974"/>
      <c r="BN122" s="974"/>
      <c r="BO122" s="974"/>
      <c r="BP122" s="974"/>
      <c r="BQ122" s="974"/>
      <c r="BR122" s="151"/>
      <c r="BS122" s="151"/>
      <c r="BT122" s="151"/>
      <c r="BU122" s="151"/>
      <c r="BV122" s="151"/>
      <c r="BW122" s="151"/>
      <c r="BX122" s="151"/>
    </row>
    <row r="123" spans="1:76" ht="15.75">
      <c r="A123" s="699" t="s">
        <v>881</v>
      </c>
      <c r="B123" s="699" t="s">
        <v>1128</v>
      </c>
      <c r="C123" s="699"/>
      <c r="D123" s="699"/>
      <c r="E123" s="699"/>
      <c r="F123" s="1028">
        <f>+F118*Assumptions!$G$198*F120</f>
        <v>0</v>
      </c>
      <c r="G123" s="1028">
        <f>+G118*Assumptions!$G$198*G120</f>
        <v>0</v>
      </c>
      <c r="H123" s="1028">
        <f>+H118*Assumptions!$G$198*H120</f>
        <v>0</v>
      </c>
      <c r="I123" s="1028">
        <f>+I118*Assumptions!$G$198*I120</f>
        <v>1080244.1870061634</v>
      </c>
      <c r="J123" s="1028">
        <f>+J118*Assumptions!$G$198*J120</f>
        <v>2225303.0252326969</v>
      </c>
      <c r="K123" s="1028">
        <f>+K118*Assumptions!$G$198*K120</f>
        <v>2292062.1159896776</v>
      </c>
      <c r="L123" s="1028">
        <f>+L118*Assumptions!$G$198*L120</f>
        <v>2360823.9794693682</v>
      </c>
      <c r="M123" s="1028">
        <f>+M118*Assumptions!$G$198*M120</f>
        <v>2431648.6988534494</v>
      </c>
      <c r="N123" s="1028">
        <f>+N118*Assumptions!$G$198*N120</f>
        <v>2504598.159819053</v>
      </c>
      <c r="O123" s="1028">
        <f>+O118*Assumptions!$G$198*O120</f>
        <v>2579736.1046136245</v>
      </c>
      <c r="P123" s="1028">
        <f>+P118*Assumptions!$G$198*P120</f>
        <v>2657128.1877520336</v>
      </c>
      <c r="Q123" s="1028">
        <f>+Q118*Assumptions!$G$198*Q120</f>
        <v>2736842.0333845946</v>
      </c>
      <c r="R123" s="1028">
        <f>+R118*Assumptions!$G$198*R120</f>
        <v>2818947.2943861322</v>
      </c>
      <c r="S123" s="1028">
        <f>+S118*Assumptions!$G$198*S120</f>
        <v>2903515.7132177167</v>
      </c>
      <c r="T123" s="1028">
        <f>+T118*Assumptions!$G$198*T120</f>
        <v>2990621.1846142481</v>
      </c>
      <c r="U123" s="1028">
        <f>+U118*Assumptions!$G$198*U120</f>
        <v>3080339.8201526757</v>
      </c>
      <c r="V123" s="1028">
        <f>+V118*Assumptions!$G$198*V120</f>
        <v>3172750.0147572565</v>
      </c>
      <c r="W123" s="1028">
        <f>+W118*Assumptions!$G$198*W120</f>
        <v>3267932.5151999742</v>
      </c>
      <c r="X123" s="1028">
        <f>+X118*Assumptions!$G$198*X120</f>
        <v>3365970.4906559731</v>
      </c>
      <c r="Y123" s="1028">
        <f>+Y118*Assumptions!$G$198*Y120</f>
        <v>3466949.6053756527</v>
      </c>
      <c r="Z123" s="1028">
        <f>+Z118*Assumptions!$G$198*Z120</f>
        <v>3570958.0935369227</v>
      </c>
      <c r="AA123" s="699"/>
      <c r="AB123" s="699"/>
      <c r="AC123" s="151"/>
      <c r="AD123" s="151"/>
      <c r="AE123" s="151" t="s">
        <v>1131</v>
      </c>
      <c r="AF123" s="151"/>
      <c r="AG123" s="151"/>
      <c r="AH123" s="151"/>
      <c r="AI123" s="822">
        <f ca="1">SUM(AI120:AI122)</f>
        <v>0</v>
      </c>
      <c r="AJ123" s="822">
        <f t="shared" ref="AJ123:BC123" ca="1" si="72">SUM(AJ120:AJ122)</f>
        <v>0</v>
      </c>
      <c r="AK123" s="822">
        <f t="shared" ca="1" si="72"/>
        <v>0</v>
      </c>
      <c r="AL123" s="822">
        <f t="shared" ca="1" si="72"/>
        <v>0</v>
      </c>
      <c r="AM123" s="822">
        <f t="shared" ca="1" si="72"/>
        <v>0</v>
      </c>
      <c r="AN123" s="822">
        <f t="shared" ca="1" si="72"/>
        <v>0</v>
      </c>
      <c r="AO123" s="822">
        <f t="shared" ca="1" si="72"/>
        <v>0</v>
      </c>
      <c r="AP123" s="822">
        <f t="shared" ca="1" si="72"/>
        <v>0</v>
      </c>
      <c r="AQ123" s="822">
        <f t="shared" ca="1" si="72"/>
        <v>0</v>
      </c>
      <c r="AR123" s="822">
        <f t="shared" ca="1" si="72"/>
        <v>0</v>
      </c>
      <c r="AS123" s="822">
        <f t="shared" ca="1" si="72"/>
        <v>0</v>
      </c>
      <c r="AT123" s="822">
        <f t="shared" ca="1" si="72"/>
        <v>0</v>
      </c>
      <c r="AU123" s="822">
        <f t="shared" ca="1" si="72"/>
        <v>0</v>
      </c>
      <c r="AV123" s="822">
        <f t="shared" ca="1" si="72"/>
        <v>0</v>
      </c>
      <c r="AW123" s="822">
        <f t="shared" ca="1" si="72"/>
        <v>0</v>
      </c>
      <c r="AX123" s="822">
        <f t="shared" ca="1" si="72"/>
        <v>0</v>
      </c>
      <c r="AY123" s="822">
        <f t="shared" ca="1" si="72"/>
        <v>0</v>
      </c>
      <c r="AZ123" s="822">
        <f t="shared" ca="1" si="72"/>
        <v>0</v>
      </c>
      <c r="BA123" s="822">
        <f t="shared" ca="1" si="72"/>
        <v>0</v>
      </c>
      <c r="BB123" s="822">
        <f t="shared" ca="1" si="72"/>
        <v>0</v>
      </c>
      <c r="BC123" s="822">
        <f t="shared" ca="1" si="72"/>
        <v>0</v>
      </c>
      <c r="BD123" s="971">
        <v>0</v>
      </c>
      <c r="BE123" s="971">
        <f t="shared" ref="BE123:BQ123" si="73">+EOMONTH(BD123,12)</f>
        <v>397</v>
      </c>
      <c r="BF123" s="971">
        <f t="shared" si="73"/>
        <v>762</v>
      </c>
      <c r="BG123" s="971">
        <f t="shared" si="73"/>
        <v>1127</v>
      </c>
      <c r="BH123" s="971">
        <f t="shared" si="73"/>
        <v>1492</v>
      </c>
      <c r="BI123" s="971">
        <f t="shared" si="73"/>
        <v>1858</v>
      </c>
      <c r="BJ123" s="971">
        <f t="shared" si="73"/>
        <v>2223</v>
      </c>
      <c r="BK123" s="971">
        <f t="shared" si="73"/>
        <v>2588</v>
      </c>
      <c r="BL123" s="971">
        <f t="shared" si="73"/>
        <v>2953</v>
      </c>
      <c r="BM123" s="971">
        <f t="shared" si="73"/>
        <v>3319</v>
      </c>
      <c r="BN123" s="971">
        <f t="shared" si="73"/>
        <v>3684</v>
      </c>
      <c r="BO123" s="971">
        <f t="shared" si="73"/>
        <v>4049</v>
      </c>
      <c r="BP123" s="971">
        <f t="shared" si="73"/>
        <v>4414</v>
      </c>
      <c r="BQ123" s="971">
        <f t="shared" si="73"/>
        <v>4780</v>
      </c>
      <c r="BR123" s="151"/>
      <c r="BS123" s="151"/>
      <c r="BT123" s="151"/>
      <c r="BU123" s="151"/>
      <c r="BV123" s="151"/>
      <c r="BW123" s="151"/>
      <c r="BX123" s="151"/>
    </row>
    <row r="124" spans="1:76">
      <c r="A124" s="699"/>
      <c r="B124" s="699" t="s">
        <v>1130</v>
      </c>
      <c r="C124" s="699"/>
      <c r="D124" s="699"/>
      <c r="E124" s="699"/>
      <c r="F124" s="1085">
        <f>-F123*Assumptions!$O$65</f>
        <v>0</v>
      </c>
      <c r="G124" s="1085">
        <f>-G123*Assumptions!$O$65</f>
        <v>0</v>
      </c>
      <c r="H124" s="1085">
        <f>-H123*Assumptions!$O$65</f>
        <v>0</v>
      </c>
      <c r="I124" s="1085">
        <f>-I123*Assumptions!$O$65</f>
        <v>-108024.41870061634</v>
      </c>
      <c r="J124" s="1085">
        <f>-J123*Assumptions!$O$65</f>
        <v>-222530.3025232697</v>
      </c>
      <c r="K124" s="1085">
        <f>-K123*Assumptions!$O$65</f>
        <v>-229206.21159896778</v>
      </c>
      <c r="L124" s="1085">
        <f>-L123*Assumptions!$O$65</f>
        <v>-236082.39794693684</v>
      </c>
      <c r="M124" s="1085">
        <f>-M123*Assumptions!$O$65</f>
        <v>-243164.86988534496</v>
      </c>
      <c r="N124" s="1085">
        <f>-N123*Assumptions!$O$65</f>
        <v>-250459.81598190533</v>
      </c>
      <c r="O124" s="1085">
        <f>-O123*Assumptions!$O$65</f>
        <v>-257973.61046136246</v>
      </c>
      <c r="P124" s="1085">
        <f>-P123*Assumptions!$O$65</f>
        <v>-265712.81877520337</v>
      </c>
      <c r="Q124" s="1085">
        <f>-Q123*Assumptions!$O$65</f>
        <v>-273684.20333845948</v>
      </c>
      <c r="R124" s="1085">
        <f>-R123*Assumptions!$O$65</f>
        <v>-281894.72943861323</v>
      </c>
      <c r="S124" s="1085">
        <f>-S123*Assumptions!$O$65</f>
        <v>-290351.57132177165</v>
      </c>
      <c r="T124" s="1085">
        <f>-T123*Assumptions!$O$65</f>
        <v>-299062.11846142483</v>
      </c>
      <c r="U124" s="1085">
        <f>-U123*Assumptions!$O$65</f>
        <v>-308033.9820152676</v>
      </c>
      <c r="V124" s="1085">
        <f>-V123*Assumptions!$O$65</f>
        <v>-317275.00147572567</v>
      </c>
      <c r="W124" s="1085">
        <f>-W123*Assumptions!$O$65</f>
        <v>-326793.25151999743</v>
      </c>
      <c r="X124" s="1085">
        <f>-X123*Assumptions!$O$65</f>
        <v>-336597.04906559736</v>
      </c>
      <c r="Y124" s="1085">
        <f>-Y123*Assumptions!$O$65</f>
        <v>-346694.96053756529</v>
      </c>
      <c r="Z124" s="1085">
        <f>-Z123*Assumptions!$O$65</f>
        <v>-357095.80935369228</v>
      </c>
      <c r="AA124" s="699"/>
      <c r="AB124" s="699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687">
        <f>+IF(AND(BD123&gt;=Assumptions!$G$31,BD123&lt;Assumptions!$G$33),Assumptions!$AF$116/ROUNDUP((Assumptions!$G$32/12),0),)</f>
        <v>0</v>
      </c>
      <c r="BE124" s="687">
        <f>+IF(AND(BE123&gt;=Assumptions!$G$31,BE123&lt;Assumptions!$G$33),Assumptions!$AF$116/ROUNDUP((Assumptions!$G$32/12),0),)</f>
        <v>0</v>
      </c>
      <c r="BF124" s="687">
        <f>+IF(AND(BF123&gt;=Assumptions!$G$31,BF123&lt;Assumptions!$G$33),Assumptions!$AF$116/ROUNDUP((Assumptions!$G$32/12),0),)</f>
        <v>0</v>
      </c>
      <c r="BG124" s="687">
        <f>+IF(AND(BG123&gt;=Assumptions!$G$31,BG123&lt;Assumptions!$G$33),Assumptions!$AF$116/ROUNDUP((Assumptions!$G$32/12),0),)</f>
        <v>0</v>
      </c>
      <c r="BH124" s="687">
        <f>+IF(AND(BH123&gt;=Assumptions!$G$31,BH123&lt;Assumptions!$G$33),Assumptions!$AF$116/ROUNDUP((Assumptions!$G$32/12),0),)</f>
        <v>0</v>
      </c>
      <c r="BI124" s="687">
        <f>+IF(AND(BI123&gt;=Assumptions!$G$31,BI123&lt;Assumptions!$G$33),Assumptions!$AF$116/ROUNDUP((Assumptions!$G$32/12),0),)</f>
        <v>0</v>
      </c>
      <c r="BJ124" s="687">
        <f>+IF(AND(BJ123&gt;=Assumptions!$G$31,BJ123&lt;Assumptions!$G$33),Assumptions!$AF$116/ROUNDUP((Assumptions!$G$32/12),0),)</f>
        <v>0</v>
      </c>
      <c r="BK124" s="687">
        <f>+IF(AND(BK123&gt;=Assumptions!$G$31,BK123&lt;Assumptions!$G$33),Assumptions!$AF$116/ROUNDUP((Assumptions!$G$32/12),0),)</f>
        <v>0</v>
      </c>
      <c r="BL124" s="687">
        <f>+IF(AND(BL123&gt;=Assumptions!$G$31,BL123&lt;Assumptions!$G$33),Assumptions!$AF$116/ROUNDUP((Assumptions!$G$32/12),0),)</f>
        <v>0</v>
      </c>
      <c r="BM124" s="687">
        <f>+IF(AND(BM123&gt;=Assumptions!$G$31,BM123&lt;Assumptions!$G$33),Assumptions!$AF$116/ROUNDUP((Assumptions!$G$32/12),0),)</f>
        <v>0</v>
      </c>
      <c r="BN124" s="687">
        <f>+IF(AND(BN123&gt;=Assumptions!$G$31,BN123&lt;Assumptions!$G$33),Assumptions!$AF$116/ROUNDUP((Assumptions!$G$32/12),0),)</f>
        <v>0</v>
      </c>
      <c r="BO124" s="687">
        <f>+IF(AND(BO123&gt;=Assumptions!$G$31,BO123&lt;Assumptions!$G$33),Assumptions!$AF$116/ROUNDUP((Assumptions!$G$32/12),0),)</f>
        <v>0</v>
      </c>
      <c r="BP124" s="687">
        <f>+IF(AND(BP123&gt;=Assumptions!$G$31,BP123&lt;Assumptions!$G$33),Assumptions!$AF$116/ROUNDUP((Assumptions!$G$32/12),0),)</f>
        <v>0</v>
      </c>
      <c r="BQ124" s="687">
        <f>+IF(AND(BQ123&gt;=Assumptions!$G$31,BQ123&lt;Assumptions!$G$33),Assumptions!$AF$116/ROUNDUP((Assumptions!$G$32/12),0),)</f>
        <v>0</v>
      </c>
      <c r="BR124" s="151"/>
      <c r="BS124" s="151"/>
      <c r="BT124" s="151"/>
      <c r="BU124" s="151"/>
      <c r="BV124" s="151"/>
      <c r="BW124" s="151"/>
      <c r="BX124" s="151"/>
    </row>
    <row r="125" spans="1:76">
      <c r="A125" s="699"/>
      <c r="B125" s="52" t="s">
        <v>1131</v>
      </c>
      <c r="C125" s="1052"/>
      <c r="D125" s="1052"/>
      <c r="E125" s="1052"/>
      <c r="F125" s="1086">
        <f>SUM(F123:F124)</f>
        <v>0</v>
      </c>
      <c r="G125" s="1086">
        <f t="shared" ref="G125:Z125" si="74">SUM(G123:G124)</f>
        <v>0</v>
      </c>
      <c r="H125" s="1086">
        <f t="shared" si="74"/>
        <v>0</v>
      </c>
      <c r="I125" s="1086">
        <f t="shared" si="74"/>
        <v>972219.76830554707</v>
      </c>
      <c r="J125" s="1086">
        <f t="shared" si="74"/>
        <v>2002772.7227094271</v>
      </c>
      <c r="K125" s="1086">
        <f t="shared" si="74"/>
        <v>2062855.9043907099</v>
      </c>
      <c r="L125" s="1086">
        <f t="shared" si="74"/>
        <v>2124741.5815224312</v>
      </c>
      <c r="M125" s="1086">
        <f t="shared" si="74"/>
        <v>2188483.8289681044</v>
      </c>
      <c r="N125" s="1086">
        <f t="shared" si="74"/>
        <v>2254138.3438371476</v>
      </c>
      <c r="O125" s="1086">
        <f t="shared" si="74"/>
        <v>2321762.4941522619</v>
      </c>
      <c r="P125" s="1086">
        <f t="shared" si="74"/>
        <v>2391415.36897683</v>
      </c>
      <c r="Q125" s="1086">
        <f t="shared" si="74"/>
        <v>2463157.830046135</v>
      </c>
      <c r="R125" s="1086">
        <f t="shared" si="74"/>
        <v>2537052.564947519</v>
      </c>
      <c r="S125" s="1086">
        <f t="shared" si="74"/>
        <v>2613164.1418959452</v>
      </c>
      <c r="T125" s="1086">
        <f t="shared" si="74"/>
        <v>2691559.0661528232</v>
      </c>
      <c r="U125" s="1086">
        <f t="shared" si="74"/>
        <v>2772305.8381374083</v>
      </c>
      <c r="V125" s="1086">
        <f t="shared" si="74"/>
        <v>2855475.0132815307</v>
      </c>
      <c r="W125" s="1086">
        <f t="shared" si="74"/>
        <v>2941139.2636799766</v>
      </c>
      <c r="X125" s="1086">
        <f t="shared" si="74"/>
        <v>3029373.4415903757</v>
      </c>
      <c r="Y125" s="1086">
        <f t="shared" si="74"/>
        <v>3120254.6448380873</v>
      </c>
      <c r="Z125" s="1086">
        <f t="shared" si="74"/>
        <v>3213862.2841832303</v>
      </c>
      <c r="AA125" s="699"/>
      <c r="AB125" s="699"/>
      <c r="AC125" s="151"/>
      <c r="AD125" s="151"/>
      <c r="AE125" s="151" t="s">
        <v>1132</v>
      </c>
      <c r="AF125" s="151"/>
      <c r="AG125" s="151"/>
      <c r="AH125" s="151"/>
      <c r="AI125" s="946">
        <f>+AI114*Assumptions!$AQ$106*AI118</f>
        <v>0</v>
      </c>
      <c r="AJ125" s="946">
        <f>+AJ114*Assumptions!$AQ$106*AJ118</f>
        <v>0</v>
      </c>
      <c r="AK125" s="946">
        <f>+AK114*Assumptions!$AQ$106*AK118</f>
        <v>0</v>
      </c>
      <c r="AL125" s="946">
        <f>+AL114*Assumptions!$AQ$106*AL118</f>
        <v>0</v>
      </c>
      <c r="AM125" s="946">
        <f>+AM114*Assumptions!$AQ$106*AM118</f>
        <v>0</v>
      </c>
      <c r="AN125" s="946">
        <f>+AN114*Assumptions!$AQ$106*AN118</f>
        <v>0</v>
      </c>
      <c r="AO125" s="946">
        <f>+AO114*Assumptions!$AQ$106*AO118</f>
        <v>0</v>
      </c>
      <c r="AP125" s="946">
        <f>+AP114*Assumptions!$AQ$106*AP118</f>
        <v>0</v>
      </c>
      <c r="AQ125" s="946">
        <f>+AQ114*Assumptions!$AQ$106*AQ118</f>
        <v>0</v>
      </c>
      <c r="AR125" s="946">
        <f>+AR114*Assumptions!$AQ$106*AR118</f>
        <v>0</v>
      </c>
      <c r="AS125" s="946">
        <f>+AS114*Assumptions!$AQ$106*AS118</f>
        <v>0</v>
      </c>
      <c r="AT125" s="946">
        <f>+AT114*Assumptions!$AQ$106*AT118</f>
        <v>0</v>
      </c>
      <c r="AU125" s="946">
        <f>+AU114*Assumptions!$AQ$106*AU118</f>
        <v>0</v>
      </c>
      <c r="AV125" s="946">
        <f>+AV114*Assumptions!$AQ$106*AV118</f>
        <v>0</v>
      </c>
      <c r="AW125" s="946">
        <f>+AW114*Assumptions!$AQ$106*AW118</f>
        <v>0</v>
      </c>
      <c r="AX125" s="946">
        <f>+AX114*Assumptions!$AQ$106*AX118</f>
        <v>0</v>
      </c>
      <c r="AY125" s="946">
        <f>+AY114*Assumptions!$AQ$106*AY118</f>
        <v>0</v>
      </c>
      <c r="AZ125" s="946">
        <f>+AZ114*Assumptions!$AQ$106*AZ118</f>
        <v>0</v>
      </c>
      <c r="BA125" s="946">
        <f>+BA114*Assumptions!$AQ$106*BA118</f>
        <v>0</v>
      </c>
      <c r="BB125" s="946">
        <f>+BB114*Assumptions!$AQ$106*BB118</f>
        <v>0</v>
      </c>
      <c r="BC125" s="946">
        <f>+BC114*Assumptions!$AQ$106*BC118</f>
        <v>0</v>
      </c>
      <c r="BD125" s="687">
        <v>0</v>
      </c>
      <c r="BE125" s="687">
        <f t="shared" ref="BE125:BQ125" si="75">+BD125+BE124</f>
        <v>0</v>
      </c>
      <c r="BF125" s="687">
        <f t="shared" si="75"/>
        <v>0</v>
      </c>
      <c r="BG125" s="687">
        <f t="shared" si="75"/>
        <v>0</v>
      </c>
      <c r="BH125" s="687">
        <f t="shared" si="75"/>
        <v>0</v>
      </c>
      <c r="BI125" s="687">
        <f t="shared" si="75"/>
        <v>0</v>
      </c>
      <c r="BJ125" s="687">
        <f t="shared" si="75"/>
        <v>0</v>
      </c>
      <c r="BK125" s="687">
        <f t="shared" si="75"/>
        <v>0</v>
      </c>
      <c r="BL125" s="687">
        <f t="shared" si="75"/>
        <v>0</v>
      </c>
      <c r="BM125" s="687">
        <f t="shared" si="75"/>
        <v>0</v>
      </c>
      <c r="BN125" s="687">
        <f t="shared" si="75"/>
        <v>0</v>
      </c>
      <c r="BO125" s="687">
        <f t="shared" si="75"/>
        <v>0</v>
      </c>
      <c r="BP125" s="687">
        <f t="shared" si="75"/>
        <v>0</v>
      </c>
      <c r="BQ125" s="687">
        <f t="shared" si="75"/>
        <v>0</v>
      </c>
      <c r="BR125" s="151"/>
      <c r="BS125" s="151"/>
      <c r="BT125" s="151"/>
      <c r="BU125" s="151"/>
      <c r="BV125" s="151"/>
      <c r="BW125" s="151"/>
      <c r="BX125" s="151"/>
    </row>
    <row r="126" spans="1:76">
      <c r="A126" s="699"/>
      <c r="B126" s="49"/>
      <c r="C126" s="699"/>
      <c r="D126" s="699"/>
      <c r="E126" s="699"/>
      <c r="F126" s="699"/>
      <c r="G126" s="699"/>
      <c r="H126" s="699"/>
      <c r="I126" s="699"/>
      <c r="J126" s="699"/>
      <c r="K126" s="699"/>
      <c r="L126" s="699"/>
      <c r="M126" s="699"/>
      <c r="N126" s="699"/>
      <c r="O126" s="699"/>
      <c r="P126" s="699"/>
      <c r="Q126" s="699"/>
      <c r="R126" s="699"/>
      <c r="S126" s="699"/>
      <c r="T126" s="699"/>
      <c r="U126" s="699"/>
      <c r="V126" s="699"/>
      <c r="W126" s="699"/>
      <c r="X126" s="699"/>
      <c r="Y126" s="699"/>
      <c r="Z126" s="699"/>
      <c r="AA126" s="699"/>
      <c r="AB126" s="699"/>
      <c r="AC126" s="151"/>
      <c r="AD126" s="151"/>
      <c r="AE126" s="151" t="s">
        <v>1133</v>
      </c>
      <c r="AF126" s="151"/>
      <c r="AG126" s="151"/>
      <c r="AH126" s="151"/>
      <c r="AI126" s="687">
        <f ca="1">+IFERROR(INDEX('Taxes and TIF'!$AC$11:$AC$45,MATCH('Phase 2 Pro Forma'!F$7,'Taxes and TIF'!$R$11:$R$45,0)),0)*'Loan Sizing'!$K$28*'Phase 2 Pro Forma'!AI115</f>
        <v>0</v>
      </c>
      <c r="AJ126" s="687">
        <f ca="1">+IFERROR(INDEX('Taxes and TIF'!$AC$11:$AC$45,MATCH('Phase 2 Pro Forma'!G$7,'Taxes and TIF'!$R$11:$R$45,0)),0)*'Loan Sizing'!$K$28*'Phase 2 Pro Forma'!AJ115</f>
        <v>0</v>
      </c>
      <c r="AK126" s="687">
        <f ca="1">+IFERROR(INDEX('Taxes and TIF'!$AC$11:$AC$45,MATCH('Phase 2 Pro Forma'!H$7,'Taxes and TIF'!$R$11:$R$45,0)),0)*'Loan Sizing'!$K$28*'Phase 2 Pro Forma'!AK115</f>
        <v>0</v>
      </c>
      <c r="AL126" s="687">
        <f ca="1">+IFERROR(INDEX('Taxes and TIF'!$AC$11:$AC$45,MATCH('Phase 2 Pro Forma'!I$7,'Taxes and TIF'!$R$11:$R$45,0)),0)*'Loan Sizing'!$K$28*'Phase 2 Pro Forma'!AL115</f>
        <v>0</v>
      </c>
      <c r="AM126" s="687">
        <f ca="1">+IFERROR(INDEX('Taxes and TIF'!$AC$11:$AC$45,MATCH('Phase 2 Pro Forma'!J$7,'Taxes and TIF'!$R$11:$R$45,0)),0)*'Loan Sizing'!$K$28*'Phase 2 Pro Forma'!AM115</f>
        <v>0</v>
      </c>
      <c r="AN126" s="687">
        <f ca="1">+IFERROR(INDEX('Taxes and TIF'!$AC$11:$AC$45,MATCH('Phase 2 Pro Forma'!K$7,'Taxes and TIF'!$R$11:$R$45,0)),0)*'Loan Sizing'!$K$28*'Phase 2 Pro Forma'!AN115</f>
        <v>0</v>
      </c>
      <c r="AO126" s="687">
        <f ca="1">+IFERROR(INDEX('Taxes and TIF'!$AC$11:$AC$45,MATCH('Phase 2 Pro Forma'!L$7,'Taxes and TIF'!$R$11:$R$45,0)),0)*'Loan Sizing'!$K$28*'Phase 2 Pro Forma'!AO115</f>
        <v>0</v>
      </c>
      <c r="AP126" s="687">
        <f ca="1">+IFERROR(INDEX('Taxes and TIF'!$AC$11:$AC$45,MATCH('Phase 2 Pro Forma'!M$7,'Taxes and TIF'!$R$11:$R$45,0)),0)*'Loan Sizing'!$K$28*'Phase 2 Pro Forma'!AP115</f>
        <v>0</v>
      </c>
      <c r="AQ126" s="687">
        <f ca="1">+IFERROR(INDEX('Taxes and TIF'!$AC$11:$AC$45,MATCH('Phase 2 Pro Forma'!N$7,'Taxes and TIF'!$R$11:$R$45,0)),0)*'Loan Sizing'!$K$28*'Phase 2 Pro Forma'!AQ115</f>
        <v>0</v>
      </c>
      <c r="AR126" s="687">
        <f ca="1">+IFERROR(INDEX('Taxes and TIF'!$AC$11:$AC$45,MATCH('Phase 2 Pro Forma'!O$7,'Taxes and TIF'!$R$11:$R$45,0)),0)*'Loan Sizing'!$K$28*'Phase 2 Pro Forma'!AR115</f>
        <v>0</v>
      </c>
      <c r="AS126" s="687">
        <f ca="1">+IFERROR(INDEX('Taxes and TIF'!$AC$11:$AC$45,MATCH('Phase 2 Pro Forma'!P$7,'Taxes and TIF'!$R$11:$R$45,0)),0)*'Loan Sizing'!$K$28*'Phase 2 Pro Forma'!AS115</f>
        <v>0</v>
      </c>
      <c r="AT126" s="687">
        <f ca="1">+IFERROR(INDEX('Taxes and TIF'!$AC$11:$AC$45,MATCH('Phase 2 Pro Forma'!Q$7,'Taxes and TIF'!$R$11:$R$45,0)),0)*'Loan Sizing'!$K$28*'Phase 2 Pro Forma'!AT115</f>
        <v>0</v>
      </c>
      <c r="AU126" s="687">
        <f ca="1">+IFERROR(INDEX('Taxes and TIF'!$AC$11:$AC$45,MATCH('Phase 2 Pro Forma'!R$7,'Taxes and TIF'!$R$11:$R$45,0)),0)*'Loan Sizing'!$K$28*'Phase 2 Pro Forma'!AU115</f>
        <v>0</v>
      </c>
      <c r="AV126" s="687">
        <f ca="1">+IFERROR(INDEX('Taxes and TIF'!$AC$11:$AC$45,MATCH('Phase 2 Pro Forma'!S$7,'Taxes and TIF'!$R$11:$R$45,0)),0)*'Loan Sizing'!$K$28*'Phase 2 Pro Forma'!AV115</f>
        <v>0</v>
      </c>
      <c r="AW126" s="687">
        <f ca="1">+IFERROR(INDEX('Taxes and TIF'!$AC$11:$AC$45,MATCH('Phase 2 Pro Forma'!T$7,'Taxes and TIF'!$R$11:$R$45,0)),0)*'Loan Sizing'!$K$28*'Phase 2 Pro Forma'!AW115</f>
        <v>0</v>
      </c>
      <c r="AX126" s="687">
        <f ca="1">+IFERROR(INDEX('Taxes and TIF'!$AC$11:$AC$45,MATCH('Phase 2 Pro Forma'!U$7,'Taxes and TIF'!$R$11:$R$45,0)),0)*'Loan Sizing'!$K$28*'Phase 2 Pro Forma'!AX115</f>
        <v>0</v>
      </c>
      <c r="AY126" s="687">
        <f ca="1">+IFERROR(INDEX('Taxes and TIF'!$AC$11:$AC$45,MATCH('Phase 2 Pro Forma'!V$7,'Taxes and TIF'!$R$11:$R$45,0)),0)*'Loan Sizing'!$K$28*'Phase 2 Pro Forma'!AY115</f>
        <v>0</v>
      </c>
      <c r="AZ126" s="687">
        <f ca="1">+IFERROR(INDEX('Taxes and TIF'!$AC$11:$AC$45,MATCH('Phase 2 Pro Forma'!W$7,'Taxes and TIF'!$R$11:$R$45,0)),0)*'Loan Sizing'!$K$28*'Phase 2 Pro Forma'!AZ115</f>
        <v>0</v>
      </c>
      <c r="BA126" s="687">
        <f ca="1">+IFERROR(INDEX('Taxes and TIF'!$AC$11:$AC$45,MATCH('Phase 2 Pro Forma'!X$7,'Taxes and TIF'!$R$11:$R$45,0)),0)*'Loan Sizing'!$K$28*'Phase 2 Pro Forma'!BA115</f>
        <v>0</v>
      </c>
      <c r="BB126" s="687">
        <f ca="1">+IFERROR(INDEX('Taxes and TIF'!$AC$11:$AC$45,MATCH('Phase 2 Pro Forma'!Y$7,'Taxes and TIF'!$R$11:$R$45,0)),0)*'Loan Sizing'!$K$28*'Phase 2 Pro Forma'!BB115</f>
        <v>0</v>
      </c>
      <c r="BC126" s="687">
        <f ca="1">+IFERROR(INDEX('Taxes and TIF'!$AC$11:$AC$45,MATCH('Phase 2 Pro Forma'!Z$7,'Taxes and TIF'!$R$11:$R$45,0)),0)*'Loan Sizing'!$K$28*'Phase 2 Pro Forma'!BC115</f>
        <v>0</v>
      </c>
      <c r="BD126" s="975">
        <v>0</v>
      </c>
      <c r="BE126" s="975">
        <f t="shared" ref="BE126:BQ126" si="76">+BE127-BD127</f>
        <v>0</v>
      </c>
      <c r="BF126" s="975">
        <f t="shared" si="76"/>
        <v>0</v>
      </c>
      <c r="BG126" s="975">
        <f t="shared" si="76"/>
        <v>0</v>
      </c>
      <c r="BH126" s="975">
        <f t="shared" si="76"/>
        <v>0</v>
      </c>
      <c r="BI126" s="975">
        <f t="shared" si="76"/>
        <v>0</v>
      </c>
      <c r="BJ126" s="975">
        <f t="shared" si="76"/>
        <v>0</v>
      </c>
      <c r="BK126" s="975">
        <f t="shared" si="76"/>
        <v>0</v>
      </c>
      <c r="BL126" s="975">
        <f t="shared" si="76"/>
        <v>0</v>
      </c>
      <c r="BM126" s="975">
        <f t="shared" si="76"/>
        <v>0</v>
      </c>
      <c r="BN126" s="975">
        <f t="shared" si="76"/>
        <v>0</v>
      </c>
      <c r="BO126" s="975">
        <f t="shared" si="76"/>
        <v>0</v>
      </c>
      <c r="BP126" s="975">
        <f t="shared" si="76"/>
        <v>0</v>
      </c>
      <c r="BQ126" s="975">
        <f t="shared" si="76"/>
        <v>0</v>
      </c>
      <c r="BR126" s="151"/>
      <c r="BS126" s="151"/>
      <c r="BT126" s="151"/>
      <c r="BU126" s="151"/>
      <c r="BV126" s="151"/>
      <c r="BW126" s="151"/>
      <c r="BX126" s="151"/>
    </row>
    <row r="127" spans="1:76">
      <c r="A127" s="699"/>
      <c r="B127" s="699" t="s">
        <v>1132</v>
      </c>
      <c r="C127" s="699"/>
      <c r="D127" s="699"/>
      <c r="E127" s="699"/>
      <c r="F127" s="1087">
        <f>+F116*Assumptions!$O$100*F121</f>
        <v>0</v>
      </c>
      <c r="G127" s="1087">
        <f>+G116*Assumptions!$O$100*G121</f>
        <v>0</v>
      </c>
      <c r="H127" s="1087">
        <f>+H116*Assumptions!$O$100*H121</f>
        <v>0</v>
      </c>
      <c r="I127" s="1087">
        <f>+I116*Assumptions!$O$100*I121</f>
        <v>146389.56310545231</v>
      </c>
      <c r="J127" s="1087">
        <f>+J116*Assumptions!$O$100*J121</f>
        <v>301562.49999723182</v>
      </c>
      <c r="K127" s="1087">
        <f>+K116*Assumptions!$O$100*K121</f>
        <v>310609.3749971487</v>
      </c>
      <c r="L127" s="1087">
        <f>+L116*Assumptions!$O$100*L121</f>
        <v>319927.65624706319</v>
      </c>
      <c r="M127" s="1087">
        <f>+M116*Assumptions!$O$100*M121</f>
        <v>329525.48593447515</v>
      </c>
      <c r="N127" s="1087">
        <f>+N116*Assumptions!$O$100*N121</f>
        <v>339411.25051250937</v>
      </c>
      <c r="O127" s="1087">
        <f>+O116*Assumptions!$O$100*O121</f>
        <v>349593.58802788466</v>
      </c>
      <c r="P127" s="1087">
        <f>+P116*Assumptions!$O$100*P121</f>
        <v>360081.39566872123</v>
      </c>
      <c r="Q127" s="1087">
        <f>+Q116*Assumptions!$O$100*Q121</f>
        <v>370883.83753878286</v>
      </c>
      <c r="R127" s="1087">
        <f>+R116*Assumptions!$O$100*R121</f>
        <v>382010.35266494635</v>
      </c>
      <c r="S127" s="1087">
        <f>+S116*Assumptions!$O$100*S121</f>
        <v>393470.66324489476</v>
      </c>
      <c r="T127" s="1087">
        <f>+T116*Assumptions!$O$100*T121</f>
        <v>405274.78314224165</v>
      </c>
      <c r="U127" s="1087">
        <f>+U116*Assumptions!$O$100*U121</f>
        <v>417433.02663650893</v>
      </c>
      <c r="V127" s="1087">
        <f>+V116*Assumptions!$O$100*V121</f>
        <v>429956.01743560424</v>
      </c>
      <c r="W127" s="1087">
        <f>+W116*Assumptions!$O$100*W121</f>
        <v>442854.69795867236</v>
      </c>
      <c r="X127" s="1087">
        <f>+X116*Assumptions!$O$100*X121</f>
        <v>456140.33889743249</v>
      </c>
      <c r="Y127" s="1087">
        <f>+Y116*Assumptions!$O$100*Y121</f>
        <v>469824.54906435549</v>
      </c>
      <c r="Z127" s="1087">
        <f>+Z116*Assumptions!$O$100*Z121</f>
        <v>483919.28553628619</v>
      </c>
      <c r="AA127" s="699"/>
      <c r="AB127" s="699"/>
      <c r="AC127" s="151"/>
      <c r="AD127" s="151"/>
      <c r="AE127" s="151" t="s">
        <v>1134</v>
      </c>
      <c r="AF127" s="151"/>
      <c r="AG127" s="151"/>
      <c r="AH127" s="151"/>
      <c r="AI127" s="946">
        <f ca="1">+SUM(AI125:AI126)</f>
        <v>0</v>
      </c>
      <c r="AJ127" s="946">
        <f t="shared" ref="AJ127:BC127" ca="1" si="77">+SUM(AJ125:AJ126)</f>
        <v>0</v>
      </c>
      <c r="AK127" s="946">
        <f t="shared" ca="1" si="77"/>
        <v>0</v>
      </c>
      <c r="AL127" s="946">
        <f t="shared" ca="1" si="77"/>
        <v>0</v>
      </c>
      <c r="AM127" s="946">
        <f t="shared" ca="1" si="77"/>
        <v>0</v>
      </c>
      <c r="AN127" s="946">
        <f t="shared" ca="1" si="77"/>
        <v>0</v>
      </c>
      <c r="AO127" s="946">
        <f t="shared" ca="1" si="77"/>
        <v>0</v>
      </c>
      <c r="AP127" s="946">
        <f t="shared" ca="1" si="77"/>
        <v>0</v>
      </c>
      <c r="AQ127" s="946">
        <f t="shared" ca="1" si="77"/>
        <v>0</v>
      </c>
      <c r="AR127" s="946">
        <f t="shared" ca="1" si="77"/>
        <v>0</v>
      </c>
      <c r="AS127" s="946">
        <f t="shared" ca="1" si="77"/>
        <v>0</v>
      </c>
      <c r="AT127" s="946">
        <f t="shared" ca="1" si="77"/>
        <v>0</v>
      </c>
      <c r="AU127" s="946">
        <f t="shared" ca="1" si="77"/>
        <v>0</v>
      </c>
      <c r="AV127" s="946">
        <f t="shared" ca="1" si="77"/>
        <v>0</v>
      </c>
      <c r="AW127" s="946">
        <f t="shared" ca="1" si="77"/>
        <v>0</v>
      </c>
      <c r="AX127" s="946">
        <f t="shared" ca="1" si="77"/>
        <v>0</v>
      </c>
      <c r="AY127" s="946">
        <f t="shared" ca="1" si="77"/>
        <v>0</v>
      </c>
      <c r="AZ127" s="946">
        <f t="shared" ca="1" si="77"/>
        <v>0</v>
      </c>
      <c r="BA127" s="946">
        <f t="shared" ca="1" si="77"/>
        <v>0</v>
      </c>
      <c r="BB127" s="946">
        <f t="shared" ca="1" si="77"/>
        <v>0</v>
      </c>
      <c r="BC127" s="946">
        <f t="shared" ca="1" si="77"/>
        <v>0</v>
      </c>
      <c r="BD127" s="975">
        <f>+BD128*Assumptions!$AF$117</f>
        <v>0</v>
      </c>
      <c r="BE127" s="975">
        <f>+BE128*Assumptions!$AF$117</f>
        <v>0</v>
      </c>
      <c r="BF127" s="975">
        <f>+BF128*Assumptions!$AF$117</f>
        <v>0</v>
      </c>
      <c r="BG127" s="975">
        <f>+BG128*Assumptions!$AF$117</f>
        <v>0</v>
      </c>
      <c r="BH127" s="975">
        <f>+BH128*Assumptions!$AF$117</f>
        <v>0</v>
      </c>
      <c r="BI127" s="975">
        <f>+BI128*Assumptions!$AF$117</f>
        <v>0</v>
      </c>
      <c r="BJ127" s="975">
        <f>+BJ128*Assumptions!$AF$117</f>
        <v>0</v>
      </c>
      <c r="BK127" s="975">
        <f>+BK128*Assumptions!$AF$117</f>
        <v>0</v>
      </c>
      <c r="BL127" s="975">
        <f>+BL128*Assumptions!$AF$117</f>
        <v>0</v>
      </c>
      <c r="BM127" s="975">
        <f>+BM128*Assumptions!$AF$117</f>
        <v>0</v>
      </c>
      <c r="BN127" s="975">
        <f>+BN128*Assumptions!$AF$117</f>
        <v>0</v>
      </c>
      <c r="BO127" s="975">
        <f>+BO128*Assumptions!$AF$117</f>
        <v>0</v>
      </c>
      <c r="BP127" s="975">
        <f>+BP128*Assumptions!$AF$117</f>
        <v>0</v>
      </c>
      <c r="BQ127" s="975">
        <f>+BQ128*Assumptions!$AF$117</f>
        <v>0</v>
      </c>
      <c r="BR127" s="151"/>
      <c r="BS127" s="151"/>
      <c r="BT127" s="151"/>
      <c r="BU127" s="151"/>
      <c r="BV127" s="151"/>
      <c r="BW127" s="151"/>
      <c r="BX127" s="151"/>
    </row>
    <row r="128" spans="1:76">
      <c r="A128" s="699"/>
      <c r="B128" s="699" t="s">
        <v>1133</v>
      </c>
      <c r="C128" s="699"/>
      <c r="D128" s="699"/>
      <c r="E128" s="699"/>
      <c r="F128" s="1050">
        <f ca="1">+IFERROR(INDEX('Taxes and TIF'!$AC$11:$AC$45,MATCH('Phase 2 Pro Forma'!F$7,'Taxes and TIF'!$R$11:$R$45,0)),0)*'Loan Sizing'!$K$29*'Phase 2 Pro Forma'!F118</f>
        <v>0</v>
      </c>
      <c r="G128" s="1050">
        <f ca="1">+IFERROR(INDEX('Taxes and TIF'!$AC$11:$AC$45,MATCH('Phase 2 Pro Forma'!G$7,'Taxes and TIF'!$R$11:$R$45,0)),0)*'Loan Sizing'!$K$29*'Phase 2 Pro Forma'!G118</f>
        <v>0</v>
      </c>
      <c r="H128" s="1050">
        <f ca="1">+IFERROR(INDEX('Taxes and TIF'!$AC$11:$AC$45,MATCH('Phase 2 Pro Forma'!H$7,'Taxes and TIF'!$R$11:$R$45,0)),0)*'Loan Sizing'!$K$29*'Phase 2 Pro Forma'!H118</f>
        <v>0</v>
      </c>
      <c r="I128" s="1050">
        <f ca="1">+IFERROR(INDEX('Taxes and TIF'!$AC$11:$AC$45,MATCH('Phase 2 Pro Forma'!I$7,'Taxes and TIF'!$R$11:$R$45,0)),0)*'Loan Sizing'!$K$29*'Phase 2 Pro Forma'!I118</f>
        <v>148897.07906781786</v>
      </c>
      <c r="J128" s="1050">
        <f ca="1">+IFERROR(INDEX('Taxes and TIF'!$AC$11:$AC$45,MATCH('Phase 2 Pro Forma'!J$7,'Taxes and TIF'!$R$11:$R$45,0)),0)*'Loan Sizing'!$K$29*'Phase 2 Pro Forma'!J118</f>
        <v>306727.9828797048</v>
      </c>
      <c r="K128" s="1050">
        <f ca="1">+IFERROR(INDEX('Taxes and TIF'!$AC$11:$AC$45,MATCH('Phase 2 Pro Forma'!K$7,'Taxes and TIF'!$R$11:$R$45,0)),0)*'Loan Sizing'!$K$29*'Phase 2 Pro Forma'!K118</f>
        <v>306727.9828797048</v>
      </c>
      <c r="L128" s="1050">
        <f ca="1">+IFERROR(INDEX('Taxes and TIF'!$AC$11:$AC$45,MATCH('Phase 2 Pro Forma'!L$7,'Taxes and TIF'!$R$11:$R$45,0)),0)*'Loan Sizing'!$K$29*'Phase 2 Pro Forma'!L118</f>
        <v>306727.9828797048</v>
      </c>
      <c r="M128" s="1050">
        <f ca="1">+IFERROR(INDEX('Taxes and TIF'!$AC$11:$AC$45,MATCH('Phase 2 Pro Forma'!M$7,'Taxes and TIF'!$R$11:$R$45,0)),0)*'Loan Sizing'!$K$29*'Phase 2 Pro Forma'!M118</f>
        <v>315929.82236609596</v>
      </c>
      <c r="N128" s="1050">
        <f ca="1">+IFERROR(INDEX('Taxes and TIF'!$AC$11:$AC$45,MATCH('Phase 2 Pro Forma'!N$7,'Taxes and TIF'!$R$11:$R$45,0)),0)*'Loan Sizing'!$K$29*'Phase 2 Pro Forma'!N118</f>
        <v>315929.82236609596</v>
      </c>
      <c r="O128" s="1050">
        <f ca="1">+IFERROR(INDEX('Taxes and TIF'!$AC$11:$AC$45,MATCH('Phase 2 Pro Forma'!O$7,'Taxes and TIF'!$R$11:$R$45,0)),0)*'Loan Sizing'!$K$29*'Phase 2 Pro Forma'!O118</f>
        <v>315929.82236609596</v>
      </c>
      <c r="P128" s="1050">
        <f ca="1">+IFERROR(INDEX('Taxes and TIF'!$AC$11:$AC$45,MATCH('Phase 2 Pro Forma'!P$7,'Taxes and TIF'!$R$11:$R$45,0)),0)*'Loan Sizing'!$K$29*'Phase 2 Pro Forma'!P118</f>
        <v>325407.71703707881</v>
      </c>
      <c r="Q128" s="1050">
        <f ca="1">+IFERROR(INDEX('Taxes and TIF'!$AC$11:$AC$45,MATCH('Phase 2 Pro Forma'!Q$7,'Taxes and TIF'!$R$11:$R$45,0)),0)*'Loan Sizing'!$K$29*'Phase 2 Pro Forma'!Q118</f>
        <v>325407.71703707881</v>
      </c>
      <c r="R128" s="1050">
        <f ca="1">+IFERROR(INDEX('Taxes and TIF'!$AC$11:$AC$45,MATCH('Phase 2 Pro Forma'!R$7,'Taxes and TIF'!$R$11:$R$45,0)),0)*'Loan Sizing'!$K$29*'Phase 2 Pro Forma'!R118</f>
        <v>325407.71703707881</v>
      </c>
      <c r="S128" s="1050">
        <f ca="1">+IFERROR(INDEX('Taxes and TIF'!$AC$11:$AC$45,MATCH('Phase 2 Pro Forma'!S$7,'Taxes and TIF'!$R$11:$R$45,0)),0)*'Loan Sizing'!$K$29*'Phase 2 Pro Forma'!S118</f>
        <v>335169.94854819123</v>
      </c>
      <c r="T128" s="1050">
        <f ca="1">+IFERROR(INDEX('Taxes and TIF'!$AC$11:$AC$45,MATCH('Phase 2 Pro Forma'!T$7,'Taxes and TIF'!$R$11:$R$45,0)),0)*'Loan Sizing'!$K$29*'Phase 2 Pro Forma'!T118</f>
        <v>335169.94854819123</v>
      </c>
      <c r="U128" s="1050">
        <f ca="1">+IFERROR(INDEX('Taxes and TIF'!$AC$11:$AC$45,MATCH('Phase 2 Pro Forma'!U$7,'Taxes and TIF'!$R$11:$R$45,0)),0)*'Loan Sizing'!$K$29*'Phase 2 Pro Forma'!U118</f>
        <v>335169.94854819123</v>
      </c>
      <c r="V128" s="1050">
        <f ca="1">+IFERROR(INDEX('Taxes and TIF'!$AC$11:$AC$45,MATCH('Phase 2 Pro Forma'!V$7,'Taxes and TIF'!$R$11:$R$45,0)),0)*'Loan Sizing'!$K$29*'Phase 2 Pro Forma'!V118</f>
        <v>345225.04700463696</v>
      </c>
      <c r="W128" s="1050">
        <f ca="1">+IFERROR(INDEX('Taxes and TIF'!$AC$11:$AC$45,MATCH('Phase 2 Pro Forma'!W$7,'Taxes and TIF'!$R$11:$R$45,0)),0)*'Loan Sizing'!$K$29*'Phase 2 Pro Forma'!W118</f>
        <v>345225.04700463696</v>
      </c>
      <c r="X128" s="1050">
        <f ca="1">+IFERROR(INDEX('Taxes and TIF'!$AC$11:$AC$45,MATCH('Phase 2 Pro Forma'!X$7,'Taxes and TIF'!$R$11:$R$45,0)),0)*'Loan Sizing'!$K$29*'Phase 2 Pro Forma'!X118</f>
        <v>345225.04700463696</v>
      </c>
      <c r="Y128" s="1050">
        <f ca="1">+IFERROR(INDEX('Taxes and TIF'!$AC$11:$AC$45,MATCH('Phase 2 Pro Forma'!Y$7,'Taxes and TIF'!$R$11:$R$45,0)),0)*'Loan Sizing'!$K$29*'Phase 2 Pro Forma'!Y118</f>
        <v>355581.79841477616</v>
      </c>
      <c r="Z128" s="1050">
        <f ca="1">+IFERROR(INDEX('Taxes and TIF'!$AC$11:$AC$45,MATCH('Phase 2 Pro Forma'!Z$7,'Taxes and TIF'!$R$11:$R$45,0)),0)*'Loan Sizing'!$K$29*'Phase 2 Pro Forma'!Z118</f>
        <v>355581.79841477616</v>
      </c>
      <c r="AA128" s="699"/>
      <c r="AB128" s="699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749">
        <f t="shared" ref="BD128:BQ128" si="78">+IFERROR(BD125/SUM($BD$124:$BQ$124),0)</f>
        <v>0</v>
      </c>
      <c r="BE128" s="749">
        <f t="shared" si="78"/>
        <v>0</v>
      </c>
      <c r="BF128" s="749">
        <f t="shared" si="78"/>
        <v>0</v>
      </c>
      <c r="BG128" s="749">
        <f t="shared" si="78"/>
        <v>0</v>
      </c>
      <c r="BH128" s="749">
        <f t="shared" si="78"/>
        <v>0</v>
      </c>
      <c r="BI128" s="749">
        <f t="shared" si="78"/>
        <v>0</v>
      </c>
      <c r="BJ128" s="749">
        <f t="shared" si="78"/>
        <v>0</v>
      </c>
      <c r="BK128" s="749">
        <f t="shared" si="78"/>
        <v>0</v>
      </c>
      <c r="BL128" s="749">
        <f t="shared" si="78"/>
        <v>0</v>
      </c>
      <c r="BM128" s="749">
        <f t="shared" si="78"/>
        <v>0</v>
      </c>
      <c r="BN128" s="749">
        <f t="shared" si="78"/>
        <v>0</v>
      </c>
      <c r="BO128" s="749">
        <f t="shared" si="78"/>
        <v>0</v>
      </c>
      <c r="BP128" s="749">
        <f t="shared" si="78"/>
        <v>0</v>
      </c>
      <c r="BQ128" s="749">
        <f t="shared" si="78"/>
        <v>0</v>
      </c>
      <c r="BR128" s="151"/>
      <c r="BS128" s="151"/>
      <c r="BT128" s="151"/>
      <c r="BU128" s="151"/>
      <c r="BV128" s="151"/>
      <c r="BW128" s="151"/>
      <c r="BX128" s="151"/>
    </row>
    <row r="129" spans="2:76" ht="15.75">
      <c r="B129" s="52" t="s">
        <v>1134</v>
      </c>
      <c r="C129" s="1052"/>
      <c r="D129" s="1052"/>
      <c r="E129" s="1052"/>
      <c r="F129" s="1088">
        <f ca="1">+SUM(F127:F128)</f>
        <v>0</v>
      </c>
      <c r="G129" s="1088">
        <f t="shared" ref="G129" ca="1" si="79">+SUM(G127:G128)</f>
        <v>0</v>
      </c>
      <c r="H129" s="1088">
        <f t="shared" ref="H129:Z129" ca="1" si="80">+SUM(H127:H128)</f>
        <v>0</v>
      </c>
      <c r="I129" s="1088">
        <f t="shared" ca="1" si="80"/>
        <v>295286.64217327017</v>
      </c>
      <c r="J129" s="1088">
        <f t="shared" ca="1" si="80"/>
        <v>608290.48287693667</v>
      </c>
      <c r="K129" s="1088">
        <f t="shared" ca="1" si="80"/>
        <v>617337.35787685355</v>
      </c>
      <c r="L129" s="1088">
        <f t="shared" ca="1" si="80"/>
        <v>626655.63912676799</v>
      </c>
      <c r="M129" s="1088">
        <f t="shared" ca="1" si="80"/>
        <v>645455.30830057105</v>
      </c>
      <c r="N129" s="1088">
        <f t="shared" ca="1" si="80"/>
        <v>655341.07287860534</v>
      </c>
      <c r="O129" s="1088">
        <f t="shared" ca="1" si="80"/>
        <v>665523.41039398056</v>
      </c>
      <c r="P129" s="1088">
        <f t="shared" ca="1" si="80"/>
        <v>685489.11270579998</v>
      </c>
      <c r="Q129" s="1088">
        <f t="shared" ca="1" si="80"/>
        <v>696291.55457586166</v>
      </c>
      <c r="R129" s="1088">
        <f t="shared" ca="1" si="80"/>
        <v>707418.06970202515</v>
      </c>
      <c r="S129" s="1088">
        <f t="shared" ca="1" si="80"/>
        <v>728640.61179308593</v>
      </c>
      <c r="T129" s="1088">
        <f t="shared" ca="1" si="80"/>
        <v>740444.73169043288</v>
      </c>
      <c r="U129" s="1088">
        <f t="shared" ca="1" si="80"/>
        <v>752602.97518470022</v>
      </c>
      <c r="V129" s="1088">
        <f t="shared" ca="1" si="80"/>
        <v>775181.0644402412</v>
      </c>
      <c r="W129" s="1088">
        <f t="shared" ca="1" si="80"/>
        <v>788079.74496330926</v>
      </c>
      <c r="X129" s="1088">
        <f t="shared" ca="1" si="80"/>
        <v>801365.38590206951</v>
      </c>
      <c r="Y129" s="1088">
        <f t="shared" ca="1" si="80"/>
        <v>825406.34747913165</v>
      </c>
      <c r="Z129" s="1088">
        <f t="shared" ca="1" si="80"/>
        <v>839501.08395106229</v>
      </c>
      <c r="AA129" s="699"/>
      <c r="AB129" s="699"/>
      <c r="AC129" s="151"/>
      <c r="AD129" s="151"/>
      <c r="AE129" s="718" t="s">
        <v>1135</v>
      </c>
      <c r="AF129" s="718"/>
      <c r="AG129" s="718"/>
      <c r="AH129" s="718"/>
      <c r="AI129" s="948">
        <f ca="1">+AI123-AI127</f>
        <v>0</v>
      </c>
      <c r="AJ129" s="948">
        <f t="shared" ref="AJ129:BC129" ca="1" si="81">+AJ123-AJ127</f>
        <v>0</v>
      </c>
      <c r="AK129" s="948">
        <f t="shared" ca="1" si="81"/>
        <v>0</v>
      </c>
      <c r="AL129" s="948">
        <f t="shared" ca="1" si="81"/>
        <v>0</v>
      </c>
      <c r="AM129" s="948">
        <f t="shared" ca="1" si="81"/>
        <v>0</v>
      </c>
      <c r="AN129" s="948">
        <f t="shared" ca="1" si="81"/>
        <v>0</v>
      </c>
      <c r="AO129" s="948">
        <f t="shared" ca="1" si="81"/>
        <v>0</v>
      </c>
      <c r="AP129" s="948">
        <f t="shared" ca="1" si="81"/>
        <v>0</v>
      </c>
      <c r="AQ129" s="948">
        <f t="shared" ca="1" si="81"/>
        <v>0</v>
      </c>
      <c r="AR129" s="948">
        <f t="shared" ca="1" si="81"/>
        <v>0</v>
      </c>
      <c r="AS129" s="948">
        <f t="shared" ca="1" si="81"/>
        <v>0</v>
      </c>
      <c r="AT129" s="948">
        <f t="shared" ca="1" si="81"/>
        <v>0</v>
      </c>
      <c r="AU129" s="948">
        <f t="shared" ca="1" si="81"/>
        <v>0</v>
      </c>
      <c r="AV129" s="948">
        <f t="shared" ca="1" si="81"/>
        <v>0</v>
      </c>
      <c r="AW129" s="948">
        <f t="shared" ca="1" si="81"/>
        <v>0</v>
      </c>
      <c r="AX129" s="948">
        <f t="shared" ca="1" si="81"/>
        <v>0</v>
      </c>
      <c r="AY129" s="948">
        <f t="shared" ca="1" si="81"/>
        <v>0</v>
      </c>
      <c r="AZ129" s="948">
        <f t="shared" ca="1" si="81"/>
        <v>0</v>
      </c>
      <c r="BA129" s="948">
        <f t="shared" ca="1" si="81"/>
        <v>0</v>
      </c>
      <c r="BB129" s="948">
        <f t="shared" ca="1" si="81"/>
        <v>0</v>
      </c>
      <c r="BC129" s="948">
        <f t="shared" ca="1" si="81"/>
        <v>0</v>
      </c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</row>
    <row r="130" spans="2:76">
      <c r="B130" s="699"/>
      <c r="C130" s="699"/>
      <c r="D130" s="699"/>
      <c r="E130" s="699"/>
      <c r="F130" s="699"/>
      <c r="G130" s="699"/>
      <c r="H130" s="699"/>
      <c r="I130" s="699"/>
      <c r="J130" s="699"/>
      <c r="K130" s="699"/>
      <c r="L130" s="699"/>
      <c r="M130" s="699"/>
      <c r="N130" s="699"/>
      <c r="O130" s="699"/>
      <c r="P130" s="699"/>
      <c r="Q130" s="699"/>
      <c r="R130" s="699"/>
      <c r="S130" s="699"/>
      <c r="T130" s="699"/>
      <c r="U130" s="699"/>
      <c r="V130" s="699"/>
      <c r="W130" s="699"/>
      <c r="X130" s="699"/>
      <c r="Y130" s="699"/>
      <c r="Z130" s="699"/>
      <c r="AA130" s="699"/>
      <c r="AB130" s="699"/>
      <c r="AC130" s="151"/>
      <c r="AD130" s="151"/>
      <c r="AE130" s="826" t="s">
        <v>1136</v>
      </c>
      <c r="AF130" s="826"/>
      <c r="AG130" s="826"/>
      <c r="AH130" s="826"/>
      <c r="AI130" s="973" t="str">
        <f ca="1">+IFERROR(AI129/AI123,"")</f>
        <v/>
      </c>
      <c r="AJ130" s="973" t="str">
        <f t="shared" ref="AJ130:BC130" ca="1" si="82">+IFERROR(AJ129/AJ123,"")</f>
        <v/>
      </c>
      <c r="AK130" s="973" t="str">
        <f t="shared" ca="1" si="82"/>
        <v/>
      </c>
      <c r="AL130" s="973" t="str">
        <f t="shared" ca="1" si="82"/>
        <v/>
      </c>
      <c r="AM130" s="973" t="str">
        <f t="shared" ca="1" si="82"/>
        <v/>
      </c>
      <c r="AN130" s="973" t="str">
        <f t="shared" ca="1" si="82"/>
        <v/>
      </c>
      <c r="AO130" s="973" t="str">
        <f t="shared" ca="1" si="82"/>
        <v/>
      </c>
      <c r="AP130" s="973" t="str">
        <f t="shared" ca="1" si="82"/>
        <v/>
      </c>
      <c r="AQ130" s="973" t="str">
        <f t="shared" ca="1" si="82"/>
        <v/>
      </c>
      <c r="AR130" s="973" t="str">
        <f t="shared" ca="1" si="82"/>
        <v/>
      </c>
      <c r="AS130" s="973" t="str">
        <f t="shared" ca="1" si="82"/>
        <v/>
      </c>
      <c r="AT130" s="973" t="str">
        <f t="shared" ca="1" si="82"/>
        <v/>
      </c>
      <c r="AU130" s="973" t="str">
        <f t="shared" ca="1" si="82"/>
        <v/>
      </c>
      <c r="AV130" s="973" t="str">
        <f t="shared" ca="1" si="82"/>
        <v/>
      </c>
      <c r="AW130" s="973" t="str">
        <f t="shared" ca="1" si="82"/>
        <v/>
      </c>
      <c r="AX130" s="973" t="str">
        <f t="shared" ca="1" si="82"/>
        <v/>
      </c>
      <c r="AY130" s="973" t="str">
        <f t="shared" ca="1" si="82"/>
        <v/>
      </c>
      <c r="AZ130" s="973" t="str">
        <f t="shared" ca="1" si="82"/>
        <v/>
      </c>
      <c r="BA130" s="973" t="str">
        <f t="shared" ca="1" si="82"/>
        <v/>
      </c>
      <c r="BB130" s="973" t="str">
        <f t="shared" ca="1" si="82"/>
        <v/>
      </c>
      <c r="BC130" s="973" t="str">
        <f t="shared" ca="1" si="82"/>
        <v/>
      </c>
      <c r="BD130" s="749">
        <v>0</v>
      </c>
      <c r="BE130" s="749">
        <f>+BD130*(1+Assumptions!$AQ$84)</f>
        <v>0</v>
      </c>
      <c r="BF130" s="749">
        <f>+BE130*(1+Assumptions!$AQ$84)</f>
        <v>0</v>
      </c>
      <c r="BG130" s="749">
        <f>+BF130*(1+Assumptions!$AQ$84)</f>
        <v>0</v>
      </c>
      <c r="BH130" s="749">
        <f>+BG130*(1+Assumptions!$AQ$84)</f>
        <v>0</v>
      </c>
      <c r="BI130" s="749">
        <f>+BH130*(1+Assumptions!$AQ$84)</f>
        <v>0</v>
      </c>
      <c r="BJ130" s="749">
        <f>+BI130*(1+Assumptions!$AQ$84)</f>
        <v>0</v>
      </c>
      <c r="BK130" s="749">
        <f>+BJ130*(1+Assumptions!$AQ$84)</f>
        <v>0</v>
      </c>
      <c r="BL130" s="749">
        <f>+BK130*(1+Assumptions!$AQ$84)</f>
        <v>0</v>
      </c>
      <c r="BM130" s="749">
        <f>+BL130*(1+Assumptions!$AQ$84)</f>
        <v>0</v>
      </c>
      <c r="BN130" s="749">
        <f>+BM130*(1+Assumptions!$AQ$84)</f>
        <v>0</v>
      </c>
      <c r="BO130" s="749">
        <f>+BN130*(1+Assumptions!$AQ$84)</f>
        <v>0</v>
      </c>
      <c r="BP130" s="749">
        <f>+BO130*(1+Assumptions!$AQ$84)</f>
        <v>0</v>
      </c>
      <c r="BQ130" s="749">
        <f>+BP130*(1+Assumptions!$AQ$84)</f>
        <v>0</v>
      </c>
      <c r="BR130" s="151"/>
      <c r="BS130" s="151"/>
      <c r="BT130" s="151"/>
      <c r="BU130" s="151"/>
      <c r="BV130" s="151"/>
      <c r="BW130" s="151"/>
      <c r="BX130" s="151"/>
    </row>
    <row r="131" spans="2:76" ht="15.75">
      <c r="B131" s="50" t="s">
        <v>1135</v>
      </c>
      <c r="C131" s="50"/>
      <c r="D131" s="50"/>
      <c r="E131" s="50"/>
      <c r="F131" s="55">
        <f ca="1">+F125-F129</f>
        <v>0</v>
      </c>
      <c r="G131" s="55">
        <f t="shared" ref="G131:Z131" ca="1" si="83">+G125-G129</f>
        <v>0</v>
      </c>
      <c r="H131" s="55">
        <f t="shared" ca="1" si="83"/>
        <v>0</v>
      </c>
      <c r="I131" s="55">
        <f t="shared" ca="1" si="83"/>
        <v>676933.12613227684</v>
      </c>
      <c r="J131" s="55">
        <f t="shared" ca="1" si="83"/>
        <v>1394482.2398324904</v>
      </c>
      <c r="K131" s="55">
        <f t="shared" ca="1" si="83"/>
        <v>1445518.5465138564</v>
      </c>
      <c r="L131" s="55">
        <f t="shared" ca="1" si="83"/>
        <v>1498085.9423956634</v>
      </c>
      <c r="M131" s="55">
        <f t="shared" ca="1" si="83"/>
        <v>1543028.5206675334</v>
      </c>
      <c r="N131" s="55">
        <f t="shared" ca="1" si="83"/>
        <v>1598797.2709585424</v>
      </c>
      <c r="O131" s="55">
        <f t="shared" ca="1" si="83"/>
        <v>1656239.0837582813</v>
      </c>
      <c r="P131" s="55">
        <f t="shared" ca="1" si="83"/>
        <v>1705926.2562710301</v>
      </c>
      <c r="Q131" s="55">
        <f t="shared" ca="1" si="83"/>
        <v>1766866.2754702733</v>
      </c>
      <c r="R131" s="55">
        <f t="shared" ca="1" si="83"/>
        <v>1829634.4952454939</v>
      </c>
      <c r="S131" s="55">
        <f t="shared" ca="1" si="83"/>
        <v>1884523.5301028593</v>
      </c>
      <c r="T131" s="55">
        <f t="shared" ca="1" si="83"/>
        <v>1951114.3344623903</v>
      </c>
      <c r="U131" s="55">
        <f t="shared" ca="1" si="83"/>
        <v>2019702.862952708</v>
      </c>
      <c r="V131" s="55">
        <f t="shared" ca="1" si="83"/>
        <v>2080293.9488412896</v>
      </c>
      <c r="W131" s="55">
        <f t="shared" ca="1" si="83"/>
        <v>2153059.5187166673</v>
      </c>
      <c r="X131" s="55">
        <f t="shared" ca="1" si="83"/>
        <v>2228008.0556883062</v>
      </c>
      <c r="Y131" s="55">
        <f t="shared" ca="1" si="83"/>
        <v>2294848.2973589557</v>
      </c>
      <c r="Z131" s="55">
        <f t="shared" ca="1" si="83"/>
        <v>2374361.2002321677</v>
      </c>
      <c r="AA131" s="699"/>
      <c r="AB131" s="699"/>
      <c r="AC131" s="151"/>
      <c r="AD131" s="151"/>
      <c r="AE131" s="826" t="s">
        <v>1064</v>
      </c>
      <c r="AF131" s="826"/>
      <c r="AG131" s="826"/>
      <c r="AH131" s="826"/>
      <c r="AI131" s="974">
        <f ca="1">+AI129/Assumptions!$AF$212</f>
        <v>0</v>
      </c>
      <c r="AJ131" s="974">
        <f ca="1">+AJ129/Assumptions!$AF$212</f>
        <v>0</v>
      </c>
      <c r="AK131" s="974">
        <f ca="1">+AK129/Assumptions!$AF$212</f>
        <v>0</v>
      </c>
      <c r="AL131" s="974">
        <f ca="1">+AL129/Assumptions!$AF$212</f>
        <v>0</v>
      </c>
      <c r="AM131" s="974">
        <f ca="1">+AM129/Assumptions!$AF$212</f>
        <v>0</v>
      </c>
      <c r="AN131" s="974">
        <f ca="1">+AN129/Assumptions!$AF$212</f>
        <v>0</v>
      </c>
      <c r="AO131" s="974">
        <f ca="1">+AO129/Assumptions!$AF$212</f>
        <v>0</v>
      </c>
      <c r="AP131" s="974">
        <f ca="1">+AP129/Assumptions!$AF$212</f>
        <v>0</v>
      </c>
      <c r="AQ131" s="974">
        <f ca="1">+AQ129/Assumptions!$AF$212</f>
        <v>0</v>
      </c>
      <c r="AR131" s="974">
        <f ca="1">+AR129/Assumptions!$AF$212</f>
        <v>0</v>
      </c>
      <c r="AS131" s="974">
        <f ca="1">+AS129/Assumptions!$AF$212</f>
        <v>0</v>
      </c>
      <c r="AT131" s="974">
        <f ca="1">+AT129/Assumptions!$AF$212</f>
        <v>0</v>
      </c>
      <c r="AU131" s="974">
        <f ca="1">+AU129/Assumptions!$AF$212</f>
        <v>0</v>
      </c>
      <c r="AV131" s="974">
        <f ca="1">+AV129/Assumptions!$AF$212</f>
        <v>0</v>
      </c>
      <c r="AW131" s="974">
        <f ca="1">+AW129/Assumptions!$AF$212</f>
        <v>0</v>
      </c>
      <c r="AX131" s="974">
        <f ca="1">+AX129/Assumptions!$AF$212</f>
        <v>0</v>
      </c>
      <c r="AY131" s="974">
        <f ca="1">+AY129/Assumptions!$AF$212</f>
        <v>0</v>
      </c>
      <c r="AZ131" s="974">
        <f ca="1">+AZ129/Assumptions!$AF$212</f>
        <v>0</v>
      </c>
      <c r="BA131" s="974">
        <f ca="1">+BA129/Assumptions!$AF$212</f>
        <v>0</v>
      </c>
      <c r="BB131" s="974">
        <f ca="1">+BB129/Assumptions!$AF$212</f>
        <v>0</v>
      </c>
      <c r="BC131" s="974">
        <f ca="1">+BC129/Assumptions!$AF$212</f>
        <v>0</v>
      </c>
      <c r="BD131" s="749">
        <v>0</v>
      </c>
      <c r="BE131" s="749">
        <f>+BD131*(1+Assumptions!$AQ$95)</f>
        <v>0</v>
      </c>
      <c r="BF131" s="749">
        <f>+BE131*(1+Assumptions!$AQ$95)</f>
        <v>0</v>
      </c>
      <c r="BG131" s="749">
        <f>+BF131*(1+Assumptions!$AQ$95)</f>
        <v>0</v>
      </c>
      <c r="BH131" s="749">
        <f>+BG131*(1+Assumptions!$AQ$95)</f>
        <v>0</v>
      </c>
      <c r="BI131" s="749">
        <f>+BH131*(1+Assumptions!$AQ$95)</f>
        <v>0</v>
      </c>
      <c r="BJ131" s="749">
        <f>+BI131*(1+Assumptions!$AQ$95)</f>
        <v>0</v>
      </c>
      <c r="BK131" s="749">
        <f>+BJ131*(1+Assumptions!$AQ$95)</f>
        <v>0</v>
      </c>
      <c r="BL131" s="749">
        <f>+BK131*(1+Assumptions!$AQ$95)</f>
        <v>0</v>
      </c>
      <c r="BM131" s="749">
        <f>+BL131*(1+Assumptions!$AQ$95)</f>
        <v>0</v>
      </c>
      <c r="BN131" s="749">
        <f>+BM131*(1+Assumptions!$AQ$95)</f>
        <v>0</v>
      </c>
      <c r="BO131" s="749">
        <f>+BN131*(1+Assumptions!$AQ$95)</f>
        <v>0</v>
      </c>
      <c r="BP131" s="749">
        <f>+BO131*(1+Assumptions!$AQ$95)</f>
        <v>0</v>
      </c>
      <c r="BQ131" s="749">
        <f>+BP131*(1+Assumptions!$AQ$95)</f>
        <v>0</v>
      </c>
      <c r="BR131" s="151"/>
      <c r="BS131" s="151"/>
      <c r="BT131" s="151"/>
      <c r="BU131" s="151"/>
      <c r="BV131" s="151"/>
      <c r="BW131" s="151"/>
      <c r="BX131" s="151"/>
    </row>
    <row r="132" spans="2:76">
      <c r="B132" s="51" t="s">
        <v>1136</v>
      </c>
      <c r="C132" s="51"/>
      <c r="D132" s="51"/>
      <c r="E132" s="51"/>
      <c r="F132" s="56" t="str">
        <f ca="1">+IFERROR(F131/F125,"")</f>
        <v/>
      </c>
      <c r="G132" s="56" t="str">
        <f t="shared" ref="G132:Z132" ca="1" si="84">+IFERROR(G131/G125,"")</f>
        <v/>
      </c>
      <c r="H132" s="56" t="str">
        <f t="shared" ca="1" si="84"/>
        <v/>
      </c>
      <c r="I132" s="56">
        <f t="shared" ca="1" si="84"/>
        <v>0.69627583001329363</v>
      </c>
      <c r="J132" s="56">
        <f t="shared" ca="1" si="84"/>
        <v>0.69627583001329374</v>
      </c>
      <c r="K132" s="56">
        <f t="shared" ca="1" si="84"/>
        <v>0.70073655820415059</v>
      </c>
      <c r="L132" s="56">
        <f t="shared" ca="1" si="84"/>
        <v>0.70506736227294375</v>
      </c>
      <c r="M132" s="56">
        <f t="shared" ca="1" si="84"/>
        <v>0.70506736227294364</v>
      </c>
      <c r="N132" s="56">
        <f t="shared" ca="1" si="84"/>
        <v>0.70927202641740295</v>
      </c>
      <c r="O132" s="56">
        <f t="shared" ca="1" si="84"/>
        <v>0.71335422461590714</v>
      </c>
      <c r="P132" s="56">
        <f t="shared" ca="1" si="84"/>
        <v>0.71335422461590714</v>
      </c>
      <c r="Q132" s="56">
        <f t="shared" ca="1" si="84"/>
        <v>0.71731752383775582</v>
      </c>
      <c r="R132" s="56">
        <f t="shared" ca="1" si="84"/>
        <v>0.72116538715993905</v>
      </c>
      <c r="S132" s="56">
        <f t="shared" ca="1" si="84"/>
        <v>0.72116538715993905</v>
      </c>
      <c r="T132" s="56">
        <f t="shared" ca="1" si="84"/>
        <v>0.7249011767931266</v>
      </c>
      <c r="U132" s="56">
        <f t="shared" ca="1" si="84"/>
        <v>0.72852815701952223</v>
      </c>
      <c r="V132" s="56">
        <f t="shared" ca="1" si="84"/>
        <v>0.72852815701952234</v>
      </c>
      <c r="W132" s="56">
        <f t="shared" ca="1" si="84"/>
        <v>0.73204949704514921</v>
      </c>
      <c r="X132" s="56">
        <f t="shared" ca="1" si="84"/>
        <v>0.73546827376905877</v>
      </c>
      <c r="Y132" s="56">
        <f t="shared" ca="1" si="84"/>
        <v>0.73546827376905877</v>
      </c>
      <c r="Z132" s="56">
        <f t="shared" ca="1" si="84"/>
        <v>0.73878747447188364</v>
      </c>
      <c r="AA132" s="699"/>
      <c r="AB132" s="699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</row>
    <row r="133" spans="2:76">
      <c r="B133" s="51" t="s">
        <v>1064</v>
      </c>
      <c r="C133" s="51"/>
      <c r="D133" s="51"/>
      <c r="E133" s="51"/>
      <c r="F133" s="57">
        <f ca="1">+F131/Assumptions!$G$51</f>
        <v>0</v>
      </c>
      <c r="G133" s="57">
        <f ca="1">+G131/Assumptions!$G$51</f>
        <v>0</v>
      </c>
      <c r="H133" s="57">
        <f ca="1">+H131/Assumptions!$G$51</f>
        <v>0</v>
      </c>
      <c r="I133" s="57">
        <f ca="1">+I131/Assumptions!$G$51</f>
        <v>11772750.019691771</v>
      </c>
      <c r="J133" s="57">
        <f ca="1">+J131/Assumptions!$G$51</f>
        <v>24251865.040565051</v>
      </c>
      <c r="K133" s="57">
        <f ca="1">+K131/Assumptions!$G$51</f>
        <v>25139452.982849676</v>
      </c>
      <c r="L133" s="57">
        <f ca="1">+L131/Assumptions!$G$51</f>
        <v>26053668.563402839</v>
      </c>
      <c r="M133" s="57">
        <f ca="1">+M131/Assumptions!$G$51</f>
        <v>26835278.620304927</v>
      </c>
      <c r="N133" s="57">
        <f ca="1">+N131/Assumptions!$G$51</f>
        <v>27805169.929713778</v>
      </c>
      <c r="O133" s="57">
        <f ca="1">+O131/Assumptions!$G$51</f>
        <v>28804157.978404891</v>
      </c>
      <c r="P133" s="57">
        <f ca="1">+P131/Assumptions!$G$51</f>
        <v>29668282.717757042</v>
      </c>
      <c r="Q133" s="57">
        <f ca="1">+Q131/Assumptions!$G$51</f>
        <v>30728109.138613448</v>
      </c>
      <c r="R133" s="57">
        <f ca="1">+R131/Assumptions!$G$51</f>
        <v>31819730.352095544</v>
      </c>
      <c r="S133" s="57">
        <f ca="1">+S131/Assumptions!$G$51</f>
        <v>32774322.262658421</v>
      </c>
      <c r="T133" s="57">
        <f ca="1">+T131/Assumptions!$G$51</f>
        <v>33932423.208041571</v>
      </c>
      <c r="U133" s="57">
        <f ca="1">+U131/Assumptions!$G$51</f>
        <v>35125267.181786224</v>
      </c>
      <c r="V133" s="57">
        <f ca="1">+V131/Assumptions!$G$51</f>
        <v>36179025.197239816</v>
      </c>
      <c r="W133" s="57">
        <f ca="1">+W131/Assumptions!$G$51</f>
        <v>37444513.368985519</v>
      </c>
      <c r="X133" s="57">
        <f ca="1">+X131/Assumptions!$G$51</f>
        <v>38747966.185883582</v>
      </c>
      <c r="Y133" s="57">
        <f ca="1">+Y131/Assumptions!$G$51</f>
        <v>39910405.1714601</v>
      </c>
      <c r="Z133" s="57">
        <f ca="1">+Z131/Assumptions!$G$51</f>
        <v>41293238.264907263</v>
      </c>
      <c r="AA133" s="699"/>
      <c r="AB133" s="699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822">
        <f>+BD128*Assumptions!$AF$115*BD130</f>
        <v>0</v>
      </c>
      <c r="BE133" s="822">
        <f>+BE128*Assumptions!$AF$115*BE130</f>
        <v>0</v>
      </c>
      <c r="BF133" s="822">
        <f>+BF128*Assumptions!$AF$115*BF130</f>
        <v>0</v>
      </c>
      <c r="BG133" s="822">
        <f>+BG128*Assumptions!$AF$115*BG130</f>
        <v>0</v>
      </c>
      <c r="BH133" s="822">
        <f>+BH128*Assumptions!$AF$115*BH130</f>
        <v>0</v>
      </c>
      <c r="BI133" s="822">
        <f>+BI128*Assumptions!$AF$115*BI130</f>
        <v>0</v>
      </c>
      <c r="BJ133" s="822">
        <f>+BJ128*Assumptions!$AF$115*BJ130</f>
        <v>0</v>
      </c>
      <c r="BK133" s="822">
        <f>+BK128*Assumptions!$AF$115*BK130</f>
        <v>0</v>
      </c>
      <c r="BL133" s="822">
        <f>+BL128*Assumptions!$AF$115*BL130</f>
        <v>0</v>
      </c>
      <c r="BM133" s="822">
        <f>+BM128*Assumptions!$AF$115*BM130</f>
        <v>0</v>
      </c>
      <c r="BN133" s="822">
        <f>+BN128*Assumptions!$AF$115*BN130</f>
        <v>0</v>
      </c>
      <c r="BO133" s="822">
        <f>+BO128*Assumptions!$AF$115*BO130</f>
        <v>0</v>
      </c>
      <c r="BP133" s="822">
        <f>+BP128*Assumptions!$AF$115*BP130</f>
        <v>0</v>
      </c>
      <c r="BQ133" s="822">
        <f>+BQ128*Assumptions!$AF$115*BQ130</f>
        <v>0</v>
      </c>
      <c r="BR133" s="151"/>
      <c r="BS133" s="151"/>
      <c r="BT133" s="151"/>
      <c r="BU133" s="151"/>
      <c r="BV133" s="151"/>
      <c r="BW133" s="151"/>
      <c r="BX133" s="151"/>
    </row>
    <row r="134" spans="2:76">
      <c r="B134" s="699"/>
      <c r="C134" s="699"/>
      <c r="D134" s="699"/>
      <c r="E134" s="699"/>
      <c r="F134" s="699"/>
      <c r="G134" s="699"/>
      <c r="H134" s="699"/>
      <c r="I134" s="699"/>
      <c r="J134" s="699"/>
      <c r="K134" s="699"/>
      <c r="L134" s="699"/>
      <c r="M134" s="699"/>
      <c r="N134" s="699"/>
      <c r="O134" s="699"/>
      <c r="P134" s="699"/>
      <c r="Q134" s="699"/>
      <c r="R134" s="699"/>
      <c r="S134" s="699"/>
      <c r="T134" s="699"/>
      <c r="U134" s="699"/>
      <c r="V134" s="699"/>
      <c r="W134" s="699"/>
      <c r="X134" s="699"/>
      <c r="Y134" s="699"/>
      <c r="Z134" s="699"/>
      <c r="AA134" s="699"/>
      <c r="AB134" s="699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972">
        <f>-BD133*Assumptions!$AQ$75</f>
        <v>0</v>
      </c>
      <c r="BE134" s="972">
        <f>-BE133*Assumptions!$AQ$75</f>
        <v>0</v>
      </c>
      <c r="BF134" s="972">
        <f>-BF133*Assumptions!$AQ$75</f>
        <v>0</v>
      </c>
      <c r="BG134" s="972">
        <f>-BG133*Assumptions!$AQ$75</f>
        <v>0</v>
      </c>
      <c r="BH134" s="972">
        <f>-BH133*Assumptions!$AQ$75</f>
        <v>0</v>
      </c>
      <c r="BI134" s="972">
        <f>-BI133*Assumptions!$AQ$75</f>
        <v>0</v>
      </c>
      <c r="BJ134" s="972">
        <f>-BJ133*Assumptions!$AQ$75</f>
        <v>0</v>
      </c>
      <c r="BK134" s="972">
        <f>-BK133*Assumptions!$AQ$75</f>
        <v>0</v>
      </c>
      <c r="BL134" s="972">
        <f>-BL133*Assumptions!$AQ$75</f>
        <v>0</v>
      </c>
      <c r="BM134" s="972">
        <f>-BM133*Assumptions!$AQ$75</f>
        <v>0</v>
      </c>
      <c r="BN134" s="972">
        <f>-BN133*Assumptions!$AQ$75</f>
        <v>0</v>
      </c>
      <c r="BO134" s="972">
        <f>-BO133*Assumptions!$AQ$75</f>
        <v>0</v>
      </c>
      <c r="BP134" s="972">
        <f>-BP133*Assumptions!$AQ$75</f>
        <v>0</v>
      </c>
      <c r="BQ134" s="972">
        <f>-BQ133*Assumptions!$AQ$75</f>
        <v>0</v>
      </c>
      <c r="BR134" s="151"/>
      <c r="BS134" s="151"/>
      <c r="BT134" s="151"/>
      <c r="BU134" s="151"/>
      <c r="BV134" s="151"/>
      <c r="BW134" s="151"/>
      <c r="BX134" s="151"/>
    </row>
    <row r="135" spans="2:76" ht="15.75">
      <c r="B135" s="50" t="s">
        <v>1122</v>
      </c>
      <c r="C135" s="50"/>
      <c r="D135" s="50"/>
      <c r="E135" s="50"/>
      <c r="F135" s="55">
        <f ca="1">+F30+F57+AW92+AW65+AW38+AW167+F84+F110+AI129+F131</f>
        <v>0</v>
      </c>
      <c r="G135" s="55">
        <f t="shared" ref="G135:L135" ca="1" si="85">+G30+G57+AX92+AX65+AX38+AX167+G84+G110+AJ129+G131</f>
        <v>0</v>
      </c>
      <c r="H135" s="55">
        <f t="shared" ca="1" si="85"/>
        <v>0</v>
      </c>
      <c r="I135" s="55">
        <f t="shared" ca="1" si="85"/>
        <v>268625.94962569512</v>
      </c>
      <c r="J135" s="55">
        <f t="shared" ca="1" si="85"/>
        <v>10516611.628902998</v>
      </c>
      <c r="K135" s="55">
        <f t="shared" ca="1" si="85"/>
        <v>19157271.850348722</v>
      </c>
      <c r="L135" s="55">
        <f t="shared" ca="1" si="85"/>
        <v>20729625.218689654</v>
      </c>
      <c r="M135" s="55">
        <f t="shared" ref="M135:Z135" ca="1" si="86">+M30+M57+BD143+BD119+BD92+BD65+BD38+BD167+M84+M110+AP129+M131</f>
        <v>21071614.201068375</v>
      </c>
      <c r="N135" s="55">
        <f t="shared" ca="1" si="86"/>
        <v>21505797.94487381</v>
      </c>
      <c r="O135" s="55">
        <f t="shared" ca="1" si="86"/>
        <v>21953007.2009934</v>
      </c>
      <c r="P135" s="55">
        <f t="shared" ca="1" si="86"/>
        <v>22331697.642841242</v>
      </c>
      <c r="Q135" s="55">
        <f t="shared" ca="1" si="86"/>
        <v>24143699.5224187</v>
      </c>
      <c r="R135" s="55">
        <f t="shared" ca="1" si="86"/>
        <v>24632377.151230499</v>
      </c>
      <c r="S135" s="55">
        <f t="shared" ca="1" si="86"/>
        <v>25051321.964192647</v>
      </c>
      <c r="T135" s="55">
        <f t="shared" ca="1" si="86"/>
        <v>25569760.060599077</v>
      </c>
      <c r="U135" s="55">
        <f t="shared" ca="1" si="86"/>
        <v>26103751.299897712</v>
      </c>
      <c r="V135" s="55">
        <f t="shared" ca="1" si="86"/>
        <v>28105028.554044083</v>
      </c>
      <c r="W135" s="55">
        <f t="shared" ca="1" si="86"/>
        <v>28671539.859815996</v>
      </c>
      <c r="X135" s="55">
        <f t="shared" ca="1" si="86"/>
        <v>29255046.504761063</v>
      </c>
      <c r="Y135" s="55">
        <f t="shared" ca="1" si="86"/>
        <v>29766525.661827404</v>
      </c>
      <c r="Z135" s="55">
        <f t="shared" ca="1" si="86"/>
        <v>30385567.861449629</v>
      </c>
      <c r="AA135" s="699"/>
      <c r="AB135" s="699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972"/>
      <c r="BE135" s="972"/>
      <c r="BF135" s="972"/>
      <c r="BG135" s="972"/>
      <c r="BH135" s="972"/>
      <c r="BI135" s="972"/>
      <c r="BJ135" s="972"/>
      <c r="BK135" s="972"/>
      <c r="BL135" s="972"/>
      <c r="BM135" s="972"/>
      <c r="BN135" s="972"/>
      <c r="BO135" s="972"/>
      <c r="BP135" s="972"/>
      <c r="BQ135" s="972"/>
      <c r="BR135" s="151"/>
      <c r="BS135" s="151"/>
      <c r="BT135" s="151"/>
      <c r="BU135" s="151"/>
      <c r="BV135" s="151"/>
      <c r="BW135" s="151"/>
      <c r="BX135" s="151"/>
    </row>
    <row r="136" spans="2:76">
      <c r="B136" s="699"/>
      <c r="C136" s="699"/>
      <c r="D136" s="699"/>
      <c r="E136" s="699"/>
      <c r="F136" s="699"/>
      <c r="G136" s="699"/>
      <c r="H136" s="699"/>
      <c r="I136" s="699"/>
      <c r="J136" s="699"/>
      <c r="K136" s="699"/>
      <c r="L136" s="699"/>
      <c r="M136" s="699"/>
      <c r="N136" s="699"/>
      <c r="O136" s="699"/>
      <c r="P136" s="699"/>
      <c r="Q136" s="699"/>
      <c r="R136" s="699"/>
      <c r="S136" s="699"/>
      <c r="T136" s="699"/>
      <c r="U136" s="699"/>
      <c r="V136" s="699"/>
      <c r="W136" s="699"/>
      <c r="X136" s="699"/>
      <c r="Y136" s="699"/>
      <c r="Z136" s="699"/>
      <c r="AA136" s="699"/>
      <c r="AB136" s="699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972"/>
      <c r="BE136" s="972"/>
      <c r="BF136" s="972"/>
      <c r="BG136" s="972"/>
      <c r="BH136" s="972"/>
      <c r="BI136" s="972"/>
      <c r="BJ136" s="972"/>
      <c r="BK136" s="972"/>
      <c r="BL136" s="972"/>
      <c r="BM136" s="972"/>
      <c r="BN136" s="972"/>
      <c r="BO136" s="972"/>
      <c r="BP136" s="972"/>
      <c r="BQ136" s="972"/>
      <c r="BR136" s="151"/>
      <c r="BS136" s="151"/>
      <c r="BT136" s="151"/>
      <c r="BU136" s="151"/>
      <c r="BV136" s="151"/>
      <c r="BW136" s="151"/>
      <c r="BX136" s="151"/>
    </row>
    <row r="137" spans="2:76" ht="15.75">
      <c r="B137" s="53" t="s">
        <v>1146</v>
      </c>
      <c r="C137" s="699"/>
      <c r="D137" s="699"/>
      <c r="E137" s="699"/>
      <c r="F137" s="54">
        <f>+Assumptions!$G$27</f>
        <v>46387</v>
      </c>
      <c r="G137" s="54">
        <f>+EOMONTH(F137,12)</f>
        <v>46752</v>
      </c>
      <c r="H137" s="54">
        <f t="shared" ref="H137:Z137" si="87">+EOMONTH(G137,12)</f>
        <v>47118</v>
      </c>
      <c r="I137" s="54">
        <f t="shared" si="87"/>
        <v>47483</v>
      </c>
      <c r="J137" s="54">
        <f t="shared" si="87"/>
        <v>47848</v>
      </c>
      <c r="K137" s="54">
        <f t="shared" si="87"/>
        <v>48213</v>
      </c>
      <c r="L137" s="54">
        <f t="shared" si="87"/>
        <v>48579</v>
      </c>
      <c r="M137" s="54">
        <f t="shared" si="87"/>
        <v>48944</v>
      </c>
      <c r="N137" s="54">
        <f t="shared" si="87"/>
        <v>49309</v>
      </c>
      <c r="O137" s="54">
        <f t="shared" si="87"/>
        <v>49674</v>
      </c>
      <c r="P137" s="54">
        <f t="shared" si="87"/>
        <v>50040</v>
      </c>
      <c r="Q137" s="54">
        <f t="shared" si="87"/>
        <v>50405</v>
      </c>
      <c r="R137" s="54">
        <f t="shared" si="87"/>
        <v>50770</v>
      </c>
      <c r="S137" s="54">
        <f t="shared" si="87"/>
        <v>51135</v>
      </c>
      <c r="T137" s="54">
        <f t="shared" si="87"/>
        <v>51501</v>
      </c>
      <c r="U137" s="54">
        <f t="shared" si="87"/>
        <v>51866</v>
      </c>
      <c r="V137" s="54">
        <f t="shared" si="87"/>
        <v>52231</v>
      </c>
      <c r="W137" s="54">
        <f t="shared" si="87"/>
        <v>52596</v>
      </c>
      <c r="X137" s="54">
        <f t="shared" si="87"/>
        <v>52962</v>
      </c>
      <c r="Y137" s="54">
        <f t="shared" si="87"/>
        <v>53327</v>
      </c>
      <c r="Z137" s="54">
        <f t="shared" si="87"/>
        <v>53692</v>
      </c>
      <c r="AA137" s="699"/>
      <c r="AB137" s="699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822">
        <f t="shared" ref="BD137:BQ137" si="88">SUM(BD133:BD136)</f>
        <v>0</v>
      </c>
      <c r="BE137" s="822">
        <f t="shared" si="88"/>
        <v>0</v>
      </c>
      <c r="BF137" s="822">
        <f t="shared" si="88"/>
        <v>0</v>
      </c>
      <c r="BG137" s="822">
        <f t="shared" si="88"/>
        <v>0</v>
      </c>
      <c r="BH137" s="822">
        <f t="shared" si="88"/>
        <v>0</v>
      </c>
      <c r="BI137" s="822">
        <f t="shared" si="88"/>
        <v>0</v>
      </c>
      <c r="BJ137" s="822">
        <f t="shared" si="88"/>
        <v>0</v>
      </c>
      <c r="BK137" s="822">
        <f t="shared" si="88"/>
        <v>0</v>
      </c>
      <c r="BL137" s="822">
        <f t="shared" si="88"/>
        <v>0</v>
      </c>
      <c r="BM137" s="822">
        <f t="shared" si="88"/>
        <v>0</v>
      </c>
      <c r="BN137" s="822">
        <f t="shared" si="88"/>
        <v>0</v>
      </c>
      <c r="BO137" s="822">
        <f t="shared" si="88"/>
        <v>0</v>
      </c>
      <c r="BP137" s="822">
        <f t="shared" si="88"/>
        <v>0</v>
      </c>
      <c r="BQ137" s="822">
        <f t="shared" si="88"/>
        <v>0</v>
      </c>
      <c r="BR137" s="151"/>
      <c r="BS137" s="151"/>
      <c r="BT137" s="151"/>
      <c r="BU137" s="151"/>
      <c r="BV137" s="151"/>
      <c r="BW137" s="151"/>
      <c r="BX137" s="151"/>
    </row>
    <row r="138" spans="2:76" ht="16.5">
      <c r="B138" s="1" t="s">
        <v>1147</v>
      </c>
      <c r="C138" s="699"/>
      <c r="D138" s="699"/>
      <c r="E138" s="699"/>
      <c r="F138" s="1028">
        <v>0</v>
      </c>
      <c r="G138" s="1028">
        <f ca="1">+F141</f>
        <v>0</v>
      </c>
      <c r="H138" s="1028">
        <f t="shared" ref="H138:Z138" ca="1" si="89">+G141</f>
        <v>0</v>
      </c>
      <c r="I138" s="1028">
        <f t="shared" ca="1" si="89"/>
        <v>0</v>
      </c>
      <c r="J138" s="1028">
        <f t="shared" ca="1" si="89"/>
        <v>245548539.28148568</v>
      </c>
      <c r="K138" s="1028">
        <f t="shared" ca="1" si="89"/>
        <v>241272406.06887355</v>
      </c>
      <c r="L138" s="1028">
        <f t="shared" ca="1" si="89"/>
        <v>236803846.86169395</v>
      </c>
      <c r="M138" s="1028">
        <f t="shared" ca="1" si="89"/>
        <v>232134202.49019119</v>
      </c>
      <c r="N138" s="1028">
        <f t="shared" ca="1" si="89"/>
        <v>227254424.12197086</v>
      </c>
      <c r="O138" s="1028">
        <f t="shared" ca="1" si="89"/>
        <v>222155055.72718057</v>
      </c>
      <c r="P138" s="1028">
        <f t="shared" ca="1" si="89"/>
        <v>216826215.75462475</v>
      </c>
      <c r="Q138" s="1028">
        <f t="shared" ca="1" si="89"/>
        <v>211257577.98330387</v>
      </c>
      <c r="R138" s="1028">
        <f t="shared" ca="1" si="89"/>
        <v>205438351.51227361</v>
      </c>
      <c r="S138" s="1028">
        <f t="shared" ca="1" si="89"/>
        <v>199357259.85004693</v>
      </c>
      <c r="T138" s="1028">
        <f t="shared" ca="1" si="89"/>
        <v>193002519.06302011</v>
      </c>
      <c r="U138" s="1028">
        <f t="shared" ca="1" si="89"/>
        <v>186361814.94057703</v>
      </c>
      <c r="V138" s="1028">
        <f t="shared" ca="1" si="89"/>
        <v>179422279.13262406</v>
      </c>
      <c r="W138" s="1028">
        <f t="shared" ca="1" si="89"/>
        <v>172170464.21331316</v>
      </c>
      <c r="X138" s="1028">
        <f t="shared" ca="1" si="89"/>
        <v>164592317.62263334</v>
      </c>
      <c r="Y138" s="1028">
        <f t="shared" ca="1" si="89"/>
        <v>156673154.43537286</v>
      </c>
      <c r="Z138" s="1028">
        <f t="shared" ca="1" si="89"/>
        <v>148397628.90468571</v>
      </c>
      <c r="AA138" s="699"/>
      <c r="AB138" s="699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  <c r="BE138" s="151"/>
      <c r="BF138" s="151"/>
      <c r="BG138" s="151"/>
      <c r="BH138" s="151"/>
      <c r="BI138" s="151"/>
      <c r="BJ138" s="151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1"/>
      <c r="BW138" s="151"/>
      <c r="BX138" s="151"/>
    </row>
    <row r="139" spans="2:76" ht="16.5">
      <c r="B139" s="1" t="s">
        <v>1148</v>
      </c>
      <c r="C139" s="699"/>
      <c r="D139" s="699"/>
      <c r="E139" s="699"/>
      <c r="F139" s="90">
        <f>+IF(YEAR(F$137)=YEAR(Assumptions!$G$31),'S&amp;U'!$S$17,0)</f>
        <v>0</v>
      </c>
      <c r="G139" s="90">
        <f>+IF(YEAR(G$137)=YEAR(Assumptions!$G$31),'S&amp;U'!$S$17,0)</f>
        <v>0</v>
      </c>
      <c r="H139" s="90">
        <f>+IF(YEAR(H$137)=YEAR(Assumptions!$G$31),'S&amp;U'!$S$17,0)</f>
        <v>0</v>
      </c>
      <c r="I139" s="90">
        <f ca="1">+IF(YEAR(I$137)=YEAR(Assumptions!$G$31),'S&amp;U'!$S$17,0)</f>
        <v>249640532.78637761</v>
      </c>
      <c r="J139" s="90">
        <f>+IF(YEAR(J$137)=YEAR(Assumptions!$G$31),'S&amp;U'!$S$17,0)</f>
        <v>0</v>
      </c>
      <c r="K139" s="90">
        <f>+IF(YEAR(K$137)=YEAR(Assumptions!$G$31),'S&amp;U'!$S$17,0)</f>
        <v>0</v>
      </c>
      <c r="L139" s="90">
        <f>+IF(YEAR(L$137)=YEAR(Assumptions!$G$31),'S&amp;U'!$S$17,0)</f>
        <v>0</v>
      </c>
      <c r="M139" s="90">
        <f>+IF(YEAR(M$137)=YEAR(Assumptions!$G$31),'S&amp;U'!$S$17,0)</f>
        <v>0</v>
      </c>
      <c r="N139" s="90">
        <f>+IF(YEAR(N$137)=YEAR(Assumptions!$G$31),'S&amp;U'!$S$17,0)</f>
        <v>0</v>
      </c>
      <c r="O139" s="90">
        <f>+IF(YEAR(O$137)=YEAR(Assumptions!$G$31),'S&amp;U'!$S$17,0)</f>
        <v>0</v>
      </c>
      <c r="P139" s="90">
        <f>+IF(YEAR(P$137)=YEAR(Assumptions!$G$31),'S&amp;U'!$S$17,0)</f>
        <v>0</v>
      </c>
      <c r="Q139" s="90">
        <f>+IF(YEAR(Q$137)=YEAR(Assumptions!$G$31),'S&amp;U'!$S$17,0)</f>
        <v>0</v>
      </c>
      <c r="R139" s="90">
        <f>+IF(YEAR(R$137)=YEAR(Assumptions!$G$31),'S&amp;U'!$S$17,0)</f>
        <v>0</v>
      </c>
      <c r="S139" s="90">
        <f>+IF(YEAR(S$137)=YEAR(Assumptions!$G$31),'S&amp;U'!$S$17,0)</f>
        <v>0</v>
      </c>
      <c r="T139" s="90">
        <f>+IF(YEAR(T$137)=YEAR(Assumptions!$G$31),'S&amp;U'!$S$17,0)</f>
        <v>0</v>
      </c>
      <c r="U139" s="90">
        <f>+IF(YEAR(U$137)=YEAR(Assumptions!$G$31),'S&amp;U'!$S$17,0)</f>
        <v>0</v>
      </c>
      <c r="V139" s="90">
        <f>+IF(YEAR(V$137)=YEAR(Assumptions!$G$31),'S&amp;U'!$S$17,0)</f>
        <v>0</v>
      </c>
      <c r="W139" s="90">
        <f>+IF(YEAR(W$137)=YEAR(Assumptions!$G$31),'S&amp;U'!$S$17,0)</f>
        <v>0</v>
      </c>
      <c r="X139" s="90">
        <f>+IF(YEAR(X$137)=YEAR(Assumptions!$G$31),'S&amp;U'!$S$17,0)</f>
        <v>0</v>
      </c>
      <c r="Y139" s="90">
        <f>+IF(YEAR(Y$137)=YEAR(Assumptions!$G$31),'S&amp;U'!$S$17,0)</f>
        <v>0</v>
      </c>
      <c r="Z139" s="90">
        <f>+IF(YEAR(Z$137)=YEAR(Assumptions!$G$31),'S&amp;U'!$S$17,0)</f>
        <v>0</v>
      </c>
      <c r="AA139" s="699"/>
      <c r="AB139" s="699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946">
        <f>+BD127*Assumptions!$AF$261*BD131</f>
        <v>0</v>
      </c>
      <c r="BE139" s="946">
        <f>+BE127*Assumptions!$AF$261*BE131</f>
        <v>0</v>
      </c>
      <c r="BF139" s="946">
        <f>+BF127*Assumptions!$AF$261*BF131</f>
        <v>0</v>
      </c>
      <c r="BG139" s="946">
        <f>+BG127*Assumptions!$AF$261*BG131</f>
        <v>0</v>
      </c>
      <c r="BH139" s="946">
        <f>+BH127*Assumptions!$AF$261*BH131</f>
        <v>0</v>
      </c>
      <c r="BI139" s="946">
        <f>+BI127*Assumptions!$AF$261*BI131</f>
        <v>0</v>
      </c>
      <c r="BJ139" s="946">
        <f>+BJ127*Assumptions!$AF$261*BJ131</f>
        <v>0</v>
      </c>
      <c r="BK139" s="946">
        <f>+BK127*Assumptions!$AF$261*BK131</f>
        <v>0</v>
      </c>
      <c r="BL139" s="946">
        <f>+BL127*Assumptions!$AF$261*BL131</f>
        <v>0</v>
      </c>
      <c r="BM139" s="946">
        <f>+BM127*Assumptions!$AF$261*BM131</f>
        <v>0</v>
      </c>
      <c r="BN139" s="946">
        <f>+BN127*Assumptions!$AF$261*BN131</f>
        <v>0</v>
      </c>
      <c r="BO139" s="946">
        <f>+BO127*Assumptions!$AF$261*BO131</f>
        <v>0</v>
      </c>
      <c r="BP139" s="946">
        <f>+BP127*Assumptions!$AF$261*BP131</f>
        <v>0</v>
      </c>
      <c r="BQ139" s="946">
        <f>+BQ127*Assumptions!$AF$261*BQ131</f>
        <v>0</v>
      </c>
      <c r="BR139" s="151"/>
      <c r="BS139" s="151"/>
      <c r="BT139" s="151"/>
      <c r="BU139" s="151"/>
      <c r="BV139" s="151"/>
      <c r="BW139" s="151"/>
      <c r="BX139" s="151"/>
    </row>
    <row r="140" spans="2:76" ht="16.5">
      <c r="B140" s="1" t="s">
        <v>682</v>
      </c>
      <c r="C140" s="699"/>
      <c r="D140" s="699"/>
      <c r="E140" s="699"/>
      <c r="F140" s="90">
        <f ca="1">+IFERROR(PPMT(Assumptions!$O$145,'Phase 2 Pro Forma'!F2,Assumptions!$O$147,'S&amp;U'!$S$17),0)</f>
        <v>0</v>
      </c>
      <c r="G140" s="90">
        <f ca="1">+IFERROR(PPMT(Assumptions!$O$145,'Phase 2 Pro Forma'!G2,Assumptions!$O$147,'S&amp;U'!$S$17),0)</f>
        <v>0</v>
      </c>
      <c r="H140" s="90">
        <f ca="1">+IFERROR(PPMT(Assumptions!$O$145,'Phase 2 Pro Forma'!H2,Assumptions!$O$147,'S&amp;U'!$S$17),0)</f>
        <v>0</v>
      </c>
      <c r="I140" s="90">
        <f ca="1">+IFERROR(PPMT(Assumptions!$O$145,'Phase 2 Pro Forma'!I2,Assumptions!$O$147,'S&amp;U'!$S$17),0)</f>
        <v>-4091993.5048919637</v>
      </c>
      <c r="J140" s="90">
        <f ca="1">+IFERROR(PPMT(Assumptions!$O$145,'Phase 2 Pro Forma'!J2,Assumptions!$O$147,'S&amp;U'!$S$17),0)</f>
        <v>-4276133.2126121018</v>
      </c>
      <c r="K140" s="90">
        <f ca="1">+IFERROR(PPMT(Assumptions!$O$145,'Phase 2 Pro Forma'!K2,Assumptions!$O$147,'S&amp;U'!$S$17),0)</f>
        <v>-4468559.2071796469</v>
      </c>
      <c r="L140" s="90">
        <f ca="1">+IFERROR(PPMT(Assumptions!$O$145,'Phase 2 Pro Forma'!L2,Assumptions!$O$147,'S&amp;U'!$S$17),0)</f>
        <v>-4669644.371502731</v>
      </c>
      <c r="M140" s="90">
        <f ca="1">+IFERROR(PPMT(Assumptions!$O$145,'Phase 2 Pro Forma'!M2,Assumptions!$O$147,'S&amp;U'!$S$17),0)</f>
        <v>-4879778.3682203535</v>
      </c>
      <c r="N140" s="90">
        <f ca="1">+IFERROR(PPMT(Assumptions!$O$145,'Phase 2 Pro Forma'!N2,Assumptions!$O$147,'S&amp;U'!$S$17),0)</f>
        <v>-5099368.3947902704</v>
      </c>
      <c r="O140" s="90">
        <f ca="1">+IFERROR(PPMT(Assumptions!$O$145,'Phase 2 Pro Forma'!O2,Assumptions!$O$147,'S&amp;U'!$S$17),0)</f>
        <v>-5328839.9725558329</v>
      </c>
      <c r="P140" s="90">
        <f ca="1">+IFERROR(PPMT(Assumptions!$O$145,'Phase 2 Pro Forma'!P2,Assumptions!$O$147,'S&amp;U'!$S$17),0)</f>
        <v>-5568637.771320845</v>
      </c>
      <c r="Q140" s="90">
        <f ca="1">+IFERROR(PPMT(Assumptions!$O$145,'Phase 2 Pro Forma'!Q2,Assumptions!$O$147,'S&amp;U'!$S$17),0)</f>
        <v>-5819226.4710302828</v>
      </c>
      <c r="R140" s="90">
        <f ca="1">+IFERROR(PPMT(Assumptions!$O$145,'Phase 2 Pro Forma'!R2,Assumptions!$O$147,'S&amp;U'!$S$17),0)</f>
        <v>-6081091.6622266453</v>
      </c>
      <c r="S140" s="90">
        <f ca="1">+IFERROR(PPMT(Assumptions!$O$145,'Phase 2 Pro Forma'!S2,Assumptions!$O$147,'S&amp;U'!$S$17),0)</f>
        <v>-6354740.7870268449</v>
      </c>
      <c r="T140" s="90">
        <f ca="1">+IFERROR(PPMT(Assumptions!$O$145,'Phase 2 Pro Forma'!T2,Assumptions!$O$147,'S&amp;U'!$S$17),0)</f>
        <v>-6640704.122443052</v>
      </c>
      <c r="U140" s="90">
        <f ca="1">+IFERROR(PPMT(Assumptions!$O$145,'Phase 2 Pro Forma'!U2,Assumptions!$O$147,'S&amp;U'!$S$17),0)</f>
        <v>-6939535.8079529889</v>
      </c>
      <c r="V140" s="90">
        <f ca="1">+IFERROR(PPMT(Assumptions!$O$145,'Phase 2 Pro Forma'!V2,Assumptions!$O$147,'S&amp;U'!$S$17),0)</f>
        <v>-7251814.9193108743</v>
      </c>
      <c r="W140" s="90">
        <f ca="1">+IFERROR(PPMT(Assumptions!$O$145,'Phase 2 Pro Forma'!W2,Assumptions!$O$147,'S&amp;U'!$S$17),0)</f>
        <v>-7578146.5906798635</v>
      </c>
      <c r="X140" s="90">
        <f ca="1">+IFERROR(PPMT(Assumptions!$O$145,'Phase 2 Pro Forma'!X2,Assumptions!$O$147,'S&amp;U'!$S$17),0)</f>
        <v>-7919163.1872604564</v>
      </c>
      <c r="Y140" s="90">
        <f ca="1">+IFERROR(PPMT(Assumptions!$O$145,'Phase 2 Pro Forma'!Y2,Assumptions!$O$147,'S&amp;U'!$S$17),0)</f>
        <v>-8275525.5306871785</v>
      </c>
      <c r="Z140" s="90">
        <f ca="1">+IFERROR(PPMT(Assumptions!$O$145,'Phase 2 Pro Forma'!Z2,Assumptions!$O$147,'S&amp;U'!$S$17),0)</f>
        <v>-8647924.1795681007</v>
      </c>
      <c r="AA140" s="699"/>
      <c r="AB140" s="699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687">
        <f ca="1">+IFERROR(INDEX('Taxes and TIF'!$AC$11:$AC$45,MATCH('Phase 2 Pro Forma'!M$7,'Taxes and TIF'!$R$11:$R$45,0)),0)*'Loan Sizing'!$K$24*'Phase 2 Pro Forma'!BD128</f>
        <v>0</v>
      </c>
      <c r="BE140" s="687">
        <f ca="1">+IFERROR(INDEX('Taxes and TIF'!$AC$11:$AC$45,MATCH('Phase 2 Pro Forma'!N$7,'Taxes and TIF'!$R$11:$R$45,0)),0)*'Loan Sizing'!$K$24*'Phase 2 Pro Forma'!BE128</f>
        <v>0</v>
      </c>
      <c r="BF140" s="687">
        <f ca="1">+IFERROR(INDEX('Taxes and TIF'!$AC$11:$AC$45,MATCH('Phase 2 Pro Forma'!O$7,'Taxes and TIF'!$R$11:$R$45,0)),0)*'Loan Sizing'!$K$24*'Phase 2 Pro Forma'!BF128</f>
        <v>0</v>
      </c>
      <c r="BG140" s="687">
        <f ca="1">+IFERROR(INDEX('Taxes and TIF'!$AC$11:$AC$45,MATCH('Phase 2 Pro Forma'!P$7,'Taxes and TIF'!$R$11:$R$45,0)),0)*'Loan Sizing'!$K$24*'Phase 2 Pro Forma'!BG128</f>
        <v>0</v>
      </c>
      <c r="BH140" s="687">
        <f ca="1">+IFERROR(INDEX('Taxes and TIF'!$AC$11:$AC$45,MATCH('Phase 2 Pro Forma'!Q$7,'Taxes and TIF'!$R$11:$R$45,0)),0)*'Loan Sizing'!$K$24*'Phase 2 Pro Forma'!BH128</f>
        <v>0</v>
      </c>
      <c r="BI140" s="687">
        <f ca="1">+IFERROR(INDEX('Taxes and TIF'!$AC$11:$AC$45,MATCH('Phase 2 Pro Forma'!R$7,'Taxes and TIF'!$R$11:$R$45,0)),0)*'Loan Sizing'!$K$24*'Phase 2 Pro Forma'!BI128</f>
        <v>0</v>
      </c>
      <c r="BJ140" s="687">
        <f ca="1">+IFERROR(INDEX('Taxes and TIF'!$AC$11:$AC$45,MATCH('Phase 2 Pro Forma'!S$7,'Taxes and TIF'!$R$11:$R$45,0)),0)*'Loan Sizing'!$K$24*'Phase 2 Pro Forma'!BJ128</f>
        <v>0</v>
      </c>
      <c r="BK140" s="687">
        <f ca="1">+IFERROR(INDEX('Taxes and TIF'!$AC$11:$AC$45,MATCH('Phase 2 Pro Forma'!T$7,'Taxes and TIF'!$R$11:$R$45,0)),0)*'Loan Sizing'!$K$24*'Phase 2 Pro Forma'!BK128</f>
        <v>0</v>
      </c>
      <c r="BL140" s="687">
        <f ca="1">+IFERROR(INDEX('Taxes and TIF'!$AC$11:$AC$45,MATCH('Phase 2 Pro Forma'!U$7,'Taxes and TIF'!$R$11:$R$45,0)),0)*'Loan Sizing'!$K$24*'Phase 2 Pro Forma'!BL128</f>
        <v>0</v>
      </c>
      <c r="BM140" s="687">
        <f ca="1">+IFERROR(INDEX('Taxes and TIF'!$AC$11:$AC$45,MATCH('Phase 2 Pro Forma'!V$7,'Taxes and TIF'!$R$11:$R$45,0)),0)*'Loan Sizing'!$K$24*'Phase 2 Pro Forma'!BM128</f>
        <v>0</v>
      </c>
      <c r="BN140" s="687">
        <f ca="1">+IFERROR(INDEX('Taxes and TIF'!$AC$11:$AC$45,MATCH('Phase 2 Pro Forma'!W$7,'Taxes and TIF'!$R$11:$R$45,0)),0)*'Loan Sizing'!$K$24*'Phase 2 Pro Forma'!BN128</f>
        <v>0</v>
      </c>
      <c r="BO140" s="687">
        <f ca="1">+IFERROR(INDEX('Taxes and TIF'!$AC$11:$AC$45,MATCH('Phase 2 Pro Forma'!X$7,'Taxes and TIF'!$R$11:$R$45,0)),0)*'Loan Sizing'!$K$24*'Phase 2 Pro Forma'!BO128</f>
        <v>0</v>
      </c>
      <c r="BP140" s="687">
        <f ca="1">+IFERROR(INDEX('Taxes and TIF'!$AC$11:$AC$45,MATCH('Phase 2 Pro Forma'!Y$7,'Taxes and TIF'!$R$11:$R$45,0)),0)*'Loan Sizing'!$K$24*'Phase 2 Pro Forma'!BP128</f>
        <v>0</v>
      </c>
      <c r="BQ140" s="687">
        <f ca="1">+IFERROR(INDEX('Taxes and TIF'!$AC$11:$AC$45,MATCH('Phase 2 Pro Forma'!Z$7,'Taxes and TIF'!$R$11:$R$45,0)),0)*'Loan Sizing'!$K$24*'Phase 2 Pro Forma'!BQ128</f>
        <v>0</v>
      </c>
      <c r="BR140" s="151"/>
      <c r="BS140" s="151"/>
      <c r="BT140" s="151"/>
      <c r="BU140" s="151"/>
      <c r="BV140" s="151"/>
      <c r="BW140" s="151"/>
      <c r="BX140" s="151"/>
    </row>
    <row r="141" spans="2:76" ht="16.5">
      <c r="B141" s="1" t="s">
        <v>1149</v>
      </c>
      <c r="C141" s="699"/>
      <c r="D141" s="699"/>
      <c r="E141" s="699"/>
      <c r="F141" s="90">
        <f ca="1">+SUM(F138:F140)</f>
        <v>0</v>
      </c>
      <c r="G141" s="90">
        <f t="shared" ref="G141:Z141" ca="1" si="90">+SUM(G138:G140)</f>
        <v>0</v>
      </c>
      <c r="H141" s="90">
        <f t="shared" ca="1" si="90"/>
        <v>0</v>
      </c>
      <c r="I141" s="90">
        <f t="shared" ca="1" si="90"/>
        <v>245548539.28148565</v>
      </c>
      <c r="J141" s="90">
        <f t="shared" ca="1" si="90"/>
        <v>241272406.06887358</v>
      </c>
      <c r="K141" s="90">
        <f t="shared" ca="1" si="90"/>
        <v>236803846.86169392</v>
      </c>
      <c r="L141" s="90">
        <f t="shared" ca="1" si="90"/>
        <v>232134202.49019122</v>
      </c>
      <c r="M141" s="90">
        <f t="shared" ca="1" si="90"/>
        <v>227254424.12197083</v>
      </c>
      <c r="N141" s="90">
        <f t="shared" ca="1" si="90"/>
        <v>222155055.7271806</v>
      </c>
      <c r="O141" s="90">
        <f t="shared" ca="1" si="90"/>
        <v>216826215.75462472</v>
      </c>
      <c r="P141" s="90">
        <f t="shared" ca="1" si="90"/>
        <v>211257577.9833039</v>
      </c>
      <c r="Q141" s="90">
        <f t="shared" ca="1" si="90"/>
        <v>205438351.51227358</v>
      </c>
      <c r="R141" s="90">
        <f t="shared" ca="1" si="90"/>
        <v>199357259.85004696</v>
      </c>
      <c r="S141" s="90">
        <f t="shared" ca="1" si="90"/>
        <v>193002519.06302008</v>
      </c>
      <c r="T141" s="90">
        <f t="shared" ca="1" si="90"/>
        <v>186361814.94057706</v>
      </c>
      <c r="U141" s="90">
        <f t="shared" ca="1" si="90"/>
        <v>179422279.13262403</v>
      </c>
      <c r="V141" s="90">
        <f t="shared" ca="1" si="90"/>
        <v>172170464.21331319</v>
      </c>
      <c r="W141" s="90">
        <f t="shared" ca="1" si="90"/>
        <v>164592317.62263331</v>
      </c>
      <c r="X141" s="90">
        <f t="shared" ca="1" si="90"/>
        <v>156673154.43537289</v>
      </c>
      <c r="Y141" s="90">
        <f t="shared" ca="1" si="90"/>
        <v>148397628.90468568</v>
      </c>
      <c r="Z141" s="90">
        <f t="shared" ca="1" si="90"/>
        <v>139749704.72511759</v>
      </c>
      <c r="AA141" s="699"/>
      <c r="AB141" s="699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946">
        <f t="shared" ref="BD141:BQ141" ca="1" si="91">+SUM(BD139:BD140)</f>
        <v>0</v>
      </c>
      <c r="BE141" s="946">
        <f t="shared" ca="1" si="91"/>
        <v>0</v>
      </c>
      <c r="BF141" s="946">
        <f t="shared" ca="1" si="91"/>
        <v>0</v>
      </c>
      <c r="BG141" s="946">
        <f t="shared" ca="1" si="91"/>
        <v>0</v>
      </c>
      <c r="BH141" s="946">
        <f t="shared" ca="1" si="91"/>
        <v>0</v>
      </c>
      <c r="BI141" s="946">
        <f t="shared" ca="1" si="91"/>
        <v>0</v>
      </c>
      <c r="BJ141" s="946">
        <f t="shared" ca="1" si="91"/>
        <v>0</v>
      </c>
      <c r="BK141" s="946">
        <f t="shared" ca="1" si="91"/>
        <v>0</v>
      </c>
      <c r="BL141" s="946">
        <f t="shared" ca="1" si="91"/>
        <v>0</v>
      </c>
      <c r="BM141" s="946">
        <f t="shared" ca="1" si="91"/>
        <v>0</v>
      </c>
      <c r="BN141" s="946">
        <f t="shared" ca="1" si="91"/>
        <v>0</v>
      </c>
      <c r="BO141" s="946">
        <f t="shared" ca="1" si="91"/>
        <v>0</v>
      </c>
      <c r="BP141" s="946">
        <f t="shared" ca="1" si="91"/>
        <v>0</v>
      </c>
      <c r="BQ141" s="946">
        <f t="shared" ca="1" si="91"/>
        <v>0</v>
      </c>
      <c r="BR141" s="151"/>
      <c r="BS141" s="151"/>
      <c r="BT141" s="151"/>
      <c r="BU141" s="151"/>
      <c r="BV141" s="151"/>
      <c r="BW141" s="151"/>
      <c r="BX141" s="151"/>
    </row>
    <row r="142" spans="2:76" ht="16.5">
      <c r="B142" s="47"/>
      <c r="C142" s="699"/>
      <c r="D142" s="699"/>
      <c r="E142" s="699"/>
      <c r="F142" s="699"/>
      <c r="G142" s="699"/>
      <c r="H142" s="699"/>
      <c r="I142" s="699"/>
      <c r="J142" s="699"/>
      <c r="K142" s="699"/>
      <c r="L142" s="699"/>
      <c r="M142" s="699"/>
      <c r="N142" s="699"/>
      <c r="O142" s="699"/>
      <c r="P142" s="699"/>
      <c r="Q142" s="699"/>
      <c r="R142" s="699"/>
      <c r="S142" s="699"/>
      <c r="T142" s="699"/>
      <c r="U142" s="699"/>
      <c r="V142" s="699"/>
      <c r="W142" s="699"/>
      <c r="X142" s="699"/>
      <c r="Y142" s="699"/>
      <c r="Z142" s="699"/>
      <c r="AA142" s="699"/>
      <c r="AB142" s="699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  <c r="BP142" s="151"/>
      <c r="BQ142" s="151"/>
      <c r="BR142" s="151"/>
      <c r="BS142" s="151"/>
      <c r="BT142" s="151"/>
      <c r="BU142" s="151"/>
      <c r="BV142" s="151"/>
      <c r="BW142" s="151"/>
      <c r="BX142" s="151"/>
    </row>
    <row r="143" spans="2:76" ht="16.5">
      <c r="B143" s="47" t="s">
        <v>1150</v>
      </c>
      <c r="C143" s="699"/>
      <c r="D143" s="699"/>
      <c r="E143" s="699"/>
      <c r="F143" s="1028">
        <f ca="1">-IFERROR(IPMT(Assumptions!$O$145,F2,Assumptions!$O$147,'S&amp;U'!$S$17),0)</f>
        <v>0</v>
      </c>
      <c r="G143" s="1028">
        <f ca="1">-IFERROR(IPMT(Assumptions!$O$145,G2,Assumptions!$O$147,'S&amp;U'!$S$17),0)</f>
        <v>0</v>
      </c>
      <c r="H143" s="1028">
        <f ca="1">-IFERROR(IPMT(Assumptions!$O$145,H2,Assumptions!$O$147,'S&amp;U'!$S$17),0)</f>
        <v>0</v>
      </c>
      <c r="I143" s="1028">
        <f ca="1">-IFERROR(IPMT(Assumptions!$O$145,I2,Assumptions!$O$147,'S&amp;U'!$S$17),0)</f>
        <v>11233823.975386992</v>
      </c>
      <c r="J143" s="1028">
        <f ca="1">-IFERROR(IPMT(Assumptions!$O$145,J2,Assumptions!$O$147,'S&amp;U'!$S$17),0)</f>
        <v>11049684.267666854</v>
      </c>
      <c r="K143" s="1028">
        <f ca="1">-IFERROR(IPMT(Assumptions!$O$145,K2,Assumptions!$O$147,'S&amp;U'!$S$17),0)</f>
        <v>10857258.273099307</v>
      </c>
      <c r="L143" s="1028">
        <f ca="1">-IFERROR(IPMT(Assumptions!$O$145,L2,Assumptions!$O$147,'S&amp;U'!$S$17),0)</f>
        <v>10656173.108776225</v>
      </c>
      <c r="M143" s="1028">
        <f ca="1">-IFERROR(IPMT(Assumptions!$O$145,M2,Assumptions!$O$147,'S&amp;U'!$S$17),0)</f>
        <v>10446039.112058602</v>
      </c>
      <c r="N143" s="1028">
        <f ca="1">-IFERROR(IPMT(Assumptions!$O$145,N2,Assumptions!$O$147,'S&amp;U'!$S$17),0)</f>
        <v>10226449.085488684</v>
      </c>
      <c r="O143" s="1028">
        <f ca="1">-IFERROR(IPMT(Assumptions!$O$145,O2,Assumptions!$O$147,'S&amp;U'!$S$17),0)</f>
        <v>9996977.5077231228</v>
      </c>
      <c r="P143" s="1028">
        <f ca="1">-IFERROR(IPMT(Assumptions!$O$145,P2,Assumptions!$O$147,'S&amp;U'!$S$17),0)</f>
        <v>9757179.7089581098</v>
      </c>
      <c r="Q143" s="1028">
        <f ca="1">-IFERROR(IPMT(Assumptions!$O$145,Q2,Assumptions!$O$147,'S&amp;U'!$S$17),0)</f>
        <v>9506591.0092486721</v>
      </c>
      <c r="R143" s="1028">
        <f ca="1">-IFERROR(IPMT(Assumptions!$O$145,R2,Assumptions!$O$147,'S&amp;U'!$S$17),0)</f>
        <v>9244725.8180523086</v>
      </c>
      <c r="S143" s="1028">
        <f ca="1">-IFERROR(IPMT(Assumptions!$O$145,S2,Assumptions!$O$147,'S&amp;U'!$S$17),0)</f>
        <v>8971076.6932521109</v>
      </c>
      <c r="T143" s="1028">
        <f ca="1">-IFERROR(IPMT(Assumptions!$O$145,T2,Assumptions!$O$147,'S&amp;U'!$S$17),0)</f>
        <v>8685113.3578359038</v>
      </c>
      <c r="U143" s="1028">
        <f ca="1">-IFERROR(IPMT(Assumptions!$O$145,U2,Assumptions!$O$147,'S&amp;U'!$S$17),0)</f>
        <v>8386281.6723259659</v>
      </c>
      <c r="V143" s="1028">
        <f ca="1">-IFERROR(IPMT(Assumptions!$O$145,V2,Assumptions!$O$147,'S&amp;U'!$S$17),0)</f>
        <v>8074002.5609680815</v>
      </c>
      <c r="W143" s="1028">
        <f ca="1">-IFERROR(IPMT(Assumptions!$O$145,W2,Assumptions!$O$147,'S&amp;U'!$S$17),0)</f>
        <v>7747670.8895990923</v>
      </c>
      <c r="X143" s="1028">
        <f ca="1">-IFERROR(IPMT(Assumptions!$O$145,X2,Assumptions!$O$147,'S&amp;U'!$S$17),0)</f>
        <v>7406654.2930184975</v>
      </c>
      <c r="Y143" s="1028">
        <f ca="1">-IFERROR(IPMT(Assumptions!$O$145,Y2,Assumptions!$O$147,'S&amp;U'!$S$17),0)</f>
        <v>7050291.9495917754</v>
      </c>
      <c r="Z143" s="1028">
        <f ca="1">-IFERROR(IPMT(Assumptions!$O$145,Z2,Assumptions!$O$147,'S&amp;U'!$S$17),0)</f>
        <v>6677893.3007108541</v>
      </c>
      <c r="AA143" s="699"/>
      <c r="AB143" s="699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948">
        <f t="shared" ref="BD143:BQ143" ca="1" si="92">+BD137-BD141</f>
        <v>0</v>
      </c>
      <c r="BE143" s="948">
        <f t="shared" ca="1" si="92"/>
        <v>0</v>
      </c>
      <c r="BF143" s="948">
        <f t="shared" ca="1" si="92"/>
        <v>0</v>
      </c>
      <c r="BG143" s="948">
        <f t="shared" ca="1" si="92"/>
        <v>0</v>
      </c>
      <c r="BH143" s="948">
        <f t="shared" ca="1" si="92"/>
        <v>0</v>
      </c>
      <c r="BI143" s="948">
        <f t="shared" ca="1" si="92"/>
        <v>0</v>
      </c>
      <c r="BJ143" s="948">
        <f t="shared" ca="1" si="92"/>
        <v>0</v>
      </c>
      <c r="BK143" s="948">
        <f t="shared" ca="1" si="92"/>
        <v>0</v>
      </c>
      <c r="BL143" s="948">
        <f t="shared" ca="1" si="92"/>
        <v>0</v>
      </c>
      <c r="BM143" s="948">
        <f t="shared" ca="1" si="92"/>
        <v>0</v>
      </c>
      <c r="BN143" s="948">
        <f t="shared" ca="1" si="92"/>
        <v>0</v>
      </c>
      <c r="BO143" s="948">
        <f t="shared" ca="1" si="92"/>
        <v>0</v>
      </c>
      <c r="BP143" s="948">
        <f t="shared" ca="1" si="92"/>
        <v>0</v>
      </c>
      <c r="BQ143" s="948">
        <f t="shared" ca="1" si="92"/>
        <v>0</v>
      </c>
      <c r="BR143" s="151"/>
      <c r="BS143" s="151"/>
      <c r="BT143" s="151"/>
      <c r="BU143" s="151"/>
      <c r="BV143" s="151"/>
      <c r="BW143" s="151"/>
      <c r="BX143" s="151"/>
    </row>
    <row r="144" spans="2:76" ht="16.5">
      <c r="B144" s="59" t="s">
        <v>1151</v>
      </c>
      <c r="C144" s="59"/>
      <c r="D144" s="59"/>
      <c r="E144" s="59"/>
      <c r="F144" s="145">
        <f ca="1">+F143-F140</f>
        <v>0</v>
      </c>
      <c r="G144" s="145">
        <f t="shared" ref="G144:Z144" ca="1" si="93">+G143-G140</f>
        <v>0</v>
      </c>
      <c r="H144" s="145">
        <f t="shared" ca="1" si="93"/>
        <v>0</v>
      </c>
      <c r="I144" s="145">
        <f t="shared" ca="1" si="93"/>
        <v>15325817.480278956</v>
      </c>
      <c r="J144" s="145">
        <f t="shared" ca="1" si="93"/>
        <v>15325817.480278956</v>
      </c>
      <c r="K144" s="145">
        <f t="shared" ca="1" si="93"/>
        <v>15325817.480278954</v>
      </c>
      <c r="L144" s="145">
        <f t="shared" ca="1" si="93"/>
        <v>15325817.480278956</v>
      </c>
      <c r="M144" s="145">
        <f t="shared" ca="1" si="93"/>
        <v>15325817.480278956</v>
      </c>
      <c r="N144" s="145">
        <f t="shared" ca="1" si="93"/>
        <v>15325817.480278954</v>
      </c>
      <c r="O144" s="145">
        <f t="shared" ca="1" si="93"/>
        <v>15325817.480278956</v>
      </c>
      <c r="P144" s="145">
        <f t="shared" ca="1" si="93"/>
        <v>15325817.480278954</v>
      </c>
      <c r="Q144" s="145">
        <f t="shared" ca="1" si="93"/>
        <v>15325817.480278954</v>
      </c>
      <c r="R144" s="145">
        <f t="shared" ca="1" si="93"/>
        <v>15325817.480278954</v>
      </c>
      <c r="S144" s="145">
        <f t="shared" ca="1" si="93"/>
        <v>15325817.480278956</v>
      </c>
      <c r="T144" s="145">
        <f t="shared" ca="1" si="93"/>
        <v>15325817.480278956</v>
      </c>
      <c r="U144" s="145">
        <f t="shared" ca="1" si="93"/>
        <v>15325817.480278954</v>
      </c>
      <c r="V144" s="145">
        <f t="shared" ca="1" si="93"/>
        <v>15325817.480278956</v>
      </c>
      <c r="W144" s="145">
        <f t="shared" ca="1" si="93"/>
        <v>15325817.480278956</v>
      </c>
      <c r="X144" s="145">
        <f t="shared" ca="1" si="93"/>
        <v>15325817.480278954</v>
      </c>
      <c r="Y144" s="145">
        <f t="shared" ca="1" si="93"/>
        <v>15325817.480278954</v>
      </c>
      <c r="Z144" s="145">
        <f t="shared" ca="1" si="93"/>
        <v>15325817.480278954</v>
      </c>
      <c r="AA144" s="699"/>
      <c r="AB144" s="699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973" t="str">
        <f t="shared" ref="BD144:BQ144" ca="1" si="94">+IFERROR(BD143/BD137,"")</f>
        <v/>
      </c>
      <c r="BE144" s="973" t="str">
        <f t="shared" ca="1" si="94"/>
        <v/>
      </c>
      <c r="BF144" s="973" t="str">
        <f t="shared" ca="1" si="94"/>
        <v/>
      </c>
      <c r="BG144" s="973" t="str">
        <f t="shared" ca="1" si="94"/>
        <v/>
      </c>
      <c r="BH144" s="973" t="str">
        <f t="shared" ca="1" si="94"/>
        <v/>
      </c>
      <c r="BI144" s="973" t="str">
        <f t="shared" ca="1" si="94"/>
        <v/>
      </c>
      <c r="BJ144" s="973" t="str">
        <f t="shared" ca="1" si="94"/>
        <v/>
      </c>
      <c r="BK144" s="973" t="str">
        <f t="shared" ca="1" si="94"/>
        <v/>
      </c>
      <c r="BL144" s="973" t="str">
        <f t="shared" ca="1" si="94"/>
        <v/>
      </c>
      <c r="BM144" s="973" t="str">
        <f t="shared" ca="1" si="94"/>
        <v/>
      </c>
      <c r="BN144" s="973" t="str">
        <f t="shared" ca="1" si="94"/>
        <v/>
      </c>
      <c r="BO144" s="973" t="str">
        <f t="shared" ca="1" si="94"/>
        <v/>
      </c>
      <c r="BP144" s="973" t="str">
        <f t="shared" ca="1" si="94"/>
        <v/>
      </c>
      <c r="BQ144" s="973" t="str">
        <f t="shared" ca="1" si="94"/>
        <v/>
      </c>
      <c r="BR144" s="151"/>
      <c r="BS144" s="151"/>
      <c r="BT144" s="151"/>
      <c r="BU144" s="151"/>
      <c r="BV144" s="151"/>
      <c r="BW144" s="151"/>
      <c r="BX144" s="151"/>
    </row>
    <row r="145" spans="1:76" ht="16.5">
      <c r="A145" s="699"/>
      <c r="B145" s="60" t="s">
        <v>670</v>
      </c>
      <c r="C145" s="699"/>
      <c r="D145" s="699"/>
      <c r="E145" s="699"/>
      <c r="F145" s="146" t="str">
        <f ca="1">+IFERROR(F135/F144,"")</f>
        <v/>
      </c>
      <c r="G145" s="146" t="str">
        <f t="shared" ref="G145:Z145" ca="1" si="95">+IFERROR(G135/G144,"")</f>
        <v/>
      </c>
      <c r="H145" s="146" t="str">
        <f t="shared" ca="1" si="95"/>
        <v/>
      </c>
      <c r="I145" s="146">
        <f ca="1">+IFERROR(I135/I144,"")</f>
        <v>1.752767511236247E-2</v>
      </c>
      <c r="J145" s="146">
        <f t="shared" ca="1" si="95"/>
        <v>0.68620232770197243</v>
      </c>
      <c r="K145" s="146">
        <f t="shared" ca="1" si="95"/>
        <v>1.250000000000002</v>
      </c>
      <c r="L145" s="146">
        <f t="shared" ca="1" si="95"/>
        <v>1.3525950733371477</v>
      </c>
      <c r="M145" s="146">
        <f t="shared" ca="1" si="95"/>
        <v>1.3749096404275354</v>
      </c>
      <c r="N145" s="146">
        <f t="shared" ca="1" si="95"/>
        <v>1.4032398580073897</v>
      </c>
      <c r="O145" s="146">
        <f t="shared" ca="1" si="95"/>
        <v>1.4324199821146388</v>
      </c>
      <c r="P145" s="146">
        <f t="shared" ca="1" si="95"/>
        <v>1.457129296468352</v>
      </c>
      <c r="Q145" s="146">
        <f t="shared" ca="1" si="95"/>
        <v>1.5753612851964649</v>
      </c>
      <c r="R145" s="146">
        <f t="shared" ca="1" si="95"/>
        <v>1.6072471946718077</v>
      </c>
      <c r="S145" s="146">
        <f t="shared" ca="1" si="95"/>
        <v>1.6345830815503533</v>
      </c>
      <c r="T145" s="146">
        <f t="shared" ca="1" si="95"/>
        <v>1.668410842912744</v>
      </c>
      <c r="U145" s="146">
        <f t="shared" ca="1" si="95"/>
        <v>1.7032534371160071</v>
      </c>
      <c r="V145" s="146">
        <f t="shared" ca="1" si="95"/>
        <v>1.8338355255900205</v>
      </c>
      <c r="W145" s="146">
        <f t="shared" ca="1" si="95"/>
        <v>1.8708000337802617</v>
      </c>
      <c r="X145" s="146">
        <f t="shared" ca="1" si="95"/>
        <v>1.9088734772162101</v>
      </c>
      <c r="Y145" s="146">
        <f t="shared" ca="1" si="95"/>
        <v>1.9422471721414241</v>
      </c>
      <c r="Z145" s="146">
        <f t="shared" ca="1" si="95"/>
        <v>1.9826392882826218</v>
      </c>
      <c r="AA145" s="699"/>
      <c r="AB145" s="699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974">
        <v>0</v>
      </c>
      <c r="BE145" s="974">
        <v>0</v>
      </c>
      <c r="BF145" s="974">
        <v>0</v>
      </c>
      <c r="BG145" s="974">
        <v>0</v>
      </c>
      <c r="BH145" s="974">
        <v>0</v>
      </c>
      <c r="BI145" s="974">
        <v>0</v>
      </c>
      <c r="BJ145" s="974">
        <v>0</v>
      </c>
      <c r="BK145" s="974">
        <v>0</v>
      </c>
      <c r="BL145" s="974">
        <v>0</v>
      </c>
      <c r="BM145" s="974">
        <v>0</v>
      </c>
      <c r="BN145" s="974">
        <v>0</v>
      </c>
      <c r="BO145" s="974">
        <v>0</v>
      </c>
      <c r="BP145" s="974">
        <v>0</v>
      </c>
      <c r="BQ145" s="974">
        <v>0</v>
      </c>
      <c r="BR145" s="151"/>
      <c r="BS145" s="151"/>
      <c r="BT145" s="151"/>
      <c r="BU145" s="151"/>
      <c r="BV145" s="151"/>
      <c r="BW145" s="151"/>
      <c r="BX145" s="151"/>
    </row>
    <row r="146" spans="1:76" ht="16.5">
      <c r="A146" s="699"/>
      <c r="B146" s="47"/>
      <c r="C146" s="699"/>
      <c r="D146" s="699"/>
      <c r="E146" s="699"/>
      <c r="F146" s="699"/>
      <c r="G146" s="699"/>
      <c r="H146" s="699"/>
      <c r="I146" s="699"/>
      <c r="J146" s="699"/>
      <c r="K146" s="699"/>
      <c r="L146" s="699"/>
      <c r="M146" s="699"/>
      <c r="N146" s="699"/>
      <c r="O146" s="699"/>
      <c r="P146" s="699"/>
      <c r="Q146" s="699"/>
      <c r="R146" s="699"/>
      <c r="S146" s="699"/>
      <c r="T146" s="699"/>
      <c r="U146" s="699"/>
      <c r="V146" s="699"/>
      <c r="W146" s="699"/>
      <c r="X146" s="699"/>
      <c r="Y146" s="699"/>
      <c r="Z146" s="699"/>
      <c r="AA146" s="699"/>
      <c r="AB146" s="699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  <c r="BE146" s="151"/>
      <c r="BF146" s="151"/>
      <c r="BG146" s="151"/>
      <c r="BH146" s="151"/>
      <c r="BI146" s="151"/>
      <c r="BJ146" s="151"/>
      <c r="BK146" s="151"/>
      <c r="BL146" s="151"/>
      <c r="BM146" s="151"/>
      <c r="BN146" s="151"/>
      <c r="BO146" s="151"/>
      <c r="BP146" s="151"/>
      <c r="BQ146" s="151"/>
      <c r="BR146" s="151"/>
      <c r="BS146" s="151"/>
      <c r="BT146" s="151"/>
      <c r="BU146" s="151"/>
      <c r="BV146" s="151"/>
      <c r="BW146" s="151"/>
      <c r="BX146" s="151"/>
    </row>
    <row r="147" spans="1:76" ht="16.5">
      <c r="A147" s="699" t="s">
        <v>881</v>
      </c>
      <c r="B147" s="47" t="s">
        <v>1152</v>
      </c>
      <c r="C147" s="699"/>
      <c r="D147" s="699"/>
      <c r="E147" s="699"/>
      <c r="F147" s="1087">
        <f>+F139*Assumptions!$O$146</f>
        <v>0</v>
      </c>
      <c r="G147" s="1087">
        <f>+G139*Assumptions!$O$146</f>
        <v>0</v>
      </c>
      <c r="H147" s="1087">
        <f>+H139*Assumptions!$O$146</f>
        <v>0</v>
      </c>
      <c r="I147" s="1087">
        <f ca="1">+I139*Assumptions!$O$146</f>
        <v>2496405.3278637761</v>
      </c>
      <c r="J147" s="1087">
        <f>+J139*Assumptions!$O$146</f>
        <v>0</v>
      </c>
      <c r="K147" s="1087">
        <f>+K139*Assumptions!$O$146</f>
        <v>0</v>
      </c>
      <c r="L147" s="1087">
        <f>+L139*Assumptions!$O$146</f>
        <v>0</v>
      </c>
      <c r="M147" s="1087">
        <f>+M139*Assumptions!$O$146</f>
        <v>0</v>
      </c>
      <c r="N147" s="1087">
        <f>+N139*Assumptions!$O$146</f>
        <v>0</v>
      </c>
      <c r="O147" s="1087">
        <f>+O139*Assumptions!$O$146</f>
        <v>0</v>
      </c>
      <c r="P147" s="1087">
        <f>+P139*Assumptions!$O$146</f>
        <v>0</v>
      </c>
      <c r="Q147" s="1087">
        <f>+Q139*Assumptions!$O$146</f>
        <v>0</v>
      </c>
      <c r="R147" s="1087">
        <f>+R139*Assumptions!$O$146</f>
        <v>0</v>
      </c>
      <c r="S147" s="1087">
        <f>+S139*Assumptions!$O$146</f>
        <v>0</v>
      </c>
      <c r="T147" s="1087">
        <f>+T139*Assumptions!$O$146</f>
        <v>0</v>
      </c>
      <c r="U147" s="1087">
        <f>+U139*Assumptions!$O$146</f>
        <v>0</v>
      </c>
      <c r="V147" s="1087">
        <f>+V139*Assumptions!$O$146</f>
        <v>0</v>
      </c>
      <c r="W147" s="1087">
        <f>+W139*Assumptions!$O$146</f>
        <v>0</v>
      </c>
      <c r="X147" s="1087">
        <f>+X139*Assumptions!$O$146</f>
        <v>0</v>
      </c>
      <c r="Y147" s="1087">
        <f>+Y139*Assumptions!$O$146</f>
        <v>0</v>
      </c>
      <c r="Z147" s="1087">
        <f>+Z139*Assumptions!$O$146</f>
        <v>0</v>
      </c>
      <c r="AA147" s="699"/>
      <c r="AB147" s="699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971">
        <v>0</v>
      </c>
      <c r="BE147" s="971">
        <f t="shared" ref="BE147:BQ147" si="96">+EOMONTH(BD147,12)</f>
        <v>397</v>
      </c>
      <c r="BF147" s="971">
        <f t="shared" si="96"/>
        <v>762</v>
      </c>
      <c r="BG147" s="971">
        <f t="shared" si="96"/>
        <v>1127</v>
      </c>
      <c r="BH147" s="971">
        <f t="shared" si="96"/>
        <v>1492</v>
      </c>
      <c r="BI147" s="971">
        <f t="shared" si="96"/>
        <v>1858</v>
      </c>
      <c r="BJ147" s="971">
        <f t="shared" si="96"/>
        <v>2223</v>
      </c>
      <c r="BK147" s="971">
        <f t="shared" si="96"/>
        <v>2588</v>
      </c>
      <c r="BL147" s="971">
        <f t="shared" si="96"/>
        <v>2953</v>
      </c>
      <c r="BM147" s="971">
        <f t="shared" si="96"/>
        <v>3319</v>
      </c>
      <c r="BN147" s="971">
        <f t="shared" si="96"/>
        <v>3684</v>
      </c>
      <c r="BO147" s="971">
        <f t="shared" si="96"/>
        <v>4049</v>
      </c>
      <c r="BP147" s="971">
        <f t="shared" si="96"/>
        <v>4414</v>
      </c>
      <c r="BQ147" s="971">
        <f t="shared" si="96"/>
        <v>4780</v>
      </c>
      <c r="BR147" s="151"/>
      <c r="BS147" s="151"/>
      <c r="BT147" s="151"/>
      <c r="BU147" s="151"/>
      <c r="BV147" s="151"/>
      <c r="BW147" s="151"/>
      <c r="BX147" s="151"/>
    </row>
    <row r="148" spans="1:76" ht="16.5">
      <c r="A148" s="699"/>
      <c r="B148" s="47"/>
      <c r="C148" s="699"/>
      <c r="D148" s="699"/>
      <c r="E148" s="699"/>
      <c r="F148" s="699"/>
      <c r="G148" s="699"/>
      <c r="H148" s="699"/>
      <c r="I148" s="699"/>
      <c r="J148" s="699"/>
      <c r="K148" s="699"/>
      <c r="L148" s="699"/>
      <c r="M148" s="699"/>
      <c r="N148" s="699"/>
      <c r="O148" s="699"/>
      <c r="P148" s="699"/>
      <c r="Q148" s="699"/>
      <c r="R148" s="699"/>
      <c r="S148" s="699"/>
      <c r="T148" s="699"/>
      <c r="U148" s="699"/>
      <c r="V148" s="699"/>
      <c r="W148" s="699"/>
      <c r="X148" s="699"/>
      <c r="Y148" s="699"/>
      <c r="Z148" s="699"/>
      <c r="AA148" s="699"/>
      <c r="AB148" s="699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687">
        <v>0</v>
      </c>
      <c r="BE148" s="687">
        <f>+IF(AND(BE147&gt;=Assumptions!$G$31,BE147&lt;Assumptions!$G$33),Assumptions!$AF$146/ROUNDUP((Assumptions!$G$32/12),0),)</f>
        <v>0</v>
      </c>
      <c r="BF148" s="687">
        <f>+IF(AND(BF147&gt;=Assumptions!$G$31,BF147&lt;Assumptions!$G$33),Assumptions!$AF$146/ROUNDUP((Assumptions!$G$32/12),0),)</f>
        <v>0</v>
      </c>
      <c r="BG148" s="687">
        <f>+IF(AND(BG147&gt;=Assumptions!$G$31,BG147&lt;Assumptions!$G$33),Assumptions!$AF$146/ROUNDUP((Assumptions!$G$32/12),0),)</f>
        <v>0</v>
      </c>
      <c r="BH148" s="687">
        <f>+IF(AND(BH147&gt;=Assumptions!$G$31,BH147&lt;Assumptions!$G$33),Assumptions!$AF$146/ROUNDUP((Assumptions!$G$32/12),0),)</f>
        <v>0</v>
      </c>
      <c r="BI148" s="687">
        <f>+IF(AND(BI147&gt;=Assumptions!$G$31,BI147&lt;Assumptions!$G$33),Assumptions!$AF$146/ROUNDUP((Assumptions!$G$32/12),0),)</f>
        <v>0</v>
      </c>
      <c r="BJ148" s="687">
        <f>+IF(AND(BJ147&gt;=Assumptions!$G$31,BJ147&lt;Assumptions!$G$33),Assumptions!$AF$146/ROUNDUP((Assumptions!$G$32/12),0),)</f>
        <v>0</v>
      </c>
      <c r="BK148" s="687">
        <f>+IF(AND(BK147&gt;=Assumptions!$G$31,BK147&lt;Assumptions!$G$33),Assumptions!$AF$146/ROUNDUP((Assumptions!$G$32/12),0),)</f>
        <v>0</v>
      </c>
      <c r="BL148" s="687">
        <f>+IF(AND(BL147&gt;=Assumptions!$G$31,BL147&lt;Assumptions!$G$33),Assumptions!$AF$146/ROUNDUP((Assumptions!$G$32/12),0),)</f>
        <v>0</v>
      </c>
      <c r="BM148" s="687">
        <f>+IF(AND(BM147&gt;=Assumptions!$G$31,BM147&lt;Assumptions!$G$33),Assumptions!$AF$146/ROUNDUP((Assumptions!$G$32/12),0),)</f>
        <v>0</v>
      </c>
      <c r="BN148" s="687">
        <f>+IF(AND(BN147&gt;=Assumptions!$G$31,BN147&lt;Assumptions!$G$33),Assumptions!$AF$146/ROUNDUP((Assumptions!$G$32/12),0),)</f>
        <v>0</v>
      </c>
      <c r="BO148" s="687">
        <f>+IF(AND(BO147&gt;=Assumptions!$G$31,BO147&lt;Assumptions!$G$33),Assumptions!$AF$146/ROUNDUP((Assumptions!$G$32/12),0),)</f>
        <v>0</v>
      </c>
      <c r="BP148" s="687">
        <f>+IF(AND(BP147&gt;=Assumptions!$G$31,BP147&lt;Assumptions!$G$33),Assumptions!$AF$146/ROUNDUP((Assumptions!$G$32/12),0),)</f>
        <v>0</v>
      </c>
      <c r="BQ148" s="687">
        <f>+IF(AND(BQ147&gt;=Assumptions!$G$31,BQ147&lt;Assumptions!$G$33),Assumptions!$AF$146/ROUNDUP((Assumptions!$G$32/12),0),)</f>
        <v>0</v>
      </c>
      <c r="BR148" s="151"/>
      <c r="BS148" s="151"/>
      <c r="BT148" s="151"/>
      <c r="BU148" s="151"/>
      <c r="BV148" s="151"/>
      <c r="BW148" s="151"/>
      <c r="BX148" s="151"/>
    </row>
    <row r="149" spans="1:76" ht="16.5">
      <c r="A149" s="699"/>
      <c r="B149" s="59" t="s">
        <v>1153</v>
      </c>
      <c r="C149" s="59"/>
      <c r="D149" s="59"/>
      <c r="E149" s="59"/>
      <c r="F149" s="144">
        <f ca="1">+F135-F144-F147</f>
        <v>0</v>
      </c>
      <c r="G149" s="144">
        <f t="shared" ref="G149:Z149" ca="1" si="97">+G135-G144-G147</f>
        <v>0</v>
      </c>
      <c r="H149" s="144">
        <f t="shared" ca="1" si="97"/>
        <v>0</v>
      </c>
      <c r="I149" s="144">
        <f t="shared" ca="1" si="97"/>
        <v>-17553596.858517036</v>
      </c>
      <c r="J149" s="144">
        <f t="shared" ca="1" si="97"/>
        <v>-4809205.851375958</v>
      </c>
      <c r="K149" s="144">
        <f t="shared" ca="1" si="97"/>
        <v>3831454.3700697683</v>
      </c>
      <c r="L149" s="144">
        <f t="shared" ca="1" si="97"/>
        <v>5403807.7384106982</v>
      </c>
      <c r="M149" s="144">
        <f t="shared" ca="1" si="97"/>
        <v>5745796.7207894195</v>
      </c>
      <c r="N149" s="144">
        <f t="shared" ca="1" si="97"/>
        <v>6179980.4645948559</v>
      </c>
      <c r="O149" s="144">
        <f t="shared" ca="1" si="97"/>
        <v>6627189.7207144443</v>
      </c>
      <c r="P149" s="144">
        <f t="shared" ca="1" si="97"/>
        <v>7005880.1625622883</v>
      </c>
      <c r="Q149" s="144">
        <f t="shared" ca="1" si="97"/>
        <v>8817882.0421397462</v>
      </c>
      <c r="R149" s="144">
        <f t="shared" ca="1" si="97"/>
        <v>9306559.6709515452</v>
      </c>
      <c r="S149" s="144">
        <f t="shared" ca="1" si="97"/>
        <v>9725504.4839136917</v>
      </c>
      <c r="T149" s="144">
        <f t="shared" ca="1" si="97"/>
        <v>10243942.580320122</v>
      </c>
      <c r="U149" s="144">
        <f t="shared" ca="1" si="97"/>
        <v>10777933.819618758</v>
      </c>
      <c r="V149" s="144">
        <f t="shared" ca="1" si="97"/>
        <v>12779211.073765127</v>
      </c>
      <c r="W149" s="144">
        <f t="shared" ca="1" si="97"/>
        <v>13345722.37953704</v>
      </c>
      <c r="X149" s="144">
        <f t="shared" ca="1" si="97"/>
        <v>13929229.024482109</v>
      </c>
      <c r="Y149" s="144">
        <f t="shared" ca="1" si="97"/>
        <v>14440708.18154845</v>
      </c>
      <c r="Z149" s="144">
        <f t="shared" ca="1" si="97"/>
        <v>15059750.381170675</v>
      </c>
      <c r="AA149" s="699"/>
      <c r="AB149" s="699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687">
        <v>0</v>
      </c>
      <c r="BE149" s="687">
        <f t="shared" ref="BE149:BQ149" si="98">+BD149+BE148</f>
        <v>0</v>
      </c>
      <c r="BF149" s="687">
        <f t="shared" si="98"/>
        <v>0</v>
      </c>
      <c r="BG149" s="687">
        <f t="shared" si="98"/>
        <v>0</v>
      </c>
      <c r="BH149" s="687">
        <f t="shared" si="98"/>
        <v>0</v>
      </c>
      <c r="BI149" s="687">
        <f t="shared" si="98"/>
        <v>0</v>
      </c>
      <c r="BJ149" s="687">
        <f t="shared" si="98"/>
        <v>0</v>
      </c>
      <c r="BK149" s="687">
        <f t="shared" si="98"/>
        <v>0</v>
      </c>
      <c r="BL149" s="687">
        <f t="shared" si="98"/>
        <v>0</v>
      </c>
      <c r="BM149" s="687">
        <f t="shared" si="98"/>
        <v>0</v>
      </c>
      <c r="BN149" s="687">
        <f t="shared" si="98"/>
        <v>0</v>
      </c>
      <c r="BO149" s="687">
        <f t="shared" si="98"/>
        <v>0</v>
      </c>
      <c r="BP149" s="687">
        <f t="shared" si="98"/>
        <v>0</v>
      </c>
      <c r="BQ149" s="687">
        <f t="shared" si="98"/>
        <v>0</v>
      </c>
      <c r="BR149" s="151"/>
      <c r="BS149" s="151"/>
      <c r="BT149" s="151"/>
      <c r="BU149" s="151"/>
      <c r="BV149" s="151"/>
      <c r="BW149" s="151"/>
      <c r="BX149" s="151"/>
    </row>
    <row r="150" spans="1:76" ht="16.5">
      <c r="A150" s="699"/>
      <c r="B150" s="47"/>
      <c r="C150" s="699"/>
      <c r="D150" s="699"/>
      <c r="E150" s="699"/>
      <c r="F150" s="699"/>
      <c r="G150" s="699"/>
      <c r="H150" s="699"/>
      <c r="I150" s="699"/>
      <c r="J150" s="699"/>
      <c r="K150" s="699"/>
      <c r="L150" s="699"/>
      <c r="M150" s="699"/>
      <c r="N150" s="699"/>
      <c r="O150" s="699"/>
      <c r="P150" s="699"/>
      <c r="Q150" s="699"/>
      <c r="R150" s="699"/>
      <c r="S150" s="699"/>
      <c r="T150" s="699"/>
      <c r="U150" s="699"/>
      <c r="V150" s="699"/>
      <c r="W150" s="699"/>
      <c r="X150" s="699"/>
      <c r="Y150" s="699"/>
      <c r="Z150" s="699"/>
      <c r="AA150" s="699"/>
      <c r="AB150" s="699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975">
        <v>0</v>
      </c>
      <c r="BE150" s="975">
        <f t="shared" ref="BE150:BQ150" si="99">+BE151-BD151</f>
        <v>0</v>
      </c>
      <c r="BF150" s="975">
        <f t="shared" si="99"/>
        <v>0</v>
      </c>
      <c r="BG150" s="975">
        <f t="shared" si="99"/>
        <v>0</v>
      </c>
      <c r="BH150" s="975">
        <f t="shared" si="99"/>
        <v>0</v>
      </c>
      <c r="BI150" s="975">
        <f t="shared" si="99"/>
        <v>0</v>
      </c>
      <c r="BJ150" s="975">
        <f t="shared" si="99"/>
        <v>0</v>
      </c>
      <c r="BK150" s="975">
        <f t="shared" si="99"/>
        <v>0</v>
      </c>
      <c r="BL150" s="975">
        <f t="shared" si="99"/>
        <v>0</v>
      </c>
      <c r="BM150" s="975">
        <f t="shared" si="99"/>
        <v>0</v>
      </c>
      <c r="BN150" s="975">
        <f t="shared" si="99"/>
        <v>0</v>
      </c>
      <c r="BO150" s="975">
        <f t="shared" si="99"/>
        <v>0</v>
      </c>
      <c r="BP150" s="975">
        <f t="shared" si="99"/>
        <v>0</v>
      </c>
      <c r="BQ150" s="975">
        <f t="shared" si="99"/>
        <v>0</v>
      </c>
      <c r="BR150" s="151"/>
      <c r="BS150" s="151"/>
      <c r="BT150" s="151"/>
      <c r="BU150" s="151"/>
      <c r="BV150" s="151"/>
      <c r="BW150" s="151"/>
      <c r="BX150" s="151"/>
    </row>
    <row r="151" spans="1:76" ht="16.5">
      <c r="A151" s="699"/>
      <c r="B151" s="58" t="s">
        <v>1155</v>
      </c>
      <c r="C151" s="699"/>
      <c r="D151" s="699"/>
      <c r="E151" s="699"/>
      <c r="F151" s="699"/>
      <c r="G151" s="699"/>
      <c r="H151" s="699"/>
      <c r="I151" s="699"/>
      <c r="J151" s="699"/>
      <c r="K151" s="699"/>
      <c r="L151" s="699"/>
      <c r="M151" s="699"/>
      <c r="N151" s="699"/>
      <c r="O151" s="699"/>
      <c r="P151" s="699"/>
      <c r="Q151" s="699"/>
      <c r="R151" s="699"/>
      <c r="S151" s="699"/>
      <c r="T151" s="699"/>
      <c r="U151" s="699"/>
      <c r="V151" s="699"/>
      <c r="W151" s="699"/>
      <c r="X151" s="699"/>
      <c r="Y151" s="699"/>
      <c r="Z151" s="699"/>
      <c r="AA151" s="699"/>
      <c r="AB151" s="699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975">
        <f>+BD152*Assumptions!$AF$147</f>
        <v>0</v>
      </c>
      <c r="BE151" s="975">
        <f>+BE152*Assumptions!$AF$147</f>
        <v>0</v>
      </c>
      <c r="BF151" s="975">
        <f>+BF152*Assumptions!$AF$147</f>
        <v>0</v>
      </c>
      <c r="BG151" s="975">
        <f>+BG152*Assumptions!$AF$147</f>
        <v>0</v>
      </c>
      <c r="BH151" s="975">
        <f>+BH152*Assumptions!$AF$147</f>
        <v>0</v>
      </c>
      <c r="BI151" s="975">
        <f>+BI152*Assumptions!$AF$147</f>
        <v>0</v>
      </c>
      <c r="BJ151" s="975">
        <f>+BJ152*Assumptions!$AF$147</f>
        <v>0</v>
      </c>
      <c r="BK151" s="975">
        <f>+BK152*Assumptions!$AF$147</f>
        <v>0</v>
      </c>
      <c r="BL151" s="975">
        <f>+BL152*Assumptions!$AF$147</f>
        <v>0</v>
      </c>
      <c r="BM151" s="975">
        <f>+BM152*Assumptions!$AF$147</f>
        <v>0</v>
      </c>
      <c r="BN151" s="975">
        <f>+BN152*Assumptions!$AF$147</f>
        <v>0</v>
      </c>
      <c r="BO151" s="975">
        <f>+BO152*Assumptions!$AF$147</f>
        <v>0</v>
      </c>
      <c r="BP151" s="975">
        <f>+BP152*Assumptions!$AF$147</f>
        <v>0</v>
      </c>
      <c r="BQ151" s="975">
        <f>+BQ152*Assumptions!$AF$147</f>
        <v>0</v>
      </c>
      <c r="BR151" s="151"/>
      <c r="BS151" s="151"/>
      <c r="BT151" s="151"/>
      <c r="BU151" s="151"/>
      <c r="BV151" s="151"/>
      <c r="BW151" s="151"/>
      <c r="BX151" s="151"/>
    </row>
    <row r="152" spans="1:76" ht="16.5">
      <c r="A152" s="699"/>
      <c r="B152" s="1" t="s">
        <v>1156</v>
      </c>
      <c r="C152" s="699"/>
      <c r="D152" s="699"/>
      <c r="E152" s="699"/>
      <c r="F152" s="83">
        <f>+IF(YEAR(F$137)=YEAR(Assumptions!$G$35),F133+AI131+F111+F85+AW169+#REF!+#REF!+AW94+AW67+AW40+F59+F32,0)</f>
        <v>0</v>
      </c>
      <c r="G152" s="83">
        <f>+IF(YEAR(G$137)=YEAR(Assumptions!$G$35),G133+AJ131+G111+G85+AX169+#REF!+#REF!+AX94+AX67+AX40+G59+G32,0)</f>
        <v>0</v>
      </c>
      <c r="H152" s="83">
        <f>+IF(YEAR(H$137)=YEAR(Assumptions!$G$35),H133+AK131+H111+H85+AY169+#REF!+#REF!+AY94+AY67+AY40+H59+H32,0)</f>
        <v>0</v>
      </c>
      <c r="I152" s="83">
        <f>+IF(YEAR(I$137)=YEAR(Assumptions!$G$35),I133+AL131+I111+I85+AZ169+#REF!+#REF!+AZ94+AZ67+AZ40+I59+I32,0)</f>
        <v>0</v>
      </c>
      <c r="J152" s="83">
        <f>+IF(YEAR(J$137)=YEAR(Assumptions!$G$35),J133+AM131+J111+J85+BA169+#REF!+#REF!+BA94+BA67+BA40+J59+J32,0)</f>
        <v>0</v>
      </c>
      <c r="K152" s="83">
        <f>+IF(YEAR(K$137)=YEAR(Assumptions!$G$35),K133+AN131+K111+K85+BB169+#REF!+#REF!+BB94+BB67+BB40+K59+K32,0)</f>
        <v>0</v>
      </c>
      <c r="L152" s="83">
        <f>+IF(YEAR(L$137)=YEAR(Assumptions!$G$35),L133+AO131+L111+L85+BC169+#REF!+#REF!+BC94+BC67+BC40+L59+L32,0)</f>
        <v>0</v>
      </c>
      <c r="M152" s="83">
        <f ca="1">+IF(YEAR(M$137)=YEAR(Assumptions!$G$35),M133+AP131+M111+M85+BD169+BD145+BD121+BD94+BD67+BD40+M59+M32,0)</f>
        <v>450634938.27538925</v>
      </c>
      <c r="N152" s="83">
        <f>+IF(YEAR(N$137)=YEAR(Assumptions!$G$35),N133+AQ131+N111+N85+BE169+BE145+BE121+BE94+BE67+BE40+N59+N32,0)</f>
        <v>0</v>
      </c>
      <c r="O152" s="83">
        <f>+IF(YEAR(O$137)=YEAR(Assumptions!$G$35),O133+AR131+O111+O85+BF169+BF145+BF121+BF94+BF67+BF40+O59+O32,0)</f>
        <v>0</v>
      </c>
      <c r="P152" s="83">
        <f>+IF(YEAR(P$137)=YEAR(Assumptions!$G$35),P133+AS131+P111+P85+BG169+BG145+BG121+BG94+BG67+BG40+P59+P32,0)</f>
        <v>0</v>
      </c>
      <c r="Q152" s="83">
        <f>+IF(YEAR(Q$137)=YEAR(Assumptions!$G$35),Q133+AT131+Q111+Q85+BH169+BH145+BH121+BH94+BH67+BH40+Q59+Q32,0)</f>
        <v>0</v>
      </c>
      <c r="R152" s="83">
        <f>+IF(YEAR(R$137)=YEAR(Assumptions!$G$35),R133+AU131+R111+R85+BI169+BI145+BI121+BI94+BI67+BI40+R59+R32,0)</f>
        <v>0</v>
      </c>
      <c r="S152" s="83">
        <f>+IF(YEAR(S$137)=YEAR(Assumptions!$G$35),S133+AV131+S111+S85+BJ169+BJ145+BJ121+BJ94+BJ67+BJ40+S59+S32,0)</f>
        <v>0</v>
      </c>
      <c r="T152" s="83">
        <f>+IF(YEAR(T$137)=YEAR(Assumptions!$G$35),T133+AW131+T111+T85+BK169+BK145+BK121+BK94+BK67+BK40+T59+T32,0)</f>
        <v>0</v>
      </c>
      <c r="U152" s="83">
        <f>+IF(YEAR(U$137)=YEAR(Assumptions!$G$35),U133+AX131+U111+U85+BL169+BL145+BL121+BL94+BL67+BL40+U59+U32,0)</f>
        <v>0</v>
      </c>
      <c r="V152" s="83">
        <f>+IF(YEAR(V$137)=YEAR(Assumptions!$G$35),V133+AY131+V111+V85+BM169+BM145+BM121+BM94+BM67+BM40+V59+V32,0)</f>
        <v>0</v>
      </c>
      <c r="W152" s="83">
        <f>+IF(YEAR(W$137)=YEAR(Assumptions!$G$35),W133+AZ131+W111+W85+BN169+BN145+BN121+BN94+BN67+BN40+W59+W32,0)</f>
        <v>0</v>
      </c>
      <c r="X152" s="83">
        <f>+IF(YEAR(X$137)=YEAR(Assumptions!$G$35),X133+BA131+X111+X85+BO169+BO145+BO121+BO94+BO67+BO40+X59+X32,0)</f>
        <v>0</v>
      </c>
      <c r="Y152" s="83">
        <f>+IF(YEAR(Y$137)=YEAR(Assumptions!$G$35),Y133+BB131+Y111+Y85+BP169+BP145+BP121+BP94+BP67+BP40+Y59+Y32,0)</f>
        <v>0</v>
      </c>
      <c r="Z152" s="83">
        <f>+IF(YEAR(Z$137)=YEAR(Assumptions!$G$35),Z133+BC131+Z111+Z85+BQ169+BQ145+BQ121+BQ94+BQ67+BQ40+Z59+Z32,0)</f>
        <v>0</v>
      </c>
      <c r="AA152" s="699"/>
      <c r="AB152" s="699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749">
        <f t="shared" ref="BD152:BQ152" si="100">+IFERROR(BD149/SUM($BD$148:$BQ$148),0)</f>
        <v>0</v>
      </c>
      <c r="BE152" s="749">
        <f t="shared" si="100"/>
        <v>0</v>
      </c>
      <c r="BF152" s="749">
        <f t="shared" si="100"/>
        <v>0</v>
      </c>
      <c r="BG152" s="749">
        <f t="shared" si="100"/>
        <v>0</v>
      </c>
      <c r="BH152" s="749">
        <f t="shared" si="100"/>
        <v>0</v>
      </c>
      <c r="BI152" s="749">
        <f t="shared" si="100"/>
        <v>0</v>
      </c>
      <c r="BJ152" s="749">
        <f t="shared" si="100"/>
        <v>0</v>
      </c>
      <c r="BK152" s="749">
        <f t="shared" si="100"/>
        <v>0</v>
      </c>
      <c r="BL152" s="749">
        <f t="shared" si="100"/>
        <v>0</v>
      </c>
      <c r="BM152" s="749">
        <f t="shared" si="100"/>
        <v>0</v>
      </c>
      <c r="BN152" s="749">
        <f t="shared" si="100"/>
        <v>0</v>
      </c>
      <c r="BO152" s="749">
        <f t="shared" si="100"/>
        <v>0</v>
      </c>
      <c r="BP152" s="749">
        <f t="shared" si="100"/>
        <v>0</v>
      </c>
      <c r="BQ152" s="749">
        <f t="shared" si="100"/>
        <v>0</v>
      </c>
      <c r="BR152" s="151"/>
      <c r="BS152" s="151"/>
      <c r="BT152" s="151"/>
      <c r="BU152" s="151"/>
      <c r="BV152" s="151"/>
      <c r="BW152" s="151"/>
      <c r="BX152" s="151"/>
    </row>
    <row r="153" spans="1:76" ht="19.5">
      <c r="A153" s="699"/>
      <c r="B153" s="47" t="s">
        <v>1157</v>
      </c>
      <c r="C153" s="699"/>
      <c r="D153" s="699"/>
      <c r="E153" s="699"/>
      <c r="F153" s="90">
        <f>+IF(YEAR(F$137)=YEAR(Assumptions!$G$31),('S&amp;U'!$I$23-'S&amp;U'!$S$25),0)</f>
        <v>0</v>
      </c>
      <c r="G153" s="90">
        <f>+IF(YEAR(G$137)=YEAR(Assumptions!$G$31),('S&amp;U'!$I$23-'S&amp;U'!$S$25),0)</f>
        <v>0</v>
      </c>
      <c r="H153" s="90">
        <f>+IF(YEAR(H$137)=YEAR(Assumptions!$G$31),('S&amp;U'!$I$23-'S&amp;U'!$S$25),0)</f>
        <v>0</v>
      </c>
      <c r="I153" s="90">
        <f ca="1">+IF(YEAR(I$137)=YEAR(Assumptions!$G$31),('S&amp;U'!$I$23-'S&amp;U'!$S$25),0)</f>
        <v>0</v>
      </c>
      <c r="J153" s="90">
        <f>+IF(YEAR(J$137)=YEAR(Assumptions!$G$31),('S&amp;U'!$I$23-'S&amp;U'!$S$25),0)</f>
        <v>0</v>
      </c>
      <c r="K153" s="90">
        <f>+IF(YEAR(K$137)=YEAR(Assumptions!$G$31),('S&amp;U'!$I$23-'S&amp;U'!$S$25),0)</f>
        <v>0</v>
      </c>
      <c r="L153" s="90">
        <f>+IF(YEAR(L$137)=YEAR(Assumptions!$G$31),('S&amp;U'!$I$23-'S&amp;U'!$S$25),0)</f>
        <v>0</v>
      </c>
      <c r="M153" s="90">
        <f>+IF(YEAR(M$137)=YEAR(Assumptions!$G$31),('S&amp;U'!$I$23-'S&amp;U'!$S$25),0)</f>
        <v>0</v>
      </c>
      <c r="N153" s="90">
        <f>+IF(YEAR(N$137)=YEAR(Assumptions!$G$31),('S&amp;U'!$I$23-'S&amp;U'!$S$25),0)</f>
        <v>0</v>
      </c>
      <c r="O153" s="90">
        <f>+IF(YEAR(O$137)=YEAR(Assumptions!$G$31),('S&amp;U'!$I$23-'S&amp;U'!$S$25),0)</f>
        <v>0</v>
      </c>
      <c r="P153" s="90">
        <f>+IF(YEAR(P$137)=YEAR(Assumptions!$G$31),('S&amp;U'!$I$23-'S&amp;U'!$S$25),0)</f>
        <v>0</v>
      </c>
      <c r="Q153" s="90">
        <f>+IF(YEAR(Q$137)=YEAR(Assumptions!$G$31),('S&amp;U'!$I$23-'S&amp;U'!$S$25),0)</f>
        <v>0</v>
      </c>
      <c r="R153" s="90">
        <f>+IF(YEAR(R$137)=YEAR(Assumptions!$G$31),('S&amp;U'!$I$23-'S&amp;U'!$S$25),0)</f>
        <v>0</v>
      </c>
      <c r="S153" s="90">
        <f>+IF(YEAR(S$137)=YEAR(Assumptions!$G$31),('S&amp;U'!$I$23-'S&amp;U'!$S$25),0)</f>
        <v>0</v>
      </c>
      <c r="T153" s="90">
        <f>+IF(YEAR(T$137)=YEAR(Assumptions!$G$31),('S&amp;U'!$I$23-'S&amp;U'!$S$25),0)</f>
        <v>0</v>
      </c>
      <c r="U153" s="90">
        <f>+IF(YEAR(U$137)=YEAR(Assumptions!$G$31),('S&amp;U'!$I$23-'S&amp;U'!$S$25),0)</f>
        <v>0</v>
      </c>
      <c r="V153" s="90">
        <f>+IF(YEAR(V$137)=YEAR(Assumptions!$G$31),('S&amp;U'!$I$23-'S&amp;U'!$S$25),0)</f>
        <v>0</v>
      </c>
      <c r="W153" s="90">
        <f>+IF(YEAR(W$137)=YEAR(Assumptions!$G$31),('S&amp;U'!$I$23-'S&amp;U'!$S$25),0)</f>
        <v>0</v>
      </c>
      <c r="X153" s="90">
        <f>+IF(YEAR(X$137)=YEAR(Assumptions!$G$31),('S&amp;U'!$I$23-'S&amp;U'!$S$25),0)</f>
        <v>0</v>
      </c>
      <c r="Y153" s="90">
        <f>+IF(YEAR(Y$137)=YEAR(Assumptions!$G$31),('S&amp;U'!$I$23-'S&amp;U'!$S$25),0)</f>
        <v>0</v>
      </c>
      <c r="Z153" s="90">
        <f>+IF(YEAR(Z$137)=YEAR(Assumptions!$G$31),('S&amp;U'!$I$23-'S&amp;U'!$S$25),0)</f>
        <v>0</v>
      </c>
      <c r="AA153" s="699"/>
      <c r="AB153" s="699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</row>
    <row r="154" spans="1:76" ht="16.5">
      <c r="A154" s="699"/>
      <c r="B154" s="1" t="s">
        <v>1158</v>
      </c>
      <c r="C154" s="699"/>
      <c r="D154" s="699"/>
      <c r="E154" s="699"/>
      <c r="F154" s="90">
        <f>-F152*Assumptions!$G$42</f>
        <v>0</v>
      </c>
      <c r="G154" s="90">
        <f>-G152*Assumptions!$G$42</f>
        <v>0</v>
      </c>
      <c r="H154" s="90">
        <f>-H152*Assumptions!$G$42</f>
        <v>0</v>
      </c>
      <c r="I154" s="90">
        <f>-I152*Assumptions!$G$42</f>
        <v>0</v>
      </c>
      <c r="J154" s="90">
        <f>-J152*Assumptions!$G$42</f>
        <v>0</v>
      </c>
      <c r="K154" s="90">
        <f>-K152*Assumptions!$G$42</f>
        <v>0</v>
      </c>
      <c r="L154" s="90">
        <f>-L152*Assumptions!$G$42</f>
        <v>0</v>
      </c>
      <c r="M154" s="90">
        <f ca="1">-M152*Assumptions!$G$42</f>
        <v>-4506349.3827538928</v>
      </c>
      <c r="N154" s="90">
        <f>-N152*Assumptions!$G$42</f>
        <v>0</v>
      </c>
      <c r="O154" s="90">
        <f>-O152*Assumptions!$G$42</f>
        <v>0</v>
      </c>
      <c r="P154" s="90">
        <f>-P152*Assumptions!$G$42</f>
        <v>0</v>
      </c>
      <c r="Q154" s="90">
        <f>-Q152*Assumptions!$G$42</f>
        <v>0</v>
      </c>
      <c r="R154" s="90">
        <f>-R152*Assumptions!$G$42</f>
        <v>0</v>
      </c>
      <c r="S154" s="90">
        <f>-S152*Assumptions!$G$42</f>
        <v>0</v>
      </c>
      <c r="T154" s="90">
        <f>-T152*Assumptions!$G$42</f>
        <v>0</v>
      </c>
      <c r="U154" s="90">
        <f>-U152*Assumptions!$G$42</f>
        <v>0</v>
      </c>
      <c r="V154" s="90">
        <f>-V152*Assumptions!$G$42</f>
        <v>0</v>
      </c>
      <c r="W154" s="90">
        <f>-W152*Assumptions!$G$42</f>
        <v>0</v>
      </c>
      <c r="X154" s="90">
        <f>-X152*Assumptions!$G$42</f>
        <v>0</v>
      </c>
      <c r="Y154" s="90">
        <f>-Y152*Assumptions!$G$42</f>
        <v>0</v>
      </c>
      <c r="Z154" s="90">
        <f>-Z152*Assumptions!$G$42</f>
        <v>0</v>
      </c>
      <c r="AA154" s="699"/>
      <c r="AB154" s="699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 t="s">
        <v>1126</v>
      </c>
      <c r="AT154" s="151"/>
      <c r="AU154" s="151"/>
      <c r="AV154" s="151"/>
      <c r="AW154" s="749">
        <v>1</v>
      </c>
      <c r="AX154" s="749">
        <f>+AW154*(1+Assumptions!$AQ$85)</f>
        <v>1.03</v>
      </c>
      <c r="AY154" s="749">
        <f>+AX154*(1+Assumptions!$AQ$85)</f>
        <v>1.0609</v>
      </c>
      <c r="AZ154" s="749">
        <f>+AY154*(1+Assumptions!$AQ$85)</f>
        <v>1.092727</v>
      </c>
      <c r="BA154" s="749">
        <f>+AZ154*(1+Assumptions!$AQ$85)</f>
        <v>1.1255088100000001</v>
      </c>
      <c r="BB154" s="749">
        <f>+BA154*(1+Assumptions!$AQ$85)</f>
        <v>1.1592740743000001</v>
      </c>
      <c r="BC154" s="749">
        <f>+BB154*(1+Assumptions!$AQ$85)</f>
        <v>1.1940522965290001</v>
      </c>
      <c r="BD154" s="749">
        <f>+BC154*(1+Assumptions!$AQ$85)</f>
        <v>1.2298738654248702</v>
      </c>
      <c r="BE154" s="749">
        <f>+BD154*(1+Assumptions!$AQ$85)</f>
        <v>1.2667700813876164</v>
      </c>
      <c r="BF154" s="749">
        <f>+BE154*(1+Assumptions!$AQ$85)</f>
        <v>1.3047731838292449</v>
      </c>
      <c r="BG154" s="749">
        <f>+BF154*(1+Assumptions!$AQ$85)</f>
        <v>1.3439163793441222</v>
      </c>
      <c r="BH154" s="749">
        <f>+BG154*(1+Assumptions!$AQ$85)</f>
        <v>1.3842338707244459</v>
      </c>
      <c r="BI154" s="749">
        <f>+BH154*(1+Assumptions!$AQ$85)</f>
        <v>1.4257608868461793</v>
      </c>
      <c r="BJ154" s="749">
        <f>+BI154*(1+Assumptions!$AQ$85)</f>
        <v>1.4685337134515648</v>
      </c>
      <c r="BK154" s="749">
        <f>+BJ154*(1+Assumptions!$AQ$85)</f>
        <v>1.5125897248551119</v>
      </c>
      <c r="BL154" s="749">
        <f>+BK154*(1+Assumptions!$AQ$85)</f>
        <v>1.5579674166007653</v>
      </c>
      <c r="BM154" s="749">
        <f>+BL154*(1+Assumptions!$AQ$85)</f>
        <v>1.6047064390987884</v>
      </c>
      <c r="BN154" s="749">
        <f>+BM154*(1+Assumptions!$AQ$85)</f>
        <v>1.652847632271752</v>
      </c>
      <c r="BO154" s="749">
        <f>+BN154*(1+Assumptions!$AQ$85)</f>
        <v>1.7024330612399046</v>
      </c>
      <c r="BP154" s="749">
        <f>+BO154*(1+Assumptions!$AQ$85)</f>
        <v>1.7535060530771018</v>
      </c>
      <c r="BQ154" s="749">
        <f>+BP154*(1+Assumptions!$AQ$85)</f>
        <v>1.806111234669415</v>
      </c>
      <c r="BR154" s="151"/>
      <c r="BS154" s="151"/>
      <c r="BT154" s="151"/>
      <c r="BU154" s="151"/>
      <c r="BV154" s="151"/>
      <c r="BW154" s="151"/>
      <c r="BX154" s="151"/>
    </row>
    <row r="155" spans="1:76" ht="16.5">
      <c r="A155" s="699"/>
      <c r="B155" s="1" t="s">
        <v>1159</v>
      </c>
      <c r="C155" s="699"/>
      <c r="D155" s="699"/>
      <c r="E155" s="699"/>
      <c r="F155" s="90">
        <f>+IF(YEAR(F$137)=YEAR(Assumptions!$G$35),-'Phase 2 Pro Forma'!F141,0)</f>
        <v>0</v>
      </c>
      <c r="G155" s="90">
        <f>+IF(YEAR(G$137)=YEAR(Assumptions!$G$35),-'Phase 2 Pro Forma'!G141,0)</f>
        <v>0</v>
      </c>
      <c r="H155" s="90">
        <f>+IF(YEAR(H$137)=YEAR(Assumptions!$G$35),-'Phase 2 Pro Forma'!H141,0)</f>
        <v>0</v>
      </c>
      <c r="I155" s="90">
        <f>+IF(YEAR(I$137)=YEAR(Assumptions!$G$35),-'Phase 2 Pro Forma'!I141,0)</f>
        <v>0</v>
      </c>
      <c r="J155" s="90">
        <f>+IF(YEAR(J$137)=YEAR(Assumptions!$G$35),-'Phase 2 Pro Forma'!J141,0)</f>
        <v>0</v>
      </c>
      <c r="K155" s="90">
        <f>+IF(YEAR(K$137)=YEAR(Assumptions!$G$35),-'Phase 2 Pro Forma'!K141,0)</f>
        <v>0</v>
      </c>
      <c r="L155" s="90">
        <f>+IF(YEAR(L$137)=YEAR(Assumptions!$G$35),-'Phase 2 Pro Forma'!L141,0)</f>
        <v>0</v>
      </c>
      <c r="M155" s="90">
        <f ca="1">+IF(YEAR(M$137)=YEAR(Assumptions!$G$35),-'Phase 2 Pro Forma'!M141,0)</f>
        <v>-227254424.12197083</v>
      </c>
      <c r="N155" s="90">
        <f>+IF(YEAR(N$137)=YEAR(Assumptions!$G$35),-'Phase 2 Pro Forma'!N141,0)</f>
        <v>0</v>
      </c>
      <c r="O155" s="90">
        <f>+IF(YEAR(O$137)=YEAR(Assumptions!$G$35),-'Phase 2 Pro Forma'!O141,0)</f>
        <v>0</v>
      </c>
      <c r="P155" s="90">
        <f>+IF(YEAR(P$137)=YEAR(Assumptions!$G$35),-'Phase 2 Pro Forma'!P141,0)</f>
        <v>0</v>
      </c>
      <c r="Q155" s="90">
        <f>+IF(YEAR(Q$137)=YEAR(Assumptions!$G$35),-'Phase 2 Pro Forma'!Q141,0)</f>
        <v>0</v>
      </c>
      <c r="R155" s="90">
        <f>+IF(YEAR(R$137)=YEAR(Assumptions!$G$35),-'Phase 2 Pro Forma'!R141,0)</f>
        <v>0</v>
      </c>
      <c r="S155" s="90">
        <f>+IF(YEAR(S$137)=YEAR(Assumptions!$G$35),-'Phase 2 Pro Forma'!S141,0)</f>
        <v>0</v>
      </c>
      <c r="T155" s="90">
        <f>+IF(YEAR(T$137)=YEAR(Assumptions!$G$35),-'Phase 2 Pro Forma'!T141,0)</f>
        <v>0</v>
      </c>
      <c r="U155" s="90">
        <f>+IF(YEAR(U$137)=YEAR(Assumptions!$G$35),-'Phase 2 Pro Forma'!U141,0)</f>
        <v>0</v>
      </c>
      <c r="V155" s="90">
        <f>+IF(YEAR(V$137)=YEAR(Assumptions!$G$35),-'Phase 2 Pro Forma'!V141,0)</f>
        <v>0</v>
      </c>
      <c r="W155" s="90">
        <f>+IF(YEAR(W$137)=YEAR(Assumptions!$G$35),-'Phase 2 Pro Forma'!W141,0)</f>
        <v>0</v>
      </c>
      <c r="X155" s="90">
        <f>+IF(YEAR(X$137)=YEAR(Assumptions!$G$35),-'Phase 2 Pro Forma'!X141,0)</f>
        <v>0</v>
      </c>
      <c r="Y155" s="90">
        <f>+IF(YEAR(Y$137)=YEAR(Assumptions!$G$35),-'Phase 2 Pro Forma'!Y141,0)</f>
        <v>0</v>
      </c>
      <c r="Z155" s="90">
        <f>+IF(YEAR(Z$137)=YEAR(Assumptions!$G$35),-'Phase 2 Pro Forma'!Z141,0)</f>
        <v>0</v>
      </c>
      <c r="AA155" s="699"/>
      <c r="AB155" s="699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 t="s">
        <v>1127</v>
      </c>
      <c r="AT155" s="151"/>
      <c r="AU155" s="151"/>
      <c r="AV155" s="151"/>
      <c r="AW155" s="749">
        <v>1</v>
      </c>
      <c r="AX155" s="749">
        <f>+AW155*(1+Assumptions!$AQ$96)</f>
        <v>1.03</v>
      </c>
      <c r="AY155" s="749">
        <f>+AX155*(1+Assumptions!$AQ$96)</f>
        <v>1.0609</v>
      </c>
      <c r="AZ155" s="749">
        <f>+AY155*(1+Assumptions!$AQ$96)</f>
        <v>1.092727</v>
      </c>
      <c r="BA155" s="749">
        <f>+AZ155*(1+Assumptions!$AQ$96)</f>
        <v>1.1255088100000001</v>
      </c>
      <c r="BB155" s="749">
        <f>+BA155*(1+Assumptions!$AQ$96)</f>
        <v>1.1592740743000001</v>
      </c>
      <c r="BC155" s="749">
        <f>+BB155*(1+Assumptions!$AQ$96)</f>
        <v>1.1940522965290001</v>
      </c>
      <c r="BD155" s="749">
        <f>+BC155*(1+Assumptions!$AQ$96)</f>
        <v>1.2298738654248702</v>
      </c>
      <c r="BE155" s="749">
        <f>+BD155*(1+Assumptions!$AQ$96)</f>
        <v>1.2667700813876164</v>
      </c>
      <c r="BF155" s="749">
        <f>+BE155*(1+Assumptions!$AQ$96)</f>
        <v>1.3047731838292449</v>
      </c>
      <c r="BG155" s="749">
        <f>+BF155*(1+Assumptions!$AQ$96)</f>
        <v>1.3439163793441222</v>
      </c>
      <c r="BH155" s="749">
        <f>+BG155*(1+Assumptions!$AQ$96)</f>
        <v>1.3842338707244459</v>
      </c>
      <c r="BI155" s="749">
        <f>+BH155*(1+Assumptions!$AQ$96)</f>
        <v>1.4257608868461793</v>
      </c>
      <c r="BJ155" s="749">
        <f>+BI155*(1+Assumptions!$AQ$96)</f>
        <v>1.4685337134515648</v>
      </c>
      <c r="BK155" s="749">
        <f>+BJ155*(1+Assumptions!$AQ$96)</f>
        <v>1.5125897248551119</v>
      </c>
      <c r="BL155" s="749">
        <f>+BK155*(1+Assumptions!$AQ$96)</f>
        <v>1.5579674166007653</v>
      </c>
      <c r="BM155" s="749">
        <f>+BL155*(1+Assumptions!$AQ$96)</f>
        <v>1.6047064390987884</v>
      </c>
      <c r="BN155" s="749">
        <f>+BM155*(1+Assumptions!$AQ$96)</f>
        <v>1.652847632271752</v>
      </c>
      <c r="BO155" s="749">
        <f>+BN155*(1+Assumptions!$AQ$96)</f>
        <v>1.7024330612399046</v>
      </c>
      <c r="BP155" s="749">
        <f>+BO155*(1+Assumptions!$AQ$96)</f>
        <v>1.7535060530771018</v>
      </c>
      <c r="BQ155" s="749">
        <f>+BP155*(1+Assumptions!$AQ$96)</f>
        <v>1.806111234669415</v>
      </c>
      <c r="BR155" s="151"/>
      <c r="BS155" s="151"/>
      <c r="BT155" s="151"/>
      <c r="BU155" s="151"/>
      <c r="BV155" s="151"/>
      <c r="BW155" s="151"/>
      <c r="BX155" s="151"/>
    </row>
    <row r="156" spans="1:76" ht="16.5">
      <c r="A156" s="699"/>
      <c r="B156" s="59" t="s">
        <v>1160</v>
      </c>
      <c r="C156" s="59"/>
      <c r="D156" s="59"/>
      <c r="E156" s="59"/>
      <c r="F156" s="64">
        <f>+SUM(F152:F155)</f>
        <v>0</v>
      </c>
      <c r="G156" s="64">
        <f t="shared" ref="G156:Z156" si="101">+SUM(G152:G155)</f>
        <v>0</v>
      </c>
      <c r="H156" s="64">
        <f t="shared" si="101"/>
        <v>0</v>
      </c>
      <c r="I156" s="64">
        <f t="shared" ca="1" si="101"/>
        <v>0</v>
      </c>
      <c r="J156" s="64">
        <f t="shared" si="101"/>
        <v>0</v>
      </c>
      <c r="K156" s="64">
        <f t="shared" si="101"/>
        <v>0</v>
      </c>
      <c r="L156" s="64">
        <f t="shared" si="101"/>
        <v>0</v>
      </c>
      <c r="M156" s="64">
        <f t="shared" ca="1" si="101"/>
        <v>218874164.77066451</v>
      </c>
      <c r="N156" s="64">
        <f t="shared" si="101"/>
        <v>0</v>
      </c>
      <c r="O156" s="64">
        <f t="shared" si="101"/>
        <v>0</v>
      </c>
      <c r="P156" s="64">
        <f t="shared" si="101"/>
        <v>0</v>
      </c>
      <c r="Q156" s="64">
        <f t="shared" si="101"/>
        <v>0</v>
      </c>
      <c r="R156" s="64">
        <f t="shared" si="101"/>
        <v>0</v>
      </c>
      <c r="S156" s="64">
        <f t="shared" si="101"/>
        <v>0</v>
      </c>
      <c r="T156" s="64">
        <f t="shared" si="101"/>
        <v>0</v>
      </c>
      <c r="U156" s="64">
        <f t="shared" si="101"/>
        <v>0</v>
      </c>
      <c r="V156" s="64">
        <f t="shared" si="101"/>
        <v>0</v>
      </c>
      <c r="W156" s="64">
        <f t="shared" si="101"/>
        <v>0</v>
      </c>
      <c r="X156" s="64">
        <f t="shared" si="101"/>
        <v>0</v>
      </c>
      <c r="Y156" s="64">
        <f t="shared" si="101"/>
        <v>0</v>
      </c>
      <c r="Z156" s="64">
        <f t="shared" si="101"/>
        <v>0</v>
      </c>
      <c r="AA156" s="699"/>
      <c r="AB156" s="699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W156" s="151"/>
      <c r="BX156" s="151"/>
    </row>
    <row r="157" spans="1:76" ht="16.5">
      <c r="A157" s="699"/>
      <c r="B157" s="47"/>
      <c r="C157" s="47"/>
      <c r="D157" s="47"/>
      <c r="E157" s="47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699"/>
      <c r="AB157" s="699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 t="s">
        <v>1128</v>
      </c>
      <c r="AT157" s="151"/>
      <c r="AU157" s="151"/>
      <c r="AV157" s="151"/>
      <c r="AW157" s="822">
        <v>0</v>
      </c>
      <c r="AX157" s="822">
        <v>0</v>
      </c>
      <c r="AY157" s="822">
        <v>0</v>
      </c>
      <c r="AZ157" s="822">
        <v>0</v>
      </c>
      <c r="BA157" s="822">
        <v>0</v>
      </c>
      <c r="BB157" s="822">
        <v>0</v>
      </c>
      <c r="BC157" s="822">
        <v>0</v>
      </c>
      <c r="BD157" s="822">
        <f>+BD152*Assumptions!$AF$145*BD154</f>
        <v>0</v>
      </c>
      <c r="BE157" s="822">
        <f>+BE152*Assumptions!$AF$145*BE154</f>
        <v>0</v>
      </c>
      <c r="BF157" s="822">
        <f>+BF152*Assumptions!$AF$145*BF154</f>
        <v>0</v>
      </c>
      <c r="BG157" s="822">
        <f>+BG152*Assumptions!$AF$145*BG154</f>
        <v>0</v>
      </c>
      <c r="BH157" s="822">
        <f>+BH152*Assumptions!$AF$145*BH154</f>
        <v>0</v>
      </c>
      <c r="BI157" s="822">
        <f>+BI152*Assumptions!$AF$145*BI154</f>
        <v>0</v>
      </c>
      <c r="BJ157" s="822">
        <f>+BJ152*Assumptions!$AF$145*BJ154</f>
        <v>0</v>
      </c>
      <c r="BK157" s="822">
        <f>+BK152*Assumptions!$AF$145*BK154</f>
        <v>0</v>
      </c>
      <c r="BL157" s="822">
        <f>+BL152*Assumptions!$AF$145*BL154</f>
        <v>0</v>
      </c>
      <c r="BM157" s="822">
        <f>+BM152*Assumptions!$AF$145*BM154</f>
        <v>0</v>
      </c>
      <c r="BN157" s="822">
        <f>+BN152*Assumptions!$AF$145*BN154</f>
        <v>0</v>
      </c>
      <c r="BO157" s="822">
        <f>+BO152*Assumptions!$AF$145*BO154</f>
        <v>0</v>
      </c>
      <c r="BP157" s="822">
        <f>+BP152*Assumptions!$AF$145*BP154</f>
        <v>0</v>
      </c>
      <c r="BQ157" s="822">
        <f>+BQ152*Assumptions!$AF$145*BQ154</f>
        <v>0</v>
      </c>
      <c r="BR157" s="151"/>
      <c r="BS157" s="151"/>
      <c r="BT157" s="151"/>
      <c r="BU157" s="151"/>
      <c r="BV157" s="151"/>
      <c r="BW157" s="151"/>
      <c r="BX157" s="151"/>
    </row>
    <row r="158" spans="1:76" ht="15.75">
      <c r="A158" s="699"/>
      <c r="B158" s="50" t="s">
        <v>1242</v>
      </c>
      <c r="C158" s="50"/>
      <c r="D158" s="50"/>
      <c r="E158" s="50"/>
      <c r="F158" s="55">
        <f ca="1">+IF(YEAR(F$137)&lt;=YEAR(Assumptions!$G$35),'Phase 2 Pro Forma'!F156+'Phase 2 Pro Forma'!F149,0)</f>
        <v>0</v>
      </c>
      <c r="G158" s="55">
        <f ca="1">+IF(YEAR(G$137)&lt;=YEAR(Assumptions!$G$35),'Phase 2 Pro Forma'!G156+'Phase 2 Pro Forma'!G149,0)</f>
        <v>0</v>
      </c>
      <c r="H158" s="55">
        <f ca="1">+IF(YEAR(H$137)&lt;=YEAR(Assumptions!$G$35),'Phase 2 Pro Forma'!H156+'Phase 2 Pro Forma'!H149,0)</f>
        <v>0</v>
      </c>
      <c r="I158" s="55">
        <f ca="1">+IF(YEAR(I$137)&lt;=YEAR(Assumptions!$G$35),'Phase 2 Pro Forma'!I156+'Phase 2 Pro Forma'!I149,0)</f>
        <v>-17553596.858517036</v>
      </c>
      <c r="J158" s="55">
        <f ca="1">+IF(YEAR(J$137)&lt;=YEAR(Assumptions!$G$35),'Phase 2 Pro Forma'!J156+'Phase 2 Pro Forma'!J149,0)</f>
        <v>-4809205.851375958</v>
      </c>
      <c r="K158" s="55">
        <f ca="1">+IF(YEAR(K$137)&lt;=YEAR(Assumptions!$G$35),'Phase 2 Pro Forma'!K156+'Phase 2 Pro Forma'!K149,0)</f>
        <v>3831454.3700697683</v>
      </c>
      <c r="L158" s="55">
        <f ca="1">+IF(YEAR(L$137)&lt;=YEAR(Assumptions!$G$35),'Phase 2 Pro Forma'!L156+'Phase 2 Pro Forma'!L149,0)</f>
        <v>5403807.7384106982</v>
      </c>
      <c r="M158" s="55">
        <f ca="1">+IF(YEAR(M$137)&lt;=YEAR(Assumptions!$G$35),'Phase 2 Pro Forma'!M156+'Phase 2 Pro Forma'!M149,0)</f>
        <v>224619961.49145395</v>
      </c>
      <c r="N158" s="55">
        <f>+IF(YEAR(N$137)&lt;=YEAR(Assumptions!$G$35),'Phase 2 Pro Forma'!N156+'Phase 2 Pro Forma'!N149,0)</f>
        <v>0</v>
      </c>
      <c r="O158" s="55">
        <f>+IF(YEAR(O$137)&lt;=YEAR(Assumptions!$G$35),'Phase 2 Pro Forma'!O156+'Phase 2 Pro Forma'!O149,0)</f>
        <v>0</v>
      </c>
      <c r="P158" s="55">
        <f>+IF(YEAR(P$137)&lt;=YEAR(Assumptions!$G$35),'Phase 2 Pro Forma'!P156+'Phase 2 Pro Forma'!P149,0)</f>
        <v>0</v>
      </c>
      <c r="Q158" s="55">
        <f>+IF(YEAR(Q$137)&lt;=YEAR(Assumptions!$G$35),'Phase 2 Pro Forma'!Q156+'Phase 2 Pro Forma'!Q149,0)</f>
        <v>0</v>
      </c>
      <c r="R158" s="55">
        <f>+IF(YEAR(R$137)&lt;=YEAR(Assumptions!$G$35),'Phase 2 Pro Forma'!R156+'Phase 2 Pro Forma'!R149,0)</f>
        <v>0</v>
      </c>
      <c r="S158" s="55">
        <f>+IF(YEAR(S$137)&lt;=YEAR(Assumptions!$G$35),'Phase 2 Pro Forma'!S156+'Phase 2 Pro Forma'!S149,0)</f>
        <v>0</v>
      </c>
      <c r="T158" s="55">
        <f>+IF(YEAR(T$137)&lt;=YEAR(Assumptions!$G$35),'Phase 2 Pro Forma'!T156+'Phase 2 Pro Forma'!T149,0)</f>
        <v>0</v>
      </c>
      <c r="U158" s="55">
        <f>+IF(YEAR(U$137)&lt;=YEAR(Assumptions!$G$35),'Phase 2 Pro Forma'!U156+'Phase 2 Pro Forma'!U149,0)</f>
        <v>0</v>
      </c>
      <c r="V158" s="55">
        <f>+IF(YEAR(V$137)&lt;=YEAR(Assumptions!$G$35),'Phase 2 Pro Forma'!V156+'Phase 2 Pro Forma'!V149,0)</f>
        <v>0</v>
      </c>
      <c r="W158" s="55">
        <f>+IF(YEAR(W$137)&lt;=YEAR(Assumptions!$G$35),'Phase 2 Pro Forma'!W156+'Phase 2 Pro Forma'!W149,0)</f>
        <v>0</v>
      </c>
      <c r="X158" s="55">
        <f>+IF(YEAR(X$137)&lt;=YEAR(Assumptions!$G$35),'Phase 2 Pro Forma'!X156+'Phase 2 Pro Forma'!X149,0)</f>
        <v>0</v>
      </c>
      <c r="Y158" s="55">
        <f>+IF(YEAR(Y$137)&lt;=YEAR(Assumptions!$G$35),'Phase 2 Pro Forma'!Y156+'Phase 2 Pro Forma'!Y149,0)</f>
        <v>0</v>
      </c>
      <c r="Z158" s="55">
        <f>+IF(YEAR(Z$137)&lt;=YEAR(Assumptions!$G$35),'Phase 2 Pro Forma'!Z156+'Phase 2 Pro Forma'!Z149,0)</f>
        <v>0</v>
      </c>
      <c r="AA158" s="699"/>
      <c r="AB158" s="699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 t="s">
        <v>1130</v>
      </c>
      <c r="AT158" s="151"/>
      <c r="AU158" s="151"/>
      <c r="AV158" s="151"/>
      <c r="AW158" s="972">
        <f>-AW157*Assumptions!$AQ$76</f>
        <v>0</v>
      </c>
      <c r="AX158" s="972">
        <f>-AX157*Assumptions!$AQ$76</f>
        <v>0</v>
      </c>
      <c r="AY158" s="972">
        <f>-AY157*Assumptions!$AQ$76</f>
        <v>0</v>
      </c>
      <c r="AZ158" s="972">
        <f>-AZ157*Assumptions!$AQ$76</f>
        <v>0</v>
      </c>
      <c r="BA158" s="972">
        <f>-BA157*Assumptions!$AQ$76</f>
        <v>0</v>
      </c>
      <c r="BB158" s="972">
        <f>-BB157*Assumptions!$AQ$76</f>
        <v>0</v>
      </c>
      <c r="BC158" s="972">
        <f>-BC157*Assumptions!$AQ$76</f>
        <v>0</v>
      </c>
      <c r="BD158" s="972">
        <f>-BD157*Assumptions!$AQ$76</f>
        <v>0</v>
      </c>
      <c r="BE158" s="972">
        <f>-BE157*Assumptions!$AQ$76</f>
        <v>0</v>
      </c>
      <c r="BF158" s="972">
        <f>-BF157*Assumptions!$AQ$76</f>
        <v>0</v>
      </c>
      <c r="BG158" s="972">
        <f>-BG157*Assumptions!$AQ$76</f>
        <v>0</v>
      </c>
      <c r="BH158" s="972">
        <f>-BH157*Assumptions!$AQ$76</f>
        <v>0</v>
      </c>
      <c r="BI158" s="972">
        <f>-BI157*Assumptions!$AQ$76</f>
        <v>0</v>
      </c>
      <c r="BJ158" s="972">
        <f>-BJ157*Assumptions!$AQ$76</f>
        <v>0</v>
      </c>
      <c r="BK158" s="972">
        <f>-BK157*Assumptions!$AQ$76</f>
        <v>0</v>
      </c>
      <c r="BL158" s="972">
        <f>-BL157*Assumptions!$AQ$76</f>
        <v>0</v>
      </c>
      <c r="BM158" s="972">
        <f>-BM157*Assumptions!$AQ$76</f>
        <v>0</v>
      </c>
      <c r="BN158" s="972">
        <f>-BN157*Assumptions!$AQ$76</f>
        <v>0</v>
      </c>
      <c r="BO158" s="972">
        <f>-BO157*Assumptions!$AQ$76</f>
        <v>0</v>
      </c>
      <c r="BP158" s="972">
        <f>-BP157*Assumptions!$AQ$76</f>
        <v>0</v>
      </c>
      <c r="BQ158" s="972">
        <f>-BQ157*Assumptions!$AQ$76</f>
        <v>0</v>
      </c>
      <c r="BR158" s="151"/>
      <c r="BS158" s="151"/>
      <c r="BT158" s="151"/>
      <c r="BU158" s="151"/>
      <c r="BV158" s="151"/>
      <c r="BW158" s="151"/>
      <c r="BX158" s="151"/>
    </row>
    <row r="159" spans="1:76" ht="15.75">
      <c r="A159" s="699"/>
      <c r="B159" s="81"/>
      <c r="C159" s="81"/>
      <c r="D159" s="81"/>
      <c r="E159" s="81"/>
      <c r="F159" s="94"/>
      <c r="G159" s="94"/>
      <c r="H159" s="94"/>
      <c r="I159" s="94"/>
      <c r="J159" s="94"/>
      <c r="K159" s="94"/>
      <c r="L159" s="94"/>
      <c r="M159" s="94"/>
      <c r="N159" s="94"/>
      <c r="O159" s="94"/>
      <c r="P159" s="94"/>
      <c r="Q159" s="94"/>
      <c r="R159" s="94"/>
      <c r="S159" s="94"/>
      <c r="T159" s="94"/>
      <c r="U159" s="94"/>
      <c r="V159" s="94"/>
      <c r="W159" s="94"/>
      <c r="X159" s="94"/>
      <c r="Y159" s="94"/>
      <c r="Z159" s="94"/>
      <c r="AA159" s="699"/>
      <c r="AB159" s="699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 t="s">
        <v>1243</v>
      </c>
      <c r="AT159" s="151"/>
      <c r="AU159" s="151"/>
      <c r="AV159" s="151"/>
      <c r="AW159" s="972"/>
      <c r="AX159" s="972"/>
      <c r="AY159" s="972"/>
      <c r="AZ159" s="972"/>
      <c r="BA159" s="972"/>
      <c r="BB159" s="972"/>
      <c r="BC159" s="972"/>
      <c r="BD159" s="972"/>
      <c r="BE159" s="972"/>
      <c r="BF159" s="972"/>
      <c r="BG159" s="972"/>
      <c r="BH159" s="972"/>
      <c r="BI159" s="972"/>
      <c r="BJ159" s="972"/>
      <c r="BK159" s="972"/>
      <c r="BL159" s="972"/>
      <c r="BM159" s="972"/>
      <c r="BN159" s="972"/>
      <c r="BO159" s="972"/>
      <c r="BP159" s="972"/>
      <c r="BQ159" s="972"/>
      <c r="BR159" s="151"/>
      <c r="BS159" s="151"/>
      <c r="BT159" s="151"/>
      <c r="BU159" s="151"/>
      <c r="BV159" s="151"/>
      <c r="BW159" s="151"/>
      <c r="BX159" s="151"/>
    </row>
    <row r="160" spans="1:76">
      <c r="A160" s="699"/>
      <c r="B160" s="699"/>
      <c r="C160" s="699"/>
      <c r="D160" s="699"/>
      <c r="E160" s="699"/>
      <c r="F160" s="699"/>
      <c r="G160" s="699"/>
      <c r="H160" s="699"/>
      <c r="I160" s="699"/>
      <c r="J160" s="699"/>
      <c r="K160" s="699"/>
      <c r="L160" s="699"/>
      <c r="M160" s="699"/>
      <c r="N160" s="699"/>
      <c r="O160" s="699"/>
      <c r="P160" s="699"/>
      <c r="Q160" s="699"/>
      <c r="R160" s="699"/>
      <c r="S160" s="699"/>
      <c r="T160" s="699"/>
      <c r="U160" s="699"/>
      <c r="V160" s="699"/>
      <c r="W160" s="699"/>
      <c r="X160" s="699"/>
      <c r="Y160" s="699"/>
      <c r="Z160" s="699"/>
      <c r="AA160" s="699"/>
      <c r="AB160" s="699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 t="s">
        <v>1244</v>
      </c>
      <c r="AT160" s="151"/>
      <c r="AU160" s="151"/>
      <c r="AV160" s="151"/>
      <c r="AW160" s="972"/>
      <c r="AX160" s="972"/>
      <c r="AY160" s="972"/>
      <c r="AZ160" s="972"/>
      <c r="BA160" s="972"/>
      <c r="BB160" s="972"/>
      <c r="BC160" s="972"/>
      <c r="BD160" s="972"/>
      <c r="BE160" s="972"/>
      <c r="BF160" s="972"/>
      <c r="BG160" s="972"/>
      <c r="BH160" s="972"/>
      <c r="BI160" s="972"/>
      <c r="BJ160" s="972"/>
      <c r="BK160" s="972"/>
      <c r="BL160" s="972"/>
      <c r="BM160" s="972"/>
      <c r="BN160" s="972"/>
      <c r="BO160" s="972"/>
      <c r="BP160" s="972"/>
      <c r="BQ160" s="972"/>
      <c r="BR160" s="151"/>
      <c r="BS160" s="151"/>
      <c r="BT160" s="151"/>
      <c r="BU160" s="151"/>
      <c r="BV160" s="151"/>
      <c r="BW160" s="151"/>
      <c r="BX160" s="151"/>
    </row>
    <row r="161" spans="1:76" ht="15.75">
      <c r="A161" s="699"/>
      <c r="B161" s="468" t="s">
        <v>1162</v>
      </c>
      <c r="C161" s="540"/>
      <c r="D161" s="540"/>
      <c r="E161" s="540"/>
      <c r="F161" s="759"/>
      <c r="G161" s="759"/>
      <c r="H161" s="759"/>
      <c r="I161" s="759"/>
      <c r="J161" s="759"/>
      <c r="K161" s="759"/>
      <c r="L161" s="759"/>
      <c r="M161" s="759"/>
      <c r="N161" s="759"/>
      <c r="O161" s="759"/>
      <c r="P161" s="759"/>
      <c r="Q161" s="759"/>
      <c r="R161" s="759"/>
      <c r="S161" s="759"/>
      <c r="T161" s="759"/>
      <c r="U161" s="759"/>
      <c r="V161" s="759"/>
      <c r="W161" s="759"/>
      <c r="X161" s="759"/>
      <c r="Y161" s="759"/>
      <c r="Z161" s="759"/>
      <c r="AA161" s="699"/>
      <c r="AB161" s="699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 t="s">
        <v>1131</v>
      </c>
      <c r="AT161" s="151"/>
      <c r="AU161" s="151"/>
      <c r="AV161" s="151"/>
      <c r="AW161" s="822">
        <f>SUM(AW157:AW160)</f>
        <v>0</v>
      </c>
      <c r="AX161" s="822">
        <f t="shared" ref="AX161:BQ161" si="102">SUM(AX157:AX160)</f>
        <v>0</v>
      </c>
      <c r="AY161" s="822">
        <f t="shared" si="102"/>
        <v>0</v>
      </c>
      <c r="AZ161" s="822">
        <f t="shared" si="102"/>
        <v>0</v>
      </c>
      <c r="BA161" s="822">
        <f t="shared" si="102"/>
        <v>0</v>
      </c>
      <c r="BB161" s="822">
        <f t="shared" si="102"/>
        <v>0</v>
      </c>
      <c r="BC161" s="822">
        <f t="shared" si="102"/>
        <v>0</v>
      </c>
      <c r="BD161" s="822">
        <f t="shared" si="102"/>
        <v>0</v>
      </c>
      <c r="BE161" s="822">
        <f t="shared" si="102"/>
        <v>0</v>
      </c>
      <c r="BF161" s="822">
        <f t="shared" si="102"/>
        <v>0</v>
      </c>
      <c r="BG161" s="822">
        <f t="shared" si="102"/>
        <v>0</v>
      </c>
      <c r="BH161" s="822">
        <f t="shared" si="102"/>
        <v>0</v>
      </c>
      <c r="BI161" s="822">
        <f t="shared" si="102"/>
        <v>0</v>
      </c>
      <c r="BJ161" s="822">
        <f t="shared" si="102"/>
        <v>0</v>
      </c>
      <c r="BK161" s="822">
        <f t="shared" si="102"/>
        <v>0</v>
      </c>
      <c r="BL161" s="822">
        <f t="shared" si="102"/>
        <v>0</v>
      </c>
      <c r="BM161" s="822">
        <f t="shared" si="102"/>
        <v>0</v>
      </c>
      <c r="BN161" s="822">
        <f t="shared" si="102"/>
        <v>0</v>
      </c>
      <c r="BO161" s="822">
        <f t="shared" si="102"/>
        <v>0</v>
      </c>
      <c r="BP161" s="822">
        <f t="shared" si="102"/>
        <v>0</v>
      </c>
      <c r="BQ161" s="822">
        <f t="shared" si="102"/>
        <v>0</v>
      </c>
      <c r="BR161" s="151"/>
      <c r="BS161" s="151"/>
      <c r="BT161" s="151"/>
      <c r="BU161" s="151"/>
      <c r="BV161" s="151"/>
      <c r="BW161" s="151"/>
      <c r="BX161" s="151"/>
    </row>
    <row r="162" spans="1:76">
      <c r="A162" s="699"/>
      <c r="B162" s="49"/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699"/>
      <c r="AB162" s="699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</row>
    <row r="163" spans="1:76" ht="15.75">
      <c r="A163" s="699"/>
      <c r="B163" s="112" t="s">
        <v>212</v>
      </c>
      <c r="C163" s="147"/>
      <c r="D163" s="147"/>
      <c r="E163" s="147"/>
      <c r="F163" s="148">
        <f>+Assumptions!$G$27</f>
        <v>46387</v>
      </c>
      <c r="G163" s="148">
        <f>+EOMONTH(F163,12)</f>
        <v>46752</v>
      </c>
      <c r="H163" s="148">
        <f t="shared" ref="H163:Z163" si="103">+EOMONTH(G163,12)</f>
        <v>47118</v>
      </c>
      <c r="I163" s="148">
        <f t="shared" si="103"/>
        <v>47483</v>
      </c>
      <c r="J163" s="148">
        <f t="shared" si="103"/>
        <v>47848</v>
      </c>
      <c r="K163" s="148">
        <f t="shared" si="103"/>
        <v>48213</v>
      </c>
      <c r="L163" s="148">
        <f t="shared" si="103"/>
        <v>48579</v>
      </c>
      <c r="M163" s="148">
        <f t="shared" si="103"/>
        <v>48944</v>
      </c>
      <c r="N163" s="148">
        <f t="shared" si="103"/>
        <v>49309</v>
      </c>
      <c r="O163" s="148">
        <f t="shared" si="103"/>
        <v>49674</v>
      </c>
      <c r="P163" s="148">
        <f t="shared" si="103"/>
        <v>50040</v>
      </c>
      <c r="Q163" s="148">
        <f t="shared" si="103"/>
        <v>50405</v>
      </c>
      <c r="R163" s="148">
        <f t="shared" si="103"/>
        <v>50770</v>
      </c>
      <c r="S163" s="148">
        <f t="shared" si="103"/>
        <v>51135</v>
      </c>
      <c r="T163" s="148">
        <f t="shared" si="103"/>
        <v>51501</v>
      </c>
      <c r="U163" s="148">
        <f t="shared" si="103"/>
        <v>51866</v>
      </c>
      <c r="V163" s="148">
        <f t="shared" si="103"/>
        <v>52231</v>
      </c>
      <c r="W163" s="148">
        <f t="shared" si="103"/>
        <v>52596</v>
      </c>
      <c r="X163" s="148">
        <f t="shared" si="103"/>
        <v>52962</v>
      </c>
      <c r="Y163" s="148">
        <f t="shared" si="103"/>
        <v>53327</v>
      </c>
      <c r="Z163" s="148">
        <f t="shared" si="103"/>
        <v>53692</v>
      </c>
      <c r="AA163" s="699"/>
      <c r="AB163" s="699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 t="s">
        <v>1132</v>
      </c>
      <c r="AT163" s="151"/>
      <c r="AU163" s="151"/>
      <c r="AV163" s="151"/>
      <c r="AW163" s="946">
        <v>0</v>
      </c>
      <c r="AX163" s="946">
        <v>0</v>
      </c>
      <c r="AY163" s="946">
        <v>0</v>
      </c>
      <c r="AZ163" s="946">
        <v>0</v>
      </c>
      <c r="BA163" s="946">
        <v>0</v>
      </c>
      <c r="BB163" s="946">
        <v>0</v>
      </c>
      <c r="BC163" s="946">
        <v>0</v>
      </c>
      <c r="BD163" s="946">
        <f>+BD151*Assumptions!$AF$262*BD155</f>
        <v>0</v>
      </c>
      <c r="BE163" s="946">
        <f>+BE151*Assumptions!$AF$262*BE155</f>
        <v>0</v>
      </c>
      <c r="BF163" s="946">
        <f>+BF151*Assumptions!$AF$262*BF155</f>
        <v>0</v>
      </c>
      <c r="BG163" s="946">
        <f>+BG151*Assumptions!$AF$262*BG155</f>
        <v>0</v>
      </c>
      <c r="BH163" s="946">
        <f>+BH151*Assumptions!$AF$262*BH155</f>
        <v>0</v>
      </c>
      <c r="BI163" s="946">
        <f>+BI151*Assumptions!$AF$262*BI155</f>
        <v>0</v>
      </c>
      <c r="BJ163" s="946">
        <f>+BJ151*Assumptions!$AF$262*BJ155</f>
        <v>0</v>
      </c>
      <c r="BK163" s="946">
        <f>+BK151*Assumptions!$AF$262*BK155</f>
        <v>0</v>
      </c>
      <c r="BL163" s="946">
        <f>+BL151*Assumptions!$AF$262*BL155</f>
        <v>0</v>
      </c>
      <c r="BM163" s="946">
        <f>+BM151*Assumptions!$AF$262*BM155</f>
        <v>0</v>
      </c>
      <c r="BN163" s="946">
        <f>+BN151*Assumptions!$AF$262*BN155</f>
        <v>0</v>
      </c>
      <c r="BO163" s="946">
        <f>+BO151*Assumptions!$AF$262*BO155</f>
        <v>0</v>
      </c>
      <c r="BP163" s="946">
        <f>+BP151*Assumptions!$AF$262*BP155</f>
        <v>0</v>
      </c>
      <c r="BQ163" s="946">
        <f>+BQ151*Assumptions!$AF$262*BQ155</f>
        <v>0</v>
      </c>
      <c r="BR163" s="151"/>
      <c r="BS163" s="151"/>
      <c r="BT163" s="151"/>
      <c r="BU163" s="151"/>
      <c r="BV163" s="151"/>
      <c r="BW163" s="151"/>
      <c r="BX163" s="151"/>
    </row>
    <row r="164" spans="1:76">
      <c r="A164" s="699"/>
      <c r="B164" s="699" t="s">
        <v>1164</v>
      </c>
      <c r="C164" s="699"/>
      <c r="D164" s="103"/>
      <c r="E164" s="103"/>
      <c r="F164" s="90">
        <f>+IF(AND(F163&gt;=Assumptions!$G$31,F163&lt;Assumptions!$G$33),Assumptions!$G$162/ROUNDUP((Assumptions!$G$32/12),0),0)</f>
        <v>0</v>
      </c>
      <c r="G164" s="90">
        <f>+IF(AND(G163&gt;=Assumptions!$G$31,G163&lt;Assumptions!$G$33),Assumptions!$G$162/ROUNDUP((Assumptions!$G$32/12),0),0)</f>
        <v>0</v>
      </c>
      <c r="H164" s="90">
        <f>+IF(AND(H163&gt;=Assumptions!$G$31,H163&lt;Assumptions!$G$33),Assumptions!$G$162/ROUNDUP((Assumptions!$G$32/12),0),0)</f>
        <v>0</v>
      </c>
      <c r="I164" s="90">
        <f ca="1">+IF(AND(I163&gt;=Assumptions!$G$31,I163&lt;Assumptions!$G$33),Assumptions!$G$162/ROUNDUP((Assumptions!$G$32/12),0),0)</f>
        <v>0</v>
      </c>
      <c r="J164" s="90">
        <f ca="1">+IF(AND(J163&gt;=Assumptions!$G$31,J163&lt;Assumptions!$G$33),Assumptions!$G$162/ROUNDUP((Assumptions!$G$32/12),0),0)</f>
        <v>0</v>
      </c>
      <c r="K164" s="90">
        <f>+IF(AND(K163&gt;=Assumptions!$G$31,K163&lt;Assumptions!$G$33),Assumptions!$G$162/ROUNDUP((Assumptions!$G$32/12),0),0)</f>
        <v>0</v>
      </c>
      <c r="L164" s="90">
        <f>+IF(AND(L163&gt;=Assumptions!$G$31,L163&lt;Assumptions!$G$33),Assumptions!$G$162/ROUNDUP((Assumptions!$G$32/12),0),0)</f>
        <v>0</v>
      </c>
      <c r="M164" s="90">
        <f>+IF(AND(M163&gt;=Assumptions!$G$31,M163&lt;Assumptions!$G$33),Assumptions!$G$162/ROUNDUP((Assumptions!$G$32/12),0),0)</f>
        <v>0</v>
      </c>
      <c r="N164" s="90">
        <f>+IF(AND(N163&gt;=Assumptions!$G$31,N163&lt;Assumptions!$G$33),Assumptions!$G$162/ROUNDUP((Assumptions!$G$32/12),0),0)</f>
        <v>0</v>
      </c>
      <c r="O164" s="90">
        <f>+IF(AND(O163&gt;=Assumptions!$G$31,O163&lt;Assumptions!$G$33),Assumptions!$G$162/ROUNDUP((Assumptions!$G$32/12),0),0)</f>
        <v>0</v>
      </c>
      <c r="P164" s="90">
        <f>+IF(AND(P163&gt;=Assumptions!$G$31,P163&lt;Assumptions!$G$33),Assumptions!$G$162/ROUNDUP((Assumptions!$G$32/12),0),0)</f>
        <v>0</v>
      </c>
      <c r="Q164" s="90">
        <f>+IF(AND(Q163&gt;=Assumptions!$G$31,Q163&lt;Assumptions!$G$33),Assumptions!$G$162/ROUNDUP((Assumptions!$G$32/12),0),0)</f>
        <v>0</v>
      </c>
      <c r="R164" s="90">
        <f>+IF(AND(R163&gt;=Assumptions!$G$31,R163&lt;Assumptions!$G$33),Assumptions!$G$162/ROUNDUP((Assumptions!$G$32/12),0),0)</f>
        <v>0</v>
      </c>
      <c r="S164" s="90">
        <f>+IF(AND(S163&gt;=Assumptions!$G$31,S163&lt;Assumptions!$G$33),Assumptions!$G$162/ROUNDUP((Assumptions!$G$32/12),0),0)</f>
        <v>0</v>
      </c>
      <c r="T164" s="90">
        <f>+IF(AND(T163&gt;=Assumptions!$G$31,T163&lt;Assumptions!$G$33),Assumptions!$G$162/ROUNDUP((Assumptions!$G$32/12),0),0)</f>
        <v>0</v>
      </c>
      <c r="U164" s="90">
        <f>+IF(AND(U163&gt;=Assumptions!$G$31,U163&lt;Assumptions!$G$33),Assumptions!$G$162/ROUNDUP((Assumptions!$G$32/12),0),0)</f>
        <v>0</v>
      </c>
      <c r="V164" s="90">
        <f>+IF(AND(V163&gt;=Assumptions!$G$31,V163&lt;Assumptions!$G$33),Assumptions!$G$162/ROUNDUP((Assumptions!$G$32/12),0),0)</f>
        <v>0</v>
      </c>
      <c r="W164" s="90">
        <f>+IF(AND(W163&gt;=Assumptions!$G$31,W163&lt;Assumptions!$G$33),Assumptions!$G$162/ROUNDUP((Assumptions!$G$32/12),0),0)</f>
        <v>0</v>
      </c>
      <c r="X164" s="90">
        <f>+IF(AND(X163&gt;=Assumptions!$G$31,X163&lt;Assumptions!$G$33),Assumptions!$G$162/ROUNDUP((Assumptions!$G$32/12),0),0)</f>
        <v>0</v>
      </c>
      <c r="Y164" s="90">
        <f>+IF(AND(Y163&gt;=Assumptions!$G$31,Y163&lt;Assumptions!$G$33),Assumptions!$G$162/ROUNDUP((Assumptions!$G$32/12),0),0)</f>
        <v>0</v>
      </c>
      <c r="Z164" s="90">
        <f>+IF(AND(Z163&gt;=Assumptions!$G$31,Z163&lt;Assumptions!$G$33),Assumptions!$G$162/ROUNDUP((Assumptions!$G$32/12),0),0)</f>
        <v>0</v>
      </c>
      <c r="AA164" s="699"/>
      <c r="AB164" s="699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 t="s">
        <v>1133</v>
      </c>
      <c r="AT164" s="151"/>
      <c r="AU164" s="151"/>
      <c r="AV164" s="151"/>
      <c r="AW164" s="687">
        <v>0</v>
      </c>
      <c r="AX164" s="687">
        <v>0</v>
      </c>
      <c r="AY164" s="687">
        <v>0</v>
      </c>
      <c r="AZ164" s="687">
        <v>0</v>
      </c>
      <c r="BA164" s="687">
        <v>0</v>
      </c>
      <c r="BB164" s="687">
        <v>0</v>
      </c>
      <c r="BC164" s="687">
        <v>0</v>
      </c>
      <c r="BD164" s="687">
        <f ca="1">+IFERROR(INDEX('Taxes and TIF'!$AC$11:$AC$45,MATCH('Phase 2 Pro Forma'!M$7,'Taxes and TIF'!$R$11:$R$45,0)),0)*'Loan Sizing'!$K$25*'Phase 2 Pro Forma'!BD152</f>
        <v>0</v>
      </c>
      <c r="BE164" s="687">
        <f ca="1">+IFERROR(INDEX('Taxes and TIF'!$AC$11:$AC$45,MATCH('Phase 2 Pro Forma'!N$7,'Taxes and TIF'!$R$11:$R$45,0)),0)*'Loan Sizing'!$K$25*'Phase 2 Pro Forma'!BE152</f>
        <v>0</v>
      </c>
      <c r="BF164" s="687">
        <f ca="1">+IFERROR(INDEX('Taxes and TIF'!$AC$11:$AC$45,MATCH('Phase 2 Pro Forma'!O$7,'Taxes and TIF'!$R$11:$R$45,0)),0)*'Loan Sizing'!$K$25*'Phase 2 Pro Forma'!BF152</f>
        <v>0</v>
      </c>
      <c r="BG164" s="687">
        <f ca="1">+IFERROR(INDEX('Taxes and TIF'!$AC$11:$AC$45,MATCH('Phase 2 Pro Forma'!P$7,'Taxes and TIF'!$R$11:$R$45,0)),0)*'Loan Sizing'!$K$25*'Phase 2 Pro Forma'!BG152</f>
        <v>0</v>
      </c>
      <c r="BH164" s="687">
        <f ca="1">+IFERROR(INDEX('Taxes and TIF'!$AC$11:$AC$45,MATCH('Phase 2 Pro Forma'!Q$7,'Taxes and TIF'!$R$11:$R$45,0)),0)*'Loan Sizing'!$K$25*'Phase 2 Pro Forma'!BH152</f>
        <v>0</v>
      </c>
      <c r="BI164" s="687">
        <f ca="1">+IFERROR(INDEX('Taxes and TIF'!$AC$11:$AC$45,MATCH('Phase 2 Pro Forma'!R$7,'Taxes and TIF'!$R$11:$R$45,0)),0)*'Loan Sizing'!$K$25*'Phase 2 Pro Forma'!BI152</f>
        <v>0</v>
      </c>
      <c r="BJ164" s="687">
        <f ca="1">+IFERROR(INDEX('Taxes and TIF'!$AC$11:$AC$45,MATCH('Phase 2 Pro Forma'!S$7,'Taxes and TIF'!$R$11:$R$45,0)),0)*'Loan Sizing'!$K$25*'Phase 2 Pro Forma'!BJ152</f>
        <v>0</v>
      </c>
      <c r="BK164" s="687">
        <f ca="1">+IFERROR(INDEX('Taxes and TIF'!$AC$11:$AC$45,MATCH('Phase 2 Pro Forma'!T$7,'Taxes and TIF'!$R$11:$R$45,0)),0)*'Loan Sizing'!$K$25*'Phase 2 Pro Forma'!BK152</f>
        <v>0</v>
      </c>
      <c r="BL164" s="687">
        <f ca="1">+IFERROR(INDEX('Taxes and TIF'!$AC$11:$AC$45,MATCH('Phase 2 Pro Forma'!U$7,'Taxes and TIF'!$R$11:$R$45,0)),0)*'Loan Sizing'!$K$25*'Phase 2 Pro Forma'!BL152</f>
        <v>0</v>
      </c>
      <c r="BM164" s="687">
        <f ca="1">+IFERROR(INDEX('Taxes and TIF'!$AC$11:$AC$45,MATCH('Phase 2 Pro Forma'!V$7,'Taxes and TIF'!$R$11:$R$45,0)),0)*'Loan Sizing'!$K$25*'Phase 2 Pro Forma'!BM152</f>
        <v>0</v>
      </c>
      <c r="BN164" s="687">
        <f ca="1">+IFERROR(INDEX('Taxes and TIF'!$AC$11:$AC$45,MATCH('Phase 2 Pro Forma'!W$7,'Taxes and TIF'!$R$11:$R$45,0)),0)*'Loan Sizing'!$K$25*'Phase 2 Pro Forma'!BN152</f>
        <v>0</v>
      </c>
      <c r="BO164" s="687">
        <f ca="1">+IFERROR(INDEX('Taxes and TIF'!$AC$11:$AC$45,MATCH('Phase 2 Pro Forma'!X$7,'Taxes and TIF'!$R$11:$R$45,0)),0)*'Loan Sizing'!$K$25*'Phase 2 Pro Forma'!BO152</f>
        <v>0</v>
      </c>
      <c r="BP164" s="687">
        <f ca="1">+IFERROR(INDEX('Taxes and TIF'!$AC$11:$AC$45,MATCH('Phase 2 Pro Forma'!Y$7,'Taxes and TIF'!$R$11:$R$45,0)),0)*'Loan Sizing'!$K$25*'Phase 2 Pro Forma'!BP152</f>
        <v>0</v>
      </c>
      <c r="BQ164" s="687">
        <f ca="1">+IFERROR(INDEX('Taxes and TIF'!$AC$11:$AC$45,MATCH('Phase 2 Pro Forma'!Z$7,'Taxes and TIF'!$R$11:$R$45,0)),0)*'Loan Sizing'!$K$25*'Phase 2 Pro Forma'!BQ152</f>
        <v>0</v>
      </c>
      <c r="BR164" s="151"/>
      <c r="BS164" s="151"/>
      <c r="BT164" s="151"/>
      <c r="BU164" s="151"/>
      <c r="BV164" s="151"/>
      <c r="BW164" s="151"/>
      <c r="BX164" s="151"/>
    </row>
    <row r="165" spans="1:76">
      <c r="A165" s="699"/>
      <c r="B165" s="699" t="s">
        <v>1165</v>
      </c>
      <c r="C165" s="699"/>
      <c r="D165" s="103"/>
      <c r="E165" s="103"/>
      <c r="F165" s="90">
        <f>+E165+F164</f>
        <v>0</v>
      </c>
      <c r="G165" s="90">
        <f t="shared" ref="G165:Z165" si="104">+F165+G164</f>
        <v>0</v>
      </c>
      <c r="H165" s="90">
        <f t="shared" si="104"/>
        <v>0</v>
      </c>
      <c r="I165" s="90">
        <f t="shared" ca="1" si="104"/>
        <v>0</v>
      </c>
      <c r="J165" s="90">
        <f t="shared" ca="1" si="104"/>
        <v>0</v>
      </c>
      <c r="K165" s="90">
        <f t="shared" ca="1" si="104"/>
        <v>0</v>
      </c>
      <c r="L165" s="90">
        <f t="shared" ca="1" si="104"/>
        <v>0</v>
      </c>
      <c r="M165" s="90">
        <f t="shared" ca="1" si="104"/>
        <v>0</v>
      </c>
      <c r="N165" s="90">
        <f t="shared" ca="1" si="104"/>
        <v>0</v>
      </c>
      <c r="O165" s="90">
        <f t="shared" ca="1" si="104"/>
        <v>0</v>
      </c>
      <c r="P165" s="90">
        <f t="shared" ca="1" si="104"/>
        <v>0</v>
      </c>
      <c r="Q165" s="90">
        <f t="shared" ca="1" si="104"/>
        <v>0</v>
      </c>
      <c r="R165" s="90">
        <f t="shared" ca="1" si="104"/>
        <v>0</v>
      </c>
      <c r="S165" s="90">
        <f t="shared" ca="1" si="104"/>
        <v>0</v>
      </c>
      <c r="T165" s="90">
        <f t="shared" ca="1" si="104"/>
        <v>0</v>
      </c>
      <c r="U165" s="90">
        <f t="shared" ca="1" si="104"/>
        <v>0</v>
      </c>
      <c r="V165" s="90">
        <f t="shared" ca="1" si="104"/>
        <v>0</v>
      </c>
      <c r="W165" s="90">
        <f t="shared" ca="1" si="104"/>
        <v>0</v>
      </c>
      <c r="X165" s="90">
        <f t="shared" ca="1" si="104"/>
        <v>0</v>
      </c>
      <c r="Y165" s="90">
        <f t="shared" ca="1" si="104"/>
        <v>0</v>
      </c>
      <c r="Z165" s="90">
        <f t="shared" ca="1" si="104"/>
        <v>0</v>
      </c>
      <c r="AA165" s="699"/>
      <c r="AB165" s="699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 t="s">
        <v>1134</v>
      </c>
      <c r="AT165" s="151"/>
      <c r="AU165" s="151"/>
      <c r="AV165" s="151"/>
      <c r="AW165" s="946">
        <f>+SUM(AW163:AW164)</f>
        <v>0</v>
      </c>
      <c r="AX165" s="946">
        <f t="shared" ref="AX165:BQ165" si="105">+SUM(AX163:AX164)</f>
        <v>0</v>
      </c>
      <c r="AY165" s="946">
        <f t="shared" si="105"/>
        <v>0</v>
      </c>
      <c r="AZ165" s="946">
        <f t="shared" si="105"/>
        <v>0</v>
      </c>
      <c r="BA165" s="946">
        <f t="shared" si="105"/>
        <v>0</v>
      </c>
      <c r="BB165" s="946">
        <f t="shared" si="105"/>
        <v>0</v>
      </c>
      <c r="BC165" s="946">
        <f t="shared" si="105"/>
        <v>0</v>
      </c>
      <c r="BD165" s="946">
        <f t="shared" ca="1" si="105"/>
        <v>0</v>
      </c>
      <c r="BE165" s="946">
        <f t="shared" ca="1" si="105"/>
        <v>0</v>
      </c>
      <c r="BF165" s="946">
        <f t="shared" ca="1" si="105"/>
        <v>0</v>
      </c>
      <c r="BG165" s="946">
        <f t="shared" ca="1" si="105"/>
        <v>0</v>
      </c>
      <c r="BH165" s="946">
        <f t="shared" ca="1" si="105"/>
        <v>0</v>
      </c>
      <c r="BI165" s="946">
        <f t="shared" ca="1" si="105"/>
        <v>0</v>
      </c>
      <c r="BJ165" s="946">
        <f t="shared" ca="1" si="105"/>
        <v>0</v>
      </c>
      <c r="BK165" s="946">
        <f t="shared" ca="1" si="105"/>
        <v>0</v>
      </c>
      <c r="BL165" s="946">
        <f t="shared" ca="1" si="105"/>
        <v>0</v>
      </c>
      <c r="BM165" s="946">
        <f t="shared" ca="1" si="105"/>
        <v>0</v>
      </c>
      <c r="BN165" s="946">
        <f t="shared" ca="1" si="105"/>
        <v>0</v>
      </c>
      <c r="BO165" s="946">
        <f t="shared" ca="1" si="105"/>
        <v>0</v>
      </c>
      <c r="BP165" s="946">
        <f t="shared" ca="1" si="105"/>
        <v>0</v>
      </c>
      <c r="BQ165" s="946">
        <f t="shared" ca="1" si="105"/>
        <v>0</v>
      </c>
      <c r="BR165" s="151"/>
      <c r="BS165" s="151"/>
      <c r="BT165" s="151"/>
      <c r="BU165" s="151"/>
      <c r="BV165" s="151"/>
      <c r="BW165" s="151"/>
      <c r="BX165" s="151"/>
    </row>
    <row r="166" spans="1:76">
      <c r="A166" s="699"/>
      <c r="B166" s="699" t="s">
        <v>1166</v>
      </c>
      <c r="C166" s="699"/>
      <c r="D166" s="90"/>
      <c r="E166" s="90"/>
      <c r="F166" s="87">
        <f ca="1">+IFERROR(F165/SUM($F$164:$Z$164),0)</f>
        <v>0</v>
      </c>
      <c r="G166" s="87">
        <f t="shared" ref="G166:Z166" ca="1" si="106">+IFERROR(G165/SUM($F$164:$Z$164),0)</f>
        <v>0</v>
      </c>
      <c r="H166" s="87">
        <f t="shared" ca="1" si="106"/>
        <v>0</v>
      </c>
      <c r="I166" s="87">
        <f t="shared" ca="1" si="106"/>
        <v>0</v>
      </c>
      <c r="J166" s="87">
        <f t="shared" ca="1" si="106"/>
        <v>0</v>
      </c>
      <c r="K166" s="87">
        <f t="shared" ca="1" si="106"/>
        <v>0</v>
      </c>
      <c r="L166" s="87">
        <f t="shared" ca="1" si="106"/>
        <v>0</v>
      </c>
      <c r="M166" s="87">
        <f t="shared" ca="1" si="106"/>
        <v>0</v>
      </c>
      <c r="N166" s="87">
        <f t="shared" ca="1" si="106"/>
        <v>0</v>
      </c>
      <c r="O166" s="87">
        <f t="shared" ca="1" si="106"/>
        <v>0</v>
      </c>
      <c r="P166" s="87">
        <f t="shared" ca="1" si="106"/>
        <v>0</v>
      </c>
      <c r="Q166" s="87">
        <f t="shared" ca="1" si="106"/>
        <v>0</v>
      </c>
      <c r="R166" s="87">
        <f t="shared" ca="1" si="106"/>
        <v>0</v>
      </c>
      <c r="S166" s="87">
        <f t="shared" ca="1" si="106"/>
        <v>0</v>
      </c>
      <c r="T166" s="87">
        <f t="shared" ca="1" si="106"/>
        <v>0</v>
      </c>
      <c r="U166" s="87">
        <f t="shared" ca="1" si="106"/>
        <v>0</v>
      </c>
      <c r="V166" s="87">
        <f t="shared" ca="1" si="106"/>
        <v>0</v>
      </c>
      <c r="W166" s="87">
        <f t="shared" ca="1" si="106"/>
        <v>0</v>
      </c>
      <c r="X166" s="87">
        <f t="shared" ca="1" si="106"/>
        <v>0</v>
      </c>
      <c r="Y166" s="87">
        <f t="shared" ca="1" si="106"/>
        <v>0</v>
      </c>
      <c r="Z166" s="87">
        <f t="shared" ca="1" si="106"/>
        <v>0</v>
      </c>
      <c r="AA166" s="699"/>
      <c r="AB166" s="699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  <c r="BM166" s="151"/>
      <c r="BN166" s="151"/>
      <c r="BO166" s="151"/>
      <c r="BP166" s="151"/>
      <c r="BQ166" s="151"/>
      <c r="BR166" s="151"/>
      <c r="BS166" s="151"/>
      <c r="BT166" s="151"/>
      <c r="BU166" s="151"/>
      <c r="BV166" s="151"/>
      <c r="BW166" s="151"/>
      <c r="BX166" s="151"/>
    </row>
    <row r="167" spans="1:76" ht="15.75">
      <c r="A167" s="699"/>
      <c r="B167" s="699"/>
      <c r="C167" s="699"/>
      <c r="D167" s="90"/>
      <c r="E167" s="90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699"/>
      <c r="AB167" s="699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718" t="s">
        <v>1135</v>
      </c>
      <c r="AT167" s="718"/>
      <c r="AU167" s="718"/>
      <c r="AV167" s="718"/>
      <c r="AW167" s="948">
        <f>+AW161-AW165</f>
        <v>0</v>
      </c>
      <c r="AX167" s="948">
        <f t="shared" ref="AX167:BQ167" si="107">+AX161-AX165</f>
        <v>0</v>
      </c>
      <c r="AY167" s="948">
        <f t="shared" si="107"/>
        <v>0</v>
      </c>
      <c r="AZ167" s="948">
        <f t="shared" si="107"/>
        <v>0</v>
      </c>
      <c r="BA167" s="948">
        <f t="shared" si="107"/>
        <v>0</v>
      </c>
      <c r="BB167" s="948">
        <f t="shared" si="107"/>
        <v>0</v>
      </c>
      <c r="BC167" s="948">
        <f t="shared" si="107"/>
        <v>0</v>
      </c>
      <c r="BD167" s="948">
        <f t="shared" ca="1" si="107"/>
        <v>0</v>
      </c>
      <c r="BE167" s="948">
        <f t="shared" ca="1" si="107"/>
        <v>0</v>
      </c>
      <c r="BF167" s="948">
        <f t="shared" ca="1" si="107"/>
        <v>0</v>
      </c>
      <c r="BG167" s="948">
        <f t="shared" ca="1" si="107"/>
        <v>0</v>
      </c>
      <c r="BH167" s="948">
        <f t="shared" ca="1" si="107"/>
        <v>0</v>
      </c>
      <c r="BI167" s="948">
        <f t="shared" ca="1" si="107"/>
        <v>0</v>
      </c>
      <c r="BJ167" s="948">
        <f t="shared" ca="1" si="107"/>
        <v>0</v>
      </c>
      <c r="BK167" s="948">
        <f t="shared" ca="1" si="107"/>
        <v>0</v>
      </c>
      <c r="BL167" s="948">
        <f t="shared" ca="1" si="107"/>
        <v>0</v>
      </c>
      <c r="BM167" s="948">
        <f t="shared" ca="1" si="107"/>
        <v>0</v>
      </c>
      <c r="BN167" s="948">
        <f t="shared" ca="1" si="107"/>
        <v>0</v>
      </c>
      <c r="BO167" s="948">
        <f t="shared" ca="1" si="107"/>
        <v>0</v>
      </c>
      <c r="BP167" s="948">
        <f t="shared" ca="1" si="107"/>
        <v>0</v>
      </c>
      <c r="BQ167" s="948">
        <f t="shared" ca="1" si="107"/>
        <v>0</v>
      </c>
      <c r="BR167" s="151"/>
      <c r="BS167" s="151"/>
      <c r="BT167" s="151"/>
      <c r="BU167" s="151"/>
      <c r="BV167" s="151"/>
      <c r="BW167" s="151"/>
      <c r="BX167" s="151"/>
    </row>
    <row r="168" spans="1:76">
      <c r="A168" s="699"/>
      <c r="B168" s="699" t="s">
        <v>1167</v>
      </c>
      <c r="C168" s="49"/>
      <c r="D168" s="49"/>
      <c r="E168" s="49"/>
      <c r="F168" s="83">
        <f>+IF(F2=1,Assumptions!$G$187,IF(F2=2,Assumptions!$G$189,IF(F2&gt;2,Assumptions!$G$166,0)))</f>
        <v>0</v>
      </c>
      <c r="G168" s="83">
        <f>+IF(G2=1,Assumptions!$G$187,IF(G2=2,Assumptions!$G$189,IF(G2&gt;2,Assumptions!$G$166,0)))</f>
        <v>0</v>
      </c>
      <c r="H168" s="83">
        <f>+IF(H2=1,Assumptions!$G$187,IF(H2=2,Assumptions!$G$189,IF(H2&gt;2,Assumptions!$G$166,0)))</f>
        <v>0</v>
      </c>
      <c r="I168" s="83">
        <f>+IF(I2=1,Assumptions!$G$187,IF(I2=2,Assumptions!$G$189,IF(I2&gt;2,Assumptions!$G$166,0)))</f>
        <v>0</v>
      </c>
      <c r="J168" s="83">
        <f>+IF(J2=1,Assumptions!$G$187,IF(J2=2,Assumptions!$G$189,IF(J2&gt;2,Assumptions!$G$166,0)))</f>
        <v>0</v>
      </c>
      <c r="K168" s="83">
        <f>+IF(K2=1,Assumptions!$G$187,IF(K2=2,Assumptions!$G$189,IF(K2&gt;2,Assumptions!$G$166,0)))</f>
        <v>228.3353071701178</v>
      </c>
      <c r="L168" s="83">
        <f>+IF(L2=1,Assumptions!$G$187,IF(L2=2,Assumptions!$G$189,IF(L2&gt;2,Assumptions!$G$166,0)))</f>
        <v>228.3353071701178</v>
      </c>
      <c r="M168" s="83">
        <f>+IF(M2=1,Assumptions!$G$187,IF(M2=2,Assumptions!$G$189,IF(M2&gt;2,Assumptions!$G$166,0)))</f>
        <v>228.3353071701178</v>
      </c>
      <c r="N168" s="83">
        <f>+IF(N2=1,Assumptions!$G$187,IF(N2=2,Assumptions!$G$189,IF(N2&gt;2,Assumptions!$G$166,0)))</f>
        <v>228.3353071701178</v>
      </c>
      <c r="O168" s="83">
        <f>+IF(O2=1,Assumptions!$G$187,IF(O2=2,Assumptions!$G$189,IF(O2&gt;2,Assumptions!$G$166,0)))</f>
        <v>228.3353071701178</v>
      </c>
      <c r="P168" s="83">
        <f>+IF(P2=1,Assumptions!$G$187,IF(P2=2,Assumptions!$G$189,IF(P2&gt;2,Assumptions!$G$166,0)))</f>
        <v>228.3353071701178</v>
      </c>
      <c r="Q168" s="83">
        <f>+IF(Q2=1,Assumptions!$G$187,IF(Q2=2,Assumptions!$G$189,IF(Q2&gt;2,Assumptions!$G$166,0)))</f>
        <v>228.3353071701178</v>
      </c>
      <c r="R168" s="83">
        <f>+IF(R2=1,Assumptions!$G$187,IF(R2=2,Assumptions!$G$189,IF(R2&gt;2,Assumptions!$G$166,0)))</f>
        <v>228.3353071701178</v>
      </c>
      <c r="S168" s="83">
        <f>+IF(S2=1,Assumptions!$G$187,IF(S2=2,Assumptions!$G$189,IF(S2&gt;2,Assumptions!$G$166,0)))</f>
        <v>228.3353071701178</v>
      </c>
      <c r="T168" s="83">
        <f>+IF(T2=1,Assumptions!$G$187,IF(T2=2,Assumptions!$G$189,IF(T2&gt;2,Assumptions!$G$166,0)))</f>
        <v>228.3353071701178</v>
      </c>
      <c r="U168" s="83">
        <f>+IF(U2=1,Assumptions!$G$187,IF(U2=2,Assumptions!$G$189,IF(U2&gt;2,Assumptions!$G$166,0)))</f>
        <v>228.3353071701178</v>
      </c>
      <c r="V168" s="83">
        <f>+IF(V2=1,Assumptions!$G$187,IF(V2=2,Assumptions!$G$189,IF(V2&gt;2,Assumptions!$G$166,0)))</f>
        <v>228.3353071701178</v>
      </c>
      <c r="W168" s="83">
        <f>+IF(W2=1,Assumptions!$G$187,IF(W2=2,Assumptions!$G$189,IF(W2&gt;2,Assumptions!$G$166,0)))</f>
        <v>228.3353071701178</v>
      </c>
      <c r="X168" s="83">
        <f>+IF(X2=1,Assumptions!$G$187,IF(X2=2,Assumptions!$G$189,IF(X2&gt;2,Assumptions!$G$166,0)))</f>
        <v>228.3353071701178</v>
      </c>
      <c r="Y168" s="83">
        <f>+IF(Y2=1,Assumptions!$G$187,IF(Y2=2,Assumptions!$G$189,IF(Y2&gt;2,Assumptions!$G$166,0)))</f>
        <v>228.3353071701178</v>
      </c>
      <c r="Z168" s="83">
        <f>+IF(Z2=1,Assumptions!$G$187,IF(Z2=2,Assumptions!$G$189,IF(Z2&gt;2,Assumptions!$G$166,0)))</f>
        <v>228.3353071701178</v>
      </c>
      <c r="AA168" s="699"/>
      <c r="AB168" s="699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826" t="s">
        <v>1136</v>
      </c>
      <c r="AT168" s="826"/>
      <c r="AU168" s="826"/>
      <c r="AV168" s="826"/>
      <c r="AW168" s="973" t="str">
        <f>+IFERROR(AW167/AW161,"")</f>
        <v/>
      </c>
      <c r="AX168" s="973" t="str">
        <f t="shared" ref="AX168:BQ168" si="108">+IFERROR(AX167/AX161,"")</f>
        <v/>
      </c>
      <c r="AY168" s="973" t="str">
        <f t="shared" si="108"/>
        <v/>
      </c>
      <c r="AZ168" s="973" t="str">
        <f t="shared" si="108"/>
        <v/>
      </c>
      <c r="BA168" s="973" t="str">
        <f t="shared" si="108"/>
        <v/>
      </c>
      <c r="BB168" s="973" t="str">
        <f t="shared" si="108"/>
        <v/>
      </c>
      <c r="BC168" s="973" t="str">
        <f t="shared" si="108"/>
        <v/>
      </c>
      <c r="BD168" s="973" t="str">
        <f t="shared" ca="1" si="108"/>
        <v/>
      </c>
      <c r="BE168" s="973" t="str">
        <f t="shared" ca="1" si="108"/>
        <v/>
      </c>
      <c r="BF168" s="973" t="str">
        <f t="shared" ca="1" si="108"/>
        <v/>
      </c>
      <c r="BG168" s="973" t="str">
        <f t="shared" ca="1" si="108"/>
        <v/>
      </c>
      <c r="BH168" s="973" t="str">
        <f t="shared" ca="1" si="108"/>
        <v/>
      </c>
      <c r="BI168" s="973" t="str">
        <f t="shared" ca="1" si="108"/>
        <v/>
      </c>
      <c r="BJ168" s="973" t="str">
        <f t="shared" ca="1" si="108"/>
        <v/>
      </c>
      <c r="BK168" s="973" t="str">
        <f t="shared" ca="1" si="108"/>
        <v/>
      </c>
      <c r="BL168" s="973" t="str">
        <f t="shared" ca="1" si="108"/>
        <v/>
      </c>
      <c r="BM168" s="973" t="str">
        <f t="shared" ca="1" si="108"/>
        <v/>
      </c>
      <c r="BN168" s="973" t="str">
        <f t="shared" ca="1" si="108"/>
        <v/>
      </c>
      <c r="BO168" s="973" t="str">
        <f t="shared" ca="1" si="108"/>
        <v/>
      </c>
      <c r="BP168" s="973" t="str">
        <f t="shared" ca="1" si="108"/>
        <v/>
      </c>
      <c r="BQ168" s="973" t="str">
        <f t="shared" ca="1" si="108"/>
        <v/>
      </c>
      <c r="BR168" s="151"/>
      <c r="BS168" s="151"/>
      <c r="BT168" s="151"/>
      <c r="BU168" s="151"/>
      <c r="BV168" s="151"/>
      <c r="BW168" s="151"/>
      <c r="BX168" s="151"/>
    </row>
    <row r="169" spans="1:76">
      <c r="A169" s="699" t="s">
        <v>881</v>
      </c>
      <c r="B169" s="699" t="s">
        <v>1168</v>
      </c>
      <c r="C169" s="699"/>
      <c r="D169" s="90"/>
      <c r="E169" s="90"/>
      <c r="F169" s="87">
        <v>1</v>
      </c>
      <c r="G169" s="87">
        <f>F169*(1+Assumptions!$O$74)</f>
        <v>1.03</v>
      </c>
      <c r="H169" s="87">
        <f>G169*(1+Assumptions!$O$74)</f>
        <v>1.0609</v>
      </c>
      <c r="I169" s="87">
        <f>H169*(1+Assumptions!$O$74)</f>
        <v>1.092727</v>
      </c>
      <c r="J169" s="87">
        <f>I169*(1+Assumptions!$O$74)</f>
        <v>1.1255088100000001</v>
      </c>
      <c r="K169" s="87">
        <f>J169*(1+Assumptions!$O$74)</f>
        <v>1.1592740743000001</v>
      </c>
      <c r="L169" s="87">
        <f>K169*(1+Assumptions!$O$74)</f>
        <v>1.1940522965290001</v>
      </c>
      <c r="M169" s="87">
        <f>L169*(1+Assumptions!$O$74)</f>
        <v>1.2298738654248702</v>
      </c>
      <c r="N169" s="87">
        <f>M169*(1+Assumptions!$O$74)</f>
        <v>1.2667700813876164</v>
      </c>
      <c r="O169" s="87">
        <f>N169*(1+Assumptions!$O$74)</f>
        <v>1.3047731838292449</v>
      </c>
      <c r="P169" s="87">
        <f>O169*(1+Assumptions!$O$74)</f>
        <v>1.3439163793441222</v>
      </c>
      <c r="Q169" s="87">
        <f>P169*(1+Assumptions!$O$74)</f>
        <v>1.3842338707244459</v>
      </c>
      <c r="R169" s="87">
        <f>Q169*(1+Assumptions!$O$74)</f>
        <v>1.4257608868461793</v>
      </c>
      <c r="S169" s="87">
        <f>R169*(1+Assumptions!$O$74)</f>
        <v>1.4685337134515648</v>
      </c>
      <c r="T169" s="87">
        <f>S169*(1+Assumptions!$O$74)</f>
        <v>1.5125897248551119</v>
      </c>
      <c r="U169" s="87">
        <f>T169*(1+Assumptions!$O$74)</f>
        <v>1.5579674166007653</v>
      </c>
      <c r="V169" s="87">
        <f>U169*(1+Assumptions!$O$74)</f>
        <v>1.6047064390987884</v>
      </c>
      <c r="W169" s="87">
        <f>V169*(1+Assumptions!$O$74)</f>
        <v>1.652847632271752</v>
      </c>
      <c r="X169" s="87">
        <f>W169*(1+Assumptions!$O$74)</f>
        <v>1.7024330612399046</v>
      </c>
      <c r="Y169" s="87">
        <f>X169*(1+Assumptions!$O$74)</f>
        <v>1.7535060530771018</v>
      </c>
      <c r="Z169" s="87">
        <f>Y169*(1+Assumptions!$O$74)</f>
        <v>1.806111234669415</v>
      </c>
      <c r="AA169" s="699"/>
      <c r="AB169" s="699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826" t="s">
        <v>1064</v>
      </c>
      <c r="AT169" s="826"/>
      <c r="AU169" s="826"/>
      <c r="AV169" s="826"/>
      <c r="AW169" s="974">
        <v>0</v>
      </c>
      <c r="AX169" s="974">
        <v>0</v>
      </c>
      <c r="AY169" s="974">
        <v>0</v>
      </c>
      <c r="AZ169" s="974">
        <v>0</v>
      </c>
      <c r="BA169" s="974">
        <v>0</v>
      </c>
      <c r="BB169" s="974">
        <v>0</v>
      </c>
      <c r="BC169" s="974">
        <v>0</v>
      </c>
      <c r="BD169" s="974">
        <v>0</v>
      </c>
      <c r="BE169" s="974">
        <v>0</v>
      </c>
      <c r="BF169" s="974">
        <v>0</v>
      </c>
      <c r="BG169" s="974">
        <v>0</v>
      </c>
      <c r="BH169" s="974">
        <v>0</v>
      </c>
      <c r="BI169" s="974">
        <v>0</v>
      </c>
      <c r="BJ169" s="974">
        <v>0</v>
      </c>
      <c r="BK169" s="974">
        <v>0</v>
      </c>
      <c r="BL169" s="974">
        <v>0</v>
      </c>
      <c r="BM169" s="974">
        <v>0</v>
      </c>
      <c r="BN169" s="974">
        <v>0</v>
      </c>
      <c r="BO169" s="974">
        <v>0</v>
      </c>
      <c r="BP169" s="974">
        <v>0</v>
      </c>
      <c r="BQ169" s="974">
        <v>0</v>
      </c>
      <c r="BR169" s="151"/>
      <c r="BS169" s="151"/>
      <c r="BT169" s="151"/>
      <c r="BU169" s="151"/>
      <c r="BV169" s="151"/>
      <c r="BW169" s="151"/>
      <c r="BX169" s="151"/>
    </row>
    <row r="170" spans="1:76">
      <c r="A170" s="699"/>
      <c r="B170" s="699" t="s">
        <v>1169</v>
      </c>
      <c r="C170" s="699"/>
      <c r="D170" s="90"/>
      <c r="E170" s="90"/>
      <c r="F170" s="83">
        <f>+F168*F169</f>
        <v>0</v>
      </c>
      <c r="G170" s="83">
        <f t="shared" ref="G170:Z170" si="109">+G168*G169</f>
        <v>0</v>
      </c>
      <c r="H170" s="83">
        <f t="shared" si="109"/>
        <v>0</v>
      </c>
      <c r="I170" s="83">
        <f t="shared" si="109"/>
        <v>0</v>
      </c>
      <c r="J170" s="83">
        <f t="shared" si="109"/>
        <v>0</v>
      </c>
      <c r="K170" s="83">
        <f t="shared" si="109"/>
        <v>264.70320184964447</v>
      </c>
      <c r="L170" s="83">
        <f t="shared" si="109"/>
        <v>272.64429790513384</v>
      </c>
      <c r="M170" s="83">
        <f t="shared" si="109"/>
        <v>280.82362684228787</v>
      </c>
      <c r="N170" s="83">
        <f t="shared" si="109"/>
        <v>289.24833564755653</v>
      </c>
      <c r="O170" s="83">
        <f t="shared" si="109"/>
        <v>297.92578571698323</v>
      </c>
      <c r="P170" s="83">
        <f t="shared" si="109"/>
        <v>306.8635592884927</v>
      </c>
      <c r="Q170" s="83">
        <f t="shared" si="109"/>
        <v>316.06946606714752</v>
      </c>
      <c r="R170" s="83">
        <f t="shared" si="109"/>
        <v>325.5515500491619</v>
      </c>
      <c r="S170" s="83">
        <f t="shared" si="109"/>
        <v>335.31809655063682</v>
      </c>
      <c r="T170" s="83">
        <f t="shared" si="109"/>
        <v>345.37763944715596</v>
      </c>
      <c r="U170" s="83">
        <f t="shared" si="109"/>
        <v>355.73896863057064</v>
      </c>
      <c r="V170" s="83">
        <f t="shared" si="109"/>
        <v>366.41113768948776</v>
      </c>
      <c r="W170" s="83">
        <f t="shared" si="109"/>
        <v>377.4034718201724</v>
      </c>
      <c r="X170" s="83">
        <f t="shared" si="109"/>
        <v>388.7255759747776</v>
      </c>
      <c r="Y170" s="83">
        <f t="shared" si="109"/>
        <v>400.38734325402095</v>
      </c>
      <c r="Z170" s="83">
        <f t="shared" si="109"/>
        <v>412.3989635516416</v>
      </c>
      <c r="AA170" s="699"/>
      <c r="AB170" s="699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  <c r="BP170" s="151"/>
      <c r="BQ170" s="151"/>
      <c r="BR170" s="151"/>
      <c r="BS170" s="151"/>
      <c r="BT170" s="151"/>
      <c r="BU170" s="151"/>
      <c r="BV170" s="151"/>
      <c r="BW170" s="151"/>
      <c r="BX170" s="151"/>
    </row>
    <row r="171" spans="1:76">
      <c r="A171" s="699"/>
      <c r="B171" s="699"/>
      <c r="C171" s="49"/>
      <c r="D171" s="49"/>
      <c r="E171" s="49"/>
      <c r="F171" s="49"/>
      <c r="G171" s="49"/>
      <c r="H171" s="49"/>
      <c r="I171" s="49"/>
      <c r="J171" s="49"/>
      <c r="K171" s="49"/>
      <c r="L171" s="49"/>
      <c r="M171" s="49"/>
      <c r="N171" s="49"/>
      <c r="O171" s="49"/>
      <c r="P171" s="49"/>
      <c r="Q171" s="49"/>
      <c r="R171" s="49"/>
      <c r="S171" s="49"/>
      <c r="T171" s="49"/>
      <c r="U171" s="49"/>
      <c r="V171" s="49"/>
      <c r="W171" s="49"/>
      <c r="X171" s="49"/>
      <c r="Y171" s="49"/>
      <c r="Z171" s="49"/>
      <c r="AA171" s="699"/>
      <c r="AB171" s="699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  <c r="BM171" s="151"/>
      <c r="BN171" s="151"/>
      <c r="BO171" s="151"/>
      <c r="BP171" s="151"/>
      <c r="BQ171" s="151"/>
      <c r="BR171" s="151"/>
      <c r="BS171" s="151"/>
      <c r="BT171" s="151"/>
      <c r="BU171" s="151"/>
      <c r="BV171" s="151"/>
      <c r="BW171" s="151"/>
      <c r="BX171" s="151"/>
    </row>
    <row r="172" spans="1:76">
      <c r="A172" s="699"/>
      <c r="B172" s="699" t="s">
        <v>683</v>
      </c>
      <c r="C172" s="49"/>
      <c r="D172" s="49"/>
      <c r="E172" s="49"/>
      <c r="F172" s="87">
        <f>+IF(F2=1,Assumptions!$G$186,IF(F2=2,Assumptions!$G$188,IF(F2&gt;2,Assumptions!$G$165,0)))</f>
        <v>0</v>
      </c>
      <c r="G172" s="87">
        <f>+IF(G2=1,Assumptions!$G$186,IF(G2=2,Assumptions!$G$188,IF(G2&gt;2,Assumptions!$G$165,0)))</f>
        <v>0</v>
      </c>
      <c r="H172" s="87">
        <f>+IF(H2=1,Assumptions!$G$186,IF(H2=2,Assumptions!$G$188,IF(H2&gt;2,Assumptions!$G$165,0)))</f>
        <v>0</v>
      </c>
      <c r="I172" s="87">
        <f>+IF(I2=1,Assumptions!$G$186,IF(I2=2,Assumptions!$G$188,IF(I2&gt;2,Assumptions!$G$165,0)))</f>
        <v>0</v>
      </c>
      <c r="J172" s="87">
        <f>+IF(J2=1,Assumptions!$G$186,IF(J2=2,Assumptions!$G$188,IF(J2&gt;2,Assumptions!$G$165,0)))</f>
        <v>0</v>
      </c>
      <c r="K172" s="87">
        <f>+IF(K2=1,Assumptions!$G$186,IF(K2=2,Assumptions!$G$188,IF(K2&gt;2,Assumptions!$G$165,0)))</f>
        <v>0.7</v>
      </c>
      <c r="L172" s="87">
        <f>+IF(L2=1,Assumptions!$G$186,IF(L2=2,Assumptions!$G$188,IF(L2&gt;2,Assumptions!$G$165,0)))</f>
        <v>0.7</v>
      </c>
      <c r="M172" s="87">
        <f>+IF(M2=1,Assumptions!$G$186,IF(M2=2,Assumptions!$G$188,IF(M2&gt;2,Assumptions!$G$165,0)))</f>
        <v>0.7</v>
      </c>
      <c r="N172" s="87">
        <f>+IF(N2=1,Assumptions!$G$186,IF(N2=2,Assumptions!$G$188,IF(N2&gt;2,Assumptions!$G$165,0)))</f>
        <v>0.7</v>
      </c>
      <c r="O172" s="87">
        <f>+IF(O2=1,Assumptions!$G$186,IF(O2=2,Assumptions!$G$188,IF(O2&gt;2,Assumptions!$G$165,0)))</f>
        <v>0.7</v>
      </c>
      <c r="P172" s="87">
        <f>+IF(P2=1,Assumptions!$G$186,IF(P2=2,Assumptions!$G$188,IF(P2&gt;2,Assumptions!$G$165,0)))</f>
        <v>0.7</v>
      </c>
      <c r="Q172" s="87">
        <f>+IF(Q2=1,Assumptions!$G$186,IF(Q2=2,Assumptions!$G$188,IF(Q2&gt;2,Assumptions!$G$165,0)))</f>
        <v>0.7</v>
      </c>
      <c r="R172" s="87">
        <f>+IF(R2=1,Assumptions!$G$186,IF(R2=2,Assumptions!$G$188,IF(R2&gt;2,Assumptions!$G$165,0)))</f>
        <v>0.7</v>
      </c>
      <c r="S172" s="87">
        <f>+IF(S2=1,Assumptions!$G$186,IF(S2=2,Assumptions!$G$188,IF(S2&gt;2,Assumptions!$G$165,0)))</f>
        <v>0.7</v>
      </c>
      <c r="T172" s="87">
        <f>+IF(T2=1,Assumptions!$G$186,IF(T2=2,Assumptions!$G$188,IF(T2&gt;2,Assumptions!$G$165,0)))</f>
        <v>0.7</v>
      </c>
      <c r="U172" s="87">
        <f>+IF(U2=1,Assumptions!$G$186,IF(U2=2,Assumptions!$G$188,IF(U2&gt;2,Assumptions!$G$165,0)))</f>
        <v>0.7</v>
      </c>
      <c r="V172" s="87">
        <f>+IF(V2=1,Assumptions!$G$186,IF(V2=2,Assumptions!$G$188,IF(V2&gt;2,Assumptions!$G$165,0)))</f>
        <v>0.7</v>
      </c>
      <c r="W172" s="87">
        <f>+IF(W2=1,Assumptions!$G$186,IF(W2=2,Assumptions!$G$188,IF(W2&gt;2,Assumptions!$G$165,0)))</f>
        <v>0.7</v>
      </c>
      <c r="X172" s="87">
        <f>+IF(X2=1,Assumptions!$G$186,IF(X2=2,Assumptions!$G$188,IF(X2&gt;2,Assumptions!$G$165,0)))</f>
        <v>0.7</v>
      </c>
      <c r="Y172" s="87">
        <f>+IF(Y2=1,Assumptions!$G$186,IF(Y2=2,Assumptions!$G$188,IF(Y2&gt;2,Assumptions!$G$165,0)))</f>
        <v>0.7</v>
      </c>
      <c r="Z172" s="87">
        <f>+IF(Z2=1,Assumptions!$G$186,IF(Z2=2,Assumptions!$G$188,IF(Z2&gt;2,Assumptions!$G$165,0)))</f>
        <v>0.7</v>
      </c>
      <c r="AA172" s="699"/>
      <c r="AB172" s="699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151"/>
      <c r="BR172" s="151"/>
      <c r="BS172" s="151"/>
      <c r="BT172" s="151"/>
      <c r="BU172" s="151"/>
      <c r="BV172" s="151"/>
      <c r="BW172" s="151"/>
      <c r="BX172" s="151"/>
    </row>
    <row r="173" spans="1:76">
      <c r="A173" s="699"/>
      <c r="B173" s="699" t="s">
        <v>310</v>
      </c>
      <c r="C173" s="49"/>
      <c r="D173" s="49"/>
      <c r="E173" s="49"/>
      <c r="F173" s="83">
        <f>+F170*F172</f>
        <v>0</v>
      </c>
      <c r="G173" s="83">
        <f t="shared" ref="G173:Z173" si="110">+G170*G172</f>
        <v>0</v>
      </c>
      <c r="H173" s="83">
        <f t="shared" si="110"/>
        <v>0</v>
      </c>
      <c r="I173" s="83">
        <f t="shared" si="110"/>
        <v>0</v>
      </c>
      <c r="J173" s="83">
        <f t="shared" si="110"/>
        <v>0</v>
      </c>
      <c r="K173" s="83">
        <f t="shared" si="110"/>
        <v>185.29224129475111</v>
      </c>
      <c r="L173" s="83">
        <f t="shared" si="110"/>
        <v>190.85100853359367</v>
      </c>
      <c r="M173" s="83">
        <f t="shared" si="110"/>
        <v>196.5765387896015</v>
      </c>
      <c r="N173" s="83">
        <f t="shared" si="110"/>
        <v>202.47383495328955</v>
      </c>
      <c r="O173" s="83">
        <f t="shared" si="110"/>
        <v>208.54805000188824</v>
      </c>
      <c r="P173" s="83">
        <f t="shared" si="110"/>
        <v>214.80449150194488</v>
      </c>
      <c r="Q173" s="83">
        <f t="shared" si="110"/>
        <v>221.24862624700324</v>
      </c>
      <c r="R173" s="83">
        <f t="shared" si="110"/>
        <v>227.88608503441333</v>
      </c>
      <c r="S173" s="83">
        <f t="shared" si="110"/>
        <v>234.72266758544575</v>
      </c>
      <c r="T173" s="83">
        <f t="shared" si="110"/>
        <v>241.76434761300916</v>
      </c>
      <c r="U173" s="83">
        <f t="shared" si="110"/>
        <v>249.01727804139944</v>
      </c>
      <c r="V173" s="83">
        <f t="shared" si="110"/>
        <v>256.48779638264142</v>
      </c>
      <c r="W173" s="83">
        <f t="shared" si="110"/>
        <v>264.18243027412069</v>
      </c>
      <c r="X173" s="83">
        <f t="shared" si="110"/>
        <v>272.10790318234427</v>
      </c>
      <c r="Y173" s="83">
        <f t="shared" si="110"/>
        <v>280.27114027781465</v>
      </c>
      <c r="Z173" s="83">
        <f t="shared" si="110"/>
        <v>288.6792744861491</v>
      </c>
      <c r="AA173" s="699"/>
      <c r="AB173" s="699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1"/>
      <c r="BK173" s="151"/>
      <c r="BL173" s="151"/>
      <c r="BM173" s="151"/>
      <c r="BN173" s="151"/>
      <c r="BO173" s="151"/>
      <c r="BP173" s="151"/>
      <c r="BQ173" s="151"/>
      <c r="BR173" s="151"/>
      <c r="BS173" s="151"/>
      <c r="BT173" s="151"/>
      <c r="BU173" s="151"/>
      <c r="BV173" s="151"/>
      <c r="BW173" s="151"/>
      <c r="BX173" s="151"/>
    </row>
    <row r="174" spans="1:76">
      <c r="A174" s="699"/>
      <c r="B174" s="61" t="s">
        <v>1171</v>
      </c>
      <c r="C174" s="61"/>
      <c r="D174" s="61"/>
      <c r="E174" s="61"/>
      <c r="F174" s="64">
        <f>+F173*365.25*F165</f>
        <v>0</v>
      </c>
      <c r="G174" s="64">
        <f t="shared" ref="G174:Z174" si="111">+G173*365.25*G165</f>
        <v>0</v>
      </c>
      <c r="H174" s="64">
        <f t="shared" si="111"/>
        <v>0</v>
      </c>
      <c r="I174" s="64">
        <f t="shared" ca="1" si="111"/>
        <v>0</v>
      </c>
      <c r="J174" s="64">
        <f t="shared" ca="1" si="111"/>
        <v>0</v>
      </c>
      <c r="K174" s="64">
        <f t="shared" ca="1" si="111"/>
        <v>0</v>
      </c>
      <c r="L174" s="64">
        <f t="shared" ca="1" si="111"/>
        <v>0</v>
      </c>
      <c r="M174" s="64">
        <f t="shared" ca="1" si="111"/>
        <v>0</v>
      </c>
      <c r="N174" s="64">
        <f t="shared" ca="1" si="111"/>
        <v>0</v>
      </c>
      <c r="O174" s="64">
        <f t="shared" ca="1" si="111"/>
        <v>0</v>
      </c>
      <c r="P174" s="64">
        <f t="shared" ca="1" si="111"/>
        <v>0</v>
      </c>
      <c r="Q174" s="64">
        <f t="shared" ca="1" si="111"/>
        <v>0</v>
      </c>
      <c r="R174" s="64">
        <f t="shared" ca="1" si="111"/>
        <v>0</v>
      </c>
      <c r="S174" s="64">
        <f t="shared" ca="1" si="111"/>
        <v>0</v>
      </c>
      <c r="T174" s="64">
        <f t="shared" ca="1" si="111"/>
        <v>0</v>
      </c>
      <c r="U174" s="64">
        <f t="shared" ca="1" si="111"/>
        <v>0</v>
      </c>
      <c r="V174" s="64">
        <f t="shared" ca="1" si="111"/>
        <v>0</v>
      </c>
      <c r="W174" s="64">
        <f t="shared" ca="1" si="111"/>
        <v>0</v>
      </c>
      <c r="X174" s="64">
        <f t="shared" ca="1" si="111"/>
        <v>0</v>
      </c>
      <c r="Y174" s="64">
        <f t="shared" ca="1" si="111"/>
        <v>0</v>
      </c>
      <c r="Z174" s="64">
        <f t="shared" ca="1" si="111"/>
        <v>0</v>
      </c>
      <c r="AA174" s="699"/>
      <c r="AB174" s="699"/>
      <c r="AC174" s="699"/>
      <c r="AD174" s="699"/>
      <c r="AE174" s="699"/>
      <c r="AF174" s="699"/>
      <c r="AG174" s="699"/>
      <c r="AH174" s="699"/>
      <c r="AI174" s="699"/>
      <c r="AJ174" s="699"/>
      <c r="AK174" s="699"/>
      <c r="AL174" s="699"/>
      <c r="AM174" s="699"/>
      <c r="AN174" s="699"/>
      <c r="AO174" s="699"/>
      <c r="AP174" s="699"/>
      <c r="AQ174" s="699"/>
      <c r="AR174" s="699"/>
      <c r="AS174" s="699"/>
      <c r="AT174" s="699"/>
      <c r="AU174" s="699"/>
      <c r="AV174" s="699"/>
      <c r="AW174" s="699"/>
      <c r="AX174" s="699"/>
      <c r="AY174" s="699"/>
      <c r="AZ174" s="699"/>
      <c r="BA174" s="699"/>
      <c r="BB174" s="699"/>
      <c r="BC174" s="699"/>
      <c r="BD174" s="699"/>
      <c r="BE174" s="699"/>
      <c r="BF174" s="699"/>
      <c r="BG174" s="699"/>
      <c r="BH174" s="699"/>
      <c r="BI174" s="699"/>
      <c r="BJ174" s="699"/>
      <c r="BK174" s="699"/>
      <c r="BL174" s="699"/>
      <c r="BM174" s="699"/>
      <c r="BN174" s="699"/>
      <c r="BO174" s="699"/>
      <c r="BP174" s="699"/>
      <c r="BQ174" s="699"/>
      <c r="BR174" s="699"/>
      <c r="BS174" s="699"/>
      <c r="BT174" s="699"/>
      <c r="BU174" s="699"/>
      <c r="BV174" s="699"/>
      <c r="BW174" s="699"/>
      <c r="BX174" s="699"/>
    </row>
    <row r="175" spans="1:76">
      <c r="A175" s="699"/>
      <c r="B175" s="49"/>
      <c r="C175" s="49"/>
      <c r="D175" s="49"/>
      <c r="E175" s="49"/>
      <c r="F175" s="49"/>
      <c r="G175" s="49"/>
      <c r="H175" s="49"/>
      <c r="I175" s="49"/>
      <c r="J175" s="49"/>
      <c r="K175" s="49"/>
      <c r="L175" s="49"/>
      <c r="M175" s="49"/>
      <c r="N175" s="49"/>
      <c r="O175" s="49"/>
      <c r="P175" s="49"/>
      <c r="Q175" s="49"/>
      <c r="R175" s="49"/>
      <c r="S175" s="49"/>
      <c r="T175" s="49"/>
      <c r="U175" s="49"/>
      <c r="V175" s="49"/>
      <c r="W175" s="49"/>
      <c r="X175" s="49"/>
      <c r="Y175" s="49"/>
      <c r="Z175" s="49"/>
      <c r="AA175" s="699"/>
      <c r="AB175" s="699"/>
      <c r="AC175" s="699"/>
      <c r="AD175" s="699"/>
      <c r="AE175" s="699"/>
      <c r="AF175" s="699"/>
      <c r="AG175" s="699"/>
      <c r="AH175" s="699"/>
      <c r="AI175" s="699"/>
      <c r="AJ175" s="699"/>
      <c r="AK175" s="699"/>
      <c r="AL175" s="699"/>
      <c r="AM175" s="699"/>
      <c r="AN175" s="699"/>
      <c r="AO175" s="699"/>
      <c r="AP175" s="699"/>
      <c r="AQ175" s="699"/>
      <c r="AR175" s="699"/>
      <c r="AS175" s="699"/>
      <c r="AT175" s="699"/>
      <c r="AU175" s="699"/>
      <c r="AV175" s="699"/>
      <c r="AW175" s="699"/>
      <c r="AX175" s="699"/>
      <c r="AY175" s="699"/>
      <c r="AZ175" s="699"/>
      <c r="BA175" s="699"/>
      <c r="BB175" s="699"/>
      <c r="BC175" s="699"/>
      <c r="BD175" s="699"/>
      <c r="BE175" s="699"/>
      <c r="BF175" s="699"/>
      <c r="BG175" s="699"/>
      <c r="BH175" s="699"/>
      <c r="BI175" s="699"/>
      <c r="BJ175" s="699"/>
      <c r="BK175" s="699"/>
      <c r="BL175" s="699"/>
      <c r="BM175" s="699"/>
      <c r="BN175" s="699"/>
      <c r="BO175" s="699"/>
      <c r="BP175" s="699"/>
      <c r="BQ175" s="699"/>
      <c r="BR175" s="699"/>
      <c r="BS175" s="699"/>
      <c r="BT175" s="699"/>
      <c r="BU175" s="699"/>
      <c r="BV175" s="699"/>
      <c r="BW175" s="699"/>
      <c r="BX175" s="699"/>
    </row>
    <row r="176" spans="1:76">
      <c r="A176" s="699"/>
      <c r="B176" s="699" t="s">
        <v>1172</v>
      </c>
      <c r="C176" s="49"/>
      <c r="D176" s="49"/>
      <c r="E176" s="49"/>
      <c r="F176" s="83">
        <f ca="1">+Assumptions!$G$177*'Phase 2 Pro Forma'!F169*'Phase 2 Pro Forma'!F166</f>
        <v>0</v>
      </c>
      <c r="G176" s="83">
        <f ca="1">+Assumptions!$G$177*'Phase 2 Pro Forma'!G169*'Phase 2 Pro Forma'!G166</f>
        <v>0</v>
      </c>
      <c r="H176" s="83">
        <f ca="1">+Assumptions!$G$177*'Phase 2 Pro Forma'!H169*'Phase 2 Pro Forma'!H166</f>
        <v>0</v>
      </c>
      <c r="I176" s="83">
        <f ca="1">+Assumptions!$G$177*'Phase 2 Pro Forma'!I169*'Phase 2 Pro Forma'!I166</f>
        <v>0</v>
      </c>
      <c r="J176" s="83">
        <f ca="1">+Assumptions!$G$177*'Phase 2 Pro Forma'!J169*'Phase 2 Pro Forma'!J166</f>
        <v>0</v>
      </c>
      <c r="K176" s="83">
        <f ca="1">+Assumptions!$G$177*'Phase 2 Pro Forma'!K169*'Phase 2 Pro Forma'!K166</f>
        <v>0</v>
      </c>
      <c r="L176" s="83">
        <f ca="1">+Assumptions!$G$177*'Phase 2 Pro Forma'!L169*'Phase 2 Pro Forma'!L166</f>
        <v>0</v>
      </c>
      <c r="M176" s="83">
        <f ca="1">+Assumptions!$G$177*'Phase 2 Pro Forma'!M169*'Phase 2 Pro Forma'!M166</f>
        <v>0</v>
      </c>
      <c r="N176" s="83">
        <f ca="1">+Assumptions!$G$177*'Phase 2 Pro Forma'!N169*'Phase 2 Pro Forma'!N166</f>
        <v>0</v>
      </c>
      <c r="O176" s="83">
        <f ca="1">+Assumptions!$G$177*'Phase 2 Pro Forma'!O169*'Phase 2 Pro Forma'!O166</f>
        <v>0</v>
      </c>
      <c r="P176" s="83">
        <f ca="1">+Assumptions!$G$177*'Phase 2 Pro Forma'!P169*'Phase 2 Pro Forma'!P166</f>
        <v>0</v>
      </c>
      <c r="Q176" s="83">
        <f ca="1">+Assumptions!$G$177*'Phase 2 Pro Forma'!Q169*'Phase 2 Pro Forma'!Q166</f>
        <v>0</v>
      </c>
      <c r="R176" s="83">
        <f ca="1">+Assumptions!$G$177*'Phase 2 Pro Forma'!R169*'Phase 2 Pro Forma'!R166</f>
        <v>0</v>
      </c>
      <c r="S176" s="83">
        <f ca="1">+Assumptions!$G$177*'Phase 2 Pro Forma'!S169*'Phase 2 Pro Forma'!S166</f>
        <v>0</v>
      </c>
      <c r="T176" s="83">
        <f ca="1">+Assumptions!$G$177*'Phase 2 Pro Forma'!T169*'Phase 2 Pro Forma'!T166</f>
        <v>0</v>
      </c>
      <c r="U176" s="83">
        <f ca="1">+Assumptions!$G$177*'Phase 2 Pro Forma'!U169*'Phase 2 Pro Forma'!U166</f>
        <v>0</v>
      </c>
      <c r="V176" s="83">
        <f ca="1">+Assumptions!$G$177*'Phase 2 Pro Forma'!V169*'Phase 2 Pro Forma'!V166</f>
        <v>0</v>
      </c>
      <c r="W176" s="83">
        <f ca="1">+Assumptions!$G$177*'Phase 2 Pro Forma'!W169*'Phase 2 Pro Forma'!W166</f>
        <v>0</v>
      </c>
      <c r="X176" s="83">
        <f ca="1">+Assumptions!$G$177*'Phase 2 Pro Forma'!X169*'Phase 2 Pro Forma'!X166</f>
        <v>0</v>
      </c>
      <c r="Y176" s="83">
        <f ca="1">+Assumptions!$G$177*'Phase 2 Pro Forma'!Y169*'Phase 2 Pro Forma'!Y166</f>
        <v>0</v>
      </c>
      <c r="Z176" s="83">
        <f ca="1">+Assumptions!$G$177*'Phase 2 Pro Forma'!Z169*'Phase 2 Pro Forma'!Z166</f>
        <v>0</v>
      </c>
      <c r="AA176" s="699"/>
      <c r="AB176" s="699"/>
      <c r="AC176" s="699"/>
      <c r="AD176" s="699"/>
      <c r="AE176" s="699"/>
      <c r="AF176" s="699"/>
      <c r="AG176" s="699"/>
      <c r="AH176" s="699"/>
      <c r="AI176" s="699"/>
      <c r="AJ176" s="699"/>
      <c r="AK176" s="699"/>
      <c r="AL176" s="699"/>
      <c r="AM176" s="699"/>
      <c r="AN176" s="699"/>
      <c r="AO176" s="699"/>
      <c r="AP176" s="699"/>
      <c r="AQ176" s="699"/>
      <c r="AR176" s="699"/>
      <c r="AS176" s="699"/>
      <c r="AT176" s="699"/>
      <c r="AU176" s="699"/>
      <c r="AV176" s="699"/>
      <c r="AW176" s="699"/>
      <c r="AX176" s="699"/>
      <c r="AY176" s="699"/>
      <c r="AZ176" s="699"/>
      <c r="BA176" s="699"/>
      <c r="BB176" s="699"/>
      <c r="BC176" s="699"/>
      <c r="BD176" s="699"/>
      <c r="BE176" s="699"/>
      <c r="BF176" s="699"/>
      <c r="BG176" s="699"/>
      <c r="BH176" s="699"/>
      <c r="BI176" s="699"/>
      <c r="BJ176" s="699"/>
      <c r="BK176" s="699"/>
      <c r="BL176" s="699"/>
      <c r="BM176" s="699"/>
      <c r="BN176" s="699"/>
      <c r="BO176" s="699"/>
      <c r="BP176" s="699"/>
      <c r="BQ176" s="699"/>
      <c r="BR176" s="699"/>
      <c r="BS176" s="699"/>
      <c r="BT176" s="699"/>
      <c r="BU176" s="699"/>
      <c r="BV176" s="699"/>
      <c r="BW176" s="699"/>
      <c r="BX176" s="699"/>
    </row>
    <row r="177" spans="1:26">
      <c r="A177" s="699"/>
      <c r="B177" s="61" t="s">
        <v>1173</v>
      </c>
      <c r="C177" s="61"/>
      <c r="D177" s="61"/>
      <c r="E177" s="61"/>
      <c r="F177" s="64">
        <f ca="1">+F174+F176</f>
        <v>0</v>
      </c>
      <c r="G177" s="64">
        <f t="shared" ref="G177:Z177" ca="1" si="112">+G174+G176</f>
        <v>0</v>
      </c>
      <c r="H177" s="64">
        <f t="shared" ca="1" si="112"/>
        <v>0</v>
      </c>
      <c r="I177" s="64">
        <f t="shared" ca="1" si="112"/>
        <v>0</v>
      </c>
      <c r="J177" s="64">
        <f t="shared" ca="1" si="112"/>
        <v>0</v>
      </c>
      <c r="K177" s="64">
        <f t="shared" ca="1" si="112"/>
        <v>0</v>
      </c>
      <c r="L177" s="64">
        <f t="shared" ca="1" si="112"/>
        <v>0</v>
      </c>
      <c r="M177" s="64">
        <f t="shared" ca="1" si="112"/>
        <v>0</v>
      </c>
      <c r="N177" s="64">
        <f t="shared" ca="1" si="112"/>
        <v>0</v>
      </c>
      <c r="O177" s="64">
        <f t="shared" ca="1" si="112"/>
        <v>0</v>
      </c>
      <c r="P177" s="64">
        <f t="shared" ca="1" si="112"/>
        <v>0</v>
      </c>
      <c r="Q177" s="64">
        <f t="shared" ca="1" si="112"/>
        <v>0</v>
      </c>
      <c r="R177" s="64">
        <f t="shared" ca="1" si="112"/>
        <v>0</v>
      </c>
      <c r="S177" s="64">
        <f t="shared" ca="1" si="112"/>
        <v>0</v>
      </c>
      <c r="T177" s="64">
        <f t="shared" ca="1" si="112"/>
        <v>0</v>
      </c>
      <c r="U177" s="64">
        <f t="shared" ca="1" si="112"/>
        <v>0</v>
      </c>
      <c r="V177" s="64">
        <f t="shared" ca="1" si="112"/>
        <v>0</v>
      </c>
      <c r="W177" s="64">
        <f t="shared" ca="1" si="112"/>
        <v>0</v>
      </c>
      <c r="X177" s="64">
        <f t="shared" ca="1" si="112"/>
        <v>0</v>
      </c>
      <c r="Y177" s="64">
        <f t="shared" ca="1" si="112"/>
        <v>0</v>
      </c>
      <c r="Z177" s="64">
        <f t="shared" ca="1" si="112"/>
        <v>0</v>
      </c>
    </row>
    <row r="178" spans="1:26">
      <c r="A178" s="699"/>
      <c r="B178" s="699"/>
      <c r="C178" s="49"/>
      <c r="D178" s="49"/>
      <c r="E178" s="49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</row>
    <row r="179" spans="1:26">
      <c r="A179" s="699"/>
      <c r="B179" s="699" t="s">
        <v>1174</v>
      </c>
      <c r="C179" s="49"/>
      <c r="D179" s="49"/>
      <c r="E179" s="49"/>
      <c r="F179" s="83">
        <f ca="1">+Assumptions!$G$184*'Phase 2 Pro Forma'!F169*'Phase 2 Pro Forma'!F166</f>
        <v>0</v>
      </c>
      <c r="G179" s="83">
        <f ca="1">+Assumptions!$G$184*'Phase 2 Pro Forma'!G169*'Phase 2 Pro Forma'!G166</f>
        <v>0</v>
      </c>
      <c r="H179" s="83">
        <f ca="1">+Assumptions!$G$184*'Phase 2 Pro Forma'!H169*'Phase 2 Pro Forma'!H166</f>
        <v>0</v>
      </c>
      <c r="I179" s="83">
        <f ca="1">+Assumptions!$G$184*'Phase 2 Pro Forma'!I169*'Phase 2 Pro Forma'!I166</f>
        <v>0</v>
      </c>
      <c r="J179" s="83">
        <f ca="1">+Assumptions!$G$184*'Phase 2 Pro Forma'!J169*'Phase 2 Pro Forma'!J166</f>
        <v>0</v>
      </c>
      <c r="K179" s="83">
        <f ca="1">+Assumptions!$G$184*'Phase 2 Pro Forma'!K169*'Phase 2 Pro Forma'!K166</f>
        <v>0</v>
      </c>
      <c r="L179" s="83">
        <f ca="1">+Assumptions!$G$184*'Phase 2 Pro Forma'!L169*'Phase 2 Pro Forma'!L166</f>
        <v>0</v>
      </c>
      <c r="M179" s="83">
        <f ca="1">+Assumptions!$G$184*'Phase 2 Pro Forma'!M169*'Phase 2 Pro Forma'!M166</f>
        <v>0</v>
      </c>
      <c r="N179" s="83">
        <f ca="1">+Assumptions!$G$184*'Phase 2 Pro Forma'!N169*'Phase 2 Pro Forma'!N166</f>
        <v>0</v>
      </c>
      <c r="O179" s="83">
        <f ca="1">+Assumptions!$G$184*'Phase 2 Pro Forma'!O169*'Phase 2 Pro Forma'!O166</f>
        <v>0</v>
      </c>
      <c r="P179" s="83">
        <f ca="1">+Assumptions!$G$184*'Phase 2 Pro Forma'!P169*'Phase 2 Pro Forma'!P166</f>
        <v>0</v>
      </c>
      <c r="Q179" s="83">
        <f ca="1">+Assumptions!$G$184*'Phase 2 Pro Forma'!Q169*'Phase 2 Pro Forma'!Q166</f>
        <v>0</v>
      </c>
      <c r="R179" s="83">
        <f ca="1">+Assumptions!$G$184*'Phase 2 Pro Forma'!R169*'Phase 2 Pro Forma'!R166</f>
        <v>0</v>
      </c>
      <c r="S179" s="83">
        <f ca="1">+Assumptions!$G$184*'Phase 2 Pro Forma'!S169*'Phase 2 Pro Forma'!S166</f>
        <v>0</v>
      </c>
      <c r="T179" s="83">
        <f ca="1">+Assumptions!$G$184*'Phase 2 Pro Forma'!T169*'Phase 2 Pro Forma'!T166</f>
        <v>0</v>
      </c>
      <c r="U179" s="83">
        <f ca="1">+Assumptions!$G$184*'Phase 2 Pro Forma'!U169*'Phase 2 Pro Forma'!U166</f>
        <v>0</v>
      </c>
      <c r="V179" s="83">
        <f ca="1">+Assumptions!$G$184*'Phase 2 Pro Forma'!V169*'Phase 2 Pro Forma'!V166</f>
        <v>0</v>
      </c>
      <c r="W179" s="83">
        <f ca="1">+Assumptions!$G$184*'Phase 2 Pro Forma'!W169*'Phase 2 Pro Forma'!W166</f>
        <v>0</v>
      </c>
      <c r="X179" s="83">
        <f ca="1">+Assumptions!$G$184*'Phase 2 Pro Forma'!X169*'Phase 2 Pro Forma'!X166</f>
        <v>0</v>
      </c>
      <c r="Y179" s="83">
        <f ca="1">+Assumptions!$G$184*'Phase 2 Pro Forma'!Y169*'Phase 2 Pro Forma'!Y166</f>
        <v>0</v>
      </c>
      <c r="Z179" s="83">
        <f ca="1">+Assumptions!$G$184*'Phase 2 Pro Forma'!Z169*'Phase 2 Pro Forma'!Z166</f>
        <v>0</v>
      </c>
    </row>
    <row r="180" spans="1:26">
      <c r="A180" s="699"/>
      <c r="B180" s="61" t="s">
        <v>1175</v>
      </c>
      <c r="C180" s="61"/>
      <c r="D180" s="61"/>
      <c r="E180" s="61"/>
      <c r="F180" s="64">
        <f ca="1">+F177+F179</f>
        <v>0</v>
      </c>
      <c r="G180" s="64">
        <f t="shared" ref="G180:Z180" ca="1" si="113">+G177+G179</f>
        <v>0</v>
      </c>
      <c r="H180" s="64">
        <f t="shared" ca="1" si="113"/>
        <v>0</v>
      </c>
      <c r="I180" s="64">
        <f t="shared" ca="1" si="113"/>
        <v>0</v>
      </c>
      <c r="J180" s="64">
        <f t="shared" ca="1" si="113"/>
        <v>0</v>
      </c>
      <c r="K180" s="64">
        <f t="shared" ca="1" si="113"/>
        <v>0</v>
      </c>
      <c r="L180" s="64">
        <f t="shared" ca="1" si="113"/>
        <v>0</v>
      </c>
      <c r="M180" s="64">
        <f t="shared" ca="1" si="113"/>
        <v>0</v>
      </c>
      <c r="N180" s="64">
        <f t="shared" ca="1" si="113"/>
        <v>0</v>
      </c>
      <c r="O180" s="64">
        <f t="shared" ca="1" si="113"/>
        <v>0</v>
      </c>
      <c r="P180" s="64">
        <f t="shared" ca="1" si="113"/>
        <v>0</v>
      </c>
      <c r="Q180" s="64">
        <f t="shared" ca="1" si="113"/>
        <v>0</v>
      </c>
      <c r="R180" s="64">
        <f t="shared" ca="1" si="113"/>
        <v>0</v>
      </c>
      <c r="S180" s="64">
        <f t="shared" ca="1" si="113"/>
        <v>0</v>
      </c>
      <c r="T180" s="64">
        <f t="shared" ca="1" si="113"/>
        <v>0</v>
      </c>
      <c r="U180" s="64">
        <f t="shared" ca="1" si="113"/>
        <v>0</v>
      </c>
      <c r="V180" s="64">
        <f t="shared" ca="1" si="113"/>
        <v>0</v>
      </c>
      <c r="W180" s="64">
        <f t="shared" ca="1" si="113"/>
        <v>0</v>
      </c>
      <c r="X180" s="64">
        <f t="shared" ca="1" si="113"/>
        <v>0</v>
      </c>
      <c r="Y180" s="64">
        <f t="shared" ca="1" si="113"/>
        <v>0</v>
      </c>
      <c r="Z180" s="64">
        <f t="shared" ca="1" si="113"/>
        <v>0</v>
      </c>
    </row>
    <row r="181" spans="1:26" hidden="1">
      <c r="A181" s="699"/>
      <c r="B181" s="49"/>
      <c r="C181" s="49"/>
      <c r="D181" s="49"/>
      <c r="E181" s="49"/>
      <c r="F181" s="49"/>
      <c r="G181" s="49"/>
      <c r="H181" s="49"/>
      <c r="I181" s="49"/>
      <c r="J181" s="49"/>
      <c r="K181" s="49"/>
      <c r="L181" s="49"/>
      <c r="M181" s="49"/>
      <c r="N181" s="49"/>
      <c r="O181" s="49"/>
      <c r="P181" s="49"/>
      <c r="Q181" s="49"/>
      <c r="R181" s="49"/>
      <c r="S181" s="49"/>
      <c r="T181" s="49"/>
      <c r="U181" s="49"/>
      <c r="V181" s="49"/>
      <c r="W181" s="49"/>
      <c r="X181" s="49"/>
      <c r="Y181" s="49"/>
      <c r="Z181" s="49"/>
    </row>
    <row r="182" spans="1:26" hidden="1">
      <c r="A182" s="699"/>
      <c r="B182" s="114" t="s">
        <v>1176</v>
      </c>
      <c r="C182" s="49"/>
      <c r="D182" s="49"/>
      <c r="E182" s="49"/>
      <c r="F182" s="49"/>
      <c r="G182" s="49"/>
      <c r="H182" s="49"/>
      <c r="I182" s="49"/>
      <c r="J182" s="49"/>
      <c r="K182" s="49"/>
      <c r="L182" s="49"/>
      <c r="M182" s="49"/>
      <c r="N182" s="49"/>
      <c r="O182" s="49"/>
      <c r="P182" s="49"/>
      <c r="Q182" s="49"/>
      <c r="R182" s="49"/>
      <c r="S182" s="49"/>
      <c r="T182" s="49"/>
      <c r="U182" s="49"/>
      <c r="V182" s="49"/>
      <c r="W182" s="49"/>
      <c r="X182" s="49"/>
      <c r="Y182" s="49"/>
      <c r="Z182" s="49"/>
    </row>
    <row r="183" spans="1:26">
      <c r="A183" s="699"/>
      <c r="B183" s="115" t="s">
        <v>641</v>
      </c>
      <c r="C183" s="49"/>
      <c r="D183" s="79">
        <f>+Assumptions!M116</f>
        <v>0.223</v>
      </c>
      <c r="E183" s="79"/>
      <c r="F183" s="83">
        <f>+$D183*F$174</f>
        <v>0</v>
      </c>
      <c r="G183" s="83">
        <f t="shared" ref="G183:Z183" si="114">+$D183*G$174</f>
        <v>0</v>
      </c>
      <c r="H183" s="83">
        <f t="shared" si="114"/>
        <v>0</v>
      </c>
      <c r="I183" s="83">
        <f t="shared" ca="1" si="114"/>
        <v>0</v>
      </c>
      <c r="J183" s="83">
        <f t="shared" ca="1" si="114"/>
        <v>0</v>
      </c>
      <c r="K183" s="83">
        <f t="shared" ca="1" si="114"/>
        <v>0</v>
      </c>
      <c r="L183" s="83">
        <f t="shared" ca="1" si="114"/>
        <v>0</v>
      </c>
      <c r="M183" s="83">
        <f t="shared" ca="1" si="114"/>
        <v>0</v>
      </c>
      <c r="N183" s="83">
        <f t="shared" ca="1" si="114"/>
        <v>0</v>
      </c>
      <c r="O183" s="83">
        <f t="shared" ca="1" si="114"/>
        <v>0</v>
      </c>
      <c r="P183" s="83">
        <f t="shared" ca="1" si="114"/>
        <v>0</v>
      </c>
      <c r="Q183" s="83">
        <f t="shared" ca="1" si="114"/>
        <v>0</v>
      </c>
      <c r="R183" s="83">
        <f t="shared" ca="1" si="114"/>
        <v>0</v>
      </c>
      <c r="S183" s="83">
        <f t="shared" ca="1" si="114"/>
        <v>0</v>
      </c>
      <c r="T183" s="83">
        <f t="shared" ca="1" si="114"/>
        <v>0</v>
      </c>
      <c r="U183" s="83">
        <f t="shared" ca="1" si="114"/>
        <v>0</v>
      </c>
      <c r="V183" s="83">
        <f t="shared" ca="1" si="114"/>
        <v>0</v>
      </c>
      <c r="W183" s="83">
        <f t="shared" ca="1" si="114"/>
        <v>0</v>
      </c>
      <c r="X183" s="83">
        <f t="shared" ca="1" si="114"/>
        <v>0</v>
      </c>
      <c r="Y183" s="83">
        <f t="shared" ca="1" si="114"/>
        <v>0</v>
      </c>
      <c r="Z183" s="83">
        <f t="shared" ca="1" si="114"/>
        <v>0</v>
      </c>
    </row>
    <row r="184" spans="1:26">
      <c r="A184" s="699"/>
      <c r="B184" s="115" t="s">
        <v>642</v>
      </c>
      <c r="C184" s="49"/>
      <c r="D184" s="79">
        <f>+Assumptions!M117</f>
        <v>0.90200000000000002</v>
      </c>
      <c r="E184" s="79"/>
      <c r="F184" s="90">
        <f ca="1">+$D184*F$176</f>
        <v>0</v>
      </c>
      <c r="G184" s="90">
        <f t="shared" ref="G184:Z184" ca="1" si="115">+$D184*G$176</f>
        <v>0</v>
      </c>
      <c r="H184" s="90">
        <f t="shared" ca="1" si="115"/>
        <v>0</v>
      </c>
      <c r="I184" s="90">
        <f t="shared" ca="1" si="115"/>
        <v>0</v>
      </c>
      <c r="J184" s="90">
        <f t="shared" ca="1" si="115"/>
        <v>0</v>
      </c>
      <c r="K184" s="90">
        <f t="shared" ca="1" si="115"/>
        <v>0</v>
      </c>
      <c r="L184" s="90">
        <f t="shared" ca="1" si="115"/>
        <v>0</v>
      </c>
      <c r="M184" s="90">
        <f t="shared" ca="1" si="115"/>
        <v>0</v>
      </c>
      <c r="N184" s="90">
        <f t="shared" ca="1" si="115"/>
        <v>0</v>
      </c>
      <c r="O184" s="90">
        <f t="shared" ca="1" si="115"/>
        <v>0</v>
      </c>
      <c r="P184" s="90">
        <f t="shared" ca="1" si="115"/>
        <v>0</v>
      </c>
      <c r="Q184" s="90">
        <f t="shared" ca="1" si="115"/>
        <v>0</v>
      </c>
      <c r="R184" s="90">
        <f t="shared" ca="1" si="115"/>
        <v>0</v>
      </c>
      <c r="S184" s="90">
        <f t="shared" ca="1" si="115"/>
        <v>0</v>
      </c>
      <c r="T184" s="90">
        <f t="shared" ca="1" si="115"/>
        <v>0</v>
      </c>
      <c r="U184" s="90">
        <f t="shared" ca="1" si="115"/>
        <v>0</v>
      </c>
      <c r="V184" s="90">
        <f t="shared" ca="1" si="115"/>
        <v>0</v>
      </c>
      <c r="W184" s="90">
        <f t="shared" ca="1" si="115"/>
        <v>0</v>
      </c>
      <c r="X184" s="90">
        <f t="shared" ca="1" si="115"/>
        <v>0</v>
      </c>
      <c r="Y184" s="90">
        <f t="shared" ca="1" si="115"/>
        <v>0</v>
      </c>
      <c r="Z184" s="90">
        <f t="shared" ca="1" si="115"/>
        <v>0</v>
      </c>
    </row>
    <row r="185" spans="1:26">
      <c r="A185" s="699"/>
      <c r="B185" s="114" t="s">
        <v>1177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</row>
    <row r="186" spans="1:26">
      <c r="A186" s="699"/>
      <c r="B186" s="115" t="s">
        <v>644</v>
      </c>
      <c r="C186" s="49"/>
      <c r="D186" s="79">
        <f>+Assumptions!M119</f>
        <v>8.7999999999999995E-2</v>
      </c>
      <c r="E186" s="79"/>
      <c r="F186" s="90">
        <f ca="1">+$D186*F$177</f>
        <v>0</v>
      </c>
      <c r="G186" s="90">
        <f t="shared" ref="G186:Z192" ca="1" si="116">+$D186*G$177</f>
        <v>0</v>
      </c>
      <c r="H186" s="90">
        <f t="shared" ca="1" si="116"/>
        <v>0</v>
      </c>
      <c r="I186" s="90">
        <f t="shared" ca="1" si="116"/>
        <v>0</v>
      </c>
      <c r="J186" s="90">
        <f t="shared" ca="1" si="116"/>
        <v>0</v>
      </c>
      <c r="K186" s="90">
        <f t="shared" ca="1" si="116"/>
        <v>0</v>
      </c>
      <c r="L186" s="90">
        <f t="shared" ca="1" si="116"/>
        <v>0</v>
      </c>
      <c r="M186" s="90">
        <f t="shared" ca="1" si="116"/>
        <v>0</v>
      </c>
      <c r="N186" s="90">
        <f t="shared" ca="1" si="116"/>
        <v>0</v>
      </c>
      <c r="O186" s="90">
        <f t="shared" ca="1" si="116"/>
        <v>0</v>
      </c>
      <c r="P186" s="90">
        <f t="shared" ca="1" si="116"/>
        <v>0</v>
      </c>
      <c r="Q186" s="90">
        <f t="shared" ca="1" si="116"/>
        <v>0</v>
      </c>
      <c r="R186" s="90">
        <f t="shared" ca="1" si="116"/>
        <v>0</v>
      </c>
      <c r="S186" s="90">
        <f t="shared" ca="1" si="116"/>
        <v>0</v>
      </c>
      <c r="T186" s="90">
        <f t="shared" ca="1" si="116"/>
        <v>0</v>
      </c>
      <c r="U186" s="90">
        <f t="shared" ca="1" si="116"/>
        <v>0</v>
      </c>
      <c r="V186" s="90">
        <f t="shared" ca="1" si="116"/>
        <v>0</v>
      </c>
      <c r="W186" s="90">
        <f t="shared" ca="1" si="116"/>
        <v>0</v>
      </c>
      <c r="X186" s="90">
        <f t="shared" ca="1" si="116"/>
        <v>0</v>
      </c>
      <c r="Y186" s="90">
        <f t="shared" ca="1" si="116"/>
        <v>0</v>
      </c>
      <c r="Z186" s="90">
        <f t="shared" ca="1" si="116"/>
        <v>0</v>
      </c>
    </row>
    <row r="187" spans="1:26">
      <c r="A187" s="699"/>
      <c r="B187" s="115" t="s">
        <v>645</v>
      </c>
      <c r="C187" s="49"/>
      <c r="D187" s="79">
        <f>+Assumptions!M120</f>
        <v>1.4999999999999999E-2</v>
      </c>
      <c r="E187" s="79"/>
      <c r="F187" s="90">
        <f t="shared" ref="F187:U192" ca="1" si="117">+$D187*F$177</f>
        <v>0</v>
      </c>
      <c r="G187" s="90">
        <f t="shared" ca="1" si="117"/>
        <v>0</v>
      </c>
      <c r="H187" s="90">
        <f t="shared" ca="1" si="117"/>
        <v>0</v>
      </c>
      <c r="I187" s="90">
        <f t="shared" ca="1" si="117"/>
        <v>0</v>
      </c>
      <c r="J187" s="90">
        <f t="shared" ca="1" si="117"/>
        <v>0</v>
      </c>
      <c r="K187" s="90">
        <f t="shared" ca="1" si="117"/>
        <v>0</v>
      </c>
      <c r="L187" s="90">
        <f t="shared" ca="1" si="117"/>
        <v>0</v>
      </c>
      <c r="M187" s="90">
        <f t="shared" ca="1" si="117"/>
        <v>0</v>
      </c>
      <c r="N187" s="90">
        <f t="shared" ca="1" si="117"/>
        <v>0</v>
      </c>
      <c r="O187" s="90">
        <f t="shared" ca="1" si="117"/>
        <v>0</v>
      </c>
      <c r="P187" s="90">
        <f t="shared" ca="1" si="117"/>
        <v>0</v>
      </c>
      <c r="Q187" s="90">
        <f t="shared" ca="1" si="117"/>
        <v>0</v>
      </c>
      <c r="R187" s="90">
        <f t="shared" ca="1" si="117"/>
        <v>0</v>
      </c>
      <c r="S187" s="90">
        <f t="shared" ca="1" si="117"/>
        <v>0</v>
      </c>
      <c r="T187" s="90">
        <f t="shared" ca="1" si="117"/>
        <v>0</v>
      </c>
      <c r="U187" s="90">
        <f t="shared" ca="1" si="117"/>
        <v>0</v>
      </c>
      <c r="V187" s="90">
        <f t="shared" ca="1" si="116"/>
        <v>0</v>
      </c>
      <c r="W187" s="90">
        <f t="shared" ca="1" si="116"/>
        <v>0</v>
      </c>
      <c r="X187" s="90">
        <f t="shared" ca="1" si="116"/>
        <v>0</v>
      </c>
      <c r="Y187" s="90">
        <f t="shared" ca="1" si="116"/>
        <v>0</v>
      </c>
      <c r="Z187" s="90">
        <f t="shared" ca="1" si="116"/>
        <v>0</v>
      </c>
    </row>
    <row r="188" spans="1:26">
      <c r="A188" s="699"/>
      <c r="B188" s="115" t="s">
        <v>646</v>
      </c>
      <c r="C188" s="49"/>
      <c r="D188" s="79">
        <f>+Assumptions!M121</f>
        <v>5.2999999999999999E-2</v>
      </c>
      <c r="E188" s="79"/>
      <c r="F188" s="90">
        <f t="shared" ca="1" si="117"/>
        <v>0</v>
      </c>
      <c r="G188" s="90">
        <f t="shared" ca="1" si="116"/>
        <v>0</v>
      </c>
      <c r="H188" s="90">
        <f t="shared" ca="1" si="116"/>
        <v>0</v>
      </c>
      <c r="I188" s="90">
        <f t="shared" ca="1" si="116"/>
        <v>0</v>
      </c>
      <c r="J188" s="90">
        <f t="shared" ca="1" si="116"/>
        <v>0</v>
      </c>
      <c r="K188" s="90">
        <f t="shared" ca="1" si="116"/>
        <v>0</v>
      </c>
      <c r="L188" s="90">
        <f t="shared" ca="1" si="116"/>
        <v>0</v>
      </c>
      <c r="M188" s="90">
        <f t="shared" ca="1" si="116"/>
        <v>0</v>
      </c>
      <c r="N188" s="90">
        <f t="shared" ca="1" si="116"/>
        <v>0</v>
      </c>
      <c r="O188" s="90">
        <f t="shared" ca="1" si="116"/>
        <v>0</v>
      </c>
      <c r="P188" s="90">
        <f t="shared" ca="1" si="116"/>
        <v>0</v>
      </c>
      <c r="Q188" s="90">
        <f t="shared" ca="1" si="116"/>
        <v>0</v>
      </c>
      <c r="R188" s="90">
        <f t="shared" ca="1" si="116"/>
        <v>0</v>
      </c>
      <c r="S188" s="90">
        <f t="shared" ca="1" si="116"/>
        <v>0</v>
      </c>
      <c r="T188" s="90">
        <f t="shared" ca="1" si="116"/>
        <v>0</v>
      </c>
      <c r="U188" s="90">
        <f t="shared" ca="1" si="116"/>
        <v>0</v>
      </c>
      <c r="V188" s="90">
        <f t="shared" ca="1" si="116"/>
        <v>0</v>
      </c>
      <c r="W188" s="90">
        <f t="shared" ca="1" si="116"/>
        <v>0</v>
      </c>
      <c r="X188" s="90">
        <f t="shared" ca="1" si="116"/>
        <v>0</v>
      </c>
      <c r="Y188" s="90">
        <f t="shared" ca="1" si="116"/>
        <v>0</v>
      </c>
      <c r="Z188" s="90">
        <f t="shared" ca="1" si="116"/>
        <v>0</v>
      </c>
    </row>
    <row r="189" spans="1:26">
      <c r="A189" s="699"/>
      <c r="B189" s="115" t="s">
        <v>648</v>
      </c>
      <c r="C189" s="49"/>
      <c r="D189" s="79">
        <f>+Assumptions!M122</f>
        <v>4.8000000000000001E-2</v>
      </c>
      <c r="E189" s="79"/>
      <c r="F189" s="90">
        <f t="shared" ca="1" si="117"/>
        <v>0</v>
      </c>
      <c r="G189" s="90">
        <f t="shared" ca="1" si="116"/>
        <v>0</v>
      </c>
      <c r="H189" s="90">
        <f t="shared" ca="1" si="116"/>
        <v>0</v>
      </c>
      <c r="I189" s="90">
        <f t="shared" ca="1" si="116"/>
        <v>0</v>
      </c>
      <c r="J189" s="90">
        <f t="shared" ca="1" si="116"/>
        <v>0</v>
      </c>
      <c r="K189" s="90">
        <f t="shared" ca="1" si="116"/>
        <v>0</v>
      </c>
      <c r="L189" s="90">
        <f t="shared" ca="1" si="116"/>
        <v>0</v>
      </c>
      <c r="M189" s="90">
        <f t="shared" ca="1" si="116"/>
        <v>0</v>
      </c>
      <c r="N189" s="90">
        <f t="shared" ca="1" si="116"/>
        <v>0</v>
      </c>
      <c r="O189" s="90">
        <f t="shared" ca="1" si="116"/>
        <v>0</v>
      </c>
      <c r="P189" s="90">
        <f t="shared" ca="1" si="116"/>
        <v>0</v>
      </c>
      <c r="Q189" s="90">
        <f t="shared" ca="1" si="116"/>
        <v>0</v>
      </c>
      <c r="R189" s="90">
        <f t="shared" ca="1" si="116"/>
        <v>0</v>
      </c>
      <c r="S189" s="90">
        <f t="shared" ca="1" si="116"/>
        <v>0</v>
      </c>
      <c r="T189" s="90">
        <f t="shared" ca="1" si="116"/>
        <v>0</v>
      </c>
      <c r="U189" s="90">
        <f t="shared" ca="1" si="116"/>
        <v>0</v>
      </c>
      <c r="V189" s="90">
        <f t="shared" ca="1" si="116"/>
        <v>0</v>
      </c>
      <c r="W189" s="90">
        <f t="shared" ca="1" si="116"/>
        <v>0</v>
      </c>
      <c r="X189" s="90">
        <f t="shared" ca="1" si="116"/>
        <v>0</v>
      </c>
      <c r="Y189" s="90">
        <f t="shared" ca="1" si="116"/>
        <v>0</v>
      </c>
      <c r="Z189" s="90">
        <f t="shared" ca="1" si="116"/>
        <v>0</v>
      </c>
    </row>
    <row r="190" spans="1:26">
      <c r="A190" s="699" t="s">
        <v>881</v>
      </c>
      <c r="B190" s="115" t="s">
        <v>650</v>
      </c>
      <c r="C190" s="49"/>
      <c r="D190" s="79">
        <f>+Assumptions!M123</f>
        <v>2.5999999999999999E-2</v>
      </c>
      <c r="E190" s="79"/>
      <c r="F190" s="90">
        <f t="shared" ca="1" si="117"/>
        <v>0</v>
      </c>
      <c r="G190" s="90">
        <f t="shared" ca="1" si="116"/>
        <v>0</v>
      </c>
      <c r="H190" s="90">
        <f t="shared" ca="1" si="116"/>
        <v>0</v>
      </c>
      <c r="I190" s="90">
        <f t="shared" ca="1" si="116"/>
        <v>0</v>
      </c>
      <c r="J190" s="90">
        <f t="shared" ca="1" si="116"/>
        <v>0</v>
      </c>
      <c r="K190" s="90">
        <f t="shared" ca="1" si="116"/>
        <v>0</v>
      </c>
      <c r="L190" s="90">
        <f t="shared" ca="1" si="116"/>
        <v>0</v>
      </c>
      <c r="M190" s="90">
        <f t="shared" ca="1" si="116"/>
        <v>0</v>
      </c>
      <c r="N190" s="90">
        <f t="shared" ca="1" si="116"/>
        <v>0</v>
      </c>
      <c r="O190" s="90">
        <f t="shared" ca="1" si="116"/>
        <v>0</v>
      </c>
      <c r="P190" s="90">
        <f t="shared" ca="1" si="116"/>
        <v>0</v>
      </c>
      <c r="Q190" s="90">
        <f t="shared" ca="1" si="116"/>
        <v>0</v>
      </c>
      <c r="R190" s="90">
        <f t="shared" ca="1" si="116"/>
        <v>0</v>
      </c>
      <c r="S190" s="90">
        <f t="shared" ca="1" si="116"/>
        <v>0</v>
      </c>
      <c r="T190" s="90">
        <f t="shared" ca="1" si="116"/>
        <v>0</v>
      </c>
      <c r="U190" s="90">
        <f t="shared" ca="1" si="116"/>
        <v>0</v>
      </c>
      <c r="V190" s="90">
        <f t="shared" ca="1" si="116"/>
        <v>0</v>
      </c>
      <c r="W190" s="90">
        <f t="shared" ca="1" si="116"/>
        <v>0</v>
      </c>
      <c r="X190" s="90">
        <f t="shared" ca="1" si="116"/>
        <v>0</v>
      </c>
      <c r="Y190" s="90">
        <f t="shared" ca="1" si="116"/>
        <v>0</v>
      </c>
      <c r="Z190" s="90">
        <f t="shared" ca="1" si="116"/>
        <v>0</v>
      </c>
    </row>
    <row r="191" spans="1:26">
      <c r="A191" s="699"/>
      <c r="B191" s="115" t="s">
        <v>651</v>
      </c>
      <c r="C191" s="49"/>
      <c r="D191" s="79">
        <f>+Assumptions!M124</f>
        <v>2.4E-2</v>
      </c>
      <c r="E191" s="79"/>
      <c r="F191" s="90">
        <f t="shared" ca="1" si="117"/>
        <v>0</v>
      </c>
      <c r="G191" s="90">
        <f t="shared" ca="1" si="116"/>
        <v>0</v>
      </c>
      <c r="H191" s="90">
        <f t="shared" ca="1" si="116"/>
        <v>0</v>
      </c>
      <c r="I191" s="90">
        <f t="shared" ca="1" si="116"/>
        <v>0</v>
      </c>
      <c r="J191" s="90">
        <f t="shared" ca="1" si="116"/>
        <v>0</v>
      </c>
      <c r="K191" s="90">
        <f t="shared" ca="1" si="116"/>
        <v>0</v>
      </c>
      <c r="L191" s="90">
        <f t="shared" ca="1" si="116"/>
        <v>0</v>
      </c>
      <c r="M191" s="90">
        <f t="shared" ca="1" si="116"/>
        <v>0</v>
      </c>
      <c r="N191" s="90">
        <f t="shared" ca="1" si="116"/>
        <v>0</v>
      </c>
      <c r="O191" s="90">
        <f t="shared" ca="1" si="116"/>
        <v>0</v>
      </c>
      <c r="P191" s="90">
        <f t="shared" ca="1" si="116"/>
        <v>0</v>
      </c>
      <c r="Q191" s="90">
        <f t="shared" ca="1" si="116"/>
        <v>0</v>
      </c>
      <c r="R191" s="90">
        <f t="shared" ca="1" si="116"/>
        <v>0</v>
      </c>
      <c r="S191" s="90">
        <f t="shared" ca="1" si="116"/>
        <v>0</v>
      </c>
      <c r="T191" s="90">
        <f t="shared" ca="1" si="116"/>
        <v>0</v>
      </c>
      <c r="U191" s="90">
        <f t="shared" ca="1" si="116"/>
        <v>0</v>
      </c>
      <c r="V191" s="90">
        <f t="shared" ca="1" si="116"/>
        <v>0</v>
      </c>
      <c r="W191" s="90">
        <f t="shared" ca="1" si="116"/>
        <v>0</v>
      </c>
      <c r="X191" s="90">
        <f t="shared" ca="1" si="116"/>
        <v>0</v>
      </c>
      <c r="Y191" s="90">
        <f t="shared" ca="1" si="116"/>
        <v>0</v>
      </c>
      <c r="Z191" s="90">
        <f t="shared" ca="1" si="116"/>
        <v>0</v>
      </c>
    </row>
    <row r="192" spans="1:26">
      <c r="A192" s="699"/>
      <c r="B192" s="115" t="s">
        <v>652</v>
      </c>
      <c r="C192" s="49"/>
      <c r="D192" s="79">
        <f>+Assumptions!M125</f>
        <v>5.0000000000000001E-3</v>
      </c>
      <c r="E192" s="79"/>
      <c r="F192" s="90">
        <f t="shared" ca="1" si="117"/>
        <v>0</v>
      </c>
      <c r="G192" s="90">
        <f t="shared" ca="1" si="116"/>
        <v>0</v>
      </c>
      <c r="H192" s="90">
        <f t="shared" ca="1" si="116"/>
        <v>0</v>
      </c>
      <c r="I192" s="90">
        <f t="shared" ca="1" si="116"/>
        <v>0</v>
      </c>
      <c r="J192" s="90">
        <f t="shared" ca="1" si="116"/>
        <v>0</v>
      </c>
      <c r="K192" s="90">
        <f t="shared" ca="1" si="116"/>
        <v>0</v>
      </c>
      <c r="L192" s="90">
        <f t="shared" ca="1" si="116"/>
        <v>0</v>
      </c>
      <c r="M192" s="90">
        <f t="shared" ca="1" si="116"/>
        <v>0</v>
      </c>
      <c r="N192" s="90">
        <f t="shared" ca="1" si="116"/>
        <v>0</v>
      </c>
      <c r="O192" s="90">
        <f t="shared" ca="1" si="116"/>
        <v>0</v>
      </c>
      <c r="P192" s="90">
        <f t="shared" ca="1" si="116"/>
        <v>0</v>
      </c>
      <c r="Q192" s="90">
        <f t="shared" ca="1" si="116"/>
        <v>0</v>
      </c>
      <c r="R192" s="90">
        <f t="shared" ca="1" si="116"/>
        <v>0</v>
      </c>
      <c r="S192" s="90">
        <f t="shared" ca="1" si="116"/>
        <v>0</v>
      </c>
      <c r="T192" s="90">
        <f t="shared" ca="1" si="116"/>
        <v>0</v>
      </c>
      <c r="U192" s="90">
        <f t="shared" ca="1" si="116"/>
        <v>0</v>
      </c>
      <c r="V192" s="90">
        <f t="shared" ca="1" si="116"/>
        <v>0</v>
      </c>
      <c r="W192" s="90">
        <f t="shared" ca="1" si="116"/>
        <v>0</v>
      </c>
      <c r="X192" s="90">
        <f t="shared" ca="1" si="116"/>
        <v>0</v>
      </c>
      <c r="Y192" s="90">
        <f t="shared" ca="1" si="116"/>
        <v>0</v>
      </c>
      <c r="Z192" s="90">
        <f t="shared" ca="1" si="116"/>
        <v>0</v>
      </c>
    </row>
    <row r="193" spans="2:26">
      <c r="B193" s="758" t="s">
        <v>1133</v>
      </c>
      <c r="C193" s="49"/>
      <c r="D193" s="153">
        <f ca="1">+IFERROR(SUM(F193:Z193)/SUM(F177:Z177),0)</f>
        <v>0</v>
      </c>
      <c r="E193" s="91"/>
      <c r="F193" s="1050">
        <f ca="1">+IFERROR(INDEX('Taxes and TIF'!$AC$11:$AC$45,MATCH('Phase 2 Pro Forma'!F$7,'Taxes and TIF'!$R$11:$R$45,0)),0)*'Loan Sizing'!$K$50*'Phase 2 Pro Forma'!F166</f>
        <v>0</v>
      </c>
      <c r="G193" s="1050">
        <f ca="1">+IFERROR(INDEX('Taxes and TIF'!$AC$11:$AC$45,MATCH('Phase 2 Pro Forma'!G$7,'Taxes and TIF'!$R$11:$R$45,0)),0)*'Loan Sizing'!$K$50*'Phase 2 Pro Forma'!G166</f>
        <v>0</v>
      </c>
      <c r="H193" s="1050">
        <f ca="1">+IFERROR(INDEX('Taxes and TIF'!$AC$11:$AC$45,MATCH('Phase 2 Pro Forma'!H$7,'Taxes and TIF'!$R$11:$R$45,0)),0)*'Loan Sizing'!$K$50*'Phase 2 Pro Forma'!H166</f>
        <v>0</v>
      </c>
      <c r="I193" s="1050">
        <f ca="1">+IFERROR(INDEX('Taxes and TIF'!$AC$11:$AC$45,MATCH('Phase 2 Pro Forma'!I$7,'Taxes and TIF'!$R$11:$R$45,0)),0)*'Loan Sizing'!$K$50*'Phase 2 Pro Forma'!I166</f>
        <v>0</v>
      </c>
      <c r="J193" s="1050">
        <f ca="1">+IFERROR(INDEX('Taxes and TIF'!$AC$11:$AC$45,MATCH('Phase 2 Pro Forma'!J$7,'Taxes and TIF'!$R$11:$R$45,0)),0)*'Loan Sizing'!$K$50*'Phase 2 Pro Forma'!J166</f>
        <v>0</v>
      </c>
      <c r="K193" s="1050">
        <f ca="1">+IFERROR(INDEX('Taxes and TIF'!$AC$11:$AC$45,MATCH('Phase 2 Pro Forma'!K$7,'Taxes and TIF'!$R$11:$R$45,0)),0)*'Loan Sizing'!$K$50*'Phase 2 Pro Forma'!K166</f>
        <v>0</v>
      </c>
      <c r="L193" s="1050">
        <f ca="1">+IFERROR(INDEX('Taxes and TIF'!$AC$11:$AC$45,MATCH('Phase 2 Pro Forma'!L$7,'Taxes and TIF'!$R$11:$R$45,0)),0)*'Loan Sizing'!$K$50*'Phase 2 Pro Forma'!L166</f>
        <v>0</v>
      </c>
      <c r="M193" s="1050">
        <f ca="1">+IFERROR(INDEX('Taxes and TIF'!$AC$11:$AC$45,MATCH('Phase 2 Pro Forma'!M$7,'Taxes and TIF'!$R$11:$R$45,0)),0)*'Loan Sizing'!$K$50*'Phase 2 Pro Forma'!M166</f>
        <v>0</v>
      </c>
      <c r="N193" s="1050">
        <f ca="1">+IFERROR(INDEX('Taxes and TIF'!$AC$11:$AC$45,MATCH('Phase 2 Pro Forma'!N$7,'Taxes and TIF'!$R$11:$R$45,0)),0)*'Loan Sizing'!$K$50*'Phase 2 Pro Forma'!N166</f>
        <v>0</v>
      </c>
      <c r="O193" s="1050">
        <f ca="1">+IFERROR(INDEX('Taxes and TIF'!$AC$11:$AC$45,MATCH('Phase 2 Pro Forma'!O$7,'Taxes and TIF'!$R$11:$R$45,0)),0)*'Loan Sizing'!$K$50*'Phase 2 Pro Forma'!O166</f>
        <v>0</v>
      </c>
      <c r="P193" s="1050">
        <f ca="1">+IFERROR(INDEX('Taxes and TIF'!$AC$11:$AC$45,MATCH('Phase 2 Pro Forma'!P$7,'Taxes and TIF'!$R$11:$R$45,0)),0)*'Loan Sizing'!$K$50*'Phase 2 Pro Forma'!P166</f>
        <v>0</v>
      </c>
      <c r="Q193" s="1050">
        <f ca="1">+IFERROR(INDEX('Taxes and TIF'!$AC$11:$AC$45,MATCH('Phase 2 Pro Forma'!Q$7,'Taxes and TIF'!$R$11:$R$45,0)),0)*'Loan Sizing'!$K$50*'Phase 2 Pro Forma'!Q166</f>
        <v>0</v>
      </c>
      <c r="R193" s="1050">
        <f ca="1">+IFERROR(INDEX('Taxes and TIF'!$AC$11:$AC$45,MATCH('Phase 2 Pro Forma'!R$7,'Taxes and TIF'!$R$11:$R$45,0)),0)*'Loan Sizing'!$K$50*'Phase 2 Pro Forma'!R166</f>
        <v>0</v>
      </c>
      <c r="S193" s="1050">
        <f ca="1">+IFERROR(INDEX('Taxes and TIF'!$AC$11:$AC$45,MATCH('Phase 2 Pro Forma'!S$7,'Taxes and TIF'!$R$11:$R$45,0)),0)*'Loan Sizing'!$K$50*'Phase 2 Pro Forma'!S166</f>
        <v>0</v>
      </c>
      <c r="T193" s="1050">
        <f ca="1">+IFERROR(INDEX('Taxes and TIF'!$AC$11:$AC$45,MATCH('Phase 2 Pro Forma'!T$7,'Taxes and TIF'!$R$11:$R$45,0)),0)*'Loan Sizing'!$K$50*'Phase 2 Pro Forma'!T166</f>
        <v>0</v>
      </c>
      <c r="U193" s="1050">
        <f ca="1">+IFERROR(INDEX('Taxes and TIF'!$AC$11:$AC$45,MATCH('Phase 2 Pro Forma'!U$7,'Taxes and TIF'!$R$11:$R$45,0)),0)*'Loan Sizing'!$K$50*'Phase 2 Pro Forma'!U166</f>
        <v>0</v>
      </c>
      <c r="V193" s="1050">
        <f ca="1">+IFERROR(INDEX('Taxes and TIF'!$AC$11:$AC$45,MATCH('Phase 2 Pro Forma'!V$7,'Taxes and TIF'!$R$11:$R$45,0)),0)*'Loan Sizing'!$K$50*'Phase 2 Pro Forma'!V166</f>
        <v>0</v>
      </c>
      <c r="W193" s="1050">
        <f ca="1">+IFERROR(INDEX('Taxes and TIF'!$AC$11:$AC$45,MATCH('Phase 2 Pro Forma'!W$7,'Taxes and TIF'!$R$11:$R$45,0)),0)*'Loan Sizing'!$K$50*'Phase 2 Pro Forma'!W166</f>
        <v>0</v>
      </c>
      <c r="X193" s="1050">
        <f ca="1">+IFERROR(INDEX('Taxes and TIF'!$AC$11:$AC$45,MATCH('Phase 2 Pro Forma'!X$7,'Taxes and TIF'!$R$11:$R$45,0)),0)*'Loan Sizing'!$K$50*'Phase 2 Pro Forma'!X166</f>
        <v>0</v>
      </c>
      <c r="Y193" s="1050">
        <f ca="1">+IFERROR(INDEX('Taxes and TIF'!$AC$11:$AC$45,MATCH('Phase 2 Pro Forma'!Y$7,'Taxes and TIF'!$R$11:$R$45,0)),0)*'Loan Sizing'!$K$50*'Phase 2 Pro Forma'!Y166</f>
        <v>0</v>
      </c>
      <c r="Z193" s="1050">
        <f ca="1">+IFERROR(INDEX('Taxes and TIF'!$AC$11:$AC$45,MATCH('Phase 2 Pro Forma'!Z$7,'Taxes and TIF'!$R$11:$R$45,0)),0)*'Loan Sizing'!$K$50*'Phase 2 Pro Forma'!Z166</f>
        <v>0</v>
      </c>
    </row>
    <row r="194" spans="2:26">
      <c r="B194" s="115" t="s">
        <v>653</v>
      </c>
      <c r="C194" s="49"/>
      <c r="D194" s="79">
        <f>+Assumptions!M126</f>
        <v>0.03</v>
      </c>
      <c r="E194" s="79"/>
      <c r="F194" s="90">
        <f ca="1">+$D194*F$177</f>
        <v>0</v>
      </c>
      <c r="G194" s="90">
        <f t="shared" ref="G194:Z194" ca="1" si="118">+$D194*G$177</f>
        <v>0</v>
      </c>
      <c r="H194" s="90">
        <f t="shared" ca="1" si="118"/>
        <v>0</v>
      </c>
      <c r="I194" s="90">
        <f t="shared" ca="1" si="118"/>
        <v>0</v>
      </c>
      <c r="J194" s="90">
        <f t="shared" ca="1" si="118"/>
        <v>0</v>
      </c>
      <c r="K194" s="90">
        <f t="shared" ca="1" si="118"/>
        <v>0</v>
      </c>
      <c r="L194" s="90">
        <f t="shared" ca="1" si="118"/>
        <v>0</v>
      </c>
      <c r="M194" s="90">
        <f t="shared" ca="1" si="118"/>
        <v>0</v>
      </c>
      <c r="N194" s="90">
        <f t="shared" ca="1" si="118"/>
        <v>0</v>
      </c>
      <c r="O194" s="90">
        <f t="shared" ca="1" si="118"/>
        <v>0</v>
      </c>
      <c r="P194" s="90">
        <f t="shared" ca="1" si="118"/>
        <v>0</v>
      </c>
      <c r="Q194" s="90">
        <f t="shared" ca="1" si="118"/>
        <v>0</v>
      </c>
      <c r="R194" s="90">
        <f t="shared" ca="1" si="118"/>
        <v>0</v>
      </c>
      <c r="S194" s="90">
        <f t="shared" ca="1" si="118"/>
        <v>0</v>
      </c>
      <c r="T194" s="90">
        <f t="shared" ca="1" si="118"/>
        <v>0</v>
      </c>
      <c r="U194" s="90">
        <f t="shared" ca="1" si="118"/>
        <v>0</v>
      </c>
      <c r="V194" s="90">
        <f t="shared" ca="1" si="118"/>
        <v>0</v>
      </c>
      <c r="W194" s="90">
        <f t="shared" ca="1" si="118"/>
        <v>0</v>
      </c>
      <c r="X194" s="90">
        <f t="shared" ca="1" si="118"/>
        <v>0</v>
      </c>
      <c r="Y194" s="90">
        <f t="shared" ca="1" si="118"/>
        <v>0</v>
      </c>
      <c r="Z194" s="90">
        <f t="shared" ca="1" si="118"/>
        <v>0</v>
      </c>
    </row>
    <row r="195" spans="2:26">
      <c r="B195" s="116" t="s">
        <v>709</v>
      </c>
      <c r="C195" s="49"/>
      <c r="D195" s="49"/>
      <c r="E195" s="49"/>
      <c r="F195" s="49"/>
      <c r="G195" s="49"/>
      <c r="H195" s="49"/>
      <c r="I195" s="49"/>
      <c r="J195" s="49"/>
      <c r="K195" s="49"/>
      <c r="L195" s="49"/>
      <c r="M195" s="49"/>
      <c r="N195" s="49"/>
      <c r="O195" s="49"/>
      <c r="P195" s="49"/>
      <c r="Q195" s="49"/>
      <c r="R195" s="49"/>
      <c r="S195" s="49"/>
      <c r="T195" s="49"/>
      <c r="U195" s="49"/>
      <c r="V195" s="49"/>
      <c r="W195" s="49"/>
      <c r="X195" s="49"/>
      <c r="Y195" s="49"/>
      <c r="Z195" s="49"/>
    </row>
    <row r="196" spans="2:26">
      <c r="B196" s="115" t="s">
        <v>657</v>
      </c>
      <c r="C196" s="49"/>
      <c r="D196" s="79">
        <f>+Assumptions!M130</f>
        <v>0.35</v>
      </c>
      <c r="E196" s="79"/>
      <c r="F196" s="90">
        <f ca="1">+$D196*F$179</f>
        <v>0</v>
      </c>
      <c r="G196" s="90">
        <f t="shared" ref="G196:Z196" ca="1" si="119">+$D196*G$179</f>
        <v>0</v>
      </c>
      <c r="H196" s="90">
        <f t="shared" ca="1" si="119"/>
        <v>0</v>
      </c>
      <c r="I196" s="90">
        <f t="shared" ca="1" si="119"/>
        <v>0</v>
      </c>
      <c r="J196" s="90">
        <f t="shared" ca="1" si="119"/>
        <v>0</v>
      </c>
      <c r="K196" s="90">
        <f t="shared" ca="1" si="119"/>
        <v>0</v>
      </c>
      <c r="L196" s="90">
        <f t="shared" ca="1" si="119"/>
        <v>0</v>
      </c>
      <c r="M196" s="90">
        <f t="shared" ca="1" si="119"/>
        <v>0</v>
      </c>
      <c r="N196" s="90">
        <f t="shared" ca="1" si="119"/>
        <v>0</v>
      </c>
      <c r="O196" s="90">
        <f t="shared" ca="1" si="119"/>
        <v>0</v>
      </c>
      <c r="P196" s="90">
        <f t="shared" ca="1" si="119"/>
        <v>0</v>
      </c>
      <c r="Q196" s="90">
        <f t="shared" ca="1" si="119"/>
        <v>0</v>
      </c>
      <c r="R196" s="90">
        <f t="shared" ca="1" si="119"/>
        <v>0</v>
      </c>
      <c r="S196" s="90">
        <f t="shared" ca="1" si="119"/>
        <v>0</v>
      </c>
      <c r="T196" s="90">
        <f t="shared" ca="1" si="119"/>
        <v>0</v>
      </c>
      <c r="U196" s="90">
        <f t="shared" ca="1" si="119"/>
        <v>0</v>
      </c>
      <c r="V196" s="90">
        <f t="shared" ca="1" si="119"/>
        <v>0</v>
      </c>
      <c r="W196" s="90">
        <f t="shared" ca="1" si="119"/>
        <v>0</v>
      </c>
      <c r="X196" s="90">
        <f t="shared" ca="1" si="119"/>
        <v>0</v>
      </c>
      <c r="Y196" s="90">
        <f t="shared" ca="1" si="119"/>
        <v>0</v>
      </c>
      <c r="Z196" s="90">
        <f t="shared" ca="1" si="119"/>
        <v>0</v>
      </c>
    </row>
    <row r="197" spans="2:26">
      <c r="B197" s="61" t="s">
        <v>1180</v>
      </c>
      <c r="C197" s="61"/>
      <c r="D197" s="61"/>
      <c r="E197" s="61"/>
      <c r="F197" s="64">
        <f ca="1">+SUM(F183:F196)</f>
        <v>0</v>
      </c>
      <c r="G197" s="64">
        <f t="shared" ref="G197:Z197" ca="1" si="120">+SUM(G183:G196)</f>
        <v>0</v>
      </c>
      <c r="H197" s="64">
        <f t="shared" ca="1" si="120"/>
        <v>0</v>
      </c>
      <c r="I197" s="64">
        <f t="shared" ca="1" si="120"/>
        <v>0</v>
      </c>
      <c r="J197" s="64">
        <f t="shared" ca="1" si="120"/>
        <v>0</v>
      </c>
      <c r="K197" s="64">
        <f t="shared" ca="1" si="120"/>
        <v>0</v>
      </c>
      <c r="L197" s="64">
        <f t="shared" ca="1" si="120"/>
        <v>0</v>
      </c>
      <c r="M197" s="64">
        <f t="shared" ca="1" si="120"/>
        <v>0</v>
      </c>
      <c r="N197" s="64">
        <f t="shared" ca="1" si="120"/>
        <v>0</v>
      </c>
      <c r="O197" s="64">
        <f t="shared" ca="1" si="120"/>
        <v>0</v>
      </c>
      <c r="P197" s="64">
        <f t="shared" ca="1" si="120"/>
        <v>0</v>
      </c>
      <c r="Q197" s="64">
        <f t="shared" ca="1" si="120"/>
        <v>0</v>
      </c>
      <c r="R197" s="64">
        <f t="shared" ca="1" si="120"/>
        <v>0</v>
      </c>
      <c r="S197" s="64">
        <f t="shared" ca="1" si="120"/>
        <v>0</v>
      </c>
      <c r="T197" s="64">
        <f t="shared" ca="1" si="120"/>
        <v>0</v>
      </c>
      <c r="U197" s="64">
        <f t="shared" ca="1" si="120"/>
        <v>0</v>
      </c>
      <c r="V197" s="64">
        <f t="shared" ca="1" si="120"/>
        <v>0</v>
      </c>
      <c r="W197" s="64">
        <f t="shared" ca="1" si="120"/>
        <v>0</v>
      </c>
      <c r="X197" s="64">
        <f t="shared" ca="1" si="120"/>
        <v>0</v>
      </c>
      <c r="Y197" s="64">
        <f t="shared" ca="1" si="120"/>
        <v>0</v>
      </c>
      <c r="Z197" s="64">
        <f t="shared" ca="1" si="120"/>
        <v>0</v>
      </c>
    </row>
    <row r="198" spans="2:26">
      <c r="B198" s="49"/>
      <c r="C198" s="49"/>
      <c r="D198" s="49"/>
      <c r="E198" s="49"/>
      <c r="F198" s="49"/>
      <c r="G198" s="49"/>
      <c r="H198" s="49"/>
      <c r="I198" s="49"/>
      <c r="J198" s="49"/>
      <c r="K198" s="49"/>
      <c r="L198" s="49"/>
      <c r="M198" s="49"/>
      <c r="N198" s="49"/>
      <c r="O198" s="49"/>
      <c r="P198" s="49"/>
      <c r="Q198" s="49"/>
      <c r="R198" s="49"/>
      <c r="S198" s="49"/>
      <c r="T198" s="49"/>
      <c r="U198" s="49"/>
      <c r="V198" s="49"/>
      <c r="W198" s="49"/>
      <c r="X198" s="49"/>
      <c r="Y198" s="49"/>
      <c r="Z198" s="49"/>
    </row>
    <row r="199" spans="2:26">
      <c r="B199" s="61" t="s">
        <v>1181</v>
      </c>
      <c r="C199" s="61"/>
      <c r="D199" s="61"/>
      <c r="E199" s="61"/>
      <c r="F199" s="64">
        <f ca="1">+F180-F197</f>
        <v>0</v>
      </c>
      <c r="G199" s="64">
        <f t="shared" ref="G199:Z199" ca="1" si="121">+G180-G197</f>
        <v>0</v>
      </c>
      <c r="H199" s="64">
        <f t="shared" ca="1" si="121"/>
        <v>0</v>
      </c>
      <c r="I199" s="64">
        <f t="shared" ca="1" si="121"/>
        <v>0</v>
      </c>
      <c r="J199" s="64">
        <f t="shared" ca="1" si="121"/>
        <v>0</v>
      </c>
      <c r="K199" s="64">
        <f t="shared" ca="1" si="121"/>
        <v>0</v>
      </c>
      <c r="L199" s="64">
        <f t="shared" ca="1" si="121"/>
        <v>0</v>
      </c>
      <c r="M199" s="64">
        <f t="shared" ca="1" si="121"/>
        <v>0</v>
      </c>
      <c r="N199" s="64">
        <f t="shared" ca="1" si="121"/>
        <v>0</v>
      </c>
      <c r="O199" s="64">
        <f t="shared" ca="1" si="121"/>
        <v>0</v>
      </c>
      <c r="P199" s="64">
        <f t="shared" ca="1" si="121"/>
        <v>0</v>
      </c>
      <c r="Q199" s="64">
        <f t="shared" ca="1" si="121"/>
        <v>0</v>
      </c>
      <c r="R199" s="64">
        <f t="shared" ca="1" si="121"/>
        <v>0</v>
      </c>
      <c r="S199" s="64">
        <f t="shared" ca="1" si="121"/>
        <v>0</v>
      </c>
      <c r="T199" s="64">
        <f t="shared" ca="1" si="121"/>
        <v>0</v>
      </c>
      <c r="U199" s="64">
        <f t="shared" ca="1" si="121"/>
        <v>0</v>
      </c>
      <c r="V199" s="64">
        <f t="shared" ca="1" si="121"/>
        <v>0</v>
      </c>
      <c r="W199" s="64">
        <f t="shared" ca="1" si="121"/>
        <v>0</v>
      </c>
      <c r="X199" s="64">
        <f t="shared" ca="1" si="121"/>
        <v>0</v>
      </c>
      <c r="Y199" s="64">
        <f t="shared" ca="1" si="121"/>
        <v>0</v>
      </c>
      <c r="Z199" s="64">
        <f t="shared" ca="1" si="121"/>
        <v>0</v>
      </c>
    </row>
    <row r="200" spans="2:26">
      <c r="B200" s="49"/>
      <c r="C200" s="49"/>
      <c r="D200" s="49"/>
      <c r="E200" s="49"/>
      <c r="F200" s="49"/>
      <c r="G200" s="49"/>
      <c r="H200" s="49"/>
      <c r="I200" s="49"/>
      <c r="J200" s="49"/>
      <c r="K200" s="49"/>
      <c r="L200" s="49"/>
      <c r="M200" s="49"/>
      <c r="N200" s="49"/>
      <c r="O200" s="49"/>
      <c r="P200" s="49"/>
      <c r="Q200" s="49"/>
      <c r="R200" s="49"/>
      <c r="S200" s="49"/>
      <c r="T200" s="49"/>
      <c r="U200" s="49"/>
      <c r="V200" s="49"/>
      <c r="W200" s="49"/>
      <c r="X200" s="49"/>
      <c r="Y200" s="49"/>
      <c r="Z200" s="49"/>
    </row>
    <row r="201" spans="2:26">
      <c r="B201" s="116" t="s">
        <v>348</v>
      </c>
      <c r="C201" s="49"/>
      <c r="D201" s="49"/>
      <c r="E201" s="49"/>
      <c r="F201" s="49"/>
      <c r="G201" s="49"/>
      <c r="H201" s="49"/>
      <c r="I201" s="49"/>
      <c r="J201" s="49"/>
      <c r="K201" s="49"/>
      <c r="L201" s="49"/>
      <c r="M201" s="49"/>
      <c r="N201" s="49"/>
      <c r="O201" s="49"/>
      <c r="P201" s="49"/>
      <c r="Q201" s="49"/>
      <c r="R201" s="49"/>
      <c r="S201" s="49"/>
      <c r="T201" s="49"/>
      <c r="U201" s="49"/>
      <c r="V201" s="49"/>
      <c r="W201" s="49"/>
      <c r="X201" s="49"/>
      <c r="Y201" s="49"/>
      <c r="Z201" s="49"/>
    </row>
    <row r="202" spans="2:26">
      <c r="B202" s="115" t="s">
        <v>655</v>
      </c>
      <c r="C202" s="49"/>
      <c r="D202" s="79">
        <f>+Assumptions!M128</f>
        <v>2.5000000000000001E-2</v>
      </c>
      <c r="E202" s="79"/>
      <c r="F202" s="90">
        <f ca="1">+$D202*F$177</f>
        <v>0</v>
      </c>
      <c r="G202" s="90">
        <f t="shared" ref="G202:Z202" ca="1" si="122">+$D202*G$177</f>
        <v>0</v>
      </c>
      <c r="H202" s="90">
        <f t="shared" ca="1" si="122"/>
        <v>0</v>
      </c>
      <c r="I202" s="90">
        <f t="shared" ca="1" si="122"/>
        <v>0</v>
      </c>
      <c r="J202" s="90">
        <f t="shared" ca="1" si="122"/>
        <v>0</v>
      </c>
      <c r="K202" s="90">
        <f t="shared" ca="1" si="122"/>
        <v>0</v>
      </c>
      <c r="L202" s="90">
        <f t="shared" ca="1" si="122"/>
        <v>0</v>
      </c>
      <c r="M202" s="90">
        <f t="shared" ca="1" si="122"/>
        <v>0</v>
      </c>
      <c r="N202" s="90">
        <f t="shared" ca="1" si="122"/>
        <v>0</v>
      </c>
      <c r="O202" s="90">
        <f t="shared" ca="1" si="122"/>
        <v>0</v>
      </c>
      <c r="P202" s="90">
        <f t="shared" ca="1" si="122"/>
        <v>0</v>
      </c>
      <c r="Q202" s="90">
        <f t="shared" ca="1" si="122"/>
        <v>0</v>
      </c>
      <c r="R202" s="90">
        <f t="shared" ca="1" si="122"/>
        <v>0</v>
      </c>
      <c r="S202" s="90">
        <f t="shared" ca="1" si="122"/>
        <v>0</v>
      </c>
      <c r="T202" s="90">
        <f t="shared" ca="1" si="122"/>
        <v>0</v>
      </c>
      <c r="U202" s="90">
        <f t="shared" ca="1" si="122"/>
        <v>0</v>
      </c>
      <c r="V202" s="90">
        <f t="shared" ca="1" si="122"/>
        <v>0</v>
      </c>
      <c r="W202" s="90">
        <f t="shared" ca="1" si="122"/>
        <v>0</v>
      </c>
      <c r="X202" s="90">
        <f t="shared" ca="1" si="122"/>
        <v>0</v>
      </c>
      <c r="Y202" s="90">
        <f t="shared" ca="1" si="122"/>
        <v>0</v>
      </c>
      <c r="Z202" s="90">
        <f t="shared" ca="1" si="122"/>
        <v>0</v>
      </c>
    </row>
    <row r="203" spans="2:26" ht="15.75">
      <c r="B203" s="50" t="s">
        <v>1112</v>
      </c>
      <c r="C203" s="50"/>
      <c r="D203" s="50"/>
      <c r="E203" s="50"/>
      <c r="F203" s="55">
        <f ca="1">+F199-F202</f>
        <v>0</v>
      </c>
      <c r="G203" s="55">
        <f t="shared" ref="G203:Z203" ca="1" si="123">+G199-G202</f>
        <v>0</v>
      </c>
      <c r="H203" s="55">
        <f t="shared" ca="1" si="123"/>
        <v>0</v>
      </c>
      <c r="I203" s="55">
        <f t="shared" ca="1" si="123"/>
        <v>0</v>
      </c>
      <c r="J203" s="55">
        <f t="shared" ca="1" si="123"/>
        <v>0</v>
      </c>
      <c r="K203" s="55">
        <f t="shared" ca="1" si="123"/>
        <v>0</v>
      </c>
      <c r="L203" s="55">
        <f t="shared" ca="1" si="123"/>
        <v>0</v>
      </c>
      <c r="M203" s="55">
        <f t="shared" ca="1" si="123"/>
        <v>0</v>
      </c>
      <c r="N203" s="55">
        <f t="shared" ca="1" si="123"/>
        <v>0</v>
      </c>
      <c r="O203" s="55">
        <f t="shared" ca="1" si="123"/>
        <v>0</v>
      </c>
      <c r="P203" s="55">
        <f t="shared" ca="1" si="123"/>
        <v>0</v>
      </c>
      <c r="Q203" s="55">
        <f t="shared" ca="1" si="123"/>
        <v>0</v>
      </c>
      <c r="R203" s="55">
        <f t="shared" ca="1" si="123"/>
        <v>0</v>
      </c>
      <c r="S203" s="55">
        <f t="shared" ca="1" si="123"/>
        <v>0</v>
      </c>
      <c r="T203" s="55">
        <f t="shared" ca="1" si="123"/>
        <v>0</v>
      </c>
      <c r="U203" s="55">
        <f t="shared" ca="1" si="123"/>
        <v>0</v>
      </c>
      <c r="V203" s="55">
        <f t="shared" ca="1" si="123"/>
        <v>0</v>
      </c>
      <c r="W203" s="55">
        <f t="shared" ca="1" si="123"/>
        <v>0</v>
      </c>
      <c r="X203" s="55">
        <f t="shared" ca="1" si="123"/>
        <v>0</v>
      </c>
      <c r="Y203" s="55">
        <f t="shared" ca="1" si="123"/>
        <v>0</v>
      </c>
      <c r="Z203" s="55">
        <f t="shared" ca="1" si="123"/>
        <v>0</v>
      </c>
    </row>
    <row r="204" spans="2:26" ht="15.75">
      <c r="B204" s="51" t="s">
        <v>1136</v>
      </c>
      <c r="C204" s="113"/>
      <c r="D204" s="113"/>
      <c r="E204" s="113"/>
      <c r="F204" s="149" t="str">
        <f ca="1">+IFERROR(F203/F180,"")</f>
        <v/>
      </c>
      <c r="G204" s="149" t="str">
        <f t="shared" ref="G204:Z204" ca="1" si="124">+IFERROR(G203/G180,"")</f>
        <v/>
      </c>
      <c r="H204" s="149" t="str">
        <f t="shared" ca="1" si="124"/>
        <v/>
      </c>
      <c r="I204" s="149" t="str">
        <f t="shared" ca="1" si="124"/>
        <v/>
      </c>
      <c r="J204" s="149" t="str">
        <f t="shared" ca="1" si="124"/>
        <v/>
      </c>
      <c r="K204" s="149" t="str">
        <f t="shared" ca="1" si="124"/>
        <v/>
      </c>
      <c r="L204" s="149" t="str">
        <f t="shared" ca="1" si="124"/>
        <v/>
      </c>
      <c r="M204" s="149" t="str">
        <f t="shared" ca="1" si="124"/>
        <v/>
      </c>
      <c r="N204" s="149" t="str">
        <f t="shared" ca="1" si="124"/>
        <v/>
      </c>
      <c r="O204" s="149" t="str">
        <f t="shared" ca="1" si="124"/>
        <v/>
      </c>
      <c r="P204" s="149" t="str">
        <f t="shared" ca="1" si="124"/>
        <v/>
      </c>
      <c r="Q204" s="149" t="str">
        <f t="shared" ca="1" si="124"/>
        <v/>
      </c>
      <c r="R204" s="149" t="str">
        <f t="shared" ca="1" si="124"/>
        <v/>
      </c>
      <c r="S204" s="149" t="str">
        <f t="shared" ca="1" si="124"/>
        <v/>
      </c>
      <c r="T204" s="149" t="str">
        <f t="shared" ca="1" si="124"/>
        <v/>
      </c>
      <c r="U204" s="149" t="str">
        <f t="shared" ca="1" si="124"/>
        <v/>
      </c>
      <c r="V204" s="149" t="str">
        <f t="shared" ca="1" si="124"/>
        <v/>
      </c>
      <c r="W204" s="149" t="str">
        <f t="shared" ca="1" si="124"/>
        <v/>
      </c>
      <c r="X204" s="149" t="str">
        <f t="shared" ca="1" si="124"/>
        <v/>
      </c>
      <c r="Y204" s="149" t="str">
        <f t="shared" ca="1" si="124"/>
        <v/>
      </c>
      <c r="Z204" s="149" t="str">
        <f t="shared" ca="1" si="124"/>
        <v/>
      </c>
    </row>
    <row r="205" spans="2:26" ht="15.75" hidden="1">
      <c r="B205" s="51" t="s">
        <v>1064</v>
      </c>
      <c r="C205" s="113"/>
      <c r="D205" s="113"/>
      <c r="E205" s="113"/>
      <c r="F205" s="150">
        <f ca="1">+F203/Assumptions!$G$50</f>
        <v>0</v>
      </c>
      <c r="G205" s="150">
        <f ca="1">+G203/Assumptions!$G$50</f>
        <v>0</v>
      </c>
      <c r="H205" s="150">
        <f ca="1">+H203/Assumptions!$G$50</f>
        <v>0</v>
      </c>
      <c r="I205" s="150">
        <f ca="1">+I203/Assumptions!$G$50</f>
        <v>0</v>
      </c>
      <c r="J205" s="150">
        <f ca="1">+J203/Assumptions!$G$50</f>
        <v>0</v>
      </c>
      <c r="K205" s="150">
        <f ca="1">+K203/Assumptions!$G$50</f>
        <v>0</v>
      </c>
      <c r="L205" s="150">
        <f ca="1">+L203/Assumptions!$G$50</f>
        <v>0</v>
      </c>
      <c r="M205" s="150">
        <f ca="1">+M203/Assumptions!$G$50</f>
        <v>0</v>
      </c>
      <c r="N205" s="150">
        <f ca="1">+N203/Assumptions!$G$50</f>
        <v>0</v>
      </c>
      <c r="O205" s="150">
        <f ca="1">+O203/Assumptions!$G$50</f>
        <v>0</v>
      </c>
      <c r="P205" s="150">
        <f ca="1">+P203/Assumptions!$G$50</f>
        <v>0</v>
      </c>
      <c r="Q205" s="150">
        <f ca="1">+Q203/Assumptions!$G$50</f>
        <v>0</v>
      </c>
      <c r="R205" s="150">
        <f ca="1">+R203/Assumptions!$G$50</f>
        <v>0</v>
      </c>
      <c r="S205" s="150">
        <f ca="1">+S203/Assumptions!$G$50</f>
        <v>0</v>
      </c>
      <c r="T205" s="150">
        <f ca="1">+T203/Assumptions!$G$50</f>
        <v>0</v>
      </c>
      <c r="U205" s="150">
        <f ca="1">+U203/Assumptions!$G$50</f>
        <v>0</v>
      </c>
      <c r="V205" s="150">
        <f ca="1">+V203/Assumptions!$G$50</f>
        <v>0</v>
      </c>
      <c r="W205" s="150">
        <f ca="1">+W203/Assumptions!$G$50</f>
        <v>0</v>
      </c>
      <c r="X205" s="150">
        <f ca="1">+X203/Assumptions!$G$50</f>
        <v>0</v>
      </c>
      <c r="Y205" s="150">
        <f ca="1">+Y203/Assumptions!$G$50</f>
        <v>0</v>
      </c>
      <c r="Z205" s="150">
        <f ca="1">+Z203/Assumptions!$G$50</f>
        <v>0</v>
      </c>
    </row>
    <row r="206" spans="2:26" hidden="1">
      <c r="B206" s="49"/>
      <c r="C206" s="49"/>
      <c r="D206" s="49"/>
      <c r="E206" s="49"/>
      <c r="F206" s="49"/>
      <c r="G206" s="49"/>
      <c r="H206" s="49"/>
      <c r="I206" s="49"/>
      <c r="J206" s="49"/>
      <c r="K206" s="49"/>
      <c r="L206" s="49"/>
      <c r="M206" s="49"/>
      <c r="N206" s="49"/>
      <c r="O206" s="49"/>
      <c r="P206" s="49"/>
      <c r="Q206" s="49"/>
      <c r="R206" s="49"/>
      <c r="S206" s="49"/>
      <c r="T206" s="49"/>
      <c r="U206" s="49"/>
      <c r="V206" s="49"/>
      <c r="W206" s="49"/>
      <c r="X206" s="49"/>
      <c r="Y206" s="49"/>
      <c r="Z206" s="49"/>
    </row>
    <row r="207" spans="2:26" ht="15.75">
      <c r="B207" s="112" t="s">
        <v>1170</v>
      </c>
      <c r="C207" s="49"/>
      <c r="D207" s="49"/>
      <c r="E207" s="49"/>
      <c r="F207" s="148">
        <f>+Assumptions!$G$27</f>
        <v>46387</v>
      </c>
      <c r="G207" s="148">
        <f>+EOMONTH(F207,12)</f>
        <v>46752</v>
      </c>
      <c r="H207" s="148">
        <f t="shared" ref="H207:Z207" si="125">+EOMONTH(G207,12)</f>
        <v>47118</v>
      </c>
      <c r="I207" s="148">
        <f t="shared" si="125"/>
        <v>47483</v>
      </c>
      <c r="J207" s="148">
        <f t="shared" si="125"/>
        <v>47848</v>
      </c>
      <c r="K207" s="148">
        <f t="shared" si="125"/>
        <v>48213</v>
      </c>
      <c r="L207" s="148">
        <f t="shared" si="125"/>
        <v>48579</v>
      </c>
      <c r="M207" s="148">
        <f t="shared" si="125"/>
        <v>48944</v>
      </c>
      <c r="N207" s="148">
        <f t="shared" si="125"/>
        <v>49309</v>
      </c>
      <c r="O207" s="148">
        <f t="shared" si="125"/>
        <v>49674</v>
      </c>
      <c r="P207" s="148">
        <f t="shared" si="125"/>
        <v>50040</v>
      </c>
      <c r="Q207" s="148">
        <f t="shared" si="125"/>
        <v>50405</v>
      </c>
      <c r="R207" s="148">
        <f t="shared" si="125"/>
        <v>50770</v>
      </c>
      <c r="S207" s="148">
        <f t="shared" si="125"/>
        <v>51135</v>
      </c>
      <c r="T207" s="148">
        <f t="shared" si="125"/>
        <v>51501</v>
      </c>
      <c r="U207" s="148">
        <f t="shared" si="125"/>
        <v>51866</v>
      </c>
      <c r="V207" s="148">
        <f t="shared" si="125"/>
        <v>52231</v>
      </c>
      <c r="W207" s="148">
        <f t="shared" si="125"/>
        <v>52596</v>
      </c>
      <c r="X207" s="148">
        <f t="shared" si="125"/>
        <v>52962</v>
      </c>
      <c r="Y207" s="148">
        <f t="shared" si="125"/>
        <v>53327</v>
      </c>
      <c r="Z207" s="148">
        <f t="shared" si="125"/>
        <v>53692</v>
      </c>
    </row>
    <row r="208" spans="2:26">
      <c r="B208" s="699" t="s">
        <v>1147</v>
      </c>
      <c r="C208" s="49"/>
      <c r="D208" s="49"/>
      <c r="E208" s="49"/>
      <c r="F208" s="1028">
        <v>0</v>
      </c>
      <c r="G208" s="1028">
        <f>+F211</f>
        <v>0</v>
      </c>
      <c r="H208" s="1028">
        <f t="shared" ref="H208:Z208" si="126">+G211</f>
        <v>0</v>
      </c>
      <c r="I208" s="1028">
        <f t="shared" si="126"/>
        <v>0</v>
      </c>
      <c r="J208" s="1028">
        <f t="shared" si="126"/>
        <v>0</v>
      </c>
      <c r="K208" s="1028">
        <f t="shared" si="126"/>
        <v>0</v>
      </c>
      <c r="L208" s="1028">
        <f t="shared" si="126"/>
        <v>0</v>
      </c>
      <c r="M208" s="1028">
        <f t="shared" si="126"/>
        <v>0</v>
      </c>
      <c r="N208" s="1028">
        <f t="shared" si="126"/>
        <v>0</v>
      </c>
      <c r="O208" s="1028">
        <f t="shared" si="126"/>
        <v>0</v>
      </c>
      <c r="P208" s="1028">
        <f t="shared" si="126"/>
        <v>0</v>
      </c>
      <c r="Q208" s="1028">
        <f t="shared" si="126"/>
        <v>0</v>
      </c>
      <c r="R208" s="1028">
        <f t="shared" si="126"/>
        <v>0</v>
      </c>
      <c r="S208" s="1028">
        <f t="shared" si="126"/>
        <v>0</v>
      </c>
      <c r="T208" s="1028">
        <f t="shared" si="126"/>
        <v>0</v>
      </c>
      <c r="U208" s="1028">
        <f t="shared" si="126"/>
        <v>0</v>
      </c>
      <c r="V208" s="1028">
        <f t="shared" si="126"/>
        <v>0</v>
      </c>
      <c r="W208" s="1028">
        <f t="shared" si="126"/>
        <v>0</v>
      </c>
      <c r="X208" s="1028">
        <f t="shared" si="126"/>
        <v>0</v>
      </c>
      <c r="Y208" s="1028">
        <f t="shared" si="126"/>
        <v>0</v>
      </c>
      <c r="Z208" s="1028">
        <f t="shared" si="126"/>
        <v>0</v>
      </c>
    </row>
    <row r="209" spans="1:26">
      <c r="A209" s="699"/>
      <c r="B209" s="699" t="s">
        <v>1148</v>
      </c>
      <c r="C209" s="49"/>
      <c r="D209" s="49"/>
      <c r="E209" s="49"/>
      <c r="F209" s="90">
        <f>+IF(YEAR(F$137)=YEAR(Assumptions!$G$31),'S&amp;U'!$S$18,0)</f>
        <v>0</v>
      </c>
      <c r="G209" s="90">
        <f>+IF(YEAR(G$137)=YEAR(Assumptions!$G$31),'S&amp;U'!$S$18,0)</f>
        <v>0</v>
      </c>
      <c r="H209" s="90">
        <f>+IF(YEAR(H$137)=YEAR(Assumptions!$G$31),'S&amp;U'!$S$18,0)</f>
        <v>0</v>
      </c>
      <c r="I209" s="90">
        <f>+IF(YEAR(I$137)=YEAR(Assumptions!$G$31),'S&amp;U'!$S$18,0)</f>
        <v>0</v>
      </c>
      <c r="J209" s="90">
        <f>+IF(YEAR(J$137)=YEAR(Assumptions!$G$31),'S&amp;U'!$S$18,0)</f>
        <v>0</v>
      </c>
      <c r="K209" s="90">
        <f>+IF(YEAR(K$137)=YEAR(Assumptions!$G$31),'S&amp;U'!$S$18,0)</f>
        <v>0</v>
      </c>
      <c r="L209" s="90">
        <f>+IF(YEAR(L$137)=YEAR(Assumptions!$G$31),'S&amp;U'!$S$18,0)</f>
        <v>0</v>
      </c>
      <c r="M209" s="90">
        <f>+IF(YEAR(M$137)=YEAR(Assumptions!$G$31),'S&amp;U'!$S$18,0)</f>
        <v>0</v>
      </c>
      <c r="N209" s="90">
        <f>+IF(YEAR(N$137)=YEAR(Assumptions!$G$31),'S&amp;U'!$S$18,0)</f>
        <v>0</v>
      </c>
      <c r="O209" s="90">
        <f>+IF(YEAR(O$137)=YEAR(Assumptions!$G$31),'S&amp;U'!$S$18,0)</f>
        <v>0</v>
      </c>
      <c r="P209" s="90">
        <f>+IF(YEAR(P$137)=YEAR(Assumptions!$G$31),'S&amp;U'!$S$18,0)</f>
        <v>0</v>
      </c>
      <c r="Q209" s="90">
        <f>+IF(YEAR(Q$137)=YEAR(Assumptions!$G$31),'S&amp;U'!$S$18,0)</f>
        <v>0</v>
      </c>
      <c r="R209" s="90">
        <f>+IF(YEAR(R$137)=YEAR(Assumptions!$G$31),'S&amp;U'!$S$18,0)</f>
        <v>0</v>
      </c>
      <c r="S209" s="90">
        <f>+IF(YEAR(S$137)=YEAR(Assumptions!$G$31),'S&amp;U'!$S$18,0)</f>
        <v>0</v>
      </c>
      <c r="T209" s="90">
        <f>+IF(YEAR(T$137)=YEAR(Assumptions!$G$31),'S&amp;U'!$S$18,0)</f>
        <v>0</v>
      </c>
      <c r="U209" s="90">
        <f>+IF(YEAR(U$137)=YEAR(Assumptions!$G$31),'S&amp;U'!$S$18,0)</f>
        <v>0</v>
      </c>
      <c r="V209" s="90">
        <f>+IF(YEAR(V$137)=YEAR(Assumptions!$G$31),'S&amp;U'!$S$18,0)</f>
        <v>0</v>
      </c>
      <c r="W209" s="90">
        <f>+IF(YEAR(W$137)=YEAR(Assumptions!$G$31),'S&amp;U'!$S$18,0)</f>
        <v>0</v>
      </c>
      <c r="X209" s="90">
        <f>+IF(YEAR(X$137)=YEAR(Assumptions!$G$31),'S&amp;U'!$S$18,0)</f>
        <v>0</v>
      </c>
      <c r="Y209" s="90">
        <f>+IF(YEAR(Y$137)=YEAR(Assumptions!$G$31),'S&amp;U'!$S$18,0)</f>
        <v>0</v>
      </c>
      <c r="Z209" s="90">
        <f>+IF(YEAR(Z$137)=YEAR(Assumptions!$G$31),'S&amp;U'!$S$18,0)</f>
        <v>0</v>
      </c>
    </row>
    <row r="210" spans="1:26">
      <c r="A210" s="699"/>
      <c r="B210" s="699" t="s">
        <v>682</v>
      </c>
      <c r="C210" s="49"/>
      <c r="D210" s="49"/>
      <c r="E210" s="49"/>
      <c r="F210" s="90">
        <v>0</v>
      </c>
      <c r="G210" s="90">
        <v>0</v>
      </c>
      <c r="H210" s="90">
        <v>0</v>
      </c>
      <c r="I210" s="90">
        <v>0</v>
      </c>
      <c r="J210" s="90">
        <v>0</v>
      </c>
      <c r="K210" s="90">
        <v>0</v>
      </c>
      <c r="L210" s="90">
        <v>0</v>
      </c>
      <c r="M210" s="90">
        <v>0</v>
      </c>
      <c r="N210" s="90">
        <v>0</v>
      </c>
      <c r="O210" s="90">
        <v>0</v>
      </c>
      <c r="P210" s="90">
        <v>0</v>
      </c>
      <c r="Q210" s="90">
        <v>0</v>
      </c>
      <c r="R210" s="90">
        <v>0</v>
      </c>
      <c r="S210" s="90">
        <v>0</v>
      </c>
      <c r="T210" s="90">
        <v>0</v>
      </c>
      <c r="U210" s="90">
        <v>0</v>
      </c>
      <c r="V210" s="90">
        <v>0</v>
      </c>
      <c r="W210" s="90">
        <v>0</v>
      </c>
      <c r="X210" s="90">
        <v>0</v>
      </c>
      <c r="Y210" s="90">
        <v>0</v>
      </c>
      <c r="Z210" s="90">
        <v>0</v>
      </c>
    </row>
    <row r="211" spans="1:26">
      <c r="A211" s="699" t="s">
        <v>881</v>
      </c>
      <c r="B211" s="699" t="s">
        <v>1149</v>
      </c>
      <c r="C211" s="49"/>
      <c r="D211" s="49"/>
      <c r="E211" s="49"/>
      <c r="F211" s="90">
        <f>+SUM(F208:F210)</f>
        <v>0</v>
      </c>
      <c r="G211" s="90">
        <f t="shared" ref="G211:Z211" si="127">+SUM(G208:G210)</f>
        <v>0</v>
      </c>
      <c r="H211" s="90">
        <f t="shared" si="127"/>
        <v>0</v>
      </c>
      <c r="I211" s="90">
        <f t="shared" si="127"/>
        <v>0</v>
      </c>
      <c r="J211" s="90">
        <f t="shared" si="127"/>
        <v>0</v>
      </c>
      <c r="K211" s="90">
        <f t="shared" si="127"/>
        <v>0</v>
      </c>
      <c r="L211" s="90">
        <f t="shared" si="127"/>
        <v>0</v>
      </c>
      <c r="M211" s="90">
        <f t="shared" si="127"/>
        <v>0</v>
      </c>
      <c r="N211" s="90">
        <f t="shared" si="127"/>
        <v>0</v>
      </c>
      <c r="O211" s="90">
        <f t="shared" si="127"/>
        <v>0</v>
      </c>
      <c r="P211" s="90">
        <f t="shared" si="127"/>
        <v>0</v>
      </c>
      <c r="Q211" s="90">
        <f t="shared" si="127"/>
        <v>0</v>
      </c>
      <c r="R211" s="90">
        <f t="shared" si="127"/>
        <v>0</v>
      </c>
      <c r="S211" s="90">
        <f t="shared" si="127"/>
        <v>0</v>
      </c>
      <c r="T211" s="90">
        <f t="shared" si="127"/>
        <v>0</v>
      </c>
      <c r="U211" s="90">
        <f t="shared" si="127"/>
        <v>0</v>
      </c>
      <c r="V211" s="90">
        <f t="shared" si="127"/>
        <v>0</v>
      </c>
      <c r="W211" s="90">
        <f t="shared" si="127"/>
        <v>0</v>
      </c>
      <c r="X211" s="90">
        <f t="shared" si="127"/>
        <v>0</v>
      </c>
      <c r="Y211" s="90">
        <f t="shared" si="127"/>
        <v>0</v>
      </c>
      <c r="Z211" s="90">
        <f t="shared" si="127"/>
        <v>0</v>
      </c>
    </row>
    <row r="212" spans="1:26">
      <c r="A212" s="699"/>
      <c r="B212" s="49"/>
      <c r="C212" s="49"/>
      <c r="D212" s="49"/>
      <c r="E212" s="49"/>
      <c r="F212" s="699"/>
      <c r="G212" s="49"/>
      <c r="H212" s="49"/>
      <c r="I212" s="49"/>
      <c r="J212" s="49"/>
      <c r="K212" s="49"/>
      <c r="L212" s="49"/>
      <c r="M212" s="49"/>
      <c r="N212" s="49"/>
      <c r="O212" s="49"/>
      <c r="P212" s="49"/>
      <c r="Q212" s="49"/>
      <c r="R212" s="49"/>
      <c r="S212" s="49"/>
      <c r="T212" s="49"/>
      <c r="U212" s="49"/>
      <c r="V212" s="49"/>
      <c r="W212" s="49"/>
      <c r="X212" s="49"/>
      <c r="Y212" s="49"/>
      <c r="Z212" s="49"/>
    </row>
    <row r="213" spans="1:26">
      <c r="A213" s="699"/>
      <c r="B213" s="49" t="s">
        <v>1150</v>
      </c>
      <c r="C213" s="49"/>
      <c r="D213" s="49"/>
      <c r="E213" s="49"/>
      <c r="F213" s="1028">
        <v>0</v>
      </c>
      <c r="G213" s="1028">
        <v>0</v>
      </c>
      <c r="H213" s="1028">
        <v>0</v>
      </c>
      <c r="I213" s="1028">
        <v>0</v>
      </c>
      <c r="J213" s="1028">
        <v>0</v>
      </c>
      <c r="K213" s="1028">
        <v>0</v>
      </c>
      <c r="L213" s="1028">
        <v>0</v>
      </c>
      <c r="M213" s="1028">
        <v>0</v>
      </c>
      <c r="N213" s="1028">
        <v>0</v>
      </c>
      <c r="O213" s="1028">
        <v>0</v>
      </c>
      <c r="P213" s="1028">
        <v>0</v>
      </c>
      <c r="Q213" s="1028">
        <v>0</v>
      </c>
      <c r="R213" s="1028">
        <v>0</v>
      </c>
      <c r="S213" s="1028">
        <v>0</v>
      </c>
      <c r="T213" s="1028">
        <v>0</v>
      </c>
      <c r="U213" s="1028">
        <v>0</v>
      </c>
      <c r="V213" s="1028">
        <v>0</v>
      </c>
      <c r="W213" s="1028">
        <v>0</v>
      </c>
      <c r="X213" s="1028">
        <v>0</v>
      </c>
      <c r="Y213" s="1028">
        <v>0</v>
      </c>
      <c r="Z213" s="1028">
        <v>0</v>
      </c>
    </row>
    <row r="214" spans="1:26" ht="16.5">
      <c r="A214" s="699"/>
      <c r="B214" s="61" t="s">
        <v>1151</v>
      </c>
      <c r="C214" s="61"/>
      <c r="D214" s="61"/>
      <c r="E214" s="61"/>
      <c r="F214" s="145">
        <f>+F213-F210</f>
        <v>0</v>
      </c>
      <c r="G214" s="145">
        <f t="shared" ref="G214:Z214" si="128">+G213-G210</f>
        <v>0</v>
      </c>
      <c r="H214" s="145">
        <f t="shared" si="128"/>
        <v>0</v>
      </c>
      <c r="I214" s="145">
        <f t="shared" si="128"/>
        <v>0</v>
      </c>
      <c r="J214" s="145">
        <f t="shared" si="128"/>
        <v>0</v>
      </c>
      <c r="K214" s="145">
        <f t="shared" si="128"/>
        <v>0</v>
      </c>
      <c r="L214" s="145">
        <f t="shared" si="128"/>
        <v>0</v>
      </c>
      <c r="M214" s="145">
        <f t="shared" si="128"/>
        <v>0</v>
      </c>
      <c r="N214" s="145">
        <f t="shared" si="128"/>
        <v>0</v>
      </c>
      <c r="O214" s="145">
        <f t="shared" si="128"/>
        <v>0</v>
      </c>
      <c r="P214" s="145">
        <f t="shared" si="128"/>
        <v>0</v>
      </c>
      <c r="Q214" s="145">
        <f t="shared" si="128"/>
        <v>0</v>
      </c>
      <c r="R214" s="145">
        <f t="shared" si="128"/>
        <v>0</v>
      </c>
      <c r="S214" s="145">
        <f t="shared" si="128"/>
        <v>0</v>
      </c>
      <c r="T214" s="145">
        <f t="shared" si="128"/>
        <v>0</v>
      </c>
      <c r="U214" s="145">
        <f t="shared" si="128"/>
        <v>0</v>
      </c>
      <c r="V214" s="145">
        <f t="shared" si="128"/>
        <v>0</v>
      </c>
      <c r="W214" s="145">
        <f t="shared" si="128"/>
        <v>0</v>
      </c>
      <c r="X214" s="145">
        <f t="shared" si="128"/>
        <v>0</v>
      </c>
      <c r="Y214" s="145">
        <f t="shared" si="128"/>
        <v>0</v>
      </c>
      <c r="Z214" s="145">
        <f t="shared" si="128"/>
        <v>0</v>
      </c>
    </row>
    <row r="215" spans="1:26">
      <c r="A215" s="699"/>
      <c r="B215" s="117" t="s">
        <v>670</v>
      </c>
      <c r="C215" s="49"/>
      <c r="D215" s="49"/>
      <c r="E215" s="49"/>
      <c r="F215" s="146" t="str">
        <f ca="1">+IFERROR(F203/F214,"")</f>
        <v/>
      </c>
      <c r="G215" s="146" t="str">
        <f t="shared" ref="G215:Z215" ca="1" si="129">+IFERROR(G203/G214,"")</f>
        <v/>
      </c>
      <c r="H215" s="146" t="str">
        <f t="shared" ca="1" si="129"/>
        <v/>
      </c>
      <c r="I215" s="146" t="str">
        <f t="shared" ca="1" si="129"/>
        <v/>
      </c>
      <c r="J215" s="146" t="str">
        <f t="shared" ca="1" si="129"/>
        <v/>
      </c>
      <c r="K215" s="146" t="str">
        <f t="shared" ca="1" si="129"/>
        <v/>
      </c>
      <c r="L215" s="146" t="str">
        <f t="shared" ca="1" si="129"/>
        <v/>
      </c>
      <c r="M215" s="146" t="str">
        <f t="shared" ca="1" si="129"/>
        <v/>
      </c>
      <c r="N215" s="146" t="str">
        <f t="shared" ca="1" si="129"/>
        <v/>
      </c>
      <c r="O215" s="146" t="str">
        <f t="shared" ca="1" si="129"/>
        <v/>
      </c>
      <c r="P215" s="146" t="str">
        <f t="shared" ca="1" si="129"/>
        <v/>
      </c>
      <c r="Q215" s="146" t="str">
        <f t="shared" ca="1" si="129"/>
        <v/>
      </c>
      <c r="R215" s="146" t="str">
        <f t="shared" ca="1" si="129"/>
        <v/>
      </c>
      <c r="S215" s="146" t="str">
        <f t="shared" ca="1" si="129"/>
        <v/>
      </c>
      <c r="T215" s="146" t="str">
        <f t="shared" ca="1" si="129"/>
        <v/>
      </c>
      <c r="U215" s="146" t="str">
        <f t="shared" ca="1" si="129"/>
        <v/>
      </c>
      <c r="V215" s="146" t="str">
        <f t="shared" ca="1" si="129"/>
        <v/>
      </c>
      <c r="W215" s="146" t="str">
        <f t="shared" ca="1" si="129"/>
        <v/>
      </c>
      <c r="X215" s="146" t="str">
        <f t="shared" ca="1" si="129"/>
        <v/>
      </c>
      <c r="Y215" s="146" t="str">
        <f t="shared" ca="1" si="129"/>
        <v/>
      </c>
      <c r="Z215" s="146" t="str">
        <f t="shared" ca="1" si="129"/>
        <v/>
      </c>
    </row>
    <row r="216" spans="1:26">
      <c r="A216" s="699"/>
      <c r="B216" s="49"/>
      <c r="C216" s="49"/>
      <c r="D216" s="49"/>
      <c r="E216" s="49"/>
      <c r="F216" s="699"/>
      <c r="G216" s="699"/>
      <c r="H216" s="699"/>
      <c r="I216" s="699"/>
      <c r="J216" s="699"/>
      <c r="K216" s="699"/>
      <c r="L216" s="699"/>
      <c r="M216" s="699"/>
      <c r="N216" s="699"/>
      <c r="O216" s="699"/>
      <c r="P216" s="699"/>
      <c r="Q216" s="699"/>
      <c r="R216" s="699"/>
      <c r="S216" s="699"/>
      <c r="T216" s="699"/>
      <c r="U216" s="699"/>
      <c r="V216" s="699"/>
      <c r="W216" s="699"/>
      <c r="X216" s="699"/>
      <c r="Y216" s="699"/>
      <c r="Z216" s="699"/>
    </row>
    <row r="217" spans="1:26">
      <c r="A217" s="699"/>
      <c r="B217" s="49" t="s">
        <v>1152</v>
      </c>
      <c r="C217" s="49"/>
      <c r="D217" s="49"/>
      <c r="E217" s="49"/>
      <c r="F217" s="1087">
        <v>0</v>
      </c>
      <c r="G217" s="1087">
        <v>0</v>
      </c>
      <c r="H217" s="1087">
        <v>0</v>
      </c>
      <c r="I217" s="1087">
        <v>0</v>
      </c>
      <c r="J217" s="1087">
        <v>0</v>
      </c>
      <c r="K217" s="1087">
        <v>0</v>
      </c>
      <c r="L217" s="1087">
        <v>0</v>
      </c>
      <c r="M217" s="1087">
        <v>0</v>
      </c>
      <c r="N217" s="1087">
        <v>0</v>
      </c>
      <c r="O217" s="1087">
        <v>0</v>
      </c>
      <c r="P217" s="1087">
        <v>0</v>
      </c>
      <c r="Q217" s="1087">
        <v>0</v>
      </c>
      <c r="R217" s="1087">
        <v>0</v>
      </c>
      <c r="S217" s="1087">
        <v>0</v>
      </c>
      <c r="T217" s="1087">
        <v>0</v>
      </c>
      <c r="U217" s="1087">
        <v>0</v>
      </c>
      <c r="V217" s="1087">
        <v>0</v>
      </c>
      <c r="W217" s="1087">
        <v>0</v>
      </c>
      <c r="X217" s="1087">
        <v>0</v>
      </c>
      <c r="Y217" s="1087">
        <v>0</v>
      </c>
      <c r="Z217" s="1087">
        <v>0</v>
      </c>
    </row>
    <row r="218" spans="1:26">
      <c r="A218" s="699"/>
      <c r="B218" s="49"/>
      <c r="C218" s="49"/>
      <c r="D218" s="49"/>
      <c r="E218" s="49"/>
      <c r="F218" s="699"/>
      <c r="G218" s="699"/>
      <c r="H218" s="699"/>
      <c r="I218" s="699"/>
      <c r="J218" s="699"/>
      <c r="K218" s="699"/>
      <c r="L218" s="699"/>
      <c r="M218" s="699"/>
      <c r="N218" s="699"/>
      <c r="O218" s="699"/>
      <c r="P218" s="699"/>
      <c r="Q218" s="699"/>
      <c r="R218" s="699"/>
      <c r="S218" s="699"/>
      <c r="T218" s="699"/>
      <c r="U218" s="699"/>
      <c r="V218" s="699"/>
      <c r="W218" s="699"/>
      <c r="X218" s="699"/>
      <c r="Y218" s="699"/>
      <c r="Z218" s="699"/>
    </row>
    <row r="219" spans="1:26" ht="16.5">
      <c r="A219" s="699"/>
      <c r="B219" s="61" t="s">
        <v>1153</v>
      </c>
      <c r="C219" s="61"/>
      <c r="D219" s="61"/>
      <c r="E219" s="61"/>
      <c r="F219" s="144">
        <f ca="1">+F203-F214-F217</f>
        <v>0</v>
      </c>
      <c r="G219" s="144">
        <f t="shared" ref="G219:Z219" ca="1" si="130">+G203-G214-G217</f>
        <v>0</v>
      </c>
      <c r="H219" s="144">
        <f t="shared" ca="1" si="130"/>
        <v>0</v>
      </c>
      <c r="I219" s="144">
        <f t="shared" ca="1" si="130"/>
        <v>0</v>
      </c>
      <c r="J219" s="144">
        <f t="shared" ca="1" si="130"/>
        <v>0</v>
      </c>
      <c r="K219" s="144">
        <f t="shared" ca="1" si="130"/>
        <v>0</v>
      </c>
      <c r="L219" s="144">
        <f t="shared" ca="1" si="130"/>
        <v>0</v>
      </c>
      <c r="M219" s="144">
        <f t="shared" ca="1" si="130"/>
        <v>0</v>
      </c>
      <c r="N219" s="144">
        <f t="shared" ca="1" si="130"/>
        <v>0</v>
      </c>
      <c r="O219" s="144">
        <f t="shared" ca="1" si="130"/>
        <v>0</v>
      </c>
      <c r="P219" s="144">
        <f t="shared" ca="1" si="130"/>
        <v>0</v>
      </c>
      <c r="Q219" s="144">
        <f t="shared" ca="1" si="130"/>
        <v>0</v>
      </c>
      <c r="R219" s="144">
        <f t="shared" ca="1" si="130"/>
        <v>0</v>
      </c>
      <c r="S219" s="144">
        <f t="shared" ca="1" si="130"/>
        <v>0</v>
      </c>
      <c r="T219" s="144">
        <f t="shared" ca="1" si="130"/>
        <v>0</v>
      </c>
      <c r="U219" s="144">
        <f t="shared" ca="1" si="130"/>
        <v>0</v>
      </c>
      <c r="V219" s="144">
        <f t="shared" ca="1" si="130"/>
        <v>0</v>
      </c>
      <c r="W219" s="144">
        <f t="shared" ca="1" si="130"/>
        <v>0</v>
      </c>
      <c r="X219" s="144">
        <f t="shared" ca="1" si="130"/>
        <v>0</v>
      </c>
      <c r="Y219" s="144">
        <f t="shared" ca="1" si="130"/>
        <v>0</v>
      </c>
      <c r="Z219" s="144">
        <f t="shared" ca="1" si="130"/>
        <v>0</v>
      </c>
    </row>
    <row r="220" spans="1:26">
      <c r="A220" s="699"/>
      <c r="B220" s="49"/>
      <c r="C220" s="49"/>
      <c r="D220" s="49"/>
      <c r="E220" s="49"/>
      <c r="F220" s="699"/>
      <c r="G220" s="699"/>
      <c r="H220" s="699"/>
      <c r="I220" s="699"/>
      <c r="J220" s="699"/>
      <c r="K220" s="699"/>
      <c r="L220" s="699"/>
      <c r="M220" s="699"/>
      <c r="N220" s="699"/>
      <c r="O220" s="699"/>
      <c r="P220" s="699"/>
      <c r="Q220" s="699"/>
      <c r="R220" s="699"/>
      <c r="S220" s="699"/>
      <c r="T220" s="699"/>
      <c r="U220" s="699"/>
      <c r="V220" s="699"/>
      <c r="W220" s="699"/>
      <c r="X220" s="699"/>
      <c r="Y220" s="699"/>
      <c r="Z220" s="699"/>
    </row>
    <row r="221" spans="1:26" ht="15.75">
      <c r="A221" s="699"/>
      <c r="B221" s="112" t="s">
        <v>1155</v>
      </c>
      <c r="C221" s="49"/>
      <c r="D221" s="49"/>
      <c r="E221" s="49"/>
      <c r="F221" s="699"/>
      <c r="G221" s="699"/>
      <c r="H221" s="699"/>
      <c r="I221" s="699"/>
      <c r="J221" s="699"/>
      <c r="K221" s="699"/>
      <c r="L221" s="699"/>
      <c r="M221" s="699"/>
      <c r="N221" s="699"/>
      <c r="O221" s="699"/>
      <c r="P221" s="699"/>
      <c r="Q221" s="699"/>
      <c r="R221" s="699"/>
      <c r="S221" s="699"/>
      <c r="T221" s="699"/>
      <c r="U221" s="699"/>
      <c r="V221" s="699"/>
      <c r="W221" s="699"/>
      <c r="X221" s="699"/>
      <c r="Y221" s="699"/>
      <c r="Z221" s="699"/>
    </row>
    <row r="222" spans="1:26">
      <c r="A222" s="699"/>
      <c r="B222" s="699" t="s">
        <v>1156</v>
      </c>
      <c r="C222" s="49"/>
      <c r="D222" s="49"/>
      <c r="E222" s="49"/>
      <c r="F222" s="83">
        <f>+IF(YEAR(F$137)=YEAR(Assumptions!$G$35),F205,0)</f>
        <v>0</v>
      </c>
      <c r="G222" s="83">
        <f>+IF(YEAR(G$137)=YEAR(Assumptions!$G$35),G205,0)</f>
        <v>0</v>
      </c>
      <c r="H222" s="83">
        <f>+IF(YEAR(H$137)=YEAR(Assumptions!$G$35),H205,0)</f>
        <v>0</v>
      </c>
      <c r="I222" s="83">
        <f>+IF(YEAR(I$137)=YEAR(Assumptions!$G$35),I205,0)</f>
        <v>0</v>
      </c>
      <c r="J222" s="83">
        <f>+IF(YEAR(J$137)=YEAR(Assumptions!$G$35),J205,0)</f>
        <v>0</v>
      </c>
      <c r="K222" s="83">
        <f>+IF(YEAR(K$137)=YEAR(Assumptions!$G$35),K205,0)</f>
        <v>0</v>
      </c>
      <c r="L222" s="83">
        <f>+IF(YEAR(L$137)=YEAR(Assumptions!$G$35),L205,0)</f>
        <v>0</v>
      </c>
      <c r="M222" s="83">
        <f ca="1">+IF(YEAR(M$137)=YEAR(Assumptions!$G$35),M205,0)</f>
        <v>0</v>
      </c>
      <c r="N222" s="83">
        <f>+IF(YEAR(N$137)=YEAR(Assumptions!$G$35),N205,0)</f>
        <v>0</v>
      </c>
      <c r="O222" s="83">
        <f>+IF(YEAR(O$137)=YEAR(Assumptions!$G$35),O205,0)</f>
        <v>0</v>
      </c>
      <c r="P222" s="83">
        <f>+IF(YEAR(P$137)=YEAR(Assumptions!$G$35),P205,0)</f>
        <v>0</v>
      </c>
      <c r="Q222" s="83">
        <f>+IF(YEAR(Q$137)=YEAR(Assumptions!$G$35),Q205,0)</f>
        <v>0</v>
      </c>
      <c r="R222" s="83">
        <f>+IF(YEAR(R$137)=YEAR(Assumptions!$G$35),R205,0)</f>
        <v>0</v>
      </c>
      <c r="S222" s="83">
        <f>+IF(YEAR(S$137)=YEAR(Assumptions!$G$35),S205,0)</f>
        <v>0</v>
      </c>
      <c r="T222" s="83">
        <f>+IF(YEAR(T$137)=YEAR(Assumptions!$G$35),T205,0)</f>
        <v>0</v>
      </c>
      <c r="U222" s="83">
        <f>+IF(YEAR(U$137)=YEAR(Assumptions!$G$35),U205,0)</f>
        <v>0</v>
      </c>
      <c r="V222" s="83">
        <f>+IF(YEAR(V$137)=YEAR(Assumptions!$G$35),V205,0)</f>
        <v>0</v>
      </c>
      <c r="W222" s="83">
        <f>+IF(YEAR(W$137)=YEAR(Assumptions!$G$35),W205,0)</f>
        <v>0</v>
      </c>
      <c r="X222" s="83">
        <f>+IF(YEAR(X$137)=YEAR(Assumptions!$G$35),X205,0)</f>
        <v>0</v>
      </c>
      <c r="Y222" s="83">
        <f>+IF(YEAR(Y$137)=YEAR(Assumptions!$G$35),Y205,0)</f>
        <v>0</v>
      </c>
      <c r="Z222" s="83">
        <f>+IF(YEAR(Z$137)=YEAR(Assumptions!$G$35),Z205,0)</f>
        <v>0</v>
      </c>
    </row>
    <row r="223" spans="1:26">
      <c r="A223" s="699"/>
      <c r="B223" s="699" t="s">
        <v>1158</v>
      </c>
      <c r="C223" s="49"/>
      <c r="D223" s="49"/>
      <c r="E223" s="49"/>
      <c r="F223" s="90">
        <f>-F222*Assumptions!$G$42</f>
        <v>0</v>
      </c>
      <c r="G223" s="90">
        <f>-G222*Assumptions!$G$42</f>
        <v>0</v>
      </c>
      <c r="H223" s="90">
        <f>-H222*Assumptions!$G$42</f>
        <v>0</v>
      </c>
      <c r="I223" s="90">
        <f>-I222*Assumptions!$G$42</f>
        <v>0</v>
      </c>
      <c r="J223" s="90">
        <f>-J222*Assumptions!$G$42</f>
        <v>0</v>
      </c>
      <c r="K223" s="90">
        <f>-K222*Assumptions!$G$42</f>
        <v>0</v>
      </c>
      <c r="L223" s="90">
        <f>-L222*Assumptions!$G$42</f>
        <v>0</v>
      </c>
      <c r="M223" s="90">
        <f ca="1">-M222*Assumptions!$G$42</f>
        <v>0</v>
      </c>
      <c r="N223" s="90">
        <f>-N222*Assumptions!$G$42</f>
        <v>0</v>
      </c>
      <c r="O223" s="90">
        <f>-O222*Assumptions!$G$42</f>
        <v>0</v>
      </c>
      <c r="P223" s="90">
        <f>-P222*Assumptions!$G$42</f>
        <v>0</v>
      </c>
      <c r="Q223" s="90">
        <f>-Q222*Assumptions!$G$42</f>
        <v>0</v>
      </c>
      <c r="R223" s="90">
        <f>-R222*Assumptions!$G$42</f>
        <v>0</v>
      </c>
      <c r="S223" s="90">
        <f>-S222*Assumptions!$G$42</f>
        <v>0</v>
      </c>
      <c r="T223" s="90">
        <f>-T222*Assumptions!$G$42</f>
        <v>0</v>
      </c>
      <c r="U223" s="90">
        <f>-U222*Assumptions!$G$42</f>
        <v>0</v>
      </c>
      <c r="V223" s="90">
        <f>-V222*Assumptions!$G$42</f>
        <v>0</v>
      </c>
      <c r="W223" s="90">
        <f>-W222*Assumptions!$G$42</f>
        <v>0</v>
      </c>
      <c r="X223" s="90">
        <f>-X222*Assumptions!$G$42</f>
        <v>0</v>
      </c>
      <c r="Y223" s="90">
        <f>-Y222*Assumptions!$G$42</f>
        <v>0</v>
      </c>
      <c r="Z223" s="90">
        <f>-Z222*Assumptions!$G$42</f>
        <v>0</v>
      </c>
    </row>
    <row r="224" spans="1:26">
      <c r="A224" s="699"/>
      <c r="B224" s="699" t="s">
        <v>1159</v>
      </c>
      <c r="C224" s="49"/>
      <c r="D224" s="49"/>
      <c r="E224" s="49"/>
      <c r="F224" s="90">
        <f>+IF(YEAR(F$137)=YEAR(Assumptions!$G$35),-'Phase 2 Pro Forma'!F211,0)</f>
        <v>0</v>
      </c>
      <c r="G224" s="90">
        <f>+IF(YEAR(G$137)=YEAR(Assumptions!$G$35),-'Phase 2 Pro Forma'!G211,0)</f>
        <v>0</v>
      </c>
      <c r="H224" s="90">
        <f>+IF(YEAR(H$137)=YEAR(Assumptions!$G$35),-'Phase 2 Pro Forma'!H211,0)</f>
        <v>0</v>
      </c>
      <c r="I224" s="90">
        <f>+IF(YEAR(I$137)=YEAR(Assumptions!$G$35),-'Phase 2 Pro Forma'!I211,0)</f>
        <v>0</v>
      </c>
      <c r="J224" s="90">
        <f>+IF(YEAR(J$137)=YEAR(Assumptions!$G$35),-'Phase 2 Pro Forma'!J211,0)</f>
        <v>0</v>
      </c>
      <c r="K224" s="90">
        <f>+IF(YEAR(K$137)=YEAR(Assumptions!$G$35),-'Phase 2 Pro Forma'!K211,0)</f>
        <v>0</v>
      </c>
      <c r="L224" s="90">
        <f>+IF(YEAR(L$137)=YEAR(Assumptions!$G$35),-'Phase 2 Pro Forma'!L211,0)</f>
        <v>0</v>
      </c>
      <c r="M224" s="90">
        <f>+IF(YEAR(M$137)=YEAR(Assumptions!$G$35),-'Phase 2 Pro Forma'!M211,0)</f>
        <v>0</v>
      </c>
      <c r="N224" s="90">
        <f>+IF(YEAR(N$137)=YEAR(Assumptions!$G$35),-'Phase 2 Pro Forma'!N211,0)</f>
        <v>0</v>
      </c>
      <c r="O224" s="90">
        <f>+IF(YEAR(O$137)=YEAR(Assumptions!$G$35),-'Phase 2 Pro Forma'!O211,0)</f>
        <v>0</v>
      </c>
      <c r="P224" s="90">
        <f>+IF(YEAR(P$137)=YEAR(Assumptions!$G$35),-'Phase 2 Pro Forma'!P211,0)</f>
        <v>0</v>
      </c>
      <c r="Q224" s="90">
        <f>+IF(YEAR(Q$137)=YEAR(Assumptions!$G$35),-'Phase 2 Pro Forma'!Q211,0)</f>
        <v>0</v>
      </c>
      <c r="R224" s="90">
        <f>+IF(YEAR(R$137)=YEAR(Assumptions!$G$35),-'Phase 2 Pro Forma'!R211,0)</f>
        <v>0</v>
      </c>
      <c r="S224" s="90">
        <f>+IF(YEAR(S$137)=YEAR(Assumptions!$G$35),-'Phase 2 Pro Forma'!S211,0)</f>
        <v>0</v>
      </c>
      <c r="T224" s="90">
        <f>+IF(YEAR(T$137)=YEAR(Assumptions!$G$35),-'Phase 2 Pro Forma'!T211,0)</f>
        <v>0</v>
      </c>
      <c r="U224" s="90">
        <f>+IF(YEAR(U$137)=YEAR(Assumptions!$G$35),-'Phase 2 Pro Forma'!U211,0)</f>
        <v>0</v>
      </c>
      <c r="V224" s="90">
        <f>+IF(YEAR(V$137)=YEAR(Assumptions!$G$35),-'Phase 2 Pro Forma'!V211,0)</f>
        <v>0</v>
      </c>
      <c r="W224" s="90">
        <f>+IF(YEAR(W$137)=YEAR(Assumptions!$G$35),-'Phase 2 Pro Forma'!W211,0)</f>
        <v>0</v>
      </c>
      <c r="X224" s="90">
        <f>+IF(YEAR(X$137)=YEAR(Assumptions!$G$35),-'Phase 2 Pro Forma'!X211,0)</f>
        <v>0</v>
      </c>
      <c r="Y224" s="90">
        <f>+IF(YEAR(Y$137)=YEAR(Assumptions!$G$35),-'Phase 2 Pro Forma'!Y211,0)</f>
        <v>0</v>
      </c>
      <c r="Z224" s="90">
        <f>+IF(YEAR(Z$137)=YEAR(Assumptions!$G$35),-'Phase 2 Pro Forma'!Z211,0)</f>
        <v>0</v>
      </c>
    </row>
    <row r="225" spans="1:29" ht="15.75">
      <c r="A225" s="699"/>
      <c r="B225" s="61" t="s">
        <v>1160</v>
      </c>
      <c r="C225" s="61"/>
      <c r="D225" s="61"/>
      <c r="E225" s="61"/>
      <c r="F225" s="64">
        <f>+SUM(F222:F224)</f>
        <v>0</v>
      </c>
      <c r="G225" s="64">
        <f t="shared" ref="G225:Z225" si="131">+SUM(G222:G224)</f>
        <v>0</v>
      </c>
      <c r="H225" s="64">
        <f t="shared" si="131"/>
        <v>0</v>
      </c>
      <c r="I225" s="64">
        <f t="shared" si="131"/>
        <v>0</v>
      </c>
      <c r="J225" s="64">
        <f t="shared" si="131"/>
        <v>0</v>
      </c>
      <c r="K225" s="64">
        <f t="shared" si="131"/>
        <v>0</v>
      </c>
      <c r="L225" s="64">
        <f t="shared" si="131"/>
        <v>0</v>
      </c>
      <c r="M225" s="64">
        <f t="shared" ca="1" si="131"/>
        <v>0</v>
      </c>
      <c r="N225" s="64">
        <f t="shared" si="131"/>
        <v>0</v>
      </c>
      <c r="O225" s="64">
        <f t="shared" si="131"/>
        <v>0</v>
      </c>
      <c r="P225" s="64">
        <f t="shared" si="131"/>
        <v>0</v>
      </c>
      <c r="Q225" s="64">
        <f t="shared" si="131"/>
        <v>0</v>
      </c>
      <c r="R225" s="64">
        <f t="shared" si="131"/>
        <v>0</v>
      </c>
      <c r="S225" s="64">
        <f t="shared" si="131"/>
        <v>0</v>
      </c>
      <c r="T225" s="64">
        <f t="shared" si="131"/>
        <v>0</v>
      </c>
      <c r="U225" s="64">
        <f t="shared" si="131"/>
        <v>0</v>
      </c>
      <c r="V225" s="64">
        <f t="shared" si="131"/>
        <v>0</v>
      </c>
      <c r="W225" s="64">
        <f t="shared" si="131"/>
        <v>0</v>
      </c>
      <c r="X225" s="64">
        <f t="shared" si="131"/>
        <v>0</v>
      </c>
      <c r="Y225" s="64">
        <f t="shared" si="131"/>
        <v>0</v>
      </c>
      <c r="Z225" s="64">
        <f t="shared" si="131"/>
        <v>0</v>
      </c>
      <c r="AA225" s="699"/>
      <c r="AB225" s="699"/>
      <c r="AC225" s="640">
        <f>0.06*SUM(I69:R69)</f>
        <v>3217579.1426228327</v>
      </c>
    </row>
    <row r="226" spans="1:29">
      <c r="A226" s="699"/>
      <c r="B226" s="49"/>
      <c r="C226" s="49"/>
      <c r="D226" s="49"/>
      <c r="E226" s="49"/>
      <c r="F226" s="699"/>
      <c r="G226" s="699"/>
      <c r="H226" s="699"/>
      <c r="I226" s="699"/>
      <c r="J226" s="699"/>
      <c r="K226" s="699"/>
      <c r="L226" s="699"/>
      <c r="M226" s="699"/>
      <c r="N226" s="699"/>
      <c r="O226" s="699"/>
      <c r="P226" s="699"/>
      <c r="Q226" s="699"/>
      <c r="R226" s="699"/>
      <c r="S226" s="699"/>
      <c r="T226" s="699"/>
      <c r="U226" s="699"/>
      <c r="V226" s="699"/>
      <c r="W226" s="699"/>
      <c r="X226" s="699"/>
      <c r="Y226" s="699"/>
      <c r="Z226" s="699"/>
      <c r="AA226" s="699"/>
      <c r="AB226" s="699"/>
      <c r="AC226" s="699"/>
    </row>
    <row r="227" spans="1:29">
      <c r="A227" s="699"/>
      <c r="B227" s="49"/>
      <c r="C227" s="49"/>
      <c r="D227" s="49"/>
      <c r="E227" s="49"/>
      <c r="F227" s="699"/>
      <c r="G227" s="699"/>
      <c r="H227" s="699"/>
      <c r="I227" s="699"/>
      <c r="J227" s="699"/>
      <c r="K227" s="699"/>
      <c r="L227" s="699"/>
      <c r="M227" s="699"/>
      <c r="N227" s="699"/>
      <c r="O227" s="699"/>
      <c r="P227" s="699"/>
      <c r="Q227" s="699"/>
      <c r="R227" s="699"/>
      <c r="S227" s="699"/>
      <c r="T227" s="699"/>
      <c r="U227" s="699"/>
      <c r="V227" s="699"/>
      <c r="W227" s="699"/>
      <c r="X227" s="699"/>
      <c r="Y227" s="699"/>
      <c r="Z227" s="699"/>
      <c r="AA227" s="699"/>
      <c r="AB227" s="699"/>
      <c r="AC227" s="699"/>
    </row>
    <row r="228" spans="1:29" ht="15.75">
      <c r="A228" s="699"/>
      <c r="B228" s="50" t="s">
        <v>1179</v>
      </c>
      <c r="C228" s="50"/>
      <c r="D228" s="50"/>
      <c r="E228" s="50"/>
      <c r="F228" s="55">
        <f ca="1">+IF(YEAR(F$137)&lt;=YEAR(Assumptions!$G$35),'Phase 2 Pro Forma'!F225+'Phase 2 Pro Forma'!F219,0)</f>
        <v>0</v>
      </c>
      <c r="G228" s="55">
        <f ca="1">+IF(YEAR(G$137)&lt;=YEAR(Assumptions!$G$35),'Phase 2 Pro Forma'!G225+'Phase 2 Pro Forma'!G219,0)</f>
        <v>0</v>
      </c>
      <c r="H228" s="55">
        <f ca="1">+IF(YEAR(H$137)&lt;=YEAR(Assumptions!$G$35),'Phase 2 Pro Forma'!H225+'Phase 2 Pro Forma'!H219,0)</f>
        <v>0</v>
      </c>
      <c r="I228" s="55">
        <f ca="1">+IF(YEAR(I$137)&lt;=YEAR(Assumptions!$G$35),'Phase 2 Pro Forma'!I225+'Phase 2 Pro Forma'!I219,0)</f>
        <v>0</v>
      </c>
      <c r="J228" s="55">
        <f ca="1">+IF(YEAR(J$137)&lt;=YEAR(Assumptions!$G$35),'Phase 2 Pro Forma'!J225+'Phase 2 Pro Forma'!J219,0)</f>
        <v>0</v>
      </c>
      <c r="K228" s="55">
        <f ca="1">+IF(YEAR(K$137)&lt;=YEAR(Assumptions!$G$35),'Phase 2 Pro Forma'!K225+'Phase 2 Pro Forma'!K219,0)</f>
        <v>0</v>
      </c>
      <c r="L228" s="55">
        <f ca="1">+IF(YEAR(L$137)&lt;=YEAR(Assumptions!$G$35),'Phase 2 Pro Forma'!L225+'Phase 2 Pro Forma'!L219,0)</f>
        <v>0</v>
      </c>
      <c r="M228" s="55">
        <f ca="1">+IF(YEAR(M$137)&lt;=YEAR(Assumptions!$G$35),'Phase 2 Pro Forma'!M225+'Phase 2 Pro Forma'!M219,0)</f>
        <v>0</v>
      </c>
      <c r="N228" s="55">
        <f>+IF(YEAR(N$137)&lt;=YEAR(Assumptions!$G$35),'Phase 2 Pro Forma'!N225+'Phase 2 Pro Forma'!N219,0)</f>
        <v>0</v>
      </c>
      <c r="O228" s="55">
        <f>+IF(YEAR(O$137)&lt;=YEAR(Assumptions!$G$35),'Phase 2 Pro Forma'!O225+'Phase 2 Pro Forma'!O219,0)</f>
        <v>0</v>
      </c>
      <c r="P228" s="55">
        <f>+IF(YEAR(P$137)&lt;=YEAR(Assumptions!$G$35),'Phase 2 Pro Forma'!P225+'Phase 2 Pro Forma'!P219,0)</f>
        <v>0</v>
      </c>
      <c r="Q228" s="55">
        <f>+IF(YEAR(Q$137)&lt;=YEAR(Assumptions!$G$35),'Phase 2 Pro Forma'!Q225+'Phase 2 Pro Forma'!Q219,0)</f>
        <v>0</v>
      </c>
      <c r="R228" s="55">
        <f>+IF(YEAR(R$137)&lt;=YEAR(Assumptions!$G$35),'Phase 2 Pro Forma'!R225+'Phase 2 Pro Forma'!R219,0)</f>
        <v>0</v>
      </c>
      <c r="S228" s="55">
        <f>+IF(YEAR(S$137)&lt;=YEAR(Assumptions!$G$35),'Phase 2 Pro Forma'!S225+'Phase 2 Pro Forma'!S219,0)</f>
        <v>0</v>
      </c>
      <c r="T228" s="55">
        <f>+IF(YEAR(T$137)&lt;=YEAR(Assumptions!$G$35),'Phase 2 Pro Forma'!T225+'Phase 2 Pro Forma'!T219,0)</f>
        <v>0</v>
      </c>
      <c r="U228" s="55">
        <f>+IF(YEAR(U$137)&lt;=YEAR(Assumptions!$G$35),'Phase 2 Pro Forma'!U225+'Phase 2 Pro Forma'!U219,0)</f>
        <v>0</v>
      </c>
      <c r="V228" s="55">
        <f>+IF(YEAR(V$137)&lt;=YEAR(Assumptions!$G$35),'Phase 2 Pro Forma'!V225+'Phase 2 Pro Forma'!V219,0)</f>
        <v>0</v>
      </c>
      <c r="W228" s="55">
        <f>+IF(YEAR(W$137)&lt;=YEAR(Assumptions!$G$35),'Phase 2 Pro Forma'!W225+'Phase 2 Pro Forma'!W219,0)</f>
        <v>0</v>
      </c>
      <c r="X228" s="55">
        <f>+IF(YEAR(X$137)&lt;=YEAR(Assumptions!$G$35),'Phase 2 Pro Forma'!X225+'Phase 2 Pro Forma'!X219,0)</f>
        <v>0</v>
      </c>
      <c r="Y228" s="55">
        <f>+IF(YEAR(Y$137)&lt;=YEAR(Assumptions!$G$35),'Phase 2 Pro Forma'!Y225+'Phase 2 Pro Forma'!Y219,0)</f>
        <v>0</v>
      </c>
      <c r="Z228" s="55">
        <f>+IF(YEAR(Z$137)&lt;=YEAR(Assumptions!$G$35),'Phase 2 Pro Forma'!Z225+'Phase 2 Pro Forma'!Z219,0)</f>
        <v>0</v>
      </c>
      <c r="AA228" s="699"/>
      <c r="AB228" s="699"/>
      <c r="AC228" s="699"/>
    </row>
    <row r="229" spans="1:29" ht="15.75">
      <c r="A229" s="699"/>
      <c r="B229"/>
      <c r="C229" s="5"/>
      <c r="D229" s="5"/>
      <c r="E229" s="5"/>
      <c r="F229" s="5"/>
      <c r="G229"/>
      <c r="H229" s="49"/>
      <c r="I229" s="49"/>
      <c r="J229" s="49"/>
      <c r="K229" s="49"/>
      <c r="L229" s="49"/>
      <c r="M229" s="49"/>
      <c r="N229" s="49"/>
      <c r="O229" s="49"/>
      <c r="P229" s="49"/>
      <c r="Q229" s="49"/>
      <c r="R229" s="49"/>
      <c r="S229" s="49"/>
      <c r="T229" s="49"/>
      <c r="U229" s="49"/>
      <c r="V229" s="49"/>
      <c r="W229" s="49"/>
      <c r="X229" s="49"/>
      <c r="Y229" s="49"/>
      <c r="Z229" s="49"/>
      <c r="AA229" s="699"/>
      <c r="AB229" s="699"/>
      <c r="AC229" s="699"/>
    </row>
    <row r="230" spans="1:29" ht="15.75">
      <c r="A230" s="699"/>
      <c r="B230" s="468" t="s">
        <v>1154</v>
      </c>
      <c r="C230" s="540"/>
      <c r="D230" s="540"/>
      <c r="E230" s="540"/>
      <c r="F230" s="759"/>
      <c r="G230" s="759"/>
      <c r="H230" s="759"/>
      <c r="I230" s="759"/>
      <c r="J230" s="759"/>
      <c r="K230" s="759"/>
      <c r="L230" s="759"/>
      <c r="M230" s="759"/>
      <c r="N230" s="759"/>
      <c r="O230" s="759"/>
      <c r="P230" s="759"/>
      <c r="Q230" s="759"/>
      <c r="R230" s="759"/>
      <c r="S230" s="759"/>
      <c r="T230" s="759"/>
      <c r="U230" s="759"/>
      <c r="V230" s="759"/>
      <c r="W230" s="759"/>
      <c r="X230" s="759"/>
      <c r="Y230" s="759"/>
      <c r="Z230" s="759"/>
      <c r="AA230" s="699"/>
      <c r="AB230" s="699"/>
      <c r="AC230" s="699"/>
    </row>
    <row r="231" spans="1:29">
      <c r="A231" s="699"/>
      <c r="B231" s="49"/>
      <c r="C231" s="49"/>
      <c r="D231" s="49"/>
      <c r="E231" s="49"/>
      <c r="F231" s="49"/>
      <c r="G231" s="49"/>
      <c r="H231" s="49"/>
      <c r="I231" s="49"/>
      <c r="J231" s="49"/>
      <c r="K231" s="49"/>
      <c r="L231" s="49"/>
      <c r="M231" s="49"/>
      <c r="N231" s="49"/>
      <c r="O231" s="49"/>
      <c r="P231" s="49"/>
      <c r="Q231" s="49"/>
      <c r="R231" s="49"/>
      <c r="S231" s="49"/>
      <c r="T231" s="49"/>
      <c r="U231" s="49"/>
      <c r="V231" s="49"/>
      <c r="W231" s="49"/>
      <c r="X231" s="49"/>
      <c r="Y231" s="49"/>
      <c r="Z231" s="49"/>
      <c r="AA231" s="699"/>
      <c r="AB231" s="699"/>
      <c r="AC231" s="699"/>
    </row>
    <row r="232" spans="1:29" ht="15.75">
      <c r="A232" s="699"/>
      <c r="B232" s="112" t="s">
        <v>621</v>
      </c>
      <c r="C232" s="147"/>
      <c r="D232" s="147"/>
      <c r="E232" s="147"/>
      <c r="F232" s="148">
        <f>+Assumptions!$G$27</f>
        <v>46387</v>
      </c>
      <c r="G232" s="148">
        <f>+EOMONTH(F232,12)</f>
        <v>46752</v>
      </c>
      <c r="H232" s="148">
        <f t="shared" ref="H232:Z232" si="132">+EOMONTH(G232,12)</f>
        <v>47118</v>
      </c>
      <c r="I232" s="148">
        <f t="shared" si="132"/>
        <v>47483</v>
      </c>
      <c r="J232" s="148">
        <f t="shared" si="132"/>
        <v>47848</v>
      </c>
      <c r="K232" s="148">
        <f t="shared" si="132"/>
        <v>48213</v>
      </c>
      <c r="L232" s="148">
        <f t="shared" si="132"/>
        <v>48579</v>
      </c>
      <c r="M232" s="148">
        <f t="shared" si="132"/>
        <v>48944</v>
      </c>
      <c r="N232" s="148">
        <f t="shared" si="132"/>
        <v>49309</v>
      </c>
      <c r="O232" s="148">
        <f t="shared" si="132"/>
        <v>49674</v>
      </c>
      <c r="P232" s="148">
        <f t="shared" si="132"/>
        <v>50040</v>
      </c>
      <c r="Q232" s="148">
        <f t="shared" si="132"/>
        <v>50405</v>
      </c>
      <c r="R232" s="148">
        <f t="shared" si="132"/>
        <v>50770</v>
      </c>
      <c r="S232" s="148">
        <f t="shared" si="132"/>
        <v>51135</v>
      </c>
      <c r="T232" s="148">
        <f t="shared" si="132"/>
        <v>51501</v>
      </c>
      <c r="U232" s="148">
        <f t="shared" si="132"/>
        <v>51866</v>
      </c>
      <c r="V232" s="148">
        <f t="shared" si="132"/>
        <v>52231</v>
      </c>
      <c r="W232" s="148">
        <f t="shared" si="132"/>
        <v>52596</v>
      </c>
      <c r="X232" s="148">
        <f t="shared" si="132"/>
        <v>52962</v>
      </c>
      <c r="Y232" s="148">
        <f t="shared" si="132"/>
        <v>53327</v>
      </c>
      <c r="Z232" s="148">
        <f t="shared" si="132"/>
        <v>53692</v>
      </c>
      <c r="AA232" s="699"/>
      <c r="AB232" s="699"/>
      <c r="AC232" s="699"/>
    </row>
    <row r="233" spans="1:29">
      <c r="A233" s="699"/>
      <c r="B233" s="699" t="s">
        <v>1120</v>
      </c>
      <c r="C233" s="699"/>
      <c r="D233" s="103"/>
      <c r="E233" s="103"/>
      <c r="F233" s="1050">
        <f>+IF(AND(F232&gt;=Assumptions!$G$31,F232&lt;Assumptions!$G$33),Assumptions!$AF$194/ROUNDUP((Assumptions!$G$32/12),0),)</f>
        <v>0</v>
      </c>
      <c r="G233" s="1050">
        <f>+IF(AND(G232&gt;=Assumptions!$G$31,G232&lt;Assumptions!$G$33),Assumptions!$AF$194/ROUNDUP((Assumptions!$G$32/12),0),)</f>
        <v>0</v>
      </c>
      <c r="H233" s="1050">
        <f>+IF(AND(H232&gt;=Assumptions!$G$31,H232&lt;Assumptions!$G$33),Assumptions!$AF$194/ROUNDUP((Assumptions!$G$32/12),0),)</f>
        <v>0</v>
      </c>
      <c r="I233" s="1050">
        <f>+IF(AND(I232&gt;=Assumptions!$G$31,I232&lt;Assumptions!$G$33),Assumptions!$AF$194/ROUNDUP((Assumptions!$G$32/12),0),)</f>
        <v>0</v>
      </c>
      <c r="J233" s="1050">
        <f>+IF(AND(J232&gt;=Assumptions!$G$31,J232&lt;Assumptions!$G$33),Assumptions!$AF$194/ROUNDUP((Assumptions!$G$32/12),0),)</f>
        <v>0</v>
      </c>
      <c r="K233" s="1050">
        <f>+IF(AND(K232&gt;=Assumptions!$G$31,K232&lt;Assumptions!$G$33),Assumptions!$AF$194/ROUNDUP((Assumptions!$G$32/12),0),)</f>
        <v>0</v>
      </c>
      <c r="L233" s="1050">
        <f>+IF(AND(L232&gt;=Assumptions!$G$31,L232&lt;Assumptions!$G$33),Assumptions!$AF$194/ROUNDUP((Assumptions!$G$32/12),0),)</f>
        <v>0</v>
      </c>
      <c r="M233" s="1050">
        <f>+IF(AND(M232&gt;=Assumptions!$G$31,M232&lt;Assumptions!$G$33),Assumptions!$AF$194/ROUNDUP((Assumptions!$G$32/12),0),)</f>
        <v>0</v>
      </c>
      <c r="N233" s="1050">
        <f>+IF(AND(N232&gt;=Assumptions!$G$31,N232&lt;Assumptions!$G$33),Assumptions!$AF$194/ROUNDUP((Assumptions!$G$32/12),0),)</f>
        <v>0</v>
      </c>
      <c r="O233" s="1050">
        <f>+IF(AND(O232&gt;=Assumptions!$G$31,O232&lt;Assumptions!$G$33),Assumptions!$AF$194/ROUNDUP((Assumptions!$G$32/12),0),)</f>
        <v>0</v>
      </c>
      <c r="P233" s="1050">
        <f>+IF(AND(P232&gt;=Assumptions!$G$31,P232&lt;Assumptions!$G$33),Assumptions!$AF$194/ROUNDUP((Assumptions!$G$32/12),0),)</f>
        <v>0</v>
      </c>
      <c r="Q233" s="1050">
        <f>+IF(AND(Q232&gt;=Assumptions!$G$31,Q232&lt;Assumptions!$G$33),Assumptions!$AF$194/ROUNDUP((Assumptions!$G$32/12),0),)</f>
        <v>0</v>
      </c>
      <c r="R233" s="1050">
        <f>+IF(AND(R232&gt;=Assumptions!$G$31,R232&lt;Assumptions!$G$33),Assumptions!$AF$194/ROUNDUP((Assumptions!$G$32/12),0),)</f>
        <v>0</v>
      </c>
      <c r="S233" s="1050">
        <f>+IF(AND(S232&gt;=Assumptions!$G$31,S232&lt;Assumptions!$G$33),Assumptions!$AF$194/ROUNDUP((Assumptions!$G$32/12),0),)</f>
        <v>0</v>
      </c>
      <c r="T233" s="1050">
        <f>+IF(AND(T232&gt;=Assumptions!$G$31,T232&lt;Assumptions!$G$33),Assumptions!$AF$194/ROUNDUP((Assumptions!$G$32/12),0),)</f>
        <v>0</v>
      </c>
      <c r="U233" s="1050">
        <f>+IF(AND(U232&gt;=Assumptions!$G$31,U232&lt;Assumptions!$G$33),Assumptions!$AF$194/ROUNDUP((Assumptions!$G$32/12),0),)</f>
        <v>0</v>
      </c>
      <c r="V233" s="1050">
        <f>+IF(AND(V232&gt;=Assumptions!$G$31,V232&lt;Assumptions!$G$33),Assumptions!$AF$194/ROUNDUP((Assumptions!$G$32/12),0),)</f>
        <v>0</v>
      </c>
      <c r="W233" s="1050">
        <f>+IF(AND(W232&gt;=Assumptions!$G$31,W232&lt;Assumptions!$G$33),Assumptions!$AF$194/ROUNDUP((Assumptions!$G$32/12),0),)</f>
        <v>0</v>
      </c>
      <c r="X233" s="1050">
        <f>+IF(AND(X232&gt;=Assumptions!$G$31,X232&lt;Assumptions!$G$33),Assumptions!$AF$194/ROUNDUP((Assumptions!$G$32/12),0),)</f>
        <v>0</v>
      </c>
      <c r="Y233" s="1050">
        <f>+IF(AND(Y232&gt;=Assumptions!$G$31,Y232&lt;Assumptions!$G$33),Assumptions!$AF$194/ROUNDUP((Assumptions!$G$32/12),0),)</f>
        <v>0</v>
      </c>
      <c r="Z233" s="1050">
        <f>+IF(AND(Z232&gt;=Assumptions!$G$31,Z232&lt;Assumptions!$G$33),Assumptions!$AF$194/ROUNDUP((Assumptions!$G$32/12),0),)</f>
        <v>0</v>
      </c>
      <c r="AA233" s="699"/>
      <c r="AB233" s="699"/>
      <c r="AC233" s="699"/>
    </row>
    <row r="234" spans="1:29">
      <c r="A234" s="699"/>
      <c r="B234" s="699" t="s">
        <v>1121</v>
      </c>
      <c r="C234" s="699"/>
      <c r="D234" s="90"/>
      <c r="E234" s="90">
        <v>0</v>
      </c>
      <c r="F234" s="1050">
        <f>+E234+F233</f>
        <v>0</v>
      </c>
      <c r="G234" s="1050">
        <f t="shared" ref="G234:Z234" si="133">+F234+G233</f>
        <v>0</v>
      </c>
      <c r="H234" s="1050">
        <f t="shared" si="133"/>
        <v>0</v>
      </c>
      <c r="I234" s="1050">
        <f t="shared" si="133"/>
        <v>0</v>
      </c>
      <c r="J234" s="1050">
        <f t="shared" si="133"/>
        <v>0</v>
      </c>
      <c r="K234" s="1050">
        <f t="shared" si="133"/>
        <v>0</v>
      </c>
      <c r="L234" s="1050">
        <f t="shared" si="133"/>
        <v>0</v>
      </c>
      <c r="M234" s="1050">
        <f t="shared" si="133"/>
        <v>0</v>
      </c>
      <c r="N234" s="1050">
        <f t="shared" si="133"/>
        <v>0</v>
      </c>
      <c r="O234" s="1050">
        <f t="shared" si="133"/>
        <v>0</v>
      </c>
      <c r="P234" s="1050">
        <f t="shared" si="133"/>
        <v>0</v>
      </c>
      <c r="Q234" s="1050">
        <f t="shared" si="133"/>
        <v>0</v>
      </c>
      <c r="R234" s="1050">
        <f t="shared" si="133"/>
        <v>0</v>
      </c>
      <c r="S234" s="1050">
        <f t="shared" si="133"/>
        <v>0</v>
      </c>
      <c r="T234" s="1050">
        <f t="shared" si="133"/>
        <v>0</v>
      </c>
      <c r="U234" s="1050">
        <f t="shared" si="133"/>
        <v>0</v>
      </c>
      <c r="V234" s="1050">
        <f t="shared" si="133"/>
        <v>0</v>
      </c>
      <c r="W234" s="1050">
        <f t="shared" si="133"/>
        <v>0</v>
      </c>
      <c r="X234" s="1050">
        <f t="shared" si="133"/>
        <v>0</v>
      </c>
      <c r="Y234" s="1050">
        <f t="shared" si="133"/>
        <v>0</v>
      </c>
      <c r="Z234" s="1050">
        <f t="shared" si="133"/>
        <v>0</v>
      </c>
      <c r="AA234" s="699"/>
      <c r="AB234" s="699"/>
      <c r="AC234" s="699"/>
    </row>
    <row r="235" spans="1:29">
      <c r="A235" s="699" t="s">
        <v>881</v>
      </c>
      <c r="B235" s="699" t="s">
        <v>1125</v>
      </c>
      <c r="C235" s="699"/>
      <c r="D235" s="90"/>
      <c r="E235" s="90"/>
      <c r="F235" s="1074">
        <f>+IFERROR(F234/SUM($F$233:$Z$233),0)</f>
        <v>0</v>
      </c>
      <c r="G235" s="1074">
        <f t="shared" ref="G235:Z235" si="134">+IFERROR(G234/SUM($F$233:$Z$233),0)</f>
        <v>0</v>
      </c>
      <c r="H235" s="1074">
        <f t="shared" si="134"/>
        <v>0</v>
      </c>
      <c r="I235" s="1074">
        <f t="shared" si="134"/>
        <v>0</v>
      </c>
      <c r="J235" s="1074">
        <f t="shared" si="134"/>
        <v>0</v>
      </c>
      <c r="K235" s="1074">
        <f t="shared" si="134"/>
        <v>0</v>
      </c>
      <c r="L235" s="1074">
        <f t="shared" si="134"/>
        <v>0</v>
      </c>
      <c r="M235" s="1074">
        <f t="shared" si="134"/>
        <v>0</v>
      </c>
      <c r="N235" s="1074">
        <f t="shared" si="134"/>
        <v>0</v>
      </c>
      <c r="O235" s="1074">
        <f t="shared" si="134"/>
        <v>0</v>
      </c>
      <c r="P235" s="1074">
        <f t="shared" si="134"/>
        <v>0</v>
      </c>
      <c r="Q235" s="1074">
        <f t="shared" si="134"/>
        <v>0</v>
      </c>
      <c r="R235" s="1074">
        <f t="shared" si="134"/>
        <v>0</v>
      </c>
      <c r="S235" s="1074">
        <f t="shared" si="134"/>
        <v>0</v>
      </c>
      <c r="T235" s="1074">
        <f t="shared" si="134"/>
        <v>0</v>
      </c>
      <c r="U235" s="1074">
        <f t="shared" si="134"/>
        <v>0</v>
      </c>
      <c r="V235" s="1074">
        <f t="shared" si="134"/>
        <v>0</v>
      </c>
      <c r="W235" s="1074">
        <f t="shared" si="134"/>
        <v>0</v>
      </c>
      <c r="X235" s="1074">
        <f t="shared" si="134"/>
        <v>0</v>
      </c>
      <c r="Y235" s="1074">
        <f t="shared" si="134"/>
        <v>0</v>
      </c>
      <c r="Z235" s="1074">
        <f t="shared" si="134"/>
        <v>0</v>
      </c>
      <c r="AA235" s="699"/>
      <c r="AB235" s="699"/>
      <c r="AC235" s="699"/>
    </row>
    <row r="236" spans="1:29">
      <c r="A236" s="699"/>
      <c r="B236" s="699"/>
      <c r="C236" s="699"/>
      <c r="D236" s="103"/>
      <c r="E236" s="10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699"/>
      <c r="AB236" s="699"/>
      <c r="AC236" s="699"/>
    </row>
    <row r="237" spans="1:29">
      <c r="A237" s="699"/>
      <c r="B237" s="699" t="s">
        <v>1126</v>
      </c>
      <c r="C237" s="699"/>
      <c r="D237" s="90"/>
      <c r="E237" s="90"/>
      <c r="F237" s="87">
        <v>1</v>
      </c>
      <c r="G237" s="1074">
        <f>+IF(MOD(G$2,Assumptions!$AP$93)=(Assumptions!$AP$93-1),'Phase 1 Pro Forma'!AQ148*(1+Assumptions!$AP$92),'Phase 1 Pro Forma'!AQ148)</f>
        <v>1</v>
      </c>
      <c r="H237" s="1074">
        <f>+IF(MOD(H$2,Assumptions!$AP$93)=(Assumptions!$AP$93-1),'Phase 1 Pro Forma'!AR148*(1+Assumptions!$AP$92),'Phase 1 Pro Forma'!AR148)</f>
        <v>1</v>
      </c>
      <c r="I237" s="1074">
        <f>+IF(MOD(I$2,Assumptions!$AP$93)=(Assumptions!$AP$93-1),'Phase 1 Pro Forma'!AS148*(1+Assumptions!$AP$92),'Phase 1 Pro Forma'!AS148)</f>
        <v>1</v>
      </c>
      <c r="J237" s="1074">
        <f>+IF(MOD(J$2,Assumptions!$AP$93)=(Assumptions!$AP$93-1),'Phase 1 Pro Forma'!AT148*(1+Assumptions!$AP$92),'Phase 1 Pro Forma'!AT148)</f>
        <v>1.03</v>
      </c>
      <c r="K237" s="1074">
        <f>+IF(MOD(K$2,Assumptions!$AP$93)=(Assumptions!$AP$93-1),'Phase 1 Pro Forma'!AU148*(1+Assumptions!$AP$92),'Phase 1 Pro Forma'!AU148)</f>
        <v>1</v>
      </c>
      <c r="L237" s="1074">
        <f>+IF(MOD(L$2,Assumptions!$AP$93)=(Assumptions!$AP$93-1),'Phase 1 Pro Forma'!AV148*(1+Assumptions!$AP$92),'Phase 1 Pro Forma'!AV148)</f>
        <v>1.03</v>
      </c>
      <c r="M237" s="1074">
        <f>+IF(MOD(M$2,Assumptions!$AP$93)=(Assumptions!$AP$93-1),'Phase 1 Pro Forma'!AW148*(1+Assumptions!$AP$92),'Phase 1 Pro Forma'!AW148)</f>
        <v>1.0609</v>
      </c>
      <c r="N237" s="1074">
        <f>+IF(MOD(N$2,Assumptions!$AP$93)=(Assumptions!$AP$93-1),'Phase 1 Pro Forma'!AX148*(1+Assumptions!$AP$92),'Phase 1 Pro Forma'!AX148)</f>
        <v>1.03</v>
      </c>
      <c r="O237" s="1074">
        <f>+IF(MOD(O$2,Assumptions!$AP$93)=(Assumptions!$AP$93-1),'Phase 1 Pro Forma'!AY148*(1+Assumptions!$AP$92),'Phase 1 Pro Forma'!AY148)</f>
        <v>1.0609</v>
      </c>
      <c r="P237" s="1074">
        <f>+IF(MOD(P$2,Assumptions!$AP$93)=(Assumptions!$AP$93-1),'Phase 1 Pro Forma'!AZ148*(1+Assumptions!$AP$92),'Phase 1 Pro Forma'!AZ148)</f>
        <v>1.092727</v>
      </c>
      <c r="Q237" s="1074">
        <f>+IF(MOD(Q$2,Assumptions!$AP$93)=(Assumptions!$AP$93-1),'Phase 1 Pro Forma'!BA148*(1+Assumptions!$AP$92),'Phase 1 Pro Forma'!BA148)</f>
        <v>1.0609</v>
      </c>
      <c r="R237" s="1074">
        <f>+IF(MOD(R$2,Assumptions!$AP$93)=(Assumptions!$AP$93-1),'Phase 1 Pro Forma'!BB148*(1+Assumptions!$AP$92),'Phase 1 Pro Forma'!BB148)</f>
        <v>1.092727</v>
      </c>
      <c r="S237" s="1074">
        <f>+IF(MOD(S$2,Assumptions!$AP$93)=(Assumptions!$AP$93-1),'Phase 1 Pro Forma'!BC148*(1+Assumptions!$AP$92),'Phase 1 Pro Forma'!BC148)</f>
        <v>1.1255088100000001</v>
      </c>
      <c r="T237" s="1074">
        <f>+IF(MOD(T$2,Assumptions!$AP$93)=(Assumptions!$AP$93-1),'Phase 1 Pro Forma'!BD148*(1+Assumptions!$AP$92),'Phase 1 Pro Forma'!BD148)</f>
        <v>1.092727</v>
      </c>
      <c r="U237" s="1074">
        <f>+IF(MOD(U$2,Assumptions!$AP$93)=(Assumptions!$AP$93-1),'Phase 1 Pro Forma'!BE148*(1+Assumptions!$AP$92),'Phase 1 Pro Forma'!BE148)</f>
        <v>1.1255088100000001</v>
      </c>
      <c r="V237" s="1074">
        <f>+IF(MOD(V$2,Assumptions!$AP$93)=(Assumptions!$AP$93-1),'Phase 1 Pro Forma'!BF148*(1+Assumptions!$AP$92),'Phase 1 Pro Forma'!BF148)</f>
        <v>1.1592740743000001</v>
      </c>
      <c r="W237" s="1074">
        <f>+IF(MOD(W$2,Assumptions!$AP$93)=(Assumptions!$AP$93-1),'Phase 1 Pro Forma'!BG148*(1+Assumptions!$AP$92),'Phase 1 Pro Forma'!BG148)</f>
        <v>1.1255088100000001</v>
      </c>
      <c r="X237" s="1074">
        <f>+IF(MOD(X$2,Assumptions!$AP$93)=(Assumptions!$AP$93-1),'Phase 1 Pro Forma'!BH148*(1+Assumptions!$AP$92),'Phase 1 Pro Forma'!BH148)</f>
        <v>1.1592740743000001</v>
      </c>
      <c r="Y237" s="1074">
        <f>+IF(MOD(Y$2,Assumptions!$AP$93)=(Assumptions!$AP$93-1),'Phase 1 Pro Forma'!BI148*(1+Assumptions!$AP$92),'Phase 1 Pro Forma'!BI148)</f>
        <v>1.1940522965290001</v>
      </c>
      <c r="Z237" s="1074">
        <f>+IF(MOD(Z$2,Assumptions!$AP$93)=(Assumptions!$AP$93-1),'Phase 1 Pro Forma'!BJ148*(1+Assumptions!$AP$92),'Phase 1 Pro Forma'!BJ148)</f>
        <v>1.1592740743000001</v>
      </c>
      <c r="AA237" s="699"/>
      <c r="AB237" s="699"/>
      <c r="AC237" s="699"/>
    </row>
    <row r="238" spans="1:29">
      <c r="A238" s="699"/>
      <c r="B238" s="699" t="s">
        <v>1127</v>
      </c>
      <c r="C238" s="699"/>
      <c r="D238" s="90"/>
      <c r="E238" s="90"/>
      <c r="F238" s="87">
        <v>1</v>
      </c>
      <c r="G238" s="87">
        <f>+F238*(1+Assumptions!$AP$102)</f>
        <v>1.03</v>
      </c>
      <c r="H238" s="87">
        <f>+G238*(1+Assumptions!$AP$102)</f>
        <v>1.0609</v>
      </c>
      <c r="I238" s="87">
        <f>+H238*(1+Assumptions!$AP$102)</f>
        <v>1.092727</v>
      </c>
      <c r="J238" s="87">
        <f>+I238*(1+Assumptions!$AP$102)</f>
        <v>1.1255088100000001</v>
      </c>
      <c r="K238" s="87">
        <f>+J238*(1+Assumptions!$AP$102)</f>
        <v>1.1592740743000001</v>
      </c>
      <c r="L238" s="87">
        <f>+K238*(1+Assumptions!$AP$102)</f>
        <v>1.1940522965290001</v>
      </c>
      <c r="M238" s="87">
        <f>+L238*(1+Assumptions!$AP$102)</f>
        <v>1.2298738654248702</v>
      </c>
      <c r="N238" s="87">
        <f>+M238*(1+Assumptions!$AP$102)</f>
        <v>1.2667700813876164</v>
      </c>
      <c r="O238" s="87">
        <f>+N238*(1+Assumptions!$AP$102)</f>
        <v>1.3047731838292449</v>
      </c>
      <c r="P238" s="87">
        <f>+O238*(1+Assumptions!$AP$102)</f>
        <v>1.3439163793441222</v>
      </c>
      <c r="Q238" s="87">
        <f>+P238*(1+Assumptions!$AP$102)</f>
        <v>1.3842338707244459</v>
      </c>
      <c r="R238" s="87">
        <f>+Q238*(1+Assumptions!$AP$102)</f>
        <v>1.4257608868461793</v>
      </c>
      <c r="S238" s="87">
        <f>+R238*(1+Assumptions!$AP$102)</f>
        <v>1.4685337134515648</v>
      </c>
      <c r="T238" s="87">
        <f>+S238*(1+Assumptions!$AP$102)</f>
        <v>1.5125897248551119</v>
      </c>
      <c r="U238" s="87">
        <f>+T238*(1+Assumptions!$AP$102)</f>
        <v>1.5579674166007653</v>
      </c>
      <c r="V238" s="87">
        <f>+U238*(1+Assumptions!$AP$102)</f>
        <v>1.6047064390987884</v>
      </c>
      <c r="W238" s="87">
        <f>+V238*(1+Assumptions!$AP$102)</f>
        <v>1.652847632271752</v>
      </c>
      <c r="X238" s="87">
        <f>+W238*(1+Assumptions!$AP$102)</f>
        <v>1.7024330612399046</v>
      </c>
      <c r="Y238" s="87">
        <f>+X238*(1+Assumptions!$AP$102)</f>
        <v>1.7535060530771018</v>
      </c>
      <c r="Z238" s="87">
        <f>+Y238*(1+Assumptions!$AP$102)</f>
        <v>1.806111234669415</v>
      </c>
      <c r="AA238" s="699"/>
      <c r="AB238" s="699"/>
      <c r="AC238" s="699"/>
    </row>
    <row r="239" spans="1:29">
      <c r="A239" s="699"/>
      <c r="B239" s="699"/>
      <c r="C239" s="699"/>
      <c r="D239" s="103"/>
      <c r="E239" s="10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699"/>
      <c r="AB239" s="699"/>
      <c r="AC239" s="699"/>
    </row>
    <row r="240" spans="1:29">
      <c r="A240" s="699"/>
      <c r="B240" s="699" t="s">
        <v>1128</v>
      </c>
      <c r="C240" s="699"/>
      <c r="D240" s="103"/>
      <c r="E240" s="103"/>
      <c r="F240" s="1028">
        <v>0</v>
      </c>
      <c r="G240" s="1028">
        <v>0</v>
      </c>
      <c r="H240" s="1028">
        <v>0</v>
      </c>
      <c r="I240" s="1028">
        <v>0</v>
      </c>
      <c r="J240" s="1028">
        <v>0</v>
      </c>
      <c r="K240" s="1028">
        <v>0</v>
      </c>
      <c r="L240" s="1028">
        <v>0</v>
      </c>
      <c r="M240" s="1028">
        <v>0</v>
      </c>
      <c r="N240" s="1028">
        <v>0</v>
      </c>
      <c r="O240" s="1028">
        <v>0</v>
      </c>
      <c r="P240" s="1028">
        <v>0</v>
      </c>
      <c r="Q240" s="1028">
        <v>0</v>
      </c>
      <c r="R240" s="1028">
        <v>0</v>
      </c>
      <c r="S240" s="1028">
        <v>0</v>
      </c>
      <c r="T240" s="1028">
        <v>0</v>
      </c>
      <c r="U240" s="1028">
        <v>0</v>
      </c>
      <c r="V240" s="1028">
        <v>0</v>
      </c>
      <c r="W240" s="1028">
        <v>0</v>
      </c>
      <c r="X240" s="1028">
        <v>0</v>
      </c>
      <c r="Y240" s="1028">
        <v>0</v>
      </c>
      <c r="Z240" s="1028">
        <v>0</v>
      </c>
      <c r="AA240" s="699"/>
      <c r="AB240" s="699"/>
      <c r="AC240" s="699"/>
    </row>
    <row r="241" spans="2:29">
      <c r="B241" s="699" t="s">
        <v>1130</v>
      </c>
      <c r="C241" s="699"/>
      <c r="D241" s="103"/>
      <c r="E241" s="103"/>
      <c r="F241" s="1028">
        <v>0</v>
      </c>
      <c r="G241" s="1028">
        <v>0</v>
      </c>
      <c r="H241" s="1028">
        <v>0</v>
      </c>
      <c r="I241" s="1028">
        <v>0</v>
      </c>
      <c r="J241" s="1028">
        <v>0</v>
      </c>
      <c r="K241" s="1028">
        <v>0</v>
      </c>
      <c r="L241" s="1028">
        <v>0</v>
      </c>
      <c r="M241" s="1028">
        <v>0</v>
      </c>
      <c r="N241" s="1028">
        <v>0</v>
      </c>
      <c r="O241" s="1028">
        <v>0</v>
      </c>
      <c r="P241" s="1028">
        <v>0</v>
      </c>
      <c r="Q241" s="1028">
        <v>0</v>
      </c>
      <c r="R241" s="1028">
        <v>0</v>
      </c>
      <c r="S241" s="1028">
        <v>0</v>
      </c>
      <c r="T241" s="1028">
        <v>0</v>
      </c>
      <c r="U241" s="1028">
        <v>0</v>
      </c>
      <c r="V241" s="1028">
        <v>0</v>
      </c>
      <c r="W241" s="1028">
        <v>0</v>
      </c>
      <c r="X241" s="1028">
        <v>0</v>
      </c>
      <c r="Y241" s="1028">
        <v>0</v>
      </c>
      <c r="Z241" s="1028">
        <v>0</v>
      </c>
      <c r="AA241" s="699"/>
      <c r="AB241" s="699"/>
      <c r="AC241" s="699"/>
    </row>
    <row r="242" spans="2:29">
      <c r="B242" s="699" t="s">
        <v>1163</v>
      </c>
      <c r="C242" s="699"/>
      <c r="D242" s="103"/>
      <c r="E242" s="103"/>
      <c r="F242" s="1085">
        <f ca="1">+F247*Assumptions!$AE$269</f>
        <v>0</v>
      </c>
      <c r="G242" s="1085">
        <f ca="1">+G247*Assumptions!$AE$269</f>
        <v>0</v>
      </c>
      <c r="H242" s="1085">
        <f ca="1">+H247*Assumptions!$AE$269</f>
        <v>0</v>
      </c>
      <c r="I242" s="1085">
        <f ca="1">+I247*Assumptions!$AE$269</f>
        <v>0</v>
      </c>
      <c r="J242" s="1085">
        <f ca="1">+J247*Assumptions!$AE$269</f>
        <v>0</v>
      </c>
      <c r="K242" s="1085">
        <f ca="1">+K247*Assumptions!$AE$269</f>
        <v>0</v>
      </c>
      <c r="L242" s="1085">
        <f ca="1">+L247*Assumptions!$AE$269</f>
        <v>0</v>
      </c>
      <c r="M242" s="1085">
        <f ca="1">+M247*Assumptions!$AE$269</f>
        <v>0</v>
      </c>
      <c r="N242" s="1085">
        <f ca="1">+N247*Assumptions!$AE$269</f>
        <v>0</v>
      </c>
      <c r="O242" s="1085">
        <f ca="1">+O247*Assumptions!$AE$269</f>
        <v>0</v>
      </c>
      <c r="P242" s="1085">
        <f ca="1">+P247*Assumptions!$AE$269</f>
        <v>0</v>
      </c>
      <c r="Q242" s="1085">
        <f ca="1">+Q247*Assumptions!$AE$269</f>
        <v>0</v>
      </c>
      <c r="R242" s="1085">
        <f ca="1">+R247*Assumptions!$AE$269</f>
        <v>0</v>
      </c>
      <c r="S242" s="1085">
        <f ca="1">+S247*Assumptions!$AE$269</f>
        <v>0</v>
      </c>
      <c r="T242" s="1085">
        <f ca="1">+T247*Assumptions!$AE$269</f>
        <v>0</v>
      </c>
      <c r="U242" s="1085">
        <f ca="1">+U247*Assumptions!$AE$269</f>
        <v>0</v>
      </c>
      <c r="V242" s="1085">
        <f ca="1">+V247*Assumptions!$AE$269</f>
        <v>0</v>
      </c>
      <c r="W242" s="1085">
        <f ca="1">+W247*Assumptions!$AE$269</f>
        <v>0</v>
      </c>
      <c r="X242" s="1085">
        <f ca="1">+X247*Assumptions!$AE$269</f>
        <v>0</v>
      </c>
      <c r="Y242" s="1085">
        <f ca="1">+Y247*Assumptions!$AE$269</f>
        <v>0</v>
      </c>
      <c r="Z242" s="1085">
        <f ca="1">+Z247*Assumptions!$AE$269</f>
        <v>0</v>
      </c>
      <c r="AA242" s="699"/>
      <c r="AB242" s="699"/>
      <c r="AC242" s="699"/>
    </row>
    <row r="243" spans="2:29" ht="16.5">
      <c r="B243" s="61" t="s">
        <v>1131</v>
      </c>
      <c r="C243" s="61"/>
      <c r="D243" s="61"/>
      <c r="E243" s="61"/>
      <c r="F243" s="145">
        <v>0</v>
      </c>
      <c r="G243" s="145">
        <v>0</v>
      </c>
      <c r="H243" s="145">
        <v>0</v>
      </c>
      <c r="I243" s="145">
        <v>0</v>
      </c>
      <c r="J243" s="145">
        <v>0</v>
      </c>
      <c r="K243" s="145">
        <v>0</v>
      </c>
      <c r="L243" s="145">
        <v>0</v>
      </c>
      <c r="M243" s="145">
        <v>0</v>
      </c>
      <c r="N243" s="145">
        <v>0</v>
      </c>
      <c r="O243" s="145">
        <v>0</v>
      </c>
      <c r="P243" s="145">
        <v>0</v>
      </c>
      <c r="Q243" s="145">
        <v>0</v>
      </c>
      <c r="R243" s="145">
        <v>0</v>
      </c>
      <c r="S243" s="145">
        <v>0</v>
      </c>
      <c r="T243" s="145">
        <v>0</v>
      </c>
      <c r="U243" s="145">
        <v>0</v>
      </c>
      <c r="V243" s="145">
        <v>0</v>
      </c>
      <c r="W243" s="145">
        <v>0</v>
      </c>
      <c r="X243" s="145">
        <v>0</v>
      </c>
      <c r="Y243" s="145">
        <v>0</v>
      </c>
      <c r="Z243" s="145">
        <v>0</v>
      </c>
      <c r="AA243" s="699"/>
      <c r="AB243" s="699"/>
      <c r="AC243" s="699"/>
    </row>
    <row r="244" spans="2:29">
      <c r="B244" s="49"/>
      <c r="C244" s="49"/>
      <c r="D244" s="49"/>
      <c r="E244" s="49"/>
      <c r="F244" s="699"/>
      <c r="G244" s="49"/>
      <c r="H244" s="49"/>
      <c r="I244" s="49"/>
      <c r="J244" s="49"/>
      <c r="K244" s="49"/>
      <c r="L244" s="49"/>
      <c r="M244" s="49"/>
      <c r="N244" s="49"/>
      <c r="O244" s="49"/>
      <c r="P244" s="49"/>
      <c r="Q244" s="49"/>
      <c r="R244" s="49"/>
      <c r="S244" s="49"/>
      <c r="T244" s="49"/>
      <c r="U244" s="49"/>
      <c r="V244" s="49"/>
      <c r="W244" s="49"/>
      <c r="X244" s="49"/>
      <c r="Y244" s="49"/>
      <c r="Z244" s="49"/>
      <c r="AA244" s="699"/>
      <c r="AB244" s="699"/>
      <c r="AC244" s="699"/>
    </row>
    <row r="245" spans="2:29">
      <c r="B245" s="699" t="s">
        <v>1132</v>
      </c>
      <c r="C245" s="49"/>
      <c r="D245" s="49"/>
      <c r="E245" s="49"/>
      <c r="F245" s="1087">
        <f>+F234*Assumptions!$AP$104*F238</f>
        <v>0</v>
      </c>
      <c r="G245" s="1087">
        <f>+G234*Assumptions!$AP$104*G238</f>
        <v>0</v>
      </c>
      <c r="H245" s="1087">
        <f>+H234*Assumptions!$AP$104*H238</f>
        <v>0</v>
      </c>
      <c r="I245" s="1087">
        <f>+I234*Assumptions!$AP$104*I238</f>
        <v>0</v>
      </c>
      <c r="J245" s="1087">
        <f>+J234*Assumptions!$AP$104*J238</f>
        <v>0</v>
      </c>
      <c r="K245" s="1087">
        <f>+K234*Assumptions!$AP$104*K238</f>
        <v>0</v>
      </c>
      <c r="L245" s="1087">
        <f>+L234*Assumptions!$AP$104*L238</f>
        <v>0</v>
      </c>
      <c r="M245" s="1087">
        <f>+M234*Assumptions!$AP$104*M238</f>
        <v>0</v>
      </c>
      <c r="N245" s="1087">
        <f>+N234*Assumptions!$AP$104*N238</f>
        <v>0</v>
      </c>
      <c r="O245" s="1087">
        <f>+O234*Assumptions!$AP$104*O238</f>
        <v>0</v>
      </c>
      <c r="P245" s="1087">
        <f>+P234*Assumptions!$AP$104*P238</f>
        <v>0</v>
      </c>
      <c r="Q245" s="1087">
        <f>+Q234*Assumptions!$AP$104*Q238</f>
        <v>0</v>
      </c>
      <c r="R245" s="1087">
        <f>+R234*Assumptions!$AP$104*R238</f>
        <v>0</v>
      </c>
      <c r="S245" s="1087">
        <f>+S234*Assumptions!$AP$104*S238</f>
        <v>0</v>
      </c>
      <c r="T245" s="1087">
        <f>+T234*Assumptions!$AP$104*T238</f>
        <v>0</v>
      </c>
      <c r="U245" s="1087">
        <f>+U234*Assumptions!$AP$104*U238</f>
        <v>0</v>
      </c>
      <c r="V245" s="1087">
        <f>+V234*Assumptions!$AP$104*V238</f>
        <v>0</v>
      </c>
      <c r="W245" s="1087">
        <f>+W234*Assumptions!$AP$104*W238</f>
        <v>0</v>
      </c>
      <c r="X245" s="1087">
        <f>+X234*Assumptions!$AP$104*X238</f>
        <v>0</v>
      </c>
      <c r="Y245" s="1087">
        <f>+Y234*Assumptions!$AP$104*Y238</f>
        <v>0</v>
      </c>
      <c r="Z245" s="1087">
        <f>+Z234*Assumptions!$AP$104*Z238</f>
        <v>0</v>
      </c>
      <c r="AA245" s="699"/>
      <c r="AB245" s="699"/>
      <c r="AC245" s="699"/>
    </row>
    <row r="246" spans="2:29">
      <c r="B246" s="699" t="s">
        <v>1133</v>
      </c>
      <c r="C246" s="49"/>
      <c r="D246" s="49"/>
      <c r="E246" s="49"/>
      <c r="F246" s="1050">
        <f ca="1">+IFERROR(INDEX('Taxes and TIF'!$M$11:$M$45,MATCH('Phase 1 Pro Forma'!F$7,'Taxes and TIF'!$B$11:$B$45,0)),0)*'Loan Sizing'!$I$66*'Phase 1 Pro Forma'!AQ146</f>
        <v>0</v>
      </c>
      <c r="G246" s="1050">
        <f ca="1">+IFERROR(INDEX('Taxes and TIF'!$M$11:$M$45,MATCH('Phase 1 Pro Forma'!G$7,'Taxes and TIF'!$B$11:$B$45,0)),0)*'Loan Sizing'!$I$66*'Phase 1 Pro Forma'!AR146</f>
        <v>0</v>
      </c>
      <c r="H246" s="1050">
        <f ca="1">+IFERROR(INDEX('Taxes and TIF'!$M$11:$M$45,MATCH('Phase 1 Pro Forma'!H$7,'Taxes and TIF'!$B$11:$B$45,0)),0)*'Loan Sizing'!$I$66*'Phase 1 Pro Forma'!AS146</f>
        <v>0</v>
      </c>
      <c r="I246" s="1050">
        <f ca="1">+IFERROR(INDEX('Taxes and TIF'!$M$11:$M$45,MATCH('Phase 1 Pro Forma'!I$7,'Taxes and TIF'!$B$11:$B$45,0)),0)*'Loan Sizing'!$I$66*'Phase 1 Pro Forma'!AT146</f>
        <v>0</v>
      </c>
      <c r="J246" s="1050">
        <f ca="1">+IFERROR(INDEX('Taxes and TIF'!$M$11:$M$45,MATCH('Phase 1 Pro Forma'!J$7,'Taxes and TIF'!$B$11:$B$45,0)),0)*'Loan Sizing'!$I$66*'Phase 1 Pro Forma'!AU146</f>
        <v>0</v>
      </c>
      <c r="K246" s="1050">
        <f ca="1">+IFERROR(INDEX('Taxes and TIF'!$M$11:$M$45,MATCH('Phase 1 Pro Forma'!K$7,'Taxes and TIF'!$B$11:$B$45,0)),0)*'Loan Sizing'!$I$66*'Phase 1 Pro Forma'!AV146</f>
        <v>0</v>
      </c>
      <c r="L246" s="1050">
        <f ca="1">+IFERROR(INDEX('Taxes and TIF'!$M$11:$M$45,MATCH('Phase 1 Pro Forma'!L$7,'Taxes and TIF'!$B$11:$B$45,0)),0)*'Loan Sizing'!$I$66*'Phase 1 Pro Forma'!AW146</f>
        <v>0</v>
      </c>
      <c r="M246" s="1050">
        <f ca="1">+IFERROR(INDEX('Taxes and TIF'!$M$11:$M$45,MATCH('Phase 1 Pro Forma'!M$7,'Taxes and TIF'!$B$11:$B$45,0)),0)*'Loan Sizing'!$I$66*'Phase 1 Pro Forma'!AX146</f>
        <v>0</v>
      </c>
      <c r="N246" s="1050">
        <f ca="1">+IFERROR(INDEX('Taxes and TIF'!$M$11:$M$45,MATCH('Phase 1 Pro Forma'!N$7,'Taxes and TIF'!$B$11:$B$45,0)),0)*'Loan Sizing'!$I$66*'Phase 1 Pro Forma'!AY146</f>
        <v>0</v>
      </c>
      <c r="O246" s="1050">
        <f ca="1">+IFERROR(INDEX('Taxes and TIF'!$M$11:$M$45,MATCH('Phase 1 Pro Forma'!O$7,'Taxes and TIF'!$B$11:$B$45,0)),0)*'Loan Sizing'!$I$66*'Phase 1 Pro Forma'!AZ146</f>
        <v>0</v>
      </c>
      <c r="P246" s="1050">
        <f ca="1">+IFERROR(INDEX('Taxes and TIF'!$M$11:$M$45,MATCH('Phase 1 Pro Forma'!P$7,'Taxes and TIF'!$B$11:$B$45,0)),0)*'Loan Sizing'!$I$66*'Phase 1 Pro Forma'!BA146</f>
        <v>0</v>
      </c>
      <c r="Q246" s="1050">
        <f ca="1">+IFERROR(INDEX('Taxes and TIF'!$M$11:$M$45,MATCH('Phase 1 Pro Forma'!Q$7,'Taxes and TIF'!$B$11:$B$45,0)),0)*'Loan Sizing'!$I$66*'Phase 1 Pro Forma'!BB146</f>
        <v>0</v>
      </c>
      <c r="R246" s="1050">
        <f ca="1">+IFERROR(INDEX('Taxes and TIF'!$M$11:$M$45,MATCH('Phase 1 Pro Forma'!R$7,'Taxes and TIF'!$B$11:$B$45,0)),0)*'Loan Sizing'!$I$66*'Phase 1 Pro Forma'!BC146</f>
        <v>0</v>
      </c>
      <c r="S246" s="1050">
        <f ca="1">+IFERROR(INDEX('Taxes and TIF'!$M$11:$M$45,MATCH('Phase 1 Pro Forma'!S$7,'Taxes and TIF'!$B$11:$B$45,0)),0)*'Loan Sizing'!$I$66*'Phase 1 Pro Forma'!BD146</f>
        <v>0</v>
      </c>
      <c r="T246" s="1050">
        <f ca="1">+IFERROR(INDEX('Taxes and TIF'!$M$11:$M$45,MATCH('Phase 1 Pro Forma'!T$7,'Taxes and TIF'!$B$11:$B$45,0)),0)*'Loan Sizing'!$I$66*'Phase 1 Pro Forma'!BE146</f>
        <v>0</v>
      </c>
      <c r="U246" s="1050">
        <f ca="1">+IFERROR(INDEX('Taxes and TIF'!$M$11:$M$45,MATCH('Phase 1 Pro Forma'!U$7,'Taxes and TIF'!$B$11:$B$45,0)),0)*'Loan Sizing'!$I$66*'Phase 1 Pro Forma'!BF146</f>
        <v>0</v>
      </c>
      <c r="V246" s="1050">
        <f ca="1">+IFERROR(INDEX('Taxes and TIF'!$M$11:$M$45,MATCH('Phase 1 Pro Forma'!V$7,'Taxes and TIF'!$B$11:$B$45,0)),0)*'Loan Sizing'!$I$66*'Phase 1 Pro Forma'!BG146</f>
        <v>0</v>
      </c>
      <c r="W246" s="1050">
        <f ca="1">+IFERROR(INDEX('Taxes and TIF'!$M$11:$M$45,MATCH('Phase 1 Pro Forma'!W$7,'Taxes and TIF'!$B$11:$B$45,0)),0)*'Loan Sizing'!$I$66*'Phase 1 Pro Forma'!BH146</f>
        <v>0</v>
      </c>
      <c r="X246" s="1050">
        <f ca="1">+IFERROR(INDEX('Taxes and TIF'!$M$11:$M$45,MATCH('Phase 1 Pro Forma'!X$7,'Taxes and TIF'!$B$11:$B$45,0)),0)*'Loan Sizing'!$I$66*'Phase 1 Pro Forma'!BI146</f>
        <v>0</v>
      </c>
      <c r="Y246" s="1050">
        <f ca="1">+IFERROR(INDEX('Taxes and TIF'!$M$11:$M$45,MATCH('Phase 1 Pro Forma'!Y$7,'Taxes and TIF'!$B$11:$B$45,0)),0)*'Loan Sizing'!$I$66*'Phase 1 Pro Forma'!BJ146</f>
        <v>0</v>
      </c>
      <c r="Z246" s="1050">
        <f ca="1">+IFERROR(INDEX('Taxes and TIF'!$M$11:$M$45,MATCH('Phase 1 Pro Forma'!Z$7,'Taxes and TIF'!$B$11:$B$45,0)),0)*'Loan Sizing'!$I$66*'Phase 1 Pro Forma'!BK146</f>
        <v>0</v>
      </c>
      <c r="AA246" s="699"/>
      <c r="AB246" s="699"/>
      <c r="AC246" s="699"/>
    </row>
    <row r="247" spans="2:29">
      <c r="B247" s="61" t="s">
        <v>1134</v>
      </c>
      <c r="C247" s="61"/>
      <c r="D247" s="61"/>
      <c r="E247" s="61"/>
      <c r="F247" s="1088">
        <f ca="1">+SUM(F245:F246)</f>
        <v>0</v>
      </c>
      <c r="G247" s="1088">
        <f t="shared" ref="G247:Z247" ca="1" si="135">+SUM(G245:G246)</f>
        <v>0</v>
      </c>
      <c r="H247" s="1088">
        <f t="shared" ca="1" si="135"/>
        <v>0</v>
      </c>
      <c r="I247" s="1088">
        <f t="shared" ca="1" si="135"/>
        <v>0</v>
      </c>
      <c r="J247" s="1088">
        <f t="shared" ca="1" si="135"/>
        <v>0</v>
      </c>
      <c r="K247" s="1088">
        <f t="shared" ca="1" si="135"/>
        <v>0</v>
      </c>
      <c r="L247" s="1088">
        <f t="shared" ca="1" si="135"/>
        <v>0</v>
      </c>
      <c r="M247" s="1088">
        <f t="shared" ca="1" si="135"/>
        <v>0</v>
      </c>
      <c r="N247" s="1088">
        <f t="shared" ca="1" si="135"/>
        <v>0</v>
      </c>
      <c r="O247" s="1088">
        <f t="shared" ca="1" si="135"/>
        <v>0</v>
      </c>
      <c r="P247" s="1088">
        <f t="shared" ca="1" si="135"/>
        <v>0</v>
      </c>
      <c r="Q247" s="1088">
        <f t="shared" ca="1" si="135"/>
        <v>0</v>
      </c>
      <c r="R247" s="1088">
        <f t="shared" ca="1" si="135"/>
        <v>0</v>
      </c>
      <c r="S247" s="1088">
        <f t="shared" ca="1" si="135"/>
        <v>0</v>
      </c>
      <c r="T247" s="1088">
        <f t="shared" ca="1" si="135"/>
        <v>0</v>
      </c>
      <c r="U247" s="1088">
        <f t="shared" ca="1" si="135"/>
        <v>0</v>
      </c>
      <c r="V247" s="1088">
        <f t="shared" ca="1" si="135"/>
        <v>0</v>
      </c>
      <c r="W247" s="1088">
        <f t="shared" ca="1" si="135"/>
        <v>0</v>
      </c>
      <c r="X247" s="1088">
        <f t="shared" ca="1" si="135"/>
        <v>0</v>
      </c>
      <c r="Y247" s="1088">
        <f t="shared" ca="1" si="135"/>
        <v>0</v>
      </c>
      <c r="Z247" s="1088">
        <f t="shared" ca="1" si="135"/>
        <v>0</v>
      </c>
      <c r="AA247" s="699"/>
      <c r="AB247" s="699"/>
      <c r="AC247" s="699"/>
    </row>
    <row r="248" spans="2:29">
      <c r="B248" s="699"/>
      <c r="C248" s="49"/>
      <c r="D248" s="49"/>
      <c r="E248" s="49"/>
      <c r="F248" s="699"/>
      <c r="G248" s="699"/>
      <c r="H248" s="699"/>
      <c r="I248" s="699"/>
      <c r="J248" s="699"/>
      <c r="K248" s="699"/>
      <c r="L248" s="699"/>
      <c r="M248" s="699"/>
      <c r="N248" s="699"/>
      <c r="O248" s="699"/>
      <c r="P248" s="699"/>
      <c r="Q248" s="699"/>
      <c r="R248" s="699"/>
      <c r="S248" s="699"/>
      <c r="T248" s="699"/>
      <c r="U248" s="699"/>
      <c r="V248" s="699"/>
      <c r="W248" s="699"/>
      <c r="X248" s="699"/>
      <c r="Y248" s="699"/>
      <c r="Z248" s="699"/>
      <c r="AA248" s="699"/>
      <c r="AB248" s="699"/>
      <c r="AC248" s="699"/>
    </row>
    <row r="249" spans="2:29" ht="15.75">
      <c r="B249" s="50" t="s">
        <v>1135</v>
      </c>
      <c r="C249" s="50"/>
      <c r="D249" s="50"/>
      <c r="E249" s="50"/>
      <c r="F249" s="55">
        <v>0</v>
      </c>
      <c r="G249" s="55">
        <v>0</v>
      </c>
      <c r="H249" s="55">
        <v>0</v>
      </c>
      <c r="I249" s="55">
        <v>0</v>
      </c>
      <c r="J249" s="55">
        <v>0</v>
      </c>
      <c r="K249" s="55">
        <v>0</v>
      </c>
      <c r="L249" s="55">
        <v>0</v>
      </c>
      <c r="M249" s="55">
        <v>0</v>
      </c>
      <c r="N249" s="55">
        <v>0</v>
      </c>
      <c r="O249" s="55">
        <v>0</v>
      </c>
      <c r="P249" s="55">
        <v>0</v>
      </c>
      <c r="Q249" s="55">
        <v>0</v>
      </c>
      <c r="R249" s="55">
        <v>0</v>
      </c>
      <c r="S249" s="55">
        <v>0</v>
      </c>
      <c r="T249" s="55">
        <v>0</v>
      </c>
      <c r="U249" s="55">
        <v>0</v>
      </c>
      <c r="V249" s="55">
        <v>0</v>
      </c>
      <c r="W249" s="55">
        <v>0</v>
      </c>
      <c r="X249" s="55">
        <v>0</v>
      </c>
      <c r="Y249" s="55">
        <v>0</v>
      </c>
      <c r="Z249" s="55">
        <v>0</v>
      </c>
      <c r="AA249" s="699"/>
      <c r="AB249" s="699"/>
      <c r="AC249" s="699"/>
    </row>
    <row r="250" spans="2:29" ht="15.75">
      <c r="B250" s="51" t="s">
        <v>1136</v>
      </c>
      <c r="C250" s="113"/>
      <c r="D250" s="113"/>
      <c r="E250" s="113"/>
      <c r="F250" s="149" t="str">
        <f>+IFERROR(F249/F243,"")</f>
        <v/>
      </c>
      <c r="G250" s="149" t="str">
        <f t="shared" ref="G250:Z250" si="136">+IFERROR(G249/G243,"")</f>
        <v/>
      </c>
      <c r="H250" s="149" t="str">
        <f t="shared" si="136"/>
        <v/>
      </c>
      <c r="I250" s="149" t="str">
        <f t="shared" si="136"/>
        <v/>
      </c>
      <c r="J250" s="149" t="str">
        <f t="shared" si="136"/>
        <v/>
      </c>
      <c r="K250" s="149" t="str">
        <f t="shared" si="136"/>
        <v/>
      </c>
      <c r="L250" s="149" t="str">
        <f t="shared" si="136"/>
        <v/>
      </c>
      <c r="M250" s="149" t="str">
        <f t="shared" si="136"/>
        <v/>
      </c>
      <c r="N250" s="149" t="str">
        <f t="shared" si="136"/>
        <v/>
      </c>
      <c r="O250" s="149" t="str">
        <f t="shared" si="136"/>
        <v/>
      </c>
      <c r="P250" s="149" t="str">
        <f t="shared" si="136"/>
        <v/>
      </c>
      <c r="Q250" s="149" t="str">
        <f t="shared" si="136"/>
        <v/>
      </c>
      <c r="R250" s="149" t="str">
        <f t="shared" si="136"/>
        <v/>
      </c>
      <c r="S250" s="149" t="str">
        <f t="shared" si="136"/>
        <v/>
      </c>
      <c r="T250" s="149" t="str">
        <f t="shared" si="136"/>
        <v/>
      </c>
      <c r="U250" s="149" t="str">
        <f t="shared" si="136"/>
        <v/>
      </c>
      <c r="V250" s="149" t="str">
        <f t="shared" si="136"/>
        <v/>
      </c>
      <c r="W250" s="149" t="str">
        <f t="shared" si="136"/>
        <v/>
      </c>
      <c r="X250" s="149" t="str">
        <f t="shared" si="136"/>
        <v/>
      </c>
      <c r="Y250" s="149" t="str">
        <f t="shared" si="136"/>
        <v/>
      </c>
      <c r="Z250" s="149" t="str">
        <f t="shared" si="136"/>
        <v/>
      </c>
      <c r="AA250" s="699"/>
      <c r="AB250" s="699"/>
      <c r="AC250" s="699"/>
    </row>
    <row r="251" spans="2:29" ht="15.75">
      <c r="B251" s="51" t="s">
        <v>1064</v>
      </c>
      <c r="C251" s="113"/>
      <c r="D251" s="113"/>
      <c r="E251" s="113"/>
      <c r="F251" s="150">
        <v>0</v>
      </c>
      <c r="G251" s="150">
        <v>0</v>
      </c>
      <c r="H251" s="150">
        <v>0</v>
      </c>
      <c r="I251" s="150">
        <v>0</v>
      </c>
      <c r="J251" s="150">
        <v>0</v>
      </c>
      <c r="K251" s="150">
        <v>0</v>
      </c>
      <c r="L251" s="150">
        <v>0</v>
      </c>
      <c r="M251" s="150">
        <v>0</v>
      </c>
      <c r="N251" s="150">
        <v>0</v>
      </c>
      <c r="O251" s="150">
        <v>0</v>
      </c>
      <c r="P251" s="150">
        <v>0</v>
      </c>
      <c r="Q251" s="150">
        <v>0</v>
      </c>
      <c r="R251" s="150">
        <v>0</v>
      </c>
      <c r="S251" s="150">
        <v>0</v>
      </c>
      <c r="T251" s="150">
        <v>0</v>
      </c>
      <c r="U251" s="150">
        <v>0</v>
      </c>
      <c r="V251" s="150">
        <v>0</v>
      </c>
      <c r="W251" s="150">
        <v>0</v>
      </c>
      <c r="X251" s="150">
        <v>0</v>
      </c>
      <c r="Y251" s="150">
        <v>0</v>
      </c>
      <c r="Z251" s="150">
        <v>0</v>
      </c>
      <c r="AA251" s="699"/>
      <c r="AB251" s="699"/>
      <c r="AC251" s="640">
        <f>0.06*SUM(I95:R95)</f>
        <v>2336495.1098459545</v>
      </c>
    </row>
    <row r="252" spans="2:29">
      <c r="B252" s="49"/>
      <c r="C252" s="49"/>
      <c r="D252" s="49"/>
      <c r="E252" s="49"/>
      <c r="F252" s="49"/>
      <c r="G252" s="49"/>
      <c r="H252" s="49"/>
      <c r="I252" s="49"/>
      <c r="J252" s="49"/>
      <c r="K252" s="49"/>
      <c r="L252" s="49"/>
      <c r="M252" s="49"/>
      <c r="N252" s="49"/>
      <c r="O252" s="49"/>
      <c r="P252" s="49"/>
      <c r="Q252" s="49"/>
      <c r="R252" s="49"/>
      <c r="S252" s="49"/>
      <c r="T252" s="49"/>
      <c r="U252" s="49"/>
      <c r="V252" s="49"/>
      <c r="W252" s="49"/>
      <c r="X252" s="49"/>
      <c r="Y252" s="49"/>
      <c r="Z252" s="49"/>
      <c r="AA252" s="699"/>
      <c r="AB252" s="699"/>
      <c r="AC252" s="699"/>
    </row>
    <row r="253" spans="2:29" ht="15.75">
      <c r="B253" s="112" t="s">
        <v>1170</v>
      </c>
      <c r="C253" s="49"/>
      <c r="D253" s="49"/>
      <c r="E253" s="49"/>
      <c r="F253" s="148">
        <f>+Assumptions!$G$27</f>
        <v>46387</v>
      </c>
      <c r="G253" s="148">
        <f>+EOMONTH(F253,12)</f>
        <v>46752</v>
      </c>
      <c r="H253" s="148">
        <f t="shared" ref="H253:Z253" si="137">+EOMONTH(G253,12)</f>
        <v>47118</v>
      </c>
      <c r="I253" s="148">
        <f t="shared" si="137"/>
        <v>47483</v>
      </c>
      <c r="J253" s="148">
        <f t="shared" si="137"/>
        <v>47848</v>
      </c>
      <c r="K253" s="148">
        <f t="shared" si="137"/>
        <v>48213</v>
      </c>
      <c r="L253" s="148">
        <f t="shared" si="137"/>
        <v>48579</v>
      </c>
      <c r="M253" s="148">
        <f t="shared" si="137"/>
        <v>48944</v>
      </c>
      <c r="N253" s="148">
        <f t="shared" si="137"/>
        <v>49309</v>
      </c>
      <c r="O253" s="148">
        <f t="shared" si="137"/>
        <v>49674</v>
      </c>
      <c r="P253" s="148">
        <f t="shared" si="137"/>
        <v>50040</v>
      </c>
      <c r="Q253" s="148">
        <f t="shared" si="137"/>
        <v>50405</v>
      </c>
      <c r="R253" s="148">
        <f t="shared" si="137"/>
        <v>50770</v>
      </c>
      <c r="S253" s="148">
        <f t="shared" si="137"/>
        <v>51135</v>
      </c>
      <c r="T253" s="148">
        <f t="shared" si="137"/>
        <v>51501</v>
      </c>
      <c r="U253" s="148">
        <f t="shared" si="137"/>
        <v>51866</v>
      </c>
      <c r="V253" s="148">
        <f t="shared" si="137"/>
        <v>52231</v>
      </c>
      <c r="W253" s="148">
        <f t="shared" si="137"/>
        <v>52596</v>
      </c>
      <c r="X253" s="148">
        <f t="shared" si="137"/>
        <v>52962</v>
      </c>
      <c r="Y253" s="148">
        <f t="shared" si="137"/>
        <v>53327</v>
      </c>
      <c r="Z253" s="148">
        <f t="shared" si="137"/>
        <v>53692</v>
      </c>
      <c r="AA253" s="699"/>
      <c r="AB253" s="699"/>
      <c r="AC253" s="699"/>
    </row>
    <row r="254" spans="2:29">
      <c r="B254" s="699" t="s">
        <v>1147</v>
      </c>
      <c r="C254" s="49"/>
      <c r="D254" s="49"/>
      <c r="E254" s="49"/>
      <c r="F254" s="1028">
        <v>0</v>
      </c>
      <c r="G254" s="83">
        <f>+F257</f>
        <v>0</v>
      </c>
      <c r="H254" s="83">
        <f t="shared" ref="H254:Z254" si="138">+G257</f>
        <v>0</v>
      </c>
      <c r="I254" s="83">
        <f t="shared" si="138"/>
        <v>0</v>
      </c>
      <c r="J254" s="83">
        <f t="shared" si="138"/>
        <v>0</v>
      </c>
      <c r="K254" s="83">
        <f t="shared" si="138"/>
        <v>0</v>
      </c>
      <c r="L254" s="83">
        <f t="shared" si="138"/>
        <v>0</v>
      </c>
      <c r="M254" s="83">
        <f t="shared" si="138"/>
        <v>0</v>
      </c>
      <c r="N254" s="83">
        <f t="shared" si="138"/>
        <v>0</v>
      </c>
      <c r="O254" s="83">
        <f t="shared" si="138"/>
        <v>0</v>
      </c>
      <c r="P254" s="83">
        <f t="shared" si="138"/>
        <v>0</v>
      </c>
      <c r="Q254" s="83">
        <f t="shared" si="138"/>
        <v>0</v>
      </c>
      <c r="R254" s="83">
        <f t="shared" si="138"/>
        <v>0</v>
      </c>
      <c r="S254" s="83">
        <f t="shared" si="138"/>
        <v>0</v>
      </c>
      <c r="T254" s="83">
        <f t="shared" si="138"/>
        <v>0</v>
      </c>
      <c r="U254" s="83">
        <f t="shared" si="138"/>
        <v>0</v>
      </c>
      <c r="V254" s="83">
        <f t="shared" si="138"/>
        <v>0</v>
      </c>
      <c r="W254" s="83">
        <f t="shared" si="138"/>
        <v>0</v>
      </c>
      <c r="X254" s="83">
        <f t="shared" si="138"/>
        <v>0</v>
      </c>
      <c r="Y254" s="83">
        <f t="shared" si="138"/>
        <v>0</v>
      </c>
      <c r="Z254" s="83">
        <f t="shared" si="138"/>
        <v>0</v>
      </c>
      <c r="AA254" s="699"/>
      <c r="AB254" s="699"/>
      <c r="AC254" s="699"/>
    </row>
    <row r="255" spans="2:29">
      <c r="B255" s="699" t="s">
        <v>1148</v>
      </c>
      <c r="C255" s="49"/>
      <c r="D255" s="49"/>
      <c r="E255" s="49"/>
      <c r="F255" s="90">
        <f>+IF(YEAR(F$137)=YEAR(Assumptions!$G$31),'S&amp;U'!$S$19,0)</f>
        <v>0</v>
      </c>
      <c r="G255" s="90">
        <f>+IF(YEAR(G$137)=YEAR(Assumptions!$G$31),'S&amp;U'!$S$19,0)</f>
        <v>0</v>
      </c>
      <c r="H255" s="90">
        <f>+IF(YEAR(H$137)=YEAR(Assumptions!$G$31),'S&amp;U'!$S$19,0)</f>
        <v>0</v>
      </c>
      <c r="I255" s="90">
        <f>+IF(YEAR(I$137)=YEAR(Assumptions!$G$31),'S&amp;U'!$S$19,0)</f>
        <v>0</v>
      </c>
      <c r="J255" s="90">
        <f>+IF(YEAR(J$137)=YEAR(Assumptions!$G$31),'S&amp;U'!$S$19,0)</f>
        <v>0</v>
      </c>
      <c r="K255" s="90">
        <f>+IF(YEAR(K$137)=YEAR(Assumptions!$G$31),'S&amp;U'!$S$19,0)</f>
        <v>0</v>
      </c>
      <c r="L255" s="90">
        <f>+IF(YEAR(L$137)=YEAR(Assumptions!$G$31),'S&amp;U'!$S$19,0)</f>
        <v>0</v>
      </c>
      <c r="M255" s="90">
        <f>+IF(YEAR(M$137)=YEAR(Assumptions!$G$31),'S&amp;U'!$S$19,0)</f>
        <v>0</v>
      </c>
      <c r="N255" s="90">
        <f>+IF(YEAR(N$137)=YEAR(Assumptions!$G$31),'S&amp;U'!$S$19,0)</f>
        <v>0</v>
      </c>
      <c r="O255" s="90">
        <f>+IF(YEAR(O$137)=YEAR(Assumptions!$G$31),'S&amp;U'!$S$19,0)</f>
        <v>0</v>
      </c>
      <c r="P255" s="90">
        <f>+IF(YEAR(P$137)=YEAR(Assumptions!$G$31),'S&amp;U'!$S$19,0)</f>
        <v>0</v>
      </c>
      <c r="Q255" s="90">
        <f>+IF(YEAR(Q$137)=YEAR(Assumptions!$G$31),'S&amp;U'!$S$19,0)</f>
        <v>0</v>
      </c>
      <c r="R255" s="90">
        <f>+IF(YEAR(R$137)=YEAR(Assumptions!$G$31),'S&amp;U'!$S$19,0)</f>
        <v>0</v>
      </c>
      <c r="S255" s="90">
        <f>+IF(YEAR(S$137)=YEAR(Assumptions!$G$31),'S&amp;U'!$S$19,0)</f>
        <v>0</v>
      </c>
      <c r="T255" s="90">
        <f>+IF(YEAR(T$137)=YEAR(Assumptions!$G$31),'S&amp;U'!$S$19,0)</f>
        <v>0</v>
      </c>
      <c r="U255" s="90">
        <f>+IF(YEAR(U$137)=YEAR(Assumptions!$G$31),'S&amp;U'!$S$19,0)</f>
        <v>0</v>
      </c>
      <c r="V255" s="90">
        <f>+IF(YEAR(V$137)=YEAR(Assumptions!$G$31),'S&amp;U'!$S$19,0)</f>
        <v>0</v>
      </c>
      <c r="W255" s="90">
        <f>+IF(YEAR(W$137)=YEAR(Assumptions!$G$31),'S&amp;U'!$S$19,0)</f>
        <v>0</v>
      </c>
      <c r="X255" s="90">
        <f>+IF(YEAR(X$137)=YEAR(Assumptions!$G$31),'S&amp;U'!$S$19,0)</f>
        <v>0</v>
      </c>
      <c r="Y255" s="90">
        <f>+IF(YEAR(Y$137)=YEAR(Assumptions!$G$31),'S&amp;U'!$S$19,0)</f>
        <v>0</v>
      </c>
      <c r="Z255" s="90">
        <f>+IF(YEAR(Z$137)=YEAR(Assumptions!$G$31),'S&amp;U'!$S$19,0)</f>
        <v>0</v>
      </c>
      <c r="AA255" s="699"/>
      <c r="AB255" s="699"/>
      <c r="AC255" s="699"/>
    </row>
    <row r="256" spans="2:29">
      <c r="B256" s="699" t="s">
        <v>682</v>
      </c>
      <c r="C256" s="49"/>
      <c r="D256" s="49"/>
      <c r="E256" s="49"/>
      <c r="F256" s="90">
        <v>0</v>
      </c>
      <c r="G256" s="90">
        <v>0</v>
      </c>
      <c r="H256" s="90">
        <v>0</v>
      </c>
      <c r="I256" s="90">
        <v>0</v>
      </c>
      <c r="J256" s="90">
        <v>0</v>
      </c>
      <c r="K256" s="90">
        <v>0</v>
      </c>
      <c r="L256" s="90">
        <v>0</v>
      </c>
      <c r="M256" s="90">
        <v>0</v>
      </c>
      <c r="N256" s="90">
        <v>0</v>
      </c>
      <c r="O256" s="90">
        <v>0</v>
      </c>
      <c r="P256" s="90">
        <v>0</v>
      </c>
      <c r="Q256" s="90">
        <v>0</v>
      </c>
      <c r="R256" s="90">
        <v>0</v>
      </c>
      <c r="S256" s="90">
        <v>0</v>
      </c>
      <c r="T256" s="90">
        <v>0</v>
      </c>
      <c r="U256" s="90">
        <v>0</v>
      </c>
      <c r="V256" s="90">
        <v>0</v>
      </c>
      <c r="W256" s="90">
        <v>0</v>
      </c>
      <c r="X256" s="90">
        <v>0</v>
      </c>
      <c r="Y256" s="90">
        <v>0</v>
      </c>
      <c r="Z256" s="90">
        <v>0</v>
      </c>
      <c r="AA256" s="699"/>
      <c r="AB256" s="699"/>
      <c r="AC256" s="699"/>
    </row>
    <row r="257" spans="1:26">
      <c r="A257" s="699"/>
      <c r="B257" s="699" t="s">
        <v>1149</v>
      </c>
      <c r="C257" s="49"/>
      <c r="D257" s="49"/>
      <c r="E257" s="49"/>
      <c r="F257" s="90">
        <f>+SUM(F254:F256)</f>
        <v>0</v>
      </c>
      <c r="G257" s="90">
        <f t="shared" ref="G257:Z257" si="139">+SUM(G254:G256)</f>
        <v>0</v>
      </c>
      <c r="H257" s="90">
        <f t="shared" si="139"/>
        <v>0</v>
      </c>
      <c r="I257" s="90">
        <f t="shared" si="139"/>
        <v>0</v>
      </c>
      <c r="J257" s="90">
        <f t="shared" si="139"/>
        <v>0</v>
      </c>
      <c r="K257" s="90">
        <f t="shared" si="139"/>
        <v>0</v>
      </c>
      <c r="L257" s="90">
        <f t="shared" si="139"/>
        <v>0</v>
      </c>
      <c r="M257" s="90">
        <f t="shared" si="139"/>
        <v>0</v>
      </c>
      <c r="N257" s="90">
        <f t="shared" si="139"/>
        <v>0</v>
      </c>
      <c r="O257" s="90">
        <f t="shared" si="139"/>
        <v>0</v>
      </c>
      <c r="P257" s="90">
        <f t="shared" si="139"/>
        <v>0</v>
      </c>
      <c r="Q257" s="90">
        <f t="shared" si="139"/>
        <v>0</v>
      </c>
      <c r="R257" s="90">
        <f t="shared" si="139"/>
        <v>0</v>
      </c>
      <c r="S257" s="90">
        <f t="shared" si="139"/>
        <v>0</v>
      </c>
      <c r="T257" s="90">
        <f t="shared" si="139"/>
        <v>0</v>
      </c>
      <c r="U257" s="90">
        <f t="shared" si="139"/>
        <v>0</v>
      </c>
      <c r="V257" s="90">
        <f t="shared" si="139"/>
        <v>0</v>
      </c>
      <c r="W257" s="90">
        <f t="shared" si="139"/>
        <v>0</v>
      </c>
      <c r="X257" s="90">
        <f t="shared" si="139"/>
        <v>0</v>
      </c>
      <c r="Y257" s="90">
        <f t="shared" si="139"/>
        <v>0</v>
      </c>
      <c r="Z257" s="90">
        <f t="shared" si="139"/>
        <v>0</v>
      </c>
    </row>
    <row r="258" spans="1:26">
      <c r="A258" s="699"/>
      <c r="B258" s="49"/>
      <c r="C258" s="49"/>
      <c r="D258" s="49"/>
      <c r="E258" s="49"/>
      <c r="F258" s="699"/>
      <c r="G258" s="49"/>
      <c r="H258" s="49"/>
      <c r="I258" s="49"/>
      <c r="J258" s="49"/>
      <c r="K258" s="49"/>
      <c r="L258" s="49"/>
      <c r="M258" s="49"/>
      <c r="N258" s="49"/>
      <c r="O258" s="49"/>
      <c r="P258" s="49"/>
      <c r="Q258" s="49"/>
      <c r="R258" s="49"/>
      <c r="S258" s="49"/>
      <c r="T258" s="49"/>
      <c r="U258" s="49"/>
      <c r="V258" s="49"/>
      <c r="W258" s="49"/>
      <c r="X258" s="49"/>
      <c r="Y258" s="49"/>
      <c r="Z258" s="49"/>
    </row>
    <row r="259" spans="1:26">
      <c r="A259" s="699"/>
      <c r="B259" s="49" t="s">
        <v>1150</v>
      </c>
      <c r="C259" s="49"/>
      <c r="D259" s="49"/>
      <c r="E259" s="49"/>
      <c r="F259" s="1028">
        <f>+F257*Assumptions!$O$157</f>
        <v>0</v>
      </c>
      <c r="G259" s="1028">
        <f>+G257*Assumptions!$O$157</f>
        <v>0</v>
      </c>
      <c r="H259" s="1028">
        <f>+H257*Assumptions!$O$157</f>
        <v>0</v>
      </c>
      <c r="I259" s="1028">
        <f>+I257*Assumptions!$O$157</f>
        <v>0</v>
      </c>
      <c r="J259" s="1028">
        <f>+J257*Assumptions!$O$157</f>
        <v>0</v>
      </c>
      <c r="K259" s="1028">
        <f>+K257*Assumptions!$O$157</f>
        <v>0</v>
      </c>
      <c r="L259" s="1028">
        <f>+L257*Assumptions!$O$157</f>
        <v>0</v>
      </c>
      <c r="M259" s="1028">
        <f>+M257*Assumptions!$O$157</f>
        <v>0</v>
      </c>
      <c r="N259" s="1028">
        <f>+N257*Assumptions!$O$157</f>
        <v>0</v>
      </c>
      <c r="O259" s="1028">
        <f>+O257*Assumptions!$O$157</f>
        <v>0</v>
      </c>
      <c r="P259" s="1028">
        <f>+P257*Assumptions!$O$157</f>
        <v>0</v>
      </c>
      <c r="Q259" s="1028">
        <f>+Q257*Assumptions!$O$157</f>
        <v>0</v>
      </c>
      <c r="R259" s="1028">
        <f>+R257*Assumptions!$O$157</f>
        <v>0</v>
      </c>
      <c r="S259" s="1028">
        <f>+S257*Assumptions!$O$157</f>
        <v>0</v>
      </c>
      <c r="T259" s="1028">
        <f>+T257*Assumptions!$O$157</f>
        <v>0</v>
      </c>
      <c r="U259" s="1028">
        <f>+U257*Assumptions!$O$157</f>
        <v>0</v>
      </c>
      <c r="V259" s="1028">
        <f>+V257*Assumptions!$O$157</f>
        <v>0</v>
      </c>
      <c r="W259" s="1028">
        <f>+W257*Assumptions!$O$157</f>
        <v>0</v>
      </c>
      <c r="X259" s="1028">
        <f>+X257*Assumptions!$O$157</f>
        <v>0</v>
      </c>
      <c r="Y259" s="1028">
        <f>+Y257*Assumptions!$O$157</f>
        <v>0</v>
      </c>
      <c r="Z259" s="1028">
        <f>+Z257*Assumptions!$O$157</f>
        <v>0</v>
      </c>
    </row>
    <row r="260" spans="1:26" ht="16.5">
      <c r="A260" s="699"/>
      <c r="B260" s="61" t="s">
        <v>1151</v>
      </c>
      <c r="C260" s="61"/>
      <c r="D260" s="61"/>
      <c r="E260" s="61"/>
      <c r="F260" s="145">
        <f>+F259-F256</f>
        <v>0</v>
      </c>
      <c r="G260" s="145">
        <f t="shared" ref="G260:Z260" si="140">+G259-G256</f>
        <v>0</v>
      </c>
      <c r="H260" s="145">
        <f t="shared" si="140"/>
        <v>0</v>
      </c>
      <c r="I260" s="145">
        <f t="shared" si="140"/>
        <v>0</v>
      </c>
      <c r="J260" s="145">
        <f t="shared" si="140"/>
        <v>0</v>
      </c>
      <c r="K260" s="145">
        <f t="shared" si="140"/>
        <v>0</v>
      </c>
      <c r="L260" s="145">
        <f t="shared" si="140"/>
        <v>0</v>
      </c>
      <c r="M260" s="145">
        <f t="shared" si="140"/>
        <v>0</v>
      </c>
      <c r="N260" s="145">
        <f t="shared" si="140"/>
        <v>0</v>
      </c>
      <c r="O260" s="145">
        <f t="shared" si="140"/>
        <v>0</v>
      </c>
      <c r="P260" s="145">
        <f t="shared" si="140"/>
        <v>0</v>
      </c>
      <c r="Q260" s="145">
        <f t="shared" si="140"/>
        <v>0</v>
      </c>
      <c r="R260" s="145">
        <f t="shared" si="140"/>
        <v>0</v>
      </c>
      <c r="S260" s="145">
        <f t="shared" si="140"/>
        <v>0</v>
      </c>
      <c r="T260" s="145">
        <f t="shared" si="140"/>
        <v>0</v>
      </c>
      <c r="U260" s="145">
        <f t="shared" si="140"/>
        <v>0</v>
      </c>
      <c r="V260" s="145">
        <f t="shared" si="140"/>
        <v>0</v>
      </c>
      <c r="W260" s="145">
        <f t="shared" si="140"/>
        <v>0</v>
      </c>
      <c r="X260" s="145">
        <f t="shared" si="140"/>
        <v>0</v>
      </c>
      <c r="Y260" s="145">
        <f t="shared" si="140"/>
        <v>0</v>
      </c>
      <c r="Z260" s="145">
        <f t="shared" si="140"/>
        <v>0</v>
      </c>
    </row>
    <row r="261" spans="1:26">
      <c r="A261" s="699"/>
      <c r="B261" s="117" t="s">
        <v>670</v>
      </c>
      <c r="C261" s="49"/>
      <c r="D261" s="49"/>
      <c r="E261" s="49"/>
      <c r="F261" s="146" t="str">
        <f>+IFERROR(F249/F260,"")</f>
        <v/>
      </c>
      <c r="G261" s="146" t="str">
        <f t="shared" ref="G261:Z261" si="141">+IFERROR(G249/G260,"")</f>
        <v/>
      </c>
      <c r="H261" s="146" t="str">
        <f t="shared" si="141"/>
        <v/>
      </c>
      <c r="I261" s="146" t="str">
        <f t="shared" si="141"/>
        <v/>
      </c>
      <c r="J261" s="146" t="str">
        <f t="shared" si="141"/>
        <v/>
      </c>
      <c r="K261" s="146" t="str">
        <f t="shared" si="141"/>
        <v/>
      </c>
      <c r="L261" s="146" t="str">
        <f t="shared" si="141"/>
        <v/>
      </c>
      <c r="M261" s="146" t="str">
        <f t="shared" si="141"/>
        <v/>
      </c>
      <c r="N261" s="146" t="str">
        <f t="shared" si="141"/>
        <v/>
      </c>
      <c r="O261" s="146" t="str">
        <f t="shared" si="141"/>
        <v/>
      </c>
      <c r="P261" s="146" t="str">
        <f t="shared" si="141"/>
        <v/>
      </c>
      <c r="Q261" s="146" t="str">
        <f t="shared" si="141"/>
        <v/>
      </c>
      <c r="R261" s="146" t="str">
        <f t="shared" si="141"/>
        <v/>
      </c>
      <c r="S261" s="146" t="str">
        <f t="shared" si="141"/>
        <v/>
      </c>
      <c r="T261" s="146" t="str">
        <f t="shared" si="141"/>
        <v/>
      </c>
      <c r="U261" s="146" t="str">
        <f t="shared" si="141"/>
        <v/>
      </c>
      <c r="V261" s="146" t="str">
        <f t="shared" si="141"/>
        <v/>
      </c>
      <c r="W261" s="146" t="str">
        <f t="shared" si="141"/>
        <v/>
      </c>
      <c r="X261" s="146" t="str">
        <f t="shared" si="141"/>
        <v/>
      </c>
      <c r="Y261" s="146" t="str">
        <f t="shared" si="141"/>
        <v/>
      </c>
      <c r="Z261" s="146" t="str">
        <f t="shared" si="141"/>
        <v/>
      </c>
    </row>
    <row r="262" spans="1:26">
      <c r="A262" s="699"/>
      <c r="B262" s="49"/>
      <c r="C262" s="49"/>
      <c r="D262" s="49"/>
      <c r="E262" s="49"/>
      <c r="F262" s="699"/>
      <c r="G262" s="699"/>
      <c r="H262" s="699"/>
      <c r="I262" s="699"/>
      <c r="J262" s="699"/>
      <c r="K262" s="699"/>
      <c r="L262" s="699"/>
      <c r="M262" s="699"/>
      <c r="N262" s="699"/>
      <c r="O262" s="699"/>
      <c r="P262" s="699"/>
      <c r="Q262" s="699"/>
      <c r="R262" s="699"/>
      <c r="S262" s="699"/>
      <c r="T262" s="699"/>
      <c r="U262" s="699"/>
      <c r="V262" s="699"/>
      <c r="W262" s="699"/>
      <c r="X262" s="699"/>
      <c r="Y262" s="699"/>
      <c r="Z262" s="699"/>
    </row>
    <row r="263" spans="1:26">
      <c r="A263" s="699"/>
      <c r="B263" s="49" t="s">
        <v>1152</v>
      </c>
      <c r="C263" s="49"/>
      <c r="D263" s="49"/>
      <c r="E263" s="49"/>
      <c r="F263" s="1087">
        <f>+F255*Assumptions!$O$158</f>
        <v>0</v>
      </c>
      <c r="G263" s="1087">
        <f>+G255*Assumptions!$O$158</f>
        <v>0</v>
      </c>
      <c r="H263" s="1087">
        <f>+H255*Assumptions!$O$158</f>
        <v>0</v>
      </c>
      <c r="I263" s="1087">
        <f>+I255*Assumptions!$O$158</f>
        <v>0</v>
      </c>
      <c r="J263" s="1087">
        <f>+J255*Assumptions!$O$158</f>
        <v>0</v>
      </c>
      <c r="K263" s="1087">
        <f>+K255*Assumptions!$O$158</f>
        <v>0</v>
      </c>
      <c r="L263" s="1087">
        <f>+L255*Assumptions!$O$158</f>
        <v>0</v>
      </c>
      <c r="M263" s="1087">
        <f>+M255*Assumptions!$O$158</f>
        <v>0</v>
      </c>
      <c r="N263" s="1087">
        <f>+N255*Assumptions!$O$158</f>
        <v>0</v>
      </c>
      <c r="O263" s="1087">
        <f>+O255*Assumptions!$O$158</f>
        <v>0</v>
      </c>
      <c r="P263" s="1087">
        <f>+P255*Assumptions!$O$158</f>
        <v>0</v>
      </c>
      <c r="Q263" s="1087">
        <f>+Q255*Assumptions!$O$158</f>
        <v>0</v>
      </c>
      <c r="R263" s="1087">
        <f>+R255*Assumptions!$O$158</f>
        <v>0</v>
      </c>
      <c r="S263" s="1087">
        <f>+S255*Assumptions!$O$158</f>
        <v>0</v>
      </c>
      <c r="T263" s="1087">
        <f>+T255*Assumptions!$O$158</f>
        <v>0</v>
      </c>
      <c r="U263" s="1087">
        <f>+U255*Assumptions!$O$158</f>
        <v>0</v>
      </c>
      <c r="V263" s="1087">
        <f>+V255*Assumptions!$O$158</f>
        <v>0</v>
      </c>
      <c r="W263" s="1087">
        <f>+W255*Assumptions!$O$158</f>
        <v>0</v>
      </c>
      <c r="X263" s="1087">
        <f>+X255*Assumptions!$O$158</f>
        <v>0</v>
      </c>
      <c r="Y263" s="1087">
        <f>+Y255*Assumptions!$O$158</f>
        <v>0</v>
      </c>
      <c r="Z263" s="1087">
        <f>+Z255*Assumptions!$O$158</f>
        <v>0</v>
      </c>
    </row>
    <row r="264" spans="1:26">
      <c r="A264" s="699"/>
      <c r="B264" s="49"/>
      <c r="C264" s="49"/>
      <c r="D264" s="49"/>
      <c r="E264" s="49"/>
      <c r="F264" s="699"/>
      <c r="G264" s="699"/>
      <c r="H264" s="699"/>
      <c r="I264" s="699"/>
      <c r="J264" s="699"/>
      <c r="K264" s="699"/>
      <c r="L264" s="699"/>
      <c r="M264" s="699"/>
      <c r="N264" s="699"/>
      <c r="O264" s="699"/>
      <c r="P264" s="699"/>
      <c r="Q264" s="699"/>
      <c r="R264" s="699"/>
      <c r="S264" s="699"/>
      <c r="T264" s="699"/>
      <c r="U264" s="699"/>
      <c r="V264" s="699"/>
      <c r="W264" s="699"/>
      <c r="X264" s="699"/>
      <c r="Y264" s="699"/>
      <c r="Z264" s="699"/>
    </row>
    <row r="265" spans="1:26" ht="16.5">
      <c r="A265" s="699"/>
      <c r="B265" s="61" t="s">
        <v>1153</v>
      </c>
      <c r="C265" s="61"/>
      <c r="D265" s="61"/>
      <c r="E265" s="61"/>
      <c r="F265" s="145">
        <v>0</v>
      </c>
      <c r="G265" s="145">
        <v>0</v>
      </c>
      <c r="H265" s="145">
        <v>0</v>
      </c>
      <c r="I265" s="145">
        <v>0</v>
      </c>
      <c r="J265" s="145">
        <v>0</v>
      </c>
      <c r="K265" s="145">
        <v>0</v>
      </c>
      <c r="L265" s="145">
        <v>0</v>
      </c>
      <c r="M265" s="145">
        <v>0</v>
      </c>
      <c r="N265" s="145">
        <v>0</v>
      </c>
      <c r="O265" s="145">
        <v>0</v>
      </c>
      <c r="P265" s="145">
        <v>0</v>
      </c>
      <c r="Q265" s="145">
        <v>0</v>
      </c>
      <c r="R265" s="145">
        <v>0</v>
      </c>
      <c r="S265" s="145">
        <v>0</v>
      </c>
      <c r="T265" s="145">
        <v>0</v>
      </c>
      <c r="U265" s="145">
        <v>0</v>
      </c>
      <c r="V265" s="145">
        <v>0</v>
      </c>
      <c r="W265" s="145">
        <v>0</v>
      </c>
      <c r="X265" s="145">
        <v>0</v>
      </c>
      <c r="Y265" s="145">
        <v>0</v>
      </c>
      <c r="Z265" s="145">
        <v>0</v>
      </c>
    </row>
    <row r="266" spans="1:26">
      <c r="A266" s="699"/>
      <c r="B266" s="49"/>
      <c r="C266" s="49"/>
      <c r="D266" s="49"/>
      <c r="E266" s="49"/>
      <c r="F266" s="699"/>
      <c r="G266" s="699"/>
      <c r="H266" s="699"/>
      <c r="I266" s="699"/>
      <c r="J266" s="699"/>
      <c r="K266" s="699"/>
      <c r="L266" s="699"/>
      <c r="M266" s="699"/>
      <c r="N266" s="699"/>
      <c r="O266" s="699"/>
      <c r="P266" s="699"/>
      <c r="Q266" s="699"/>
      <c r="R266" s="699"/>
      <c r="S266" s="699"/>
      <c r="T266" s="699"/>
      <c r="U266" s="699"/>
      <c r="V266" s="699"/>
      <c r="W266" s="699"/>
      <c r="X266" s="699"/>
      <c r="Y266" s="699"/>
      <c r="Z266" s="699"/>
    </row>
    <row r="267" spans="1:26" ht="15.75">
      <c r="A267" s="699"/>
      <c r="B267" s="112" t="s">
        <v>1178</v>
      </c>
      <c r="C267" s="49"/>
      <c r="D267" s="49"/>
      <c r="E267" s="49"/>
      <c r="F267" s="699"/>
      <c r="G267" s="699"/>
      <c r="H267" s="699"/>
      <c r="I267" s="699"/>
      <c r="J267" s="699"/>
      <c r="K267" s="699"/>
      <c r="L267" s="699"/>
      <c r="M267" s="699"/>
      <c r="N267" s="699"/>
      <c r="O267" s="699"/>
      <c r="P267" s="699"/>
      <c r="Q267" s="699"/>
      <c r="R267" s="699"/>
      <c r="S267" s="699"/>
      <c r="T267" s="699"/>
      <c r="U267" s="699"/>
      <c r="V267" s="699"/>
      <c r="W267" s="699"/>
      <c r="X267" s="699"/>
      <c r="Y267" s="699"/>
      <c r="Z267" s="699"/>
    </row>
    <row r="268" spans="1:26">
      <c r="A268" s="699"/>
      <c r="B268" s="699" t="s">
        <v>1156</v>
      </c>
      <c r="C268" s="49"/>
      <c r="D268" s="49"/>
      <c r="E268" s="49"/>
      <c r="F268" s="83">
        <v>0</v>
      </c>
      <c r="G268" s="83">
        <v>0</v>
      </c>
      <c r="H268" s="83">
        <v>0</v>
      </c>
      <c r="I268" s="83">
        <v>0</v>
      </c>
      <c r="J268" s="83">
        <v>0</v>
      </c>
      <c r="K268" s="83">
        <v>0</v>
      </c>
      <c r="L268" s="83">
        <v>0</v>
      </c>
      <c r="M268" s="83">
        <v>0</v>
      </c>
      <c r="N268" s="83">
        <v>0</v>
      </c>
      <c r="O268" s="83">
        <v>0</v>
      </c>
      <c r="P268" s="83">
        <v>0</v>
      </c>
      <c r="Q268" s="83">
        <v>0</v>
      </c>
      <c r="R268" s="83">
        <v>0</v>
      </c>
      <c r="S268" s="83">
        <v>0</v>
      </c>
      <c r="T268" s="83">
        <v>0</v>
      </c>
      <c r="U268" s="83">
        <v>0</v>
      </c>
      <c r="V268" s="83">
        <v>0</v>
      </c>
      <c r="W268" s="83">
        <v>0</v>
      </c>
      <c r="X268" s="83">
        <v>0</v>
      </c>
      <c r="Y268" s="83">
        <v>0</v>
      </c>
      <c r="Z268" s="83">
        <v>0</v>
      </c>
    </row>
    <row r="269" spans="1:26">
      <c r="A269" s="699" t="s">
        <v>511</v>
      </c>
      <c r="B269" s="699" t="s">
        <v>1158</v>
      </c>
      <c r="C269" s="49"/>
      <c r="D269" s="49"/>
      <c r="E269" s="49"/>
      <c r="F269" s="90">
        <v>0</v>
      </c>
      <c r="G269" s="90">
        <v>0</v>
      </c>
      <c r="H269" s="90">
        <v>0</v>
      </c>
      <c r="I269" s="90">
        <v>0</v>
      </c>
      <c r="J269" s="90">
        <v>0</v>
      </c>
      <c r="K269" s="90">
        <v>0</v>
      </c>
      <c r="L269" s="90">
        <v>0</v>
      </c>
      <c r="M269" s="90">
        <v>0</v>
      </c>
      <c r="N269" s="90">
        <v>0</v>
      </c>
      <c r="O269" s="90">
        <v>0</v>
      </c>
      <c r="P269" s="90">
        <v>0</v>
      </c>
      <c r="Q269" s="90">
        <v>0</v>
      </c>
      <c r="R269" s="90">
        <v>0</v>
      </c>
      <c r="S269" s="90">
        <v>0</v>
      </c>
      <c r="T269" s="90">
        <v>0</v>
      </c>
      <c r="U269" s="90">
        <v>0</v>
      </c>
      <c r="V269" s="90">
        <v>0</v>
      </c>
      <c r="W269" s="90">
        <v>0</v>
      </c>
      <c r="X269" s="90">
        <v>0</v>
      </c>
      <c r="Y269" s="90">
        <v>0</v>
      </c>
      <c r="Z269" s="90">
        <v>0</v>
      </c>
    </row>
    <row r="270" spans="1:26">
      <c r="A270" s="699"/>
      <c r="B270" s="699" t="s">
        <v>1159</v>
      </c>
      <c r="C270" s="49"/>
      <c r="D270" s="49"/>
      <c r="E270" s="49"/>
      <c r="F270" s="90">
        <v>0</v>
      </c>
      <c r="G270" s="90">
        <v>0</v>
      </c>
      <c r="H270" s="90">
        <v>0</v>
      </c>
      <c r="I270" s="90">
        <v>0</v>
      </c>
      <c r="J270" s="90">
        <v>0</v>
      </c>
      <c r="K270" s="90">
        <v>0</v>
      </c>
      <c r="L270" s="90">
        <v>0</v>
      </c>
      <c r="M270" s="90">
        <v>0</v>
      </c>
      <c r="N270" s="90">
        <v>0</v>
      </c>
      <c r="O270" s="90">
        <v>0</v>
      </c>
      <c r="P270" s="90">
        <v>0</v>
      </c>
      <c r="Q270" s="90">
        <v>0</v>
      </c>
      <c r="R270" s="90">
        <v>0</v>
      </c>
      <c r="S270" s="90">
        <v>0</v>
      </c>
      <c r="T270" s="90">
        <v>0</v>
      </c>
      <c r="U270" s="90">
        <v>0</v>
      </c>
      <c r="V270" s="90">
        <v>0</v>
      </c>
      <c r="W270" s="90">
        <v>0</v>
      </c>
      <c r="X270" s="90">
        <v>0</v>
      </c>
      <c r="Y270" s="90">
        <v>0</v>
      </c>
      <c r="Z270" s="90">
        <v>0</v>
      </c>
    </row>
    <row r="271" spans="1:26">
      <c r="A271" s="699"/>
      <c r="B271" s="61" t="s">
        <v>1160</v>
      </c>
      <c r="C271" s="61"/>
      <c r="D271" s="61"/>
      <c r="E271" s="61"/>
      <c r="F271" s="64">
        <v>0</v>
      </c>
      <c r="G271" s="64">
        <v>0</v>
      </c>
      <c r="H271" s="64">
        <v>0</v>
      </c>
      <c r="I271" s="64">
        <v>0</v>
      </c>
      <c r="J271" s="64">
        <v>0</v>
      </c>
      <c r="K271" s="64">
        <v>0</v>
      </c>
      <c r="L271" s="64">
        <v>0</v>
      </c>
      <c r="M271" s="64">
        <v>0</v>
      </c>
      <c r="N271" s="64">
        <v>0</v>
      </c>
      <c r="O271" s="64">
        <v>0</v>
      </c>
      <c r="P271" s="64">
        <v>0</v>
      </c>
      <c r="Q271" s="64">
        <v>0</v>
      </c>
      <c r="R271" s="64">
        <v>0</v>
      </c>
      <c r="S271" s="64">
        <v>0</v>
      </c>
      <c r="T271" s="64">
        <v>0</v>
      </c>
      <c r="U271" s="64">
        <v>0</v>
      </c>
      <c r="V271" s="64">
        <v>0</v>
      </c>
      <c r="W271" s="64">
        <v>0</v>
      </c>
      <c r="X271" s="64">
        <v>0</v>
      </c>
      <c r="Y271" s="64">
        <v>0</v>
      </c>
      <c r="Z271" s="64">
        <v>0</v>
      </c>
    </row>
    <row r="272" spans="1:26">
      <c r="A272" s="699"/>
      <c r="B272" s="49"/>
      <c r="C272" s="49"/>
      <c r="D272" s="49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</row>
    <row r="273" spans="2:26" ht="15.75">
      <c r="B273" s="50" t="s">
        <v>1179</v>
      </c>
      <c r="C273" s="50"/>
      <c r="D273" s="50"/>
      <c r="E273" s="50"/>
      <c r="F273" s="55">
        <v>0</v>
      </c>
      <c r="G273" s="55">
        <v>0</v>
      </c>
      <c r="H273" s="55">
        <v>0</v>
      </c>
      <c r="I273" s="55">
        <v>0</v>
      </c>
      <c r="J273" s="55">
        <v>0</v>
      </c>
      <c r="K273" s="55">
        <v>0</v>
      </c>
      <c r="L273" s="55">
        <v>0</v>
      </c>
      <c r="M273" s="55">
        <v>0</v>
      </c>
      <c r="N273" s="55">
        <v>0</v>
      </c>
      <c r="O273" s="55">
        <v>0</v>
      </c>
      <c r="P273" s="55">
        <v>0</v>
      </c>
      <c r="Q273" s="55">
        <v>0</v>
      </c>
      <c r="R273" s="55">
        <v>0</v>
      </c>
      <c r="S273" s="55">
        <v>0</v>
      </c>
      <c r="T273" s="55">
        <v>0</v>
      </c>
      <c r="U273" s="55">
        <v>0</v>
      </c>
      <c r="V273" s="55">
        <v>0</v>
      </c>
      <c r="W273" s="55">
        <v>0</v>
      </c>
      <c r="X273" s="55">
        <v>0</v>
      </c>
      <c r="Y273" s="55">
        <v>0</v>
      </c>
      <c r="Z273" s="55">
        <v>0</v>
      </c>
    </row>
    <row r="274" spans="2:26">
      <c r="B274" s="49"/>
      <c r="C274" s="49"/>
      <c r="D274" s="49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</row>
    <row r="275" spans="2:26" ht="15.75">
      <c r="B275" s="468" t="s">
        <v>1182</v>
      </c>
      <c r="C275" s="540"/>
      <c r="D275" s="540"/>
      <c r="E275" s="540"/>
      <c r="F275" s="759"/>
      <c r="G275" s="759"/>
      <c r="H275" s="759"/>
      <c r="I275" s="759"/>
      <c r="J275" s="759"/>
      <c r="K275" s="759"/>
      <c r="L275" s="759"/>
      <c r="M275" s="759"/>
      <c r="N275" s="759"/>
      <c r="O275" s="759"/>
      <c r="P275" s="759"/>
      <c r="Q275" s="759"/>
      <c r="R275" s="759"/>
      <c r="S275" s="759"/>
      <c r="T275" s="759"/>
      <c r="U275" s="759"/>
      <c r="V275" s="759"/>
      <c r="W275" s="759"/>
      <c r="X275" s="759"/>
      <c r="Y275" s="759"/>
      <c r="Z275" s="759"/>
    </row>
    <row r="276" spans="2:26">
      <c r="B276" s="49"/>
      <c r="C276" s="49"/>
      <c r="D276" s="49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</row>
    <row r="277" spans="2:26" ht="15.75">
      <c r="B277" s="53" t="s">
        <v>288</v>
      </c>
      <c r="C277" s="699"/>
      <c r="D277" s="699"/>
      <c r="E277" s="699"/>
      <c r="F277" s="54">
        <f>+Assumptions!$G$27</f>
        <v>46387</v>
      </c>
      <c r="G277" s="54">
        <f t="shared" ref="G277:Z277" si="142">+EOMONTH(F277,12)</f>
        <v>46752</v>
      </c>
      <c r="H277" s="54">
        <f t="shared" si="142"/>
        <v>47118</v>
      </c>
      <c r="I277" s="54">
        <f t="shared" si="142"/>
        <v>47483</v>
      </c>
      <c r="J277" s="54">
        <f t="shared" si="142"/>
        <v>47848</v>
      </c>
      <c r="K277" s="54">
        <f t="shared" si="142"/>
        <v>48213</v>
      </c>
      <c r="L277" s="54">
        <f t="shared" si="142"/>
        <v>48579</v>
      </c>
      <c r="M277" s="54">
        <f t="shared" si="142"/>
        <v>48944</v>
      </c>
      <c r="N277" s="54">
        <f t="shared" si="142"/>
        <v>49309</v>
      </c>
      <c r="O277" s="54">
        <f t="shared" si="142"/>
        <v>49674</v>
      </c>
      <c r="P277" s="54">
        <f t="shared" si="142"/>
        <v>50040</v>
      </c>
      <c r="Q277" s="54">
        <f t="shared" si="142"/>
        <v>50405</v>
      </c>
      <c r="R277" s="54">
        <f t="shared" si="142"/>
        <v>50770</v>
      </c>
      <c r="S277" s="54">
        <f t="shared" si="142"/>
        <v>51135</v>
      </c>
      <c r="T277" s="54">
        <f t="shared" si="142"/>
        <v>51501</v>
      </c>
      <c r="U277" s="54">
        <f t="shared" si="142"/>
        <v>51866</v>
      </c>
      <c r="V277" s="54">
        <f t="shared" si="142"/>
        <v>52231</v>
      </c>
      <c r="W277" s="54">
        <f t="shared" si="142"/>
        <v>52596</v>
      </c>
      <c r="X277" s="54">
        <f t="shared" si="142"/>
        <v>52962</v>
      </c>
      <c r="Y277" s="54">
        <f t="shared" si="142"/>
        <v>53327</v>
      </c>
      <c r="Z277" s="54">
        <f t="shared" si="142"/>
        <v>53692</v>
      </c>
    </row>
    <row r="278" spans="2:26">
      <c r="B278" s="699" t="s">
        <v>1120</v>
      </c>
      <c r="C278" s="699"/>
      <c r="D278" s="699"/>
      <c r="E278" s="1050"/>
      <c r="F278" s="1050">
        <f>+IF(F277=Assumptions!$G$31,Assumptions!$G$137/ROUNDUP((12/12),0),)</f>
        <v>0</v>
      </c>
      <c r="G278" s="1050">
        <f>+IF(G277=Assumptions!$G$31,Assumptions!$G$137/ROUNDUP((12/12),0),)</f>
        <v>0</v>
      </c>
      <c r="H278" s="1050">
        <f>+IF(H277=Assumptions!$G$31,Assumptions!$G$137/ROUNDUP((12/12),0),)</f>
        <v>0</v>
      </c>
      <c r="I278" s="1050">
        <f>+IF(I277=Assumptions!$G$31,Assumptions!$G$137/ROUNDUP((12/12),0),)</f>
        <v>18188.0625</v>
      </c>
      <c r="J278" s="1050">
        <f>+IF(J277=Assumptions!$G$31,Assumptions!$G$137/ROUNDUP((12/12),0),)</f>
        <v>0</v>
      </c>
      <c r="K278" s="1050">
        <f>+IF(K277=Assumptions!$G$31,Assumptions!$G$137/ROUNDUP((12/12),0),)</f>
        <v>0</v>
      </c>
      <c r="L278" s="1050">
        <f>+IF(L277=Assumptions!$G$31,Assumptions!$G$137/ROUNDUP((12/12),0),)</f>
        <v>0</v>
      </c>
      <c r="M278" s="1050">
        <f>+IF(M277=Assumptions!$G$31,Assumptions!$G$137/ROUNDUP((12/12),0),)</f>
        <v>0</v>
      </c>
      <c r="N278" s="1050">
        <f>+IF(N277=Assumptions!$G$31,Assumptions!$G$137/ROUNDUP((12/12),0),)</f>
        <v>0</v>
      </c>
      <c r="O278" s="1050">
        <f>+IF(O277=Assumptions!$G$31,Assumptions!$G$137/ROUNDUP((12/12),0),)</f>
        <v>0</v>
      </c>
      <c r="P278" s="1050">
        <f>+IF(P277=Assumptions!$G$31,Assumptions!$G$137/ROUNDUP((12/12),0),)</f>
        <v>0</v>
      </c>
      <c r="Q278" s="1050">
        <f>+IF(Q277=Assumptions!$G$31,Assumptions!$G$137/ROUNDUP((12/12),0),)</f>
        <v>0</v>
      </c>
      <c r="R278" s="1050">
        <f>+IF(R277=Assumptions!$G$31,Assumptions!$G$137/ROUNDUP((12/12),0),)</f>
        <v>0</v>
      </c>
      <c r="S278" s="1050">
        <f>+IF(S277=Assumptions!$G$31,Assumptions!$G$137/ROUNDUP((12/12),0),)</f>
        <v>0</v>
      </c>
      <c r="T278" s="1050">
        <f>+IF(T277=Assumptions!$G$31,Assumptions!$G$137/ROUNDUP((12/12),0),)</f>
        <v>0</v>
      </c>
      <c r="U278" s="1050">
        <f>+IF(U277=Assumptions!$G$31,Assumptions!$G$137/ROUNDUP((12/12),0),)</f>
        <v>0</v>
      </c>
      <c r="V278" s="1050">
        <f>+IF(V277=Assumptions!$G$31,Assumptions!$G$137/ROUNDUP((12/12),0),)</f>
        <v>0</v>
      </c>
      <c r="W278" s="1050">
        <f>+IF(W277=Assumptions!$G$31,Assumptions!$G$137/ROUNDUP((12/12),0),)</f>
        <v>0</v>
      </c>
      <c r="X278" s="1050">
        <f>+IF(X277=Assumptions!$G$31,Assumptions!$G$137/ROUNDUP((12/12),0),)</f>
        <v>0</v>
      </c>
      <c r="Y278" s="1050">
        <f>+IF(Y277=Assumptions!$G$31,Assumptions!$G$137/ROUNDUP((12/12),0),)</f>
        <v>0</v>
      </c>
      <c r="Z278" s="1050">
        <f>+IF(Z277=Assumptions!$G$31,Assumptions!$G$137/ROUNDUP((12/12),0),)</f>
        <v>0</v>
      </c>
    </row>
    <row r="279" spans="2:26">
      <c r="B279" s="699" t="s">
        <v>1121</v>
      </c>
      <c r="C279" s="699"/>
      <c r="D279" s="699"/>
      <c r="E279" s="1050">
        <v>0</v>
      </c>
      <c r="F279" s="1050">
        <f t="shared" ref="F279:Z279" si="143">+E279+F278</f>
        <v>0</v>
      </c>
      <c r="G279" s="1050">
        <f t="shared" si="143"/>
        <v>0</v>
      </c>
      <c r="H279" s="1050">
        <f t="shared" si="143"/>
        <v>0</v>
      </c>
      <c r="I279" s="1050">
        <f t="shared" si="143"/>
        <v>18188.0625</v>
      </c>
      <c r="J279" s="1050">
        <f t="shared" si="143"/>
        <v>18188.0625</v>
      </c>
      <c r="K279" s="1050">
        <f t="shared" si="143"/>
        <v>18188.0625</v>
      </c>
      <c r="L279" s="1050">
        <f t="shared" si="143"/>
        <v>18188.0625</v>
      </c>
      <c r="M279" s="1050">
        <f t="shared" si="143"/>
        <v>18188.0625</v>
      </c>
      <c r="N279" s="1050">
        <f t="shared" si="143"/>
        <v>18188.0625</v>
      </c>
      <c r="O279" s="1050">
        <f t="shared" si="143"/>
        <v>18188.0625</v>
      </c>
      <c r="P279" s="1050">
        <f t="shared" si="143"/>
        <v>18188.0625</v>
      </c>
      <c r="Q279" s="1050">
        <f t="shared" si="143"/>
        <v>18188.0625</v>
      </c>
      <c r="R279" s="1050">
        <f t="shared" si="143"/>
        <v>18188.0625</v>
      </c>
      <c r="S279" s="1050">
        <f t="shared" si="143"/>
        <v>18188.0625</v>
      </c>
      <c r="T279" s="1050">
        <f t="shared" si="143"/>
        <v>18188.0625</v>
      </c>
      <c r="U279" s="1050">
        <f t="shared" si="143"/>
        <v>18188.0625</v>
      </c>
      <c r="V279" s="1050">
        <f t="shared" si="143"/>
        <v>18188.0625</v>
      </c>
      <c r="W279" s="1050">
        <f t="shared" si="143"/>
        <v>18188.0625</v>
      </c>
      <c r="X279" s="1050">
        <f t="shared" si="143"/>
        <v>18188.0625</v>
      </c>
      <c r="Y279" s="1050">
        <f t="shared" si="143"/>
        <v>18188.0625</v>
      </c>
      <c r="Z279" s="1050">
        <f t="shared" si="143"/>
        <v>18188.0625</v>
      </c>
    </row>
    <row r="280" spans="2:26">
      <c r="B280" s="699" t="s">
        <v>1123</v>
      </c>
      <c r="C280" s="699"/>
      <c r="D280" s="699"/>
      <c r="E280" s="699"/>
      <c r="F280" s="1084">
        <f t="shared" ref="F280:Z280" si="144">+F281-E281</f>
        <v>0</v>
      </c>
      <c r="G280" s="1084">
        <f t="shared" si="144"/>
        <v>0</v>
      </c>
      <c r="H280" s="1084">
        <f t="shared" si="144"/>
        <v>0</v>
      </c>
      <c r="I280" s="1084">
        <f t="shared" si="144"/>
        <v>14.095748437499999</v>
      </c>
      <c r="J280" s="1084">
        <f t="shared" si="144"/>
        <v>0</v>
      </c>
      <c r="K280" s="1084">
        <f t="shared" si="144"/>
        <v>0</v>
      </c>
      <c r="L280" s="1084">
        <f t="shared" si="144"/>
        <v>0</v>
      </c>
      <c r="M280" s="1084">
        <f t="shared" si="144"/>
        <v>0</v>
      </c>
      <c r="N280" s="1084">
        <f t="shared" si="144"/>
        <v>0</v>
      </c>
      <c r="O280" s="1084">
        <f t="shared" si="144"/>
        <v>0</v>
      </c>
      <c r="P280" s="1084">
        <f t="shared" si="144"/>
        <v>0</v>
      </c>
      <c r="Q280" s="1084">
        <f t="shared" si="144"/>
        <v>0</v>
      </c>
      <c r="R280" s="1084">
        <f t="shared" si="144"/>
        <v>0</v>
      </c>
      <c r="S280" s="1084">
        <f t="shared" si="144"/>
        <v>0</v>
      </c>
      <c r="T280" s="1084">
        <f t="shared" si="144"/>
        <v>0</v>
      </c>
      <c r="U280" s="1084">
        <f t="shared" si="144"/>
        <v>0</v>
      </c>
      <c r="V280" s="1084">
        <f t="shared" si="144"/>
        <v>0</v>
      </c>
      <c r="W280" s="1084">
        <f t="shared" si="144"/>
        <v>0</v>
      </c>
      <c r="X280" s="1084">
        <f t="shared" si="144"/>
        <v>0</v>
      </c>
      <c r="Y280" s="1084">
        <f t="shared" si="144"/>
        <v>0</v>
      </c>
      <c r="Z280" s="1084">
        <f t="shared" si="144"/>
        <v>0</v>
      </c>
    </row>
    <row r="281" spans="2:26">
      <c r="B281" s="699" t="s">
        <v>1124</v>
      </c>
      <c r="C281" s="699"/>
      <c r="D281" s="699"/>
      <c r="E281" s="699"/>
      <c r="F281" s="1084">
        <f>+F282*Assumptions!$G$138</f>
        <v>0</v>
      </c>
      <c r="G281" s="1084">
        <f>+G282*Assumptions!$G$138</f>
        <v>0</v>
      </c>
      <c r="H281" s="1084">
        <f>+H282*Assumptions!$G$138</f>
        <v>0</v>
      </c>
      <c r="I281" s="1084">
        <f>+I282*Assumptions!$G$138</f>
        <v>14.095748437499999</v>
      </c>
      <c r="J281" s="1084">
        <f>+J282*Assumptions!$G$138</f>
        <v>14.095748437499999</v>
      </c>
      <c r="K281" s="1084">
        <f>+K282*Assumptions!$G$138</f>
        <v>14.095748437499999</v>
      </c>
      <c r="L281" s="1084">
        <f>+L282*Assumptions!$G$138</f>
        <v>14.095748437499999</v>
      </c>
      <c r="M281" s="1084">
        <f>+M282*Assumptions!$G$138</f>
        <v>14.095748437499999</v>
      </c>
      <c r="N281" s="1084">
        <f>+N282*Assumptions!$G$138</f>
        <v>14.095748437499999</v>
      </c>
      <c r="O281" s="1084">
        <f>+O282*Assumptions!$G$138</f>
        <v>14.095748437499999</v>
      </c>
      <c r="P281" s="1084">
        <f>+P282*Assumptions!$G$138</f>
        <v>14.095748437499999</v>
      </c>
      <c r="Q281" s="1084">
        <f>+Q282*Assumptions!$G$138</f>
        <v>14.095748437499999</v>
      </c>
      <c r="R281" s="1084">
        <f>+R282*Assumptions!$G$138</f>
        <v>14.095748437499999</v>
      </c>
      <c r="S281" s="1084">
        <f>+S282*Assumptions!$G$138</f>
        <v>14.095748437499999</v>
      </c>
      <c r="T281" s="1084">
        <f>+T282*Assumptions!$G$138</f>
        <v>14.095748437499999</v>
      </c>
      <c r="U281" s="1084">
        <f>+U282*Assumptions!$G$138</f>
        <v>14.095748437499999</v>
      </c>
      <c r="V281" s="1084">
        <f>+V282*Assumptions!$G$138</f>
        <v>14.095748437499999</v>
      </c>
      <c r="W281" s="1084">
        <f>+W282*Assumptions!$G$138</f>
        <v>14.095748437499999</v>
      </c>
      <c r="X281" s="1084">
        <f>+X282*Assumptions!$G$138</f>
        <v>14.095748437499999</v>
      </c>
      <c r="Y281" s="1084">
        <f>+Y282*Assumptions!$G$138</f>
        <v>14.095748437499999</v>
      </c>
      <c r="Z281" s="1084">
        <f>+Z282*Assumptions!$G$138</f>
        <v>14.095748437499999</v>
      </c>
    </row>
    <row r="282" spans="2:26">
      <c r="B282" s="699" t="s">
        <v>1125</v>
      </c>
      <c r="C282" s="699"/>
      <c r="D282" s="699"/>
      <c r="E282" s="699"/>
      <c r="F282" s="1074">
        <f t="shared" ref="F282:Z282" si="145">+IFERROR(F279/SUM($F278:$Z278),0)</f>
        <v>0</v>
      </c>
      <c r="G282" s="1074">
        <f t="shared" si="145"/>
        <v>0</v>
      </c>
      <c r="H282" s="1074">
        <f t="shared" si="145"/>
        <v>0</v>
      </c>
      <c r="I282" s="1074">
        <f t="shared" si="145"/>
        <v>1</v>
      </c>
      <c r="J282" s="1074">
        <f t="shared" si="145"/>
        <v>1</v>
      </c>
      <c r="K282" s="1074">
        <f t="shared" si="145"/>
        <v>1</v>
      </c>
      <c r="L282" s="1074">
        <f t="shared" si="145"/>
        <v>1</v>
      </c>
      <c r="M282" s="1074">
        <f t="shared" si="145"/>
        <v>1</v>
      </c>
      <c r="N282" s="1074">
        <f t="shared" si="145"/>
        <v>1</v>
      </c>
      <c r="O282" s="1074">
        <f t="shared" si="145"/>
        <v>1</v>
      </c>
      <c r="P282" s="1074">
        <f t="shared" si="145"/>
        <v>1</v>
      </c>
      <c r="Q282" s="1074">
        <f t="shared" si="145"/>
        <v>1</v>
      </c>
      <c r="R282" s="1074">
        <f t="shared" si="145"/>
        <v>1</v>
      </c>
      <c r="S282" s="1074">
        <f t="shared" si="145"/>
        <v>1</v>
      </c>
      <c r="T282" s="1074">
        <f t="shared" si="145"/>
        <v>1</v>
      </c>
      <c r="U282" s="1074">
        <f t="shared" si="145"/>
        <v>1</v>
      </c>
      <c r="V282" s="1074">
        <f t="shared" si="145"/>
        <v>1</v>
      </c>
      <c r="W282" s="1074">
        <f t="shared" si="145"/>
        <v>1</v>
      </c>
      <c r="X282" s="1074">
        <f t="shared" si="145"/>
        <v>1</v>
      </c>
      <c r="Y282" s="1074">
        <f t="shared" si="145"/>
        <v>1</v>
      </c>
      <c r="Z282" s="1074">
        <f t="shared" si="145"/>
        <v>1</v>
      </c>
    </row>
    <row r="284" spans="2:26">
      <c r="B284" s="699" t="s">
        <v>1126</v>
      </c>
      <c r="C284" s="699"/>
      <c r="D284" s="699"/>
      <c r="E284" s="699"/>
      <c r="F284" s="1074">
        <v>1</v>
      </c>
      <c r="G284" s="1074">
        <f>+F284*(1+Assumptions!$O$70)</f>
        <v>1.04</v>
      </c>
      <c r="H284" s="1074">
        <f>+G284*(1+Assumptions!$O$70)</f>
        <v>1.0816000000000001</v>
      </c>
      <c r="I284" s="1074">
        <f>+H284*(1+Assumptions!$O$70)</f>
        <v>1.1248640000000001</v>
      </c>
      <c r="J284" s="1074">
        <f>+I284*(1+Assumptions!$O$70)</f>
        <v>1.1698585600000002</v>
      </c>
      <c r="K284" s="1074">
        <f>+J284*(1+Assumptions!$O$70)</f>
        <v>1.2166529024000003</v>
      </c>
      <c r="L284" s="1074">
        <f>+K284*(1+Assumptions!$O$70)</f>
        <v>1.2653190184960004</v>
      </c>
      <c r="M284" s="1074">
        <f>+L284*(1+Assumptions!$O$70)</f>
        <v>1.3159317792358405</v>
      </c>
      <c r="N284" s="1074">
        <f>+M284*(1+Assumptions!$O$70)</f>
        <v>1.3685690504052741</v>
      </c>
      <c r="O284" s="1074">
        <f>+N284*(1+Assumptions!$O$70)</f>
        <v>1.4233118124214852</v>
      </c>
      <c r="P284" s="1074">
        <f>+O284*(1+Assumptions!$O$70)</f>
        <v>1.4802442849183446</v>
      </c>
      <c r="Q284" s="1074">
        <f>+P284*(1+Assumptions!$O$70)</f>
        <v>1.5394540563150785</v>
      </c>
      <c r="R284" s="1074">
        <f>+Q284*(1+Assumptions!$O$70)</f>
        <v>1.6010322185676817</v>
      </c>
      <c r="S284" s="1074">
        <f>+R284*(1+Assumptions!$O$70)</f>
        <v>1.6650735073103891</v>
      </c>
      <c r="T284" s="1074">
        <f>+S284*(1+Assumptions!$O$70)</f>
        <v>1.7316764476028046</v>
      </c>
      <c r="U284" s="1074">
        <f>+T284*(1+Assumptions!$O$70)</f>
        <v>1.8009435055069167</v>
      </c>
      <c r="V284" s="1074">
        <f>+U284*(1+Assumptions!$O$70)</f>
        <v>1.8729812457271935</v>
      </c>
      <c r="W284" s="1074">
        <f>+V284*(1+Assumptions!$O$70)</f>
        <v>1.9479004955562813</v>
      </c>
      <c r="X284" s="1074">
        <f>+W284*(1+Assumptions!$O$70)</f>
        <v>2.0258165153785326</v>
      </c>
      <c r="Y284" s="1074">
        <f>+X284*(1+Assumptions!$O$70)</f>
        <v>2.1068491759936738</v>
      </c>
      <c r="Z284" s="1074">
        <f>+Y284*(1+Assumptions!$O$70)</f>
        <v>2.1911231430334208</v>
      </c>
    </row>
    <row r="285" spans="2:26">
      <c r="B285" s="699" t="s">
        <v>1127</v>
      </c>
      <c r="C285" s="699"/>
      <c r="D285" s="699"/>
      <c r="E285" s="699"/>
      <c r="F285" s="1074">
        <v>1</v>
      </c>
      <c r="G285" s="1074">
        <f>+F285*(1+Assumptions!$O$81)</f>
        <v>1.03</v>
      </c>
      <c r="H285" s="1074">
        <f>+G285*(1+Assumptions!$O$81)</f>
        <v>1.0609</v>
      </c>
      <c r="I285" s="1074">
        <f>+H285*(1+Assumptions!$O$81)</f>
        <v>1.092727</v>
      </c>
      <c r="J285" s="1074">
        <f>+I285*(1+Assumptions!$O$81)</f>
        <v>1.1255088100000001</v>
      </c>
      <c r="K285" s="1074">
        <f>+J285*(1+Assumptions!$O$81)</f>
        <v>1.1592740743000001</v>
      </c>
      <c r="L285" s="1074">
        <f>+K285*(1+Assumptions!$O$81)</f>
        <v>1.1940522965290001</v>
      </c>
      <c r="M285" s="1074">
        <f>+L285*(1+Assumptions!$O$81)</f>
        <v>1.2298738654248702</v>
      </c>
      <c r="N285" s="1074">
        <f>+M285*(1+Assumptions!$O$81)</f>
        <v>1.2667700813876164</v>
      </c>
      <c r="O285" s="1074">
        <f>+N285*(1+Assumptions!$O$81)</f>
        <v>1.3047731838292449</v>
      </c>
      <c r="P285" s="1074">
        <f>+O285*(1+Assumptions!$O$81)</f>
        <v>1.3439163793441222</v>
      </c>
      <c r="Q285" s="1074">
        <f>+P285*(1+Assumptions!$O$81)</f>
        <v>1.3842338707244459</v>
      </c>
      <c r="R285" s="1074">
        <f>+Q285*(1+Assumptions!$O$81)</f>
        <v>1.4257608868461793</v>
      </c>
      <c r="S285" s="1074">
        <f>+R285*(1+Assumptions!$O$81)</f>
        <v>1.4685337134515648</v>
      </c>
      <c r="T285" s="1074">
        <f>+S285*(1+Assumptions!$O$81)</f>
        <v>1.5125897248551119</v>
      </c>
      <c r="U285" s="1074">
        <f>+T285*(1+Assumptions!$O$81)</f>
        <v>1.5579674166007653</v>
      </c>
      <c r="V285" s="1074">
        <f>+U285*(1+Assumptions!$O$81)</f>
        <v>1.6047064390987884</v>
      </c>
      <c r="W285" s="1074">
        <f>+V285*(1+Assumptions!$O$81)</f>
        <v>1.652847632271752</v>
      </c>
      <c r="X285" s="1074">
        <f>+W285*(1+Assumptions!$O$81)</f>
        <v>1.7024330612399046</v>
      </c>
      <c r="Y285" s="1074">
        <f>+X285*(1+Assumptions!$O$81)</f>
        <v>1.7535060530771018</v>
      </c>
      <c r="Z285" s="1074">
        <f>+Y285*(1+Assumptions!$O$81)</f>
        <v>1.806111234669415</v>
      </c>
    </row>
    <row r="287" spans="2:26">
      <c r="B287" s="699" t="s">
        <v>1183</v>
      </c>
      <c r="C287" s="699"/>
      <c r="D287" s="699"/>
      <c r="E287" s="699"/>
      <c r="F287" s="1028">
        <f>+IF(F277=Assumptions!$G$31,(F282*Assumptions!$G$136*F284/(12/12)),0)</f>
        <v>0</v>
      </c>
      <c r="G287" s="1028">
        <f>+IF(G277=Assumptions!$G$31,(G282*Assumptions!$G$136*G284/(12/12)),0)</f>
        <v>0</v>
      </c>
      <c r="H287" s="1028">
        <f>+IF(H277=Assumptions!$G$31,(H282*Assumptions!$G$136*H284/(12/12)),0)</f>
        <v>0</v>
      </c>
      <c r="I287" s="1028">
        <f>+IF(I277=Assumptions!$G$31,(I282*Assumptions!$G$136*I284/(12/12)),0)</f>
        <v>4470889.7443401152</v>
      </c>
      <c r="J287" s="1028">
        <f>+IF(J277=Assumptions!$G$31,(J282*Assumptions!$G$136*J284/(12/12)),0)</f>
        <v>0</v>
      </c>
      <c r="K287" s="1028">
        <f>+IF(K277=Assumptions!$G$31,(K282*Assumptions!$G$136*K284/(12/12)),0)</f>
        <v>0</v>
      </c>
      <c r="L287" s="1028">
        <f>+IF(L277=Assumptions!$G$31,(L282*Assumptions!$G$136*L284/(12/12)),0)</f>
        <v>0</v>
      </c>
      <c r="M287" s="1028">
        <f>+IF(M277=Assumptions!$G$31,(M282*Assumptions!$G$136*M284/(12/12)),0)</f>
        <v>0</v>
      </c>
      <c r="N287" s="1028">
        <f>+IF(N277=Assumptions!$G$31,(N282*Assumptions!$G$136*N284/(12/12)),0)</f>
        <v>0</v>
      </c>
      <c r="O287" s="1028">
        <f>+IF(O277=Assumptions!$G$31,(O282*Assumptions!$G$136*O284/(12/12)),0)</f>
        <v>0</v>
      </c>
      <c r="P287" s="1028">
        <f>+IF(P277=Assumptions!$G$31,(P282*Assumptions!$G$136*P284/(12/12)),0)</f>
        <v>0</v>
      </c>
      <c r="Q287" s="1028">
        <f>+IF(Q277=Assumptions!$G$31,(Q282*Assumptions!$G$136*Q284/(12/12)),0)</f>
        <v>0</v>
      </c>
      <c r="R287" s="1028">
        <f>+IF(R277=Assumptions!$G$31,(R282*Assumptions!$G$136*R284/(12/12)),0)</f>
        <v>0</v>
      </c>
      <c r="S287" s="1028">
        <f>+IF(S277=Assumptions!$G$31,(S282*Assumptions!$G$136*S284/(12/12)),0)</f>
        <v>0</v>
      </c>
      <c r="T287" s="1028">
        <f>+IF(T277=Assumptions!$G$31,(T282*Assumptions!$G$136*T284/(12/12)),0)</f>
        <v>0</v>
      </c>
      <c r="U287" s="1028">
        <f>+IF(U277=Assumptions!$G$31,(U282*Assumptions!$G$136*U284/(12/12)),0)</f>
        <v>0</v>
      </c>
      <c r="V287" s="1028">
        <f>+IF(V277=Assumptions!$G$31,(V282*Assumptions!$G$136*V284/(12/12)),0)</f>
        <v>0</v>
      </c>
      <c r="W287" s="1028">
        <f>+IF(W277=Assumptions!$G$31,(W282*Assumptions!$G$136*W284/(12/12)),0)</f>
        <v>0</v>
      </c>
      <c r="X287" s="1028">
        <f>+IF(X277=Assumptions!$G$31,(X282*Assumptions!$G$136*X284/(12/12)),0)</f>
        <v>0</v>
      </c>
      <c r="Y287" s="1028">
        <f>+IF(Y277=Assumptions!$G$31,(Y282*Assumptions!$G$136*Y284/(12/12)),0)</f>
        <v>0</v>
      </c>
      <c r="Z287" s="1028">
        <f>+IF(Z277=Assumptions!$G$31,(Z282*Assumptions!$G$136*Z284/(12/12)),0)</f>
        <v>0</v>
      </c>
    </row>
    <row r="288" spans="2:26">
      <c r="B288" s="699" t="s">
        <v>1130</v>
      </c>
      <c r="C288" s="699"/>
      <c r="D288" s="699"/>
      <c r="E288" s="699"/>
      <c r="F288" s="1085">
        <f>-F287*Assumptions!$O$61</f>
        <v>0</v>
      </c>
      <c r="G288" s="1085">
        <f>-G287*Assumptions!$O$61</f>
        <v>0</v>
      </c>
      <c r="H288" s="1085">
        <f>-H287*Assumptions!$O$61</f>
        <v>0</v>
      </c>
      <c r="I288" s="1085">
        <f>-I287*Assumptions!$O$61</f>
        <v>-178835.58977360462</v>
      </c>
      <c r="J288" s="1085">
        <f>-J287*Assumptions!$O$61</f>
        <v>0</v>
      </c>
      <c r="K288" s="1085">
        <f>-K287*Assumptions!$O$61</f>
        <v>0</v>
      </c>
      <c r="L288" s="1085">
        <f>-L287*Assumptions!$O$61</f>
        <v>0</v>
      </c>
      <c r="M288" s="1085">
        <f>-M287*Assumptions!$O$61</f>
        <v>0</v>
      </c>
      <c r="N288" s="1085">
        <f>-N287*Assumptions!$O$61</f>
        <v>0</v>
      </c>
      <c r="O288" s="1085">
        <f>-O287*Assumptions!$O$61</f>
        <v>0</v>
      </c>
      <c r="P288" s="1085">
        <f>-P287*Assumptions!$O$61</f>
        <v>0</v>
      </c>
      <c r="Q288" s="1085">
        <f>-Q287*Assumptions!$O$61</f>
        <v>0</v>
      </c>
      <c r="R288" s="1085">
        <f>-R287*Assumptions!$O$61</f>
        <v>0</v>
      </c>
      <c r="S288" s="1085">
        <f>-S287*Assumptions!$O$61</f>
        <v>0</v>
      </c>
      <c r="T288" s="1085">
        <f>-T287*Assumptions!$O$61</f>
        <v>0</v>
      </c>
      <c r="U288" s="1085">
        <f>-U287*Assumptions!$O$61</f>
        <v>0</v>
      </c>
      <c r="V288" s="1085">
        <f>-V287*Assumptions!$O$61</f>
        <v>0</v>
      </c>
      <c r="W288" s="1085">
        <f>-W287*Assumptions!$O$61</f>
        <v>0</v>
      </c>
      <c r="X288" s="1085">
        <f>-X287*Assumptions!$O$61</f>
        <v>0</v>
      </c>
      <c r="Y288" s="1085">
        <f>-Y287*Assumptions!$O$61</f>
        <v>0</v>
      </c>
      <c r="Z288" s="1085">
        <f>-Z287*Assumptions!$O$61</f>
        <v>0</v>
      </c>
    </row>
    <row r="289" spans="2:26">
      <c r="B289" s="699" t="s">
        <v>1184</v>
      </c>
      <c r="C289" s="699"/>
      <c r="D289" s="699"/>
      <c r="E289" s="699"/>
      <c r="F289" s="1085">
        <f>+IF(F277=Assumptions!$G$31,F281*Assumptions!$AF$158*(1-Assumptions!$O$61)*12,0)</f>
        <v>0</v>
      </c>
      <c r="G289" s="1085">
        <f>+IF(G277=Assumptions!$G$31,G281*Assumptions!$AF$158*(1-Assumptions!$O$61)*12,0)</f>
        <v>0</v>
      </c>
      <c r="H289" s="1085">
        <f>+IF(H277=Assumptions!$G$31,H281*Assumptions!$AF$158*(1-Assumptions!$O$61)*12,0)</f>
        <v>0</v>
      </c>
      <c r="I289" s="1085">
        <f>+IF(I277=Assumptions!$G$31,I281*Assumptions!$AF$158*(1-Assumptions!$O$61)*12,0)</f>
        <v>1299.0641759999999</v>
      </c>
      <c r="J289" s="1085">
        <f>+IF(J277=Assumptions!$G$31,J281*Assumptions!$AF$158*(1-Assumptions!$O$61)*12,0)</f>
        <v>0</v>
      </c>
      <c r="K289" s="1085">
        <f>+IF(K277=Assumptions!$G$31,K281*Assumptions!$AF$158*(1-Assumptions!$O$61)*12,0)</f>
        <v>0</v>
      </c>
      <c r="L289" s="1085">
        <f>+IF(L277=Assumptions!$G$31,L281*Assumptions!$AF$158*(1-Assumptions!$O$61)*12,0)</f>
        <v>0</v>
      </c>
      <c r="M289" s="1085">
        <f>+IF(M277=Assumptions!$G$31,M281*Assumptions!$AF$158*(1-Assumptions!$O$61)*12,0)</f>
        <v>0</v>
      </c>
      <c r="N289" s="1085">
        <f>+IF(N277=Assumptions!$G$31,N281*Assumptions!$AF$158*(1-Assumptions!$O$61)*12,0)</f>
        <v>0</v>
      </c>
      <c r="O289" s="1085">
        <f>+IF(O277=Assumptions!$G$31,O281*Assumptions!$AF$158*(1-Assumptions!$O$61)*12,0)</f>
        <v>0</v>
      </c>
      <c r="P289" s="1085">
        <f>+IF(P277=Assumptions!$G$31,P281*Assumptions!$AF$158*(1-Assumptions!$O$61)*12,0)</f>
        <v>0</v>
      </c>
      <c r="Q289" s="1085">
        <f>+IF(Q277=Assumptions!$G$31,Q281*Assumptions!$AF$158*(1-Assumptions!$O$61)*12,0)</f>
        <v>0</v>
      </c>
      <c r="R289" s="1085">
        <f>+IF(R277=Assumptions!$G$31,R281*Assumptions!$AF$158*(1-Assumptions!$O$61)*12,0)</f>
        <v>0</v>
      </c>
      <c r="S289" s="1085">
        <f>+IF(S277=Assumptions!$G$31,S281*Assumptions!$AF$158*(1-Assumptions!$O$61)*12,0)</f>
        <v>0</v>
      </c>
      <c r="T289" s="1085">
        <f>+IF(T277=Assumptions!$G$31,T281*Assumptions!$AF$158*(1-Assumptions!$O$61)*12,0)</f>
        <v>0</v>
      </c>
      <c r="U289" s="1085">
        <f>+IF(U277=Assumptions!$G$31,U281*Assumptions!$AF$158*(1-Assumptions!$O$61)*12,0)</f>
        <v>0</v>
      </c>
      <c r="V289" s="1085">
        <f>+IF(V277=Assumptions!$G$31,V281*Assumptions!$AF$158*(1-Assumptions!$O$61)*12,0)</f>
        <v>0</v>
      </c>
      <c r="W289" s="1085">
        <f>+IF(W277=Assumptions!$G$31,W281*Assumptions!$AF$158*(1-Assumptions!$O$61)*12,0)</f>
        <v>0</v>
      </c>
      <c r="X289" s="1085">
        <f>+IF(X277=Assumptions!$G$31,X281*Assumptions!$AF$158*(1-Assumptions!$O$61)*12,0)</f>
        <v>0</v>
      </c>
      <c r="Y289" s="1085">
        <f>+IF(Y277=Assumptions!$G$31,Y281*Assumptions!$AF$158*(1-Assumptions!$O$61)*12,0)</f>
        <v>0</v>
      </c>
      <c r="Z289" s="1085">
        <f>+IF(Z277=Assumptions!$G$31,Z281*Assumptions!$AF$158*(1-Assumptions!$O$61)*12,0)</f>
        <v>0</v>
      </c>
    </row>
    <row r="290" spans="2:26" hidden="1">
      <c r="B290" s="52" t="s">
        <v>1131</v>
      </c>
      <c r="C290" s="1052"/>
      <c r="D290" s="1052"/>
      <c r="E290" s="1052"/>
      <c r="F290" s="1086">
        <f>SUM(F287:F289)</f>
        <v>0</v>
      </c>
      <c r="G290" s="1086">
        <f t="shared" ref="G290:Z290" si="146">SUM(G287:G289)</f>
        <v>0</v>
      </c>
      <c r="H290" s="1086">
        <f t="shared" si="146"/>
        <v>0</v>
      </c>
      <c r="I290" s="1086">
        <f t="shared" si="146"/>
        <v>4293353.2187425103</v>
      </c>
      <c r="J290" s="1086">
        <f t="shared" si="146"/>
        <v>0</v>
      </c>
      <c r="K290" s="1086">
        <f t="shared" si="146"/>
        <v>0</v>
      </c>
      <c r="L290" s="1086">
        <f t="shared" si="146"/>
        <v>0</v>
      </c>
      <c r="M290" s="1086">
        <f t="shared" si="146"/>
        <v>0</v>
      </c>
      <c r="N290" s="1086">
        <f t="shared" si="146"/>
        <v>0</v>
      </c>
      <c r="O290" s="1086">
        <f t="shared" si="146"/>
        <v>0</v>
      </c>
      <c r="P290" s="1086">
        <f t="shared" si="146"/>
        <v>0</v>
      </c>
      <c r="Q290" s="1086">
        <f t="shared" si="146"/>
        <v>0</v>
      </c>
      <c r="R290" s="1086">
        <f t="shared" si="146"/>
        <v>0</v>
      </c>
      <c r="S290" s="1086">
        <f t="shared" si="146"/>
        <v>0</v>
      </c>
      <c r="T290" s="1086">
        <f t="shared" si="146"/>
        <v>0</v>
      </c>
      <c r="U290" s="1086">
        <f t="shared" si="146"/>
        <v>0</v>
      </c>
      <c r="V290" s="1086">
        <f t="shared" si="146"/>
        <v>0</v>
      </c>
      <c r="W290" s="1086">
        <f t="shared" si="146"/>
        <v>0</v>
      </c>
      <c r="X290" s="1086">
        <f t="shared" si="146"/>
        <v>0</v>
      </c>
      <c r="Y290" s="1086">
        <f t="shared" si="146"/>
        <v>0</v>
      </c>
      <c r="Z290" s="1086">
        <f t="shared" si="146"/>
        <v>0</v>
      </c>
    </row>
    <row r="291" spans="2:26" hidden="1">
      <c r="B291" s="49"/>
      <c r="C291" s="699"/>
      <c r="D291" s="699"/>
      <c r="E291" s="699"/>
      <c r="F291" s="699"/>
      <c r="G291" s="699"/>
      <c r="H291" s="699"/>
      <c r="I291" s="699"/>
      <c r="J291" s="699"/>
      <c r="K291" s="699"/>
      <c r="L291" s="699"/>
      <c r="M291" s="699"/>
      <c r="N291" s="699"/>
      <c r="O291" s="699"/>
      <c r="P291" s="699"/>
      <c r="Q291" s="699"/>
      <c r="R291" s="699"/>
      <c r="S291" s="699"/>
      <c r="T291" s="699"/>
      <c r="U291" s="699"/>
      <c r="V291" s="699"/>
      <c r="W291" s="699"/>
      <c r="X291" s="699"/>
      <c r="Y291" s="699"/>
      <c r="Z291" s="699"/>
    </row>
    <row r="292" spans="2:26" hidden="1">
      <c r="B292" s="699" t="s">
        <v>1132</v>
      </c>
      <c r="C292" s="699"/>
      <c r="D292" s="699"/>
      <c r="E292" s="699"/>
      <c r="F292" s="1087">
        <f>+F281*Assumptions!$O$98*F285</f>
        <v>0</v>
      </c>
      <c r="G292" s="1087">
        <f>+G281*Assumptions!$O$98*G285</f>
        <v>0</v>
      </c>
      <c r="H292" s="1087">
        <f>+H281*Assumptions!$O$98*H285</f>
        <v>0</v>
      </c>
      <c r="I292" s="1087">
        <f>+I281*Assumptions!$O$98*I285</f>
        <v>0</v>
      </c>
      <c r="J292" s="1087">
        <f>+J281*Assumptions!$O$98*J285</f>
        <v>0</v>
      </c>
      <c r="K292" s="1087">
        <f>+K281*Assumptions!$O$98*K285</f>
        <v>0</v>
      </c>
      <c r="L292" s="1087">
        <f>+L281*Assumptions!$O$98*L285</f>
        <v>0</v>
      </c>
      <c r="M292" s="1087">
        <f>+M281*Assumptions!$O$98*M285</f>
        <v>0</v>
      </c>
      <c r="N292" s="1087">
        <f>+N281*Assumptions!$O$98*N285</f>
        <v>0</v>
      </c>
      <c r="O292" s="1087">
        <f>+O281*Assumptions!$O$98*O285</f>
        <v>0</v>
      </c>
      <c r="P292" s="1087">
        <f>+P281*Assumptions!$O$98*P285</f>
        <v>0</v>
      </c>
      <c r="Q292" s="1087">
        <f>+Q281*Assumptions!$O$98*Q285</f>
        <v>0</v>
      </c>
      <c r="R292" s="1087">
        <f>+R281*Assumptions!$O$98*R285</f>
        <v>0</v>
      </c>
      <c r="S292" s="1087">
        <f>+S281*Assumptions!$O$98*S285</f>
        <v>0</v>
      </c>
      <c r="T292" s="1087">
        <f>+T281*Assumptions!$O$98*T285</f>
        <v>0</v>
      </c>
      <c r="U292" s="1087">
        <f>+U281*Assumptions!$O$98*U285</f>
        <v>0</v>
      </c>
      <c r="V292" s="1087">
        <f>+V281*Assumptions!$O$98*V285</f>
        <v>0</v>
      </c>
      <c r="W292" s="1087">
        <f>+W281*Assumptions!$O$98*W285</f>
        <v>0</v>
      </c>
      <c r="X292" s="1087">
        <f>+X281*Assumptions!$O$98*X285</f>
        <v>0</v>
      </c>
      <c r="Y292" s="1087">
        <f>+Y281*Assumptions!$O$98*Y285</f>
        <v>0</v>
      </c>
      <c r="Z292" s="1087">
        <f>+Z281*Assumptions!$O$98*Z285</f>
        <v>0</v>
      </c>
    </row>
    <row r="293" spans="2:26" hidden="1">
      <c r="B293" s="699"/>
      <c r="C293" s="699"/>
      <c r="D293" s="699"/>
      <c r="E293" s="699"/>
      <c r="F293" s="1087"/>
      <c r="G293" s="1087"/>
      <c r="H293" s="1087"/>
      <c r="I293" s="1087"/>
      <c r="J293" s="1087"/>
      <c r="K293" s="1087"/>
      <c r="L293" s="1087"/>
      <c r="M293" s="1087"/>
      <c r="N293" s="1087"/>
      <c r="O293" s="1087"/>
      <c r="P293" s="1087"/>
      <c r="Q293" s="1087"/>
      <c r="R293" s="1087"/>
      <c r="S293" s="1087"/>
      <c r="T293" s="1087"/>
      <c r="U293" s="1087"/>
      <c r="V293" s="1087"/>
      <c r="W293" s="1087"/>
      <c r="X293" s="1087"/>
      <c r="Y293" s="1087"/>
      <c r="Z293" s="1087"/>
    </row>
    <row r="294" spans="2:26" hidden="1">
      <c r="B294" s="699" t="s">
        <v>1133</v>
      </c>
      <c r="C294" s="699"/>
      <c r="D294" s="699"/>
      <c r="E294" s="699"/>
      <c r="F294" s="1050"/>
      <c r="G294" s="1050"/>
      <c r="H294" s="1050"/>
      <c r="I294" s="1050"/>
      <c r="J294" s="1050"/>
      <c r="K294" s="1050"/>
      <c r="L294" s="1050"/>
      <c r="M294" s="1050"/>
      <c r="N294" s="1050"/>
      <c r="O294" s="1050"/>
      <c r="P294" s="1050"/>
      <c r="Q294" s="1050"/>
      <c r="R294" s="1050"/>
      <c r="S294" s="1050"/>
      <c r="T294" s="1050"/>
      <c r="U294" s="1050"/>
      <c r="V294" s="1050"/>
      <c r="W294" s="1050"/>
      <c r="X294" s="1050"/>
      <c r="Y294" s="1050"/>
      <c r="Z294" s="1050"/>
    </row>
    <row r="295" spans="2:26" hidden="1">
      <c r="B295" s="52" t="s">
        <v>1134</v>
      </c>
      <c r="C295" s="1052"/>
      <c r="D295" s="1052"/>
      <c r="E295" s="1052"/>
      <c r="F295" s="1088">
        <f>+SUM(F292:F294)</f>
        <v>0</v>
      </c>
      <c r="G295" s="1088">
        <f t="shared" ref="G295:Z295" si="147">+SUM(G292:G294)</f>
        <v>0</v>
      </c>
      <c r="H295" s="1088">
        <f t="shared" si="147"/>
        <v>0</v>
      </c>
      <c r="I295" s="1088">
        <f t="shared" si="147"/>
        <v>0</v>
      </c>
      <c r="J295" s="1088">
        <f t="shared" si="147"/>
        <v>0</v>
      </c>
      <c r="K295" s="1088">
        <f t="shared" si="147"/>
        <v>0</v>
      </c>
      <c r="L295" s="1088">
        <f t="shared" si="147"/>
        <v>0</v>
      </c>
      <c r="M295" s="1088">
        <f t="shared" si="147"/>
        <v>0</v>
      </c>
      <c r="N295" s="1088">
        <f t="shared" si="147"/>
        <v>0</v>
      </c>
      <c r="O295" s="1088">
        <f t="shared" si="147"/>
        <v>0</v>
      </c>
      <c r="P295" s="1088">
        <f t="shared" si="147"/>
        <v>0</v>
      </c>
      <c r="Q295" s="1088">
        <f t="shared" si="147"/>
        <v>0</v>
      </c>
      <c r="R295" s="1088">
        <f t="shared" si="147"/>
        <v>0</v>
      </c>
      <c r="S295" s="1088">
        <f t="shared" si="147"/>
        <v>0</v>
      </c>
      <c r="T295" s="1088">
        <f t="shared" si="147"/>
        <v>0</v>
      </c>
      <c r="U295" s="1088">
        <f t="shared" si="147"/>
        <v>0</v>
      </c>
      <c r="V295" s="1088">
        <f t="shared" si="147"/>
        <v>0</v>
      </c>
      <c r="W295" s="1088">
        <f t="shared" si="147"/>
        <v>0</v>
      </c>
      <c r="X295" s="1088">
        <f t="shared" si="147"/>
        <v>0</v>
      </c>
      <c r="Y295" s="1088">
        <f t="shared" si="147"/>
        <v>0</v>
      </c>
      <c r="Z295" s="1088">
        <f t="shared" si="147"/>
        <v>0</v>
      </c>
    </row>
    <row r="296" spans="2:26" hidden="1">
      <c r="B296" s="699"/>
      <c r="C296" s="699"/>
      <c r="D296" s="699"/>
      <c r="E296" s="699"/>
      <c r="F296" s="699"/>
      <c r="G296" s="699"/>
      <c r="H296" s="699"/>
      <c r="I296" s="699"/>
      <c r="J296" s="699"/>
      <c r="K296" s="699"/>
      <c r="L296" s="699"/>
      <c r="M296" s="699"/>
      <c r="N296" s="699"/>
      <c r="O296" s="699"/>
      <c r="P296" s="699"/>
      <c r="Q296" s="699"/>
      <c r="R296" s="699"/>
      <c r="S296" s="699"/>
      <c r="T296" s="699"/>
      <c r="U296" s="699"/>
      <c r="V296" s="699"/>
      <c r="W296" s="699"/>
      <c r="X296" s="699"/>
      <c r="Y296" s="699"/>
      <c r="Z296" s="699"/>
    </row>
    <row r="297" spans="2:26" ht="15.75" hidden="1">
      <c r="B297" s="50" t="s">
        <v>1135</v>
      </c>
      <c r="C297" s="50"/>
      <c r="D297" s="50"/>
      <c r="E297" s="50"/>
      <c r="F297" s="55">
        <f>+F290-F295</f>
        <v>0</v>
      </c>
      <c r="G297" s="55">
        <f t="shared" ref="G297:Z297" si="148">+G290-G295</f>
        <v>0</v>
      </c>
      <c r="H297" s="55">
        <f t="shared" si="148"/>
        <v>0</v>
      </c>
      <c r="I297" s="55">
        <f t="shared" si="148"/>
        <v>4293353.2187425103</v>
      </c>
      <c r="J297" s="55">
        <f t="shared" si="148"/>
        <v>0</v>
      </c>
      <c r="K297" s="55">
        <f t="shared" si="148"/>
        <v>0</v>
      </c>
      <c r="L297" s="55">
        <f t="shared" si="148"/>
        <v>0</v>
      </c>
      <c r="M297" s="55">
        <f t="shared" si="148"/>
        <v>0</v>
      </c>
      <c r="N297" s="55">
        <f t="shared" si="148"/>
        <v>0</v>
      </c>
      <c r="O297" s="55">
        <f t="shared" si="148"/>
        <v>0</v>
      </c>
      <c r="P297" s="55">
        <f t="shared" si="148"/>
        <v>0</v>
      </c>
      <c r="Q297" s="55">
        <f t="shared" si="148"/>
        <v>0</v>
      </c>
      <c r="R297" s="55">
        <f t="shared" si="148"/>
        <v>0</v>
      </c>
      <c r="S297" s="55">
        <f t="shared" si="148"/>
        <v>0</v>
      </c>
      <c r="T297" s="55">
        <f t="shared" si="148"/>
        <v>0</v>
      </c>
      <c r="U297" s="55">
        <f t="shared" si="148"/>
        <v>0</v>
      </c>
      <c r="V297" s="55">
        <f t="shared" si="148"/>
        <v>0</v>
      </c>
      <c r="W297" s="55">
        <f t="shared" si="148"/>
        <v>0</v>
      </c>
      <c r="X297" s="55">
        <f t="shared" si="148"/>
        <v>0</v>
      </c>
      <c r="Y297" s="55">
        <f t="shared" si="148"/>
        <v>0</v>
      </c>
      <c r="Z297" s="55">
        <f t="shared" si="148"/>
        <v>0</v>
      </c>
    </row>
    <row r="298" spans="2:26" ht="15.75" hidden="1">
      <c r="B298" s="50" t="s">
        <v>1136</v>
      </c>
      <c r="C298" s="50"/>
      <c r="D298" s="50"/>
      <c r="E298" s="50"/>
      <c r="F298" s="56" t="str">
        <f t="shared" ref="F298" si="149">+IFERROR(F297/F290,"")</f>
        <v/>
      </c>
      <c r="G298" s="56" t="str">
        <f t="shared" ref="G298:Z298" si="150">+IFERROR(G297/G290,"")</f>
        <v/>
      </c>
      <c r="H298" s="56" t="str">
        <f t="shared" si="150"/>
        <v/>
      </c>
      <c r="I298" s="56">
        <f t="shared" si="150"/>
        <v>1</v>
      </c>
      <c r="J298" s="56" t="str">
        <f t="shared" si="150"/>
        <v/>
      </c>
      <c r="K298" s="56" t="str">
        <f t="shared" si="150"/>
        <v/>
      </c>
      <c r="L298" s="56" t="str">
        <f t="shared" si="150"/>
        <v/>
      </c>
      <c r="M298" s="56" t="str">
        <f t="shared" si="150"/>
        <v/>
      </c>
      <c r="N298" s="56" t="str">
        <f t="shared" si="150"/>
        <v/>
      </c>
      <c r="O298" s="56" t="str">
        <f t="shared" si="150"/>
        <v/>
      </c>
      <c r="P298" s="56" t="str">
        <f t="shared" si="150"/>
        <v/>
      </c>
      <c r="Q298" s="56" t="str">
        <f t="shared" si="150"/>
        <v/>
      </c>
      <c r="R298" s="56" t="str">
        <f t="shared" si="150"/>
        <v/>
      </c>
      <c r="S298" s="56" t="str">
        <f t="shared" si="150"/>
        <v/>
      </c>
      <c r="T298" s="56" t="str">
        <f t="shared" si="150"/>
        <v/>
      </c>
      <c r="U298" s="56" t="str">
        <f t="shared" si="150"/>
        <v/>
      </c>
      <c r="V298" s="56" t="str">
        <f t="shared" si="150"/>
        <v/>
      </c>
      <c r="W298" s="56" t="str">
        <f t="shared" si="150"/>
        <v/>
      </c>
      <c r="X298" s="56" t="str">
        <f t="shared" si="150"/>
        <v/>
      </c>
      <c r="Y298" s="56" t="str">
        <f t="shared" si="150"/>
        <v/>
      </c>
      <c r="Z298" s="56" t="str">
        <f t="shared" si="150"/>
        <v/>
      </c>
    </row>
    <row r="299" spans="2:26" ht="15.75" hidden="1">
      <c r="B299" s="50" t="s">
        <v>1185</v>
      </c>
      <c r="C299" s="50"/>
      <c r="D299" s="50"/>
      <c r="E299" s="50"/>
      <c r="F299" s="55">
        <f t="shared" ref="F299" si="151">+F297</f>
        <v>0</v>
      </c>
      <c r="G299" s="55">
        <f t="shared" ref="G299:Z299" si="152">+G297</f>
        <v>0</v>
      </c>
      <c r="H299" s="55">
        <f t="shared" si="152"/>
        <v>0</v>
      </c>
      <c r="I299" s="55">
        <f t="shared" si="152"/>
        <v>4293353.2187425103</v>
      </c>
      <c r="J299" s="55">
        <f t="shared" si="152"/>
        <v>0</v>
      </c>
      <c r="K299" s="55">
        <f t="shared" si="152"/>
        <v>0</v>
      </c>
      <c r="L299" s="55">
        <f t="shared" si="152"/>
        <v>0</v>
      </c>
      <c r="M299" s="55">
        <f t="shared" si="152"/>
        <v>0</v>
      </c>
      <c r="N299" s="55">
        <f t="shared" si="152"/>
        <v>0</v>
      </c>
      <c r="O299" s="55">
        <f t="shared" si="152"/>
        <v>0</v>
      </c>
      <c r="P299" s="55">
        <f t="shared" si="152"/>
        <v>0</v>
      </c>
      <c r="Q299" s="55">
        <f t="shared" si="152"/>
        <v>0</v>
      </c>
      <c r="R299" s="55">
        <f t="shared" si="152"/>
        <v>0</v>
      </c>
      <c r="S299" s="55">
        <f t="shared" si="152"/>
        <v>0</v>
      </c>
      <c r="T299" s="55">
        <f t="shared" si="152"/>
        <v>0</v>
      </c>
      <c r="U299" s="55">
        <f t="shared" si="152"/>
        <v>0</v>
      </c>
      <c r="V299" s="55">
        <f t="shared" si="152"/>
        <v>0</v>
      </c>
      <c r="W299" s="55">
        <f t="shared" si="152"/>
        <v>0</v>
      </c>
      <c r="X299" s="55">
        <f t="shared" si="152"/>
        <v>0</v>
      </c>
      <c r="Y299" s="55">
        <f t="shared" si="152"/>
        <v>0</v>
      </c>
      <c r="Z299" s="55">
        <f t="shared" si="152"/>
        <v>0</v>
      </c>
    </row>
    <row r="300" spans="2:26" hidden="1">
      <c r="B300" s="699"/>
      <c r="C300" s="699"/>
      <c r="D300" s="699"/>
      <c r="E300" s="699"/>
      <c r="F300" s="699"/>
      <c r="G300" s="699"/>
      <c r="H300" s="699"/>
      <c r="I300" s="699"/>
      <c r="J300" s="699"/>
      <c r="K300" s="699"/>
      <c r="L300" s="699"/>
      <c r="M300" s="699"/>
      <c r="N300" s="699"/>
      <c r="O300" s="699"/>
      <c r="P300" s="699"/>
      <c r="Q300" s="699"/>
      <c r="R300" s="699"/>
      <c r="S300" s="699"/>
      <c r="T300" s="699"/>
      <c r="U300" s="699"/>
      <c r="V300" s="699"/>
      <c r="W300" s="699"/>
      <c r="X300" s="699"/>
      <c r="Y300" s="699"/>
      <c r="Z300" s="699"/>
    </row>
    <row r="301" spans="2:26" ht="15.75" hidden="1">
      <c r="B301" s="53" t="s">
        <v>338</v>
      </c>
      <c r="C301" s="699"/>
      <c r="D301" s="699"/>
      <c r="E301" s="699"/>
      <c r="F301" s="54">
        <f>+Assumptions!$G$27</f>
        <v>46387</v>
      </c>
      <c r="G301" s="54">
        <f t="shared" ref="G301:Z301" si="153">+EOMONTH(F301,12)</f>
        <v>46752</v>
      </c>
      <c r="H301" s="54">
        <f t="shared" si="153"/>
        <v>47118</v>
      </c>
      <c r="I301" s="54">
        <f t="shared" si="153"/>
        <v>47483</v>
      </c>
      <c r="J301" s="54">
        <f t="shared" si="153"/>
        <v>47848</v>
      </c>
      <c r="K301" s="54">
        <f t="shared" si="153"/>
        <v>48213</v>
      </c>
      <c r="L301" s="54">
        <f t="shared" si="153"/>
        <v>48579</v>
      </c>
      <c r="M301" s="54">
        <f t="shared" si="153"/>
        <v>48944</v>
      </c>
      <c r="N301" s="54">
        <f t="shared" si="153"/>
        <v>49309</v>
      </c>
      <c r="O301" s="54">
        <f t="shared" si="153"/>
        <v>49674</v>
      </c>
      <c r="P301" s="54">
        <f t="shared" si="153"/>
        <v>50040</v>
      </c>
      <c r="Q301" s="54">
        <f t="shared" si="153"/>
        <v>50405</v>
      </c>
      <c r="R301" s="54">
        <f t="shared" si="153"/>
        <v>50770</v>
      </c>
      <c r="S301" s="54">
        <f t="shared" si="153"/>
        <v>51135</v>
      </c>
      <c r="T301" s="54">
        <f t="shared" si="153"/>
        <v>51501</v>
      </c>
      <c r="U301" s="54">
        <f t="shared" si="153"/>
        <v>51866</v>
      </c>
      <c r="V301" s="54">
        <f t="shared" si="153"/>
        <v>52231</v>
      </c>
      <c r="W301" s="54">
        <f t="shared" si="153"/>
        <v>52596</v>
      </c>
      <c r="X301" s="54">
        <f t="shared" si="153"/>
        <v>52962</v>
      </c>
      <c r="Y301" s="54">
        <f t="shared" si="153"/>
        <v>53327</v>
      </c>
      <c r="Z301" s="54">
        <f t="shared" si="153"/>
        <v>53692</v>
      </c>
    </row>
    <row r="302" spans="2:26" hidden="1">
      <c r="B302" s="699" t="s">
        <v>1120</v>
      </c>
      <c r="C302" s="699"/>
      <c r="D302" s="699"/>
      <c r="E302" s="1050"/>
      <c r="F302" s="1050">
        <f>+IF(F301=Assumptions!$G$31,Assumptions!$G$156/ROUNDUP((12/12),0),)</f>
        <v>0</v>
      </c>
      <c r="G302" s="1050">
        <f>+IF(G301=Assumptions!$G$31,Assumptions!$G$156/ROUNDUP((12/12),0),)</f>
        <v>0</v>
      </c>
      <c r="H302" s="1050">
        <f>+IF(H301=Assumptions!$G$31,Assumptions!$G$156/ROUNDUP((12/12),0),)</f>
        <v>0</v>
      </c>
      <c r="I302" s="1050">
        <f>+IF(I301=Assumptions!$G$31,Assumptions!$G$156/ROUNDUP((12/12),0),)</f>
        <v>40013.737500000003</v>
      </c>
      <c r="J302" s="1050">
        <f>+IF(J301=Assumptions!$G$31,Assumptions!$G$156/ROUNDUP((12/12),0),)</f>
        <v>0</v>
      </c>
      <c r="K302" s="1050">
        <f>+IF(K301=Assumptions!$G$31,Assumptions!$G$156/ROUNDUP((12/12),0),)</f>
        <v>0</v>
      </c>
      <c r="L302" s="1050">
        <f>+IF(L301=Assumptions!$G$31,Assumptions!$G$156/ROUNDUP((12/12),0),)</f>
        <v>0</v>
      </c>
      <c r="M302" s="1050">
        <f>+IF(M301=Assumptions!$G$31,Assumptions!$G$156/ROUNDUP((12/12),0),)</f>
        <v>0</v>
      </c>
      <c r="N302" s="1050">
        <f>+IF(N301=Assumptions!$G$31,Assumptions!$G$156/ROUNDUP((12/12),0),)</f>
        <v>0</v>
      </c>
      <c r="O302" s="1050">
        <f>+IF(O301=Assumptions!$G$31,Assumptions!$G$156/ROUNDUP((12/12),0),)</f>
        <v>0</v>
      </c>
      <c r="P302" s="1050">
        <f>+IF(P301=Assumptions!$G$31,Assumptions!$G$156/ROUNDUP((12/12),0),)</f>
        <v>0</v>
      </c>
      <c r="Q302" s="1050">
        <f>+IF(Q301=Assumptions!$G$31,Assumptions!$G$156/ROUNDUP((12/12),0),)</f>
        <v>0</v>
      </c>
      <c r="R302" s="1050">
        <f>+IF(R301=Assumptions!$G$31,Assumptions!$G$156/ROUNDUP((12/12),0),)</f>
        <v>0</v>
      </c>
      <c r="S302" s="1050">
        <f>+IF(S301=Assumptions!$G$31,Assumptions!$G$156/ROUNDUP((12/12),0),)</f>
        <v>0</v>
      </c>
      <c r="T302" s="1050">
        <f>+IF(T301=Assumptions!$G$31,Assumptions!$G$156/ROUNDUP((12/12),0),)</f>
        <v>0</v>
      </c>
      <c r="U302" s="1050">
        <f>+IF(U301=Assumptions!$G$31,Assumptions!$G$156/ROUNDUP((12/12),0),)</f>
        <v>0</v>
      </c>
      <c r="V302" s="1050">
        <f>+IF(V301=Assumptions!$G$31,Assumptions!$G$156/ROUNDUP((12/12),0),)</f>
        <v>0</v>
      </c>
      <c r="W302" s="1050">
        <f>+IF(W301=Assumptions!$G$31,Assumptions!$G$156/ROUNDUP((12/12),0),)</f>
        <v>0</v>
      </c>
      <c r="X302" s="1050">
        <f>+IF(X301=Assumptions!$G$31,Assumptions!$G$156/ROUNDUP((12/12),0),)</f>
        <v>0</v>
      </c>
      <c r="Y302" s="1050">
        <f>+IF(Y301=Assumptions!$G$31,Assumptions!$G$156/ROUNDUP((12/12),0),)</f>
        <v>0</v>
      </c>
      <c r="Z302" s="1050">
        <f>+IF(Z301=Assumptions!$G$31,Assumptions!$G$156/ROUNDUP((12/12),0),)</f>
        <v>0</v>
      </c>
    </row>
    <row r="303" spans="2:26" hidden="1">
      <c r="B303" s="699" t="s">
        <v>1121</v>
      </c>
      <c r="C303" s="699"/>
      <c r="D303" s="699"/>
      <c r="E303" s="1050">
        <v>0</v>
      </c>
      <c r="F303" s="1050">
        <f t="shared" ref="F303:Z303" si="154">+E303+F302</f>
        <v>0</v>
      </c>
      <c r="G303" s="1050">
        <f t="shared" si="154"/>
        <v>0</v>
      </c>
      <c r="H303" s="1050">
        <f t="shared" si="154"/>
        <v>0</v>
      </c>
      <c r="I303" s="1050">
        <f t="shared" si="154"/>
        <v>40013.737500000003</v>
      </c>
      <c r="J303" s="1050">
        <f t="shared" si="154"/>
        <v>40013.737500000003</v>
      </c>
      <c r="K303" s="1050">
        <f t="shared" si="154"/>
        <v>40013.737500000003</v>
      </c>
      <c r="L303" s="1050">
        <f t="shared" si="154"/>
        <v>40013.737500000003</v>
      </c>
      <c r="M303" s="1050">
        <f t="shared" si="154"/>
        <v>40013.737500000003</v>
      </c>
      <c r="N303" s="1050">
        <f t="shared" si="154"/>
        <v>40013.737500000003</v>
      </c>
      <c r="O303" s="1050">
        <f t="shared" si="154"/>
        <v>40013.737500000003</v>
      </c>
      <c r="P303" s="1050">
        <f t="shared" si="154"/>
        <v>40013.737500000003</v>
      </c>
      <c r="Q303" s="1050">
        <f t="shared" si="154"/>
        <v>40013.737500000003</v>
      </c>
      <c r="R303" s="1050">
        <f t="shared" si="154"/>
        <v>40013.737500000003</v>
      </c>
      <c r="S303" s="1050">
        <f t="shared" si="154"/>
        <v>40013.737500000003</v>
      </c>
      <c r="T303" s="1050">
        <f t="shared" si="154"/>
        <v>40013.737500000003</v>
      </c>
      <c r="U303" s="1050">
        <f t="shared" si="154"/>
        <v>40013.737500000003</v>
      </c>
      <c r="V303" s="1050">
        <f t="shared" si="154"/>
        <v>40013.737500000003</v>
      </c>
      <c r="W303" s="1050">
        <f t="shared" si="154"/>
        <v>40013.737500000003</v>
      </c>
      <c r="X303" s="1050">
        <f t="shared" si="154"/>
        <v>40013.737500000003</v>
      </c>
      <c r="Y303" s="1050">
        <f t="shared" si="154"/>
        <v>40013.737500000003</v>
      </c>
      <c r="Z303" s="1050">
        <f t="shared" si="154"/>
        <v>40013.737500000003</v>
      </c>
    </row>
    <row r="304" spans="2:26" hidden="1">
      <c r="B304" s="699" t="s">
        <v>1123</v>
      </c>
      <c r="C304" s="699"/>
      <c r="D304" s="699"/>
      <c r="E304" s="699"/>
      <c r="F304" s="1084">
        <f t="shared" ref="F304:Z304" si="155">+F305-E305</f>
        <v>0</v>
      </c>
      <c r="G304" s="1084">
        <f t="shared" si="155"/>
        <v>0</v>
      </c>
      <c r="H304" s="1084">
        <f t="shared" si="155"/>
        <v>0</v>
      </c>
      <c r="I304" s="1084">
        <f t="shared" si="155"/>
        <v>39.847013593750006</v>
      </c>
      <c r="J304" s="1084">
        <f t="shared" si="155"/>
        <v>0</v>
      </c>
      <c r="K304" s="1084">
        <f t="shared" si="155"/>
        <v>0</v>
      </c>
      <c r="L304" s="1084">
        <f t="shared" si="155"/>
        <v>0</v>
      </c>
      <c r="M304" s="1084">
        <f t="shared" si="155"/>
        <v>0</v>
      </c>
      <c r="N304" s="1084">
        <f t="shared" si="155"/>
        <v>0</v>
      </c>
      <c r="O304" s="1084">
        <f t="shared" si="155"/>
        <v>0</v>
      </c>
      <c r="P304" s="1084">
        <f t="shared" si="155"/>
        <v>0</v>
      </c>
      <c r="Q304" s="1084">
        <f t="shared" si="155"/>
        <v>0</v>
      </c>
      <c r="R304" s="1084">
        <f t="shared" si="155"/>
        <v>0</v>
      </c>
      <c r="S304" s="1084">
        <f t="shared" si="155"/>
        <v>0</v>
      </c>
      <c r="T304" s="1084">
        <f t="shared" si="155"/>
        <v>0</v>
      </c>
      <c r="U304" s="1084">
        <f t="shared" si="155"/>
        <v>0</v>
      </c>
      <c r="V304" s="1084">
        <f t="shared" si="155"/>
        <v>0</v>
      </c>
      <c r="W304" s="1084">
        <f t="shared" si="155"/>
        <v>0</v>
      </c>
      <c r="X304" s="1084">
        <f t="shared" si="155"/>
        <v>0</v>
      </c>
      <c r="Y304" s="1084">
        <f t="shared" si="155"/>
        <v>0</v>
      </c>
      <c r="Z304" s="1084">
        <f t="shared" si="155"/>
        <v>0</v>
      </c>
    </row>
    <row r="305" spans="2:26" hidden="1">
      <c r="B305" s="699" t="s">
        <v>1124</v>
      </c>
      <c r="C305" s="699"/>
      <c r="D305" s="699"/>
      <c r="E305" s="699"/>
      <c r="F305" s="1084">
        <f>+F306*Assumptions!$G$157</f>
        <v>0</v>
      </c>
      <c r="G305" s="1084">
        <f>+G306*Assumptions!$G$157</f>
        <v>0</v>
      </c>
      <c r="H305" s="1084">
        <f>+H306*Assumptions!$G$157</f>
        <v>0</v>
      </c>
      <c r="I305" s="1084">
        <f>+I306*Assumptions!$G$157</f>
        <v>39.847013593750006</v>
      </c>
      <c r="J305" s="1084">
        <f>+J306*Assumptions!$G$157</f>
        <v>39.847013593750006</v>
      </c>
      <c r="K305" s="1084">
        <f>+K306*Assumptions!$G$157</f>
        <v>39.847013593750006</v>
      </c>
      <c r="L305" s="1084">
        <f>+L306*Assumptions!$G$157</f>
        <v>39.847013593750006</v>
      </c>
      <c r="M305" s="1084">
        <f>+M306*Assumptions!$G$157</f>
        <v>39.847013593750006</v>
      </c>
      <c r="N305" s="1084">
        <f>+N306*Assumptions!$G$157</f>
        <v>39.847013593750006</v>
      </c>
      <c r="O305" s="1084">
        <f>+O306*Assumptions!$G$157</f>
        <v>39.847013593750006</v>
      </c>
      <c r="P305" s="1084">
        <f>+P306*Assumptions!$G$157</f>
        <v>39.847013593750006</v>
      </c>
      <c r="Q305" s="1084">
        <f>+Q306*Assumptions!$G$157</f>
        <v>39.847013593750006</v>
      </c>
      <c r="R305" s="1084">
        <f>+R306*Assumptions!$G$157</f>
        <v>39.847013593750006</v>
      </c>
      <c r="S305" s="1084">
        <f>+S306*Assumptions!$G$157</f>
        <v>39.847013593750006</v>
      </c>
      <c r="T305" s="1084">
        <f>+T306*Assumptions!$G$157</f>
        <v>39.847013593750006</v>
      </c>
      <c r="U305" s="1084">
        <f>+U306*Assumptions!$G$157</f>
        <v>39.847013593750006</v>
      </c>
      <c r="V305" s="1084">
        <f>+V306*Assumptions!$G$157</f>
        <v>39.847013593750006</v>
      </c>
      <c r="W305" s="1084">
        <f>+W306*Assumptions!$G$157</f>
        <v>39.847013593750006</v>
      </c>
      <c r="X305" s="1084">
        <f>+X306*Assumptions!$G$157</f>
        <v>39.847013593750006</v>
      </c>
      <c r="Y305" s="1084">
        <f>+Y306*Assumptions!$G$157</f>
        <v>39.847013593750006</v>
      </c>
      <c r="Z305" s="1084">
        <f>+Z306*Assumptions!$G$157</f>
        <v>39.847013593750006</v>
      </c>
    </row>
    <row r="306" spans="2:26" hidden="1">
      <c r="B306" s="699" t="s">
        <v>1125</v>
      </c>
      <c r="C306" s="699"/>
      <c r="D306" s="699"/>
      <c r="E306" s="699"/>
      <c r="F306" s="1074">
        <f t="shared" ref="F306:Z306" si="156">+IFERROR(F303/SUM($F302:$Z302),0)</f>
        <v>0</v>
      </c>
      <c r="G306" s="1074">
        <f t="shared" si="156"/>
        <v>0</v>
      </c>
      <c r="H306" s="1074">
        <f t="shared" si="156"/>
        <v>0</v>
      </c>
      <c r="I306" s="1074">
        <f t="shared" si="156"/>
        <v>1</v>
      </c>
      <c r="J306" s="1074">
        <f t="shared" si="156"/>
        <v>1</v>
      </c>
      <c r="K306" s="1074">
        <f t="shared" si="156"/>
        <v>1</v>
      </c>
      <c r="L306" s="1074">
        <f t="shared" si="156"/>
        <v>1</v>
      </c>
      <c r="M306" s="1074">
        <f t="shared" si="156"/>
        <v>1</v>
      </c>
      <c r="N306" s="1074">
        <f t="shared" si="156"/>
        <v>1</v>
      </c>
      <c r="O306" s="1074">
        <f t="shared" si="156"/>
        <v>1</v>
      </c>
      <c r="P306" s="1074">
        <f t="shared" si="156"/>
        <v>1</v>
      </c>
      <c r="Q306" s="1074">
        <f t="shared" si="156"/>
        <v>1</v>
      </c>
      <c r="R306" s="1074">
        <f t="shared" si="156"/>
        <v>1</v>
      </c>
      <c r="S306" s="1074">
        <f t="shared" si="156"/>
        <v>1</v>
      </c>
      <c r="T306" s="1074">
        <f t="shared" si="156"/>
        <v>1</v>
      </c>
      <c r="U306" s="1074">
        <f t="shared" si="156"/>
        <v>1</v>
      </c>
      <c r="V306" s="1074">
        <f t="shared" si="156"/>
        <v>1</v>
      </c>
      <c r="W306" s="1074">
        <f t="shared" si="156"/>
        <v>1</v>
      </c>
      <c r="X306" s="1074">
        <f t="shared" si="156"/>
        <v>1</v>
      </c>
      <c r="Y306" s="1074">
        <f t="shared" si="156"/>
        <v>1</v>
      </c>
      <c r="Z306" s="1074">
        <f t="shared" si="156"/>
        <v>1</v>
      </c>
    </row>
    <row r="307" spans="2:26" hidden="1">
      <c r="B307" s="699"/>
      <c r="C307" s="699"/>
      <c r="D307" s="699"/>
      <c r="E307" s="699"/>
      <c r="F307" s="699"/>
      <c r="G307" s="699"/>
      <c r="H307" s="699"/>
      <c r="I307" s="699"/>
      <c r="J307" s="699"/>
      <c r="K307" s="699"/>
      <c r="L307" s="699"/>
      <c r="M307" s="699"/>
      <c r="N307" s="699"/>
      <c r="O307" s="699"/>
      <c r="P307" s="699"/>
      <c r="Q307" s="699"/>
      <c r="R307" s="699"/>
      <c r="S307" s="699"/>
      <c r="T307" s="699"/>
      <c r="U307" s="699"/>
      <c r="V307" s="699"/>
      <c r="W307" s="699"/>
      <c r="X307" s="699"/>
      <c r="Y307" s="699"/>
      <c r="Z307" s="699"/>
    </row>
    <row r="308" spans="2:26" hidden="1">
      <c r="B308" s="699" t="s">
        <v>1126</v>
      </c>
      <c r="C308" s="699"/>
      <c r="D308" s="699"/>
      <c r="E308" s="699"/>
      <c r="F308" s="1074">
        <v>1</v>
      </c>
      <c r="G308" s="1074">
        <f>+F308*(1+Assumptions!$AQ$84)</f>
        <v>1.03</v>
      </c>
      <c r="H308" s="1074">
        <f>+G308*(1+Assumptions!$AQ$84)</f>
        <v>1.0609</v>
      </c>
      <c r="I308" s="1074">
        <f>+H308*(1+Assumptions!$AQ$84)</f>
        <v>1.092727</v>
      </c>
      <c r="J308" s="1074">
        <f>+I308*(1+Assumptions!$AQ$84)</f>
        <v>1.1255088100000001</v>
      </c>
      <c r="K308" s="1074">
        <f>+J308*(1+Assumptions!$AQ$84)</f>
        <v>1.1592740743000001</v>
      </c>
      <c r="L308" s="1074">
        <f>+K308*(1+Assumptions!$AQ$84)</f>
        <v>1.1940522965290001</v>
      </c>
      <c r="M308" s="1074">
        <f>+L308*(1+Assumptions!$AQ$84)</f>
        <v>1.2298738654248702</v>
      </c>
      <c r="N308" s="1074">
        <f>+M308*(1+Assumptions!$AQ$84)</f>
        <v>1.2667700813876164</v>
      </c>
      <c r="O308" s="1074">
        <f>+N308*(1+Assumptions!$AQ$84)</f>
        <v>1.3047731838292449</v>
      </c>
      <c r="P308" s="1074">
        <f>+O308*(1+Assumptions!$AQ$84)</f>
        <v>1.3439163793441222</v>
      </c>
      <c r="Q308" s="1074">
        <f>+P308*(1+Assumptions!$AQ$84)</f>
        <v>1.3842338707244459</v>
      </c>
      <c r="R308" s="1074">
        <f>+Q308*(1+Assumptions!$AQ$84)</f>
        <v>1.4257608868461793</v>
      </c>
      <c r="S308" s="1074">
        <f>+R308*(1+Assumptions!$AQ$84)</f>
        <v>1.4685337134515648</v>
      </c>
      <c r="T308" s="1074">
        <f>+S308*(1+Assumptions!$AQ$84)</f>
        <v>1.5125897248551119</v>
      </c>
      <c r="U308" s="1074">
        <f>+T308*(1+Assumptions!$AQ$84)</f>
        <v>1.5579674166007653</v>
      </c>
      <c r="V308" s="1074">
        <f>+U308*(1+Assumptions!$AQ$84)</f>
        <v>1.6047064390987884</v>
      </c>
      <c r="W308" s="1074">
        <f>+V308*(1+Assumptions!$AQ$84)</f>
        <v>1.652847632271752</v>
      </c>
      <c r="X308" s="1074">
        <f>+W308*(1+Assumptions!$AQ$84)</f>
        <v>1.7024330612399046</v>
      </c>
      <c r="Y308" s="1074">
        <f>+X308*(1+Assumptions!$AQ$84)</f>
        <v>1.7535060530771018</v>
      </c>
      <c r="Z308" s="1074">
        <f>+Y308*(1+Assumptions!$AQ$84)</f>
        <v>1.806111234669415</v>
      </c>
    </row>
    <row r="309" spans="2:26" hidden="1">
      <c r="B309" s="699" t="s">
        <v>1127</v>
      </c>
      <c r="C309" s="699"/>
      <c r="D309" s="699"/>
      <c r="E309" s="699"/>
      <c r="F309" s="1074">
        <v>1</v>
      </c>
      <c r="G309" s="1074">
        <f>+F309*(1+Assumptions!$AQ$95)</f>
        <v>1.03</v>
      </c>
      <c r="H309" s="1074">
        <f>+G309*(1+Assumptions!$AQ$95)</f>
        <v>1.0609</v>
      </c>
      <c r="I309" s="1074">
        <f>+H309*(1+Assumptions!$AQ$95)</f>
        <v>1.092727</v>
      </c>
      <c r="J309" s="1074">
        <f>+I309*(1+Assumptions!$AQ$95)</f>
        <v>1.1255088100000001</v>
      </c>
      <c r="K309" s="1074">
        <f>+J309*(1+Assumptions!$AQ$95)</f>
        <v>1.1592740743000001</v>
      </c>
      <c r="L309" s="1074">
        <f>+K309*(1+Assumptions!$AQ$95)</f>
        <v>1.1940522965290001</v>
      </c>
      <c r="M309" s="1074">
        <f>+L309*(1+Assumptions!$AQ$95)</f>
        <v>1.2298738654248702</v>
      </c>
      <c r="N309" s="1074">
        <f>+M309*(1+Assumptions!$AQ$95)</f>
        <v>1.2667700813876164</v>
      </c>
      <c r="O309" s="1074">
        <f>+N309*(1+Assumptions!$AQ$95)</f>
        <v>1.3047731838292449</v>
      </c>
      <c r="P309" s="1074">
        <f>+O309*(1+Assumptions!$AQ$95)</f>
        <v>1.3439163793441222</v>
      </c>
      <c r="Q309" s="1074">
        <f>+P309*(1+Assumptions!$AQ$95)</f>
        <v>1.3842338707244459</v>
      </c>
      <c r="R309" s="1074">
        <f>+Q309*(1+Assumptions!$AQ$95)</f>
        <v>1.4257608868461793</v>
      </c>
      <c r="S309" s="1074">
        <f>+R309*(1+Assumptions!$AQ$95)</f>
        <v>1.4685337134515648</v>
      </c>
      <c r="T309" s="1074">
        <f>+S309*(1+Assumptions!$AQ$95)</f>
        <v>1.5125897248551119</v>
      </c>
      <c r="U309" s="1074">
        <f>+T309*(1+Assumptions!$AQ$95)</f>
        <v>1.5579674166007653</v>
      </c>
      <c r="V309" s="1074">
        <f>+U309*(1+Assumptions!$AQ$95)</f>
        <v>1.6047064390987884</v>
      </c>
      <c r="W309" s="1074">
        <f>+V309*(1+Assumptions!$AQ$95)</f>
        <v>1.652847632271752</v>
      </c>
      <c r="X309" s="1074">
        <f>+W309*(1+Assumptions!$AQ$95)</f>
        <v>1.7024330612399046</v>
      </c>
      <c r="Y309" s="1074">
        <f>+X309*(1+Assumptions!$AQ$95)</f>
        <v>1.7535060530771018</v>
      </c>
      <c r="Z309" s="1074">
        <f>+Y309*(1+Assumptions!$AQ$95)</f>
        <v>1.806111234669415</v>
      </c>
    </row>
    <row r="310" spans="2:26" hidden="1">
      <c r="B310" s="699"/>
      <c r="C310" s="699"/>
      <c r="D310" s="699"/>
      <c r="E310" s="699"/>
      <c r="F310" s="699"/>
      <c r="G310" s="699"/>
      <c r="H310" s="699"/>
      <c r="I310" s="699"/>
      <c r="J310" s="699"/>
      <c r="K310" s="699"/>
      <c r="L310" s="699"/>
      <c r="M310" s="699"/>
      <c r="N310" s="699"/>
      <c r="O310" s="699"/>
      <c r="P310" s="699"/>
      <c r="Q310" s="699"/>
      <c r="R310" s="699"/>
      <c r="S310" s="699"/>
      <c r="T310" s="699"/>
      <c r="U310" s="699"/>
      <c r="V310" s="699"/>
      <c r="W310" s="699"/>
      <c r="X310" s="699"/>
      <c r="Y310" s="699"/>
      <c r="Z310" s="699"/>
    </row>
    <row r="311" spans="2:26">
      <c r="B311" s="699" t="s">
        <v>1183</v>
      </c>
      <c r="C311" s="699"/>
      <c r="D311" s="699"/>
      <c r="E311" s="699"/>
      <c r="F311" s="1028">
        <f>+IF(F301=Assumptions!$G$31,(F306*Assumptions!$G$155*F308/(12/12)),0)</f>
        <v>0</v>
      </c>
      <c r="G311" s="1028">
        <f>+IF(G301=Assumptions!$G$31,(G306*Assumptions!$G$155*G308/(12/12)),0)</f>
        <v>0</v>
      </c>
      <c r="H311" s="1028">
        <f>+IF(H301=Assumptions!$G$31,(H306*Assumptions!$G$155*H308/(12/12)),0)</f>
        <v>0</v>
      </c>
      <c r="I311" s="1028">
        <f>+IF(I301=Assumptions!$G$31,(I306*Assumptions!$G$155*I308/(12/12)),0)</f>
        <v>35093304.691041633</v>
      </c>
      <c r="J311" s="1028">
        <f>+IF(J301=Assumptions!$G$31,(J306*Assumptions!$G$155*J308/(12/12)),0)</f>
        <v>0</v>
      </c>
      <c r="K311" s="1028">
        <f>+IF(K301=Assumptions!$G$31,(K306*Assumptions!$G$155*K308/(12/12)),0)</f>
        <v>0</v>
      </c>
      <c r="L311" s="1028">
        <f>+IF(L301=Assumptions!$G$31,(L306*Assumptions!$G$155*L308/(12/12)),0)</f>
        <v>0</v>
      </c>
      <c r="M311" s="1028">
        <f>+IF(M301=Assumptions!$G$31,(M306*Assumptions!$G$155*M308/(12/12)),0)</f>
        <v>0</v>
      </c>
      <c r="N311" s="1028">
        <f>+IF(N301=Assumptions!$G$31,(N306*Assumptions!$G$155*N308/(12/12)),0)</f>
        <v>0</v>
      </c>
      <c r="O311" s="1028">
        <f>+IF(O301=Assumptions!$G$31,(O306*Assumptions!$G$155*O308/(12/12)),0)</f>
        <v>0</v>
      </c>
      <c r="P311" s="1028">
        <f>+IF(P301=Assumptions!$G$31,(P306*Assumptions!$G$155*P308/(12/12)),0)</f>
        <v>0</v>
      </c>
      <c r="Q311" s="1028">
        <f>+IF(Q301=Assumptions!$G$31,(Q306*Assumptions!$G$155*Q308/(12/12)),0)</f>
        <v>0</v>
      </c>
      <c r="R311" s="1028">
        <f>+IF(R301=Assumptions!$G$31,(R306*Assumptions!$G$155*R308/(12/12)),0)</f>
        <v>0</v>
      </c>
      <c r="S311" s="1028">
        <f>+IF(S301=Assumptions!$G$31,(S306*Assumptions!$G$155*S308/(12/12)),0)</f>
        <v>0</v>
      </c>
      <c r="T311" s="1028">
        <f>+IF(T301=Assumptions!$G$31,(T306*Assumptions!$G$155*T308/(12/12)),0)</f>
        <v>0</v>
      </c>
      <c r="U311" s="1028">
        <f>+IF(U301=Assumptions!$G$31,(U306*Assumptions!$G$155*U308/(12/12)),0)</f>
        <v>0</v>
      </c>
      <c r="V311" s="1028">
        <f>+IF(V301=Assumptions!$G$31,(V306*Assumptions!$G$155*V308/(12/12)),0)</f>
        <v>0</v>
      </c>
      <c r="W311" s="1028">
        <f>+IF(W301=Assumptions!$G$31,(W306*Assumptions!$G$155*W308/(12/12)),0)</f>
        <v>0</v>
      </c>
      <c r="X311" s="1028">
        <f>+IF(X301=Assumptions!$G$31,(X306*Assumptions!$G$155*X308/(12/12)),0)</f>
        <v>0</v>
      </c>
      <c r="Y311" s="1028">
        <f>+IF(Y301=Assumptions!$G$31,(Y306*Assumptions!$G$155*Y308/(12/12)),0)</f>
        <v>0</v>
      </c>
      <c r="Z311" s="1028">
        <f>+IF(Z301=Assumptions!$G$31,(Z306*Assumptions!$G$155*Z308/(12/12)),0)</f>
        <v>0</v>
      </c>
    </row>
    <row r="312" spans="2:26">
      <c r="B312" s="699" t="s">
        <v>1130</v>
      </c>
      <c r="C312" s="699"/>
      <c r="D312" s="699"/>
      <c r="E312" s="699"/>
      <c r="F312" s="1085">
        <f>-F311*Assumptions!$O$62</f>
        <v>0</v>
      </c>
      <c r="G312" s="1085">
        <f>-G311*Assumptions!$O$62</f>
        <v>0</v>
      </c>
      <c r="H312" s="1085">
        <f>-H311*Assumptions!$O$62</f>
        <v>0</v>
      </c>
      <c r="I312" s="1085">
        <f>-I311*Assumptions!$O$62</f>
        <v>-2456531.3283729148</v>
      </c>
      <c r="J312" s="1085">
        <f>-J311*Assumptions!$O$62</f>
        <v>0</v>
      </c>
      <c r="K312" s="1085">
        <f>-K311*Assumptions!$O$62</f>
        <v>0</v>
      </c>
      <c r="L312" s="1085">
        <f>-L311*Assumptions!$O$62</f>
        <v>0</v>
      </c>
      <c r="M312" s="1085">
        <f>-M311*Assumptions!$O$62</f>
        <v>0</v>
      </c>
      <c r="N312" s="1085">
        <f>-N311*Assumptions!$O$62</f>
        <v>0</v>
      </c>
      <c r="O312" s="1085">
        <f>-O311*Assumptions!$O$62</f>
        <v>0</v>
      </c>
      <c r="P312" s="1085">
        <f>-P311*Assumptions!$O$62</f>
        <v>0</v>
      </c>
      <c r="Q312" s="1085">
        <f>-Q311*Assumptions!$O$62</f>
        <v>0</v>
      </c>
      <c r="R312" s="1085">
        <f>-R311*Assumptions!$O$62</f>
        <v>0</v>
      </c>
      <c r="S312" s="1085">
        <f>-S311*Assumptions!$O$62</f>
        <v>0</v>
      </c>
      <c r="T312" s="1085">
        <f>-T311*Assumptions!$O$62</f>
        <v>0</v>
      </c>
      <c r="U312" s="1085">
        <f>-U311*Assumptions!$O$62</f>
        <v>0</v>
      </c>
      <c r="V312" s="1085">
        <f>-V311*Assumptions!$O$62</f>
        <v>0</v>
      </c>
      <c r="W312" s="1085">
        <f>-W311*Assumptions!$O$62</f>
        <v>0</v>
      </c>
      <c r="X312" s="1085">
        <f>-X311*Assumptions!$O$62</f>
        <v>0</v>
      </c>
      <c r="Y312" s="1085">
        <f>-Y311*Assumptions!$O$62</f>
        <v>0</v>
      </c>
      <c r="Z312" s="1085">
        <f>-Z311*Assumptions!$O$62</f>
        <v>0</v>
      </c>
    </row>
    <row r="313" spans="2:26">
      <c r="B313" s="699" t="s">
        <v>1184</v>
      </c>
      <c r="C313" s="699"/>
      <c r="D313" s="699"/>
      <c r="E313" s="699"/>
      <c r="F313" s="1085">
        <f>+IF(F301=Assumptions!$G$31,F305*Assumptions!$AF$159*(1-Assumptions!$O$62)*12,0)</f>
        <v>0</v>
      </c>
      <c r="G313" s="1085">
        <f>+IF(G301=Assumptions!$G$31,G305*Assumptions!$AF$159*(1-Assumptions!$O$62)*12,0)</f>
        <v>0</v>
      </c>
      <c r="H313" s="1085">
        <f>+IF(H301=Assumptions!$G$31,H305*Assumptions!$AF$159*(1-Assumptions!$O$62)*12,0)</f>
        <v>0</v>
      </c>
      <c r="I313" s="1085">
        <f>+IF(I301=Assumptions!$G$31,I305*Assumptions!$AF$159*(1-Assumptions!$O$62)*12,0)</f>
        <v>24458.096943843753</v>
      </c>
      <c r="J313" s="1085">
        <f>+IF(J301=Assumptions!$G$31,J305*Assumptions!$AF$159*(1-Assumptions!$O$62)*12,0)</f>
        <v>0</v>
      </c>
      <c r="K313" s="1085">
        <f>+IF(K301=Assumptions!$G$31,K305*Assumptions!$AF$159*(1-Assumptions!$O$62)*12,0)</f>
        <v>0</v>
      </c>
      <c r="L313" s="1085">
        <f>+IF(L301=Assumptions!$G$31,L305*Assumptions!$AF$159*(1-Assumptions!$O$62)*12,0)</f>
        <v>0</v>
      </c>
      <c r="M313" s="1085">
        <f>+IF(M301=Assumptions!$G$31,M305*Assumptions!$AF$159*(1-Assumptions!$O$62)*12,0)</f>
        <v>0</v>
      </c>
      <c r="N313" s="1085">
        <f>+IF(N301=Assumptions!$G$31,N305*Assumptions!$AF$159*(1-Assumptions!$O$62)*12,0)</f>
        <v>0</v>
      </c>
      <c r="O313" s="1085">
        <f>+IF(O301=Assumptions!$G$31,O305*Assumptions!$AF$159*(1-Assumptions!$O$62)*12,0)</f>
        <v>0</v>
      </c>
      <c r="P313" s="1085">
        <f>+IF(P301=Assumptions!$G$31,P305*Assumptions!$AF$159*(1-Assumptions!$O$62)*12,0)</f>
        <v>0</v>
      </c>
      <c r="Q313" s="1085">
        <f>+IF(Q301=Assumptions!$G$31,Q305*Assumptions!$AF$159*(1-Assumptions!$O$62)*12,0)</f>
        <v>0</v>
      </c>
      <c r="R313" s="1085">
        <f>+IF(R301=Assumptions!$G$31,R305*Assumptions!$AF$159*(1-Assumptions!$O$62)*12,0)</f>
        <v>0</v>
      </c>
      <c r="S313" s="1085">
        <f>+IF(S301=Assumptions!$G$31,S305*Assumptions!$AF$159*(1-Assumptions!$O$62)*12,0)</f>
        <v>0</v>
      </c>
      <c r="T313" s="1085">
        <f>+IF(T301=Assumptions!$G$31,T305*Assumptions!$AF$159*(1-Assumptions!$O$62)*12,0)</f>
        <v>0</v>
      </c>
      <c r="U313" s="1085">
        <f>+IF(U301=Assumptions!$G$31,U305*Assumptions!$AF$159*(1-Assumptions!$O$62)*12,0)</f>
        <v>0</v>
      </c>
      <c r="V313" s="1085">
        <f>+IF(V301=Assumptions!$G$31,V305*Assumptions!$AF$159*(1-Assumptions!$O$62)*12,0)</f>
        <v>0</v>
      </c>
      <c r="W313" s="1085">
        <f>+IF(W301=Assumptions!$G$31,W305*Assumptions!$AF$159*(1-Assumptions!$O$62)*12,0)</f>
        <v>0</v>
      </c>
      <c r="X313" s="1085">
        <f>+IF(X301=Assumptions!$G$31,X305*Assumptions!$AF$159*(1-Assumptions!$O$62)*12,0)</f>
        <v>0</v>
      </c>
      <c r="Y313" s="1085">
        <f>+IF(Y301=Assumptions!$G$31,Y305*Assumptions!$AF$159*(1-Assumptions!$O$62)*12,0)</f>
        <v>0</v>
      </c>
      <c r="Z313" s="1085">
        <f>+IF(Z301=Assumptions!$G$31,Z305*Assumptions!$AF$159*(1-Assumptions!$O$62)*12,0)</f>
        <v>0</v>
      </c>
    </row>
    <row r="314" spans="2:26">
      <c r="B314" s="52" t="s">
        <v>1131</v>
      </c>
      <c r="C314" s="1052"/>
      <c r="D314" s="1052"/>
      <c r="E314" s="1052"/>
      <c r="F314" s="1086">
        <f>SUM(F311:F313)</f>
        <v>0</v>
      </c>
      <c r="G314" s="1086">
        <f t="shared" ref="G314:Z314" si="157">SUM(G311:G313)</f>
        <v>0</v>
      </c>
      <c r="H314" s="1086">
        <f t="shared" si="157"/>
        <v>0</v>
      </c>
      <c r="I314" s="1086">
        <f t="shared" si="157"/>
        <v>32661231.459612563</v>
      </c>
      <c r="J314" s="1086">
        <f t="shared" si="157"/>
        <v>0</v>
      </c>
      <c r="K314" s="1086">
        <f t="shared" si="157"/>
        <v>0</v>
      </c>
      <c r="L314" s="1086">
        <f t="shared" si="157"/>
        <v>0</v>
      </c>
      <c r="M314" s="1086">
        <f t="shared" si="157"/>
        <v>0</v>
      </c>
      <c r="N314" s="1086">
        <f t="shared" si="157"/>
        <v>0</v>
      </c>
      <c r="O314" s="1086">
        <f t="shared" si="157"/>
        <v>0</v>
      </c>
      <c r="P314" s="1086">
        <f t="shared" si="157"/>
        <v>0</v>
      </c>
      <c r="Q314" s="1086">
        <f t="shared" si="157"/>
        <v>0</v>
      </c>
      <c r="R314" s="1086">
        <f t="shared" si="157"/>
        <v>0</v>
      </c>
      <c r="S314" s="1086">
        <f t="shared" si="157"/>
        <v>0</v>
      </c>
      <c r="T314" s="1086">
        <f t="shared" si="157"/>
        <v>0</v>
      </c>
      <c r="U314" s="1086">
        <f t="shared" si="157"/>
        <v>0</v>
      </c>
      <c r="V314" s="1086">
        <f t="shared" si="157"/>
        <v>0</v>
      </c>
      <c r="W314" s="1086">
        <f t="shared" si="157"/>
        <v>0</v>
      </c>
      <c r="X314" s="1086">
        <f t="shared" si="157"/>
        <v>0</v>
      </c>
      <c r="Y314" s="1086">
        <f t="shared" si="157"/>
        <v>0</v>
      </c>
      <c r="Z314" s="1086">
        <f t="shared" si="157"/>
        <v>0</v>
      </c>
    </row>
    <row r="315" spans="2:26">
      <c r="B315" s="49"/>
      <c r="C315" s="699"/>
      <c r="D315" s="699"/>
      <c r="E315" s="699"/>
      <c r="F315" s="699"/>
      <c r="G315" s="699"/>
      <c r="H315" s="699"/>
      <c r="I315" s="699"/>
      <c r="J315" s="699"/>
      <c r="K315" s="699"/>
      <c r="L315" s="699"/>
      <c r="M315" s="699"/>
      <c r="N315" s="699"/>
      <c r="O315" s="699"/>
      <c r="P315" s="699"/>
      <c r="Q315" s="699"/>
      <c r="R315" s="699"/>
      <c r="S315" s="699"/>
      <c r="T315" s="699"/>
      <c r="U315" s="699"/>
      <c r="V315" s="699"/>
      <c r="W315" s="699"/>
      <c r="X315" s="699"/>
      <c r="Y315" s="699"/>
      <c r="Z315" s="699"/>
    </row>
    <row r="316" spans="2:26">
      <c r="B316" s="699" t="s">
        <v>1132</v>
      </c>
      <c r="C316" s="699"/>
      <c r="D316" s="699"/>
      <c r="E316" s="699"/>
      <c r="F316" s="1087">
        <f>+F305*Assumptions!$O$99*F309</f>
        <v>0</v>
      </c>
      <c r="G316" s="1087">
        <f>+G305*Assumptions!$O$99*G309</f>
        <v>0</v>
      </c>
      <c r="H316" s="1087">
        <f>+H305*Assumptions!$O$99*H309</f>
        <v>0</v>
      </c>
      <c r="I316" s="1087">
        <f>+I305*Assumptions!$O$99*I309</f>
        <v>0</v>
      </c>
      <c r="J316" s="1087">
        <f>+J305*Assumptions!$O$99*J309</f>
        <v>0</v>
      </c>
      <c r="K316" s="1087">
        <f>+K305*Assumptions!$O$99*K309</f>
        <v>0</v>
      </c>
      <c r="L316" s="1087">
        <f>+L305*Assumptions!$O$99*L309</f>
        <v>0</v>
      </c>
      <c r="M316" s="1087">
        <f>+M305*Assumptions!$O$99*M309</f>
        <v>0</v>
      </c>
      <c r="N316" s="1087">
        <f>+N305*Assumptions!$O$99*N309</f>
        <v>0</v>
      </c>
      <c r="O316" s="1087">
        <f>+O305*Assumptions!$O$99*O309</f>
        <v>0</v>
      </c>
      <c r="P316" s="1087">
        <f>+P305*Assumptions!$O$99*P309</f>
        <v>0</v>
      </c>
      <c r="Q316" s="1087">
        <f>+Q305*Assumptions!$O$99*Q309</f>
        <v>0</v>
      </c>
      <c r="R316" s="1087">
        <f>+R305*Assumptions!$O$99*R309</f>
        <v>0</v>
      </c>
      <c r="S316" s="1087">
        <f>+S305*Assumptions!$O$99*S309</f>
        <v>0</v>
      </c>
      <c r="T316" s="1087">
        <f>+T305*Assumptions!$O$99*T309</f>
        <v>0</v>
      </c>
      <c r="U316" s="1087">
        <f>+U305*Assumptions!$O$99*U309</f>
        <v>0</v>
      </c>
      <c r="V316" s="1087">
        <f>+V305*Assumptions!$O$99*V309</f>
        <v>0</v>
      </c>
      <c r="W316" s="1087">
        <f>+W305*Assumptions!$O$99*W309</f>
        <v>0</v>
      </c>
      <c r="X316" s="1087">
        <f>+X305*Assumptions!$O$99*X309</f>
        <v>0</v>
      </c>
      <c r="Y316" s="1087">
        <f>+Y305*Assumptions!$O$99*Y309</f>
        <v>0</v>
      </c>
      <c r="Z316" s="1087">
        <f>+Z305*Assumptions!$O$99*Z309</f>
        <v>0</v>
      </c>
    </row>
    <row r="317" spans="2:26">
      <c r="B317" s="699"/>
      <c r="C317" s="699"/>
      <c r="D317" s="699"/>
      <c r="E317" s="699"/>
      <c r="F317" s="1087"/>
      <c r="G317" s="1087"/>
      <c r="H317" s="1087"/>
      <c r="I317" s="1087"/>
      <c r="J317" s="1087"/>
      <c r="K317" s="1087"/>
      <c r="L317" s="1087"/>
      <c r="M317" s="1087"/>
      <c r="N317" s="1087"/>
      <c r="O317" s="1087"/>
      <c r="P317" s="1087"/>
      <c r="Q317" s="1087"/>
      <c r="R317" s="1087"/>
      <c r="S317" s="1087"/>
      <c r="T317" s="1087"/>
      <c r="U317" s="1087"/>
      <c r="V317" s="1087"/>
      <c r="W317" s="1087"/>
      <c r="X317" s="1087"/>
      <c r="Y317" s="1087"/>
      <c r="Z317" s="1087"/>
    </row>
    <row r="318" spans="2:26">
      <c r="B318" s="699" t="s">
        <v>1133</v>
      </c>
      <c r="C318" s="699"/>
      <c r="D318" s="699"/>
      <c r="E318" s="699"/>
      <c r="F318" s="1050">
        <v>0</v>
      </c>
      <c r="G318" s="1050">
        <v>0</v>
      </c>
      <c r="H318" s="1050">
        <v>0</v>
      </c>
      <c r="I318" s="1050">
        <v>0</v>
      </c>
      <c r="J318" s="1050">
        <v>0</v>
      </c>
      <c r="K318" s="1050">
        <v>0</v>
      </c>
      <c r="L318" s="1050">
        <v>0</v>
      </c>
      <c r="M318" s="1050">
        <v>0</v>
      </c>
      <c r="N318" s="1050">
        <v>0</v>
      </c>
      <c r="O318" s="1050">
        <v>0</v>
      </c>
      <c r="P318" s="1050">
        <v>0</v>
      </c>
      <c r="Q318" s="1050">
        <v>0</v>
      </c>
      <c r="R318" s="1050">
        <v>0</v>
      </c>
      <c r="S318" s="1050">
        <v>0</v>
      </c>
      <c r="T318" s="1050">
        <v>0</v>
      </c>
      <c r="U318" s="1050">
        <v>0</v>
      </c>
      <c r="V318" s="1050">
        <v>0</v>
      </c>
      <c r="W318" s="1050">
        <v>0</v>
      </c>
      <c r="X318" s="1050">
        <v>0</v>
      </c>
      <c r="Y318" s="1050">
        <v>0</v>
      </c>
      <c r="Z318" s="1050">
        <v>0</v>
      </c>
    </row>
    <row r="319" spans="2:26">
      <c r="B319" s="52" t="s">
        <v>1134</v>
      </c>
      <c r="C319" s="1052"/>
      <c r="D319" s="1052"/>
      <c r="E319" s="1052"/>
      <c r="F319" s="1088">
        <f>+SUM(F316:F318)</f>
        <v>0</v>
      </c>
      <c r="G319" s="1088">
        <f t="shared" ref="G319:Z319" si="158">+SUM(G316:G318)</f>
        <v>0</v>
      </c>
      <c r="H319" s="1088">
        <f t="shared" si="158"/>
        <v>0</v>
      </c>
      <c r="I319" s="1088">
        <f t="shared" si="158"/>
        <v>0</v>
      </c>
      <c r="J319" s="1088">
        <f t="shared" si="158"/>
        <v>0</v>
      </c>
      <c r="K319" s="1088">
        <f t="shared" si="158"/>
        <v>0</v>
      </c>
      <c r="L319" s="1088">
        <f t="shared" si="158"/>
        <v>0</v>
      </c>
      <c r="M319" s="1088">
        <f t="shared" si="158"/>
        <v>0</v>
      </c>
      <c r="N319" s="1088">
        <f t="shared" si="158"/>
        <v>0</v>
      </c>
      <c r="O319" s="1088">
        <f t="shared" si="158"/>
        <v>0</v>
      </c>
      <c r="P319" s="1088">
        <f t="shared" si="158"/>
        <v>0</v>
      </c>
      <c r="Q319" s="1088">
        <f t="shared" si="158"/>
        <v>0</v>
      </c>
      <c r="R319" s="1088">
        <f t="shared" si="158"/>
        <v>0</v>
      </c>
      <c r="S319" s="1088">
        <f t="shared" si="158"/>
        <v>0</v>
      </c>
      <c r="T319" s="1088">
        <f t="shared" si="158"/>
        <v>0</v>
      </c>
      <c r="U319" s="1088">
        <f t="shared" si="158"/>
        <v>0</v>
      </c>
      <c r="V319" s="1088">
        <f t="shared" si="158"/>
        <v>0</v>
      </c>
      <c r="W319" s="1088">
        <f t="shared" si="158"/>
        <v>0</v>
      </c>
      <c r="X319" s="1088">
        <f t="shared" si="158"/>
        <v>0</v>
      </c>
      <c r="Y319" s="1088">
        <f t="shared" si="158"/>
        <v>0</v>
      </c>
      <c r="Z319" s="1088">
        <f t="shared" si="158"/>
        <v>0</v>
      </c>
    </row>
    <row r="321" spans="1:26" ht="15.75">
      <c r="A321" s="699"/>
      <c r="B321" s="50" t="s">
        <v>1135</v>
      </c>
      <c r="C321" s="50"/>
      <c r="D321" s="50"/>
      <c r="E321" s="50"/>
      <c r="F321" s="55">
        <f>+F314-F319</f>
        <v>0</v>
      </c>
      <c r="G321" s="55">
        <f t="shared" ref="G321:Z321" si="159">+G314-G319</f>
        <v>0</v>
      </c>
      <c r="H321" s="55">
        <f t="shared" si="159"/>
        <v>0</v>
      </c>
      <c r="I321" s="55">
        <f t="shared" si="159"/>
        <v>32661231.459612563</v>
      </c>
      <c r="J321" s="55">
        <f t="shared" si="159"/>
        <v>0</v>
      </c>
      <c r="K321" s="55">
        <f t="shared" si="159"/>
        <v>0</v>
      </c>
      <c r="L321" s="55">
        <f t="shared" si="159"/>
        <v>0</v>
      </c>
      <c r="M321" s="55">
        <f t="shared" si="159"/>
        <v>0</v>
      </c>
      <c r="N321" s="55">
        <f t="shared" si="159"/>
        <v>0</v>
      </c>
      <c r="O321" s="55">
        <f t="shared" si="159"/>
        <v>0</v>
      </c>
      <c r="P321" s="55">
        <f t="shared" si="159"/>
        <v>0</v>
      </c>
      <c r="Q321" s="55">
        <f t="shared" si="159"/>
        <v>0</v>
      </c>
      <c r="R321" s="55">
        <f t="shared" si="159"/>
        <v>0</v>
      </c>
      <c r="S321" s="55">
        <f t="shared" si="159"/>
        <v>0</v>
      </c>
      <c r="T321" s="55">
        <f t="shared" si="159"/>
        <v>0</v>
      </c>
      <c r="U321" s="55">
        <f t="shared" si="159"/>
        <v>0</v>
      </c>
      <c r="V321" s="55">
        <f t="shared" si="159"/>
        <v>0</v>
      </c>
      <c r="W321" s="55">
        <f t="shared" si="159"/>
        <v>0</v>
      </c>
      <c r="X321" s="55">
        <f t="shared" si="159"/>
        <v>0</v>
      </c>
      <c r="Y321" s="55">
        <f t="shared" si="159"/>
        <v>0</v>
      </c>
      <c r="Z321" s="55">
        <f t="shared" si="159"/>
        <v>0</v>
      </c>
    </row>
    <row r="322" spans="1:26" ht="15.75">
      <c r="A322" s="699"/>
      <c r="B322" s="50" t="s">
        <v>1136</v>
      </c>
      <c r="C322" s="50"/>
      <c r="D322" s="50"/>
      <c r="E322" s="50"/>
      <c r="F322" s="56" t="str">
        <f t="shared" ref="F322" si="160">+IFERROR(F321/F314,"")</f>
        <v/>
      </c>
      <c r="G322" s="56" t="str">
        <f t="shared" ref="G322:Z322" si="161">+IFERROR(G321/G314,"")</f>
        <v/>
      </c>
      <c r="H322" s="56" t="str">
        <f t="shared" si="161"/>
        <v/>
      </c>
      <c r="I322" s="56">
        <f t="shared" si="161"/>
        <v>1</v>
      </c>
      <c r="J322" s="56" t="str">
        <f t="shared" si="161"/>
        <v/>
      </c>
      <c r="K322" s="56" t="str">
        <f t="shared" si="161"/>
        <v/>
      </c>
      <c r="L322" s="56" t="str">
        <f t="shared" si="161"/>
        <v/>
      </c>
      <c r="M322" s="56" t="str">
        <f t="shared" si="161"/>
        <v/>
      </c>
      <c r="N322" s="56" t="str">
        <f t="shared" si="161"/>
        <v/>
      </c>
      <c r="O322" s="56" t="str">
        <f t="shared" si="161"/>
        <v/>
      </c>
      <c r="P322" s="56" t="str">
        <f t="shared" si="161"/>
        <v/>
      </c>
      <c r="Q322" s="56" t="str">
        <f t="shared" si="161"/>
        <v/>
      </c>
      <c r="R322" s="56" t="str">
        <f t="shared" si="161"/>
        <v/>
      </c>
      <c r="S322" s="56" t="str">
        <f t="shared" si="161"/>
        <v/>
      </c>
      <c r="T322" s="56" t="str">
        <f t="shared" si="161"/>
        <v/>
      </c>
      <c r="U322" s="56" t="str">
        <f t="shared" si="161"/>
        <v/>
      </c>
      <c r="V322" s="56" t="str">
        <f t="shared" si="161"/>
        <v/>
      </c>
      <c r="W322" s="56" t="str">
        <f t="shared" si="161"/>
        <v/>
      </c>
      <c r="X322" s="56" t="str">
        <f t="shared" si="161"/>
        <v/>
      </c>
      <c r="Y322" s="56" t="str">
        <f t="shared" si="161"/>
        <v/>
      </c>
      <c r="Z322" s="56" t="str">
        <f t="shared" si="161"/>
        <v/>
      </c>
    </row>
    <row r="323" spans="1:26" ht="15.75">
      <c r="A323" s="699"/>
      <c r="B323" s="50" t="s">
        <v>1186</v>
      </c>
      <c r="C323" s="50"/>
      <c r="D323" s="50"/>
      <c r="E323" s="50"/>
      <c r="F323" s="55">
        <f t="shared" ref="F323" si="162">+F321</f>
        <v>0</v>
      </c>
      <c r="G323" s="55">
        <f t="shared" ref="G323:Z323" si="163">+G321</f>
        <v>0</v>
      </c>
      <c r="H323" s="55">
        <f t="shared" si="163"/>
        <v>0</v>
      </c>
      <c r="I323" s="55">
        <f t="shared" si="163"/>
        <v>32661231.459612563</v>
      </c>
      <c r="J323" s="55">
        <f t="shared" si="163"/>
        <v>0</v>
      </c>
      <c r="K323" s="55">
        <f t="shared" si="163"/>
        <v>0</v>
      </c>
      <c r="L323" s="55">
        <f t="shared" si="163"/>
        <v>0</v>
      </c>
      <c r="M323" s="55">
        <f t="shared" si="163"/>
        <v>0</v>
      </c>
      <c r="N323" s="55">
        <f t="shared" si="163"/>
        <v>0</v>
      </c>
      <c r="O323" s="55">
        <f t="shared" si="163"/>
        <v>0</v>
      </c>
      <c r="P323" s="55">
        <f t="shared" si="163"/>
        <v>0</v>
      </c>
      <c r="Q323" s="55">
        <f t="shared" si="163"/>
        <v>0</v>
      </c>
      <c r="R323" s="55">
        <f t="shared" si="163"/>
        <v>0</v>
      </c>
      <c r="S323" s="55">
        <f t="shared" si="163"/>
        <v>0</v>
      </c>
      <c r="T323" s="55">
        <f t="shared" si="163"/>
        <v>0</v>
      </c>
      <c r="U323" s="55">
        <f t="shared" si="163"/>
        <v>0</v>
      </c>
      <c r="V323" s="55">
        <f t="shared" si="163"/>
        <v>0</v>
      </c>
      <c r="W323" s="55">
        <f t="shared" si="163"/>
        <v>0</v>
      </c>
      <c r="X323" s="55">
        <f t="shared" si="163"/>
        <v>0</v>
      </c>
      <c r="Y323" s="55">
        <f t="shared" si="163"/>
        <v>0</v>
      </c>
      <c r="Z323" s="55">
        <f t="shared" si="163"/>
        <v>0</v>
      </c>
    </row>
    <row r="324" spans="1:26">
      <c r="A324" s="699"/>
      <c r="B324" s="49"/>
      <c r="C324" s="49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</row>
    <row r="325" spans="1:26" ht="15.75">
      <c r="A325" s="699"/>
      <c r="B325" s="112" t="s">
        <v>1170</v>
      </c>
      <c r="C325" s="49"/>
      <c r="D325" s="49"/>
      <c r="E325" s="49"/>
      <c r="F325" s="148">
        <f>+Assumptions!$G$27</f>
        <v>46387</v>
      </c>
      <c r="G325" s="148">
        <f>+EOMONTH(F325,12)</f>
        <v>46752</v>
      </c>
      <c r="H325" s="148">
        <f t="shared" ref="H325:Z325" si="164">+EOMONTH(G325,12)</f>
        <v>47118</v>
      </c>
      <c r="I325" s="148">
        <f t="shared" si="164"/>
        <v>47483</v>
      </c>
      <c r="J325" s="148">
        <f t="shared" si="164"/>
        <v>47848</v>
      </c>
      <c r="K325" s="148">
        <f t="shared" si="164"/>
        <v>48213</v>
      </c>
      <c r="L325" s="148">
        <f t="shared" si="164"/>
        <v>48579</v>
      </c>
      <c r="M325" s="148">
        <f t="shared" si="164"/>
        <v>48944</v>
      </c>
      <c r="N325" s="148">
        <f t="shared" si="164"/>
        <v>49309</v>
      </c>
      <c r="O325" s="148">
        <f t="shared" si="164"/>
        <v>49674</v>
      </c>
      <c r="P325" s="148">
        <f t="shared" si="164"/>
        <v>50040</v>
      </c>
      <c r="Q325" s="148">
        <f t="shared" si="164"/>
        <v>50405</v>
      </c>
      <c r="R325" s="148">
        <f t="shared" si="164"/>
        <v>50770</v>
      </c>
      <c r="S325" s="148">
        <f t="shared" si="164"/>
        <v>51135</v>
      </c>
      <c r="T325" s="148">
        <f t="shared" si="164"/>
        <v>51501</v>
      </c>
      <c r="U325" s="148">
        <f t="shared" si="164"/>
        <v>51866</v>
      </c>
      <c r="V325" s="148">
        <f t="shared" si="164"/>
        <v>52231</v>
      </c>
      <c r="W325" s="148">
        <f t="shared" si="164"/>
        <v>52596</v>
      </c>
      <c r="X325" s="148">
        <f t="shared" si="164"/>
        <v>52962</v>
      </c>
      <c r="Y325" s="148">
        <f t="shared" si="164"/>
        <v>53327</v>
      </c>
      <c r="Z325" s="148">
        <f t="shared" si="164"/>
        <v>53692</v>
      </c>
    </row>
    <row r="326" spans="1:26">
      <c r="A326" s="699"/>
      <c r="B326" s="699" t="s">
        <v>1147</v>
      </c>
      <c r="C326" s="49"/>
      <c r="D326" s="49"/>
      <c r="E326" s="49"/>
      <c r="F326" s="1028">
        <v>0</v>
      </c>
      <c r="G326" s="83">
        <f>+F329</f>
        <v>0</v>
      </c>
      <c r="H326" s="83">
        <f t="shared" ref="H326:Z326" si="165">+G329</f>
        <v>0</v>
      </c>
      <c r="I326" s="83">
        <f t="shared" si="165"/>
        <v>0</v>
      </c>
      <c r="J326" s="83">
        <f t="shared" si="165"/>
        <v>0</v>
      </c>
      <c r="K326" s="83">
        <f t="shared" si="165"/>
        <v>0</v>
      </c>
      <c r="L326" s="83">
        <f t="shared" si="165"/>
        <v>0</v>
      </c>
      <c r="M326" s="83">
        <f t="shared" si="165"/>
        <v>0</v>
      </c>
      <c r="N326" s="83">
        <f t="shared" si="165"/>
        <v>0</v>
      </c>
      <c r="O326" s="83">
        <f t="shared" si="165"/>
        <v>0</v>
      </c>
      <c r="P326" s="83">
        <f t="shared" si="165"/>
        <v>0</v>
      </c>
      <c r="Q326" s="83">
        <f t="shared" si="165"/>
        <v>0</v>
      </c>
      <c r="R326" s="83">
        <f t="shared" si="165"/>
        <v>0</v>
      </c>
      <c r="S326" s="83">
        <f t="shared" si="165"/>
        <v>0</v>
      </c>
      <c r="T326" s="83">
        <f t="shared" si="165"/>
        <v>0</v>
      </c>
      <c r="U326" s="83">
        <f t="shared" si="165"/>
        <v>0</v>
      </c>
      <c r="V326" s="83">
        <f t="shared" si="165"/>
        <v>0</v>
      </c>
      <c r="W326" s="83">
        <f t="shared" si="165"/>
        <v>0</v>
      </c>
      <c r="X326" s="83">
        <f t="shared" si="165"/>
        <v>0</v>
      </c>
      <c r="Y326" s="83">
        <f t="shared" si="165"/>
        <v>0</v>
      </c>
      <c r="Z326" s="83">
        <f t="shared" si="165"/>
        <v>0</v>
      </c>
    </row>
    <row r="327" spans="1:26">
      <c r="A327" s="699"/>
      <c r="B327" s="699" t="s">
        <v>1148</v>
      </c>
      <c r="C327" s="49"/>
      <c r="D327" s="49"/>
      <c r="E327" s="49"/>
      <c r="F327" s="90">
        <f>+IF(YEAR(F$137)=YEAR(Assumptions!$G$31),'S&amp;U'!$R$19,0)</f>
        <v>0</v>
      </c>
      <c r="G327" s="90">
        <f>+IF(YEAR(G$137)=YEAR(Assumptions!$G$31),'S&amp;U'!$R$19,0)</f>
        <v>0</v>
      </c>
      <c r="H327" s="90">
        <f>+IF(YEAR(H$137)=YEAR(Assumptions!$G$31),'S&amp;U'!$R$19,0)</f>
        <v>0</v>
      </c>
      <c r="I327" s="90">
        <f>+IF(YEAR(I$137)=YEAR(Assumptions!$G$31),'S&amp;U'!$R$19,0)</f>
        <v>0</v>
      </c>
      <c r="J327" s="90">
        <f>+IF(YEAR(J$137)=YEAR(Assumptions!$G$31),'S&amp;U'!$R$19,0)</f>
        <v>0</v>
      </c>
      <c r="K327" s="90">
        <f>+IF(YEAR(K$137)=YEAR(Assumptions!$G$31),'S&amp;U'!$R$19,0)</f>
        <v>0</v>
      </c>
      <c r="L327" s="90">
        <f>+IF(YEAR(L$137)=YEAR(Assumptions!$G$31),'S&amp;U'!$R$19,0)</f>
        <v>0</v>
      </c>
      <c r="M327" s="90">
        <f>+IF(YEAR(M$137)=YEAR(Assumptions!$G$31),'S&amp;U'!$R$19,0)</f>
        <v>0</v>
      </c>
      <c r="N327" s="90">
        <f>+IF(YEAR(N$137)=YEAR(Assumptions!$G$31),'S&amp;U'!$R$19,0)</f>
        <v>0</v>
      </c>
      <c r="O327" s="90">
        <f>+IF(YEAR(O$137)=YEAR(Assumptions!$G$31),'S&amp;U'!$R$19,0)</f>
        <v>0</v>
      </c>
      <c r="P327" s="90">
        <f>+IF(YEAR(P$137)=YEAR(Assumptions!$G$31),'S&amp;U'!$R$19,0)</f>
        <v>0</v>
      </c>
      <c r="Q327" s="90">
        <f>+IF(YEAR(Q$137)=YEAR(Assumptions!$G$31),'S&amp;U'!$R$19,0)</f>
        <v>0</v>
      </c>
      <c r="R327" s="90">
        <f>+IF(YEAR(R$137)=YEAR(Assumptions!$G$31),'S&amp;U'!$R$19,0)</f>
        <v>0</v>
      </c>
      <c r="S327" s="90">
        <f>+IF(YEAR(S$137)=YEAR(Assumptions!$G$31),'S&amp;U'!$R$19,0)</f>
        <v>0</v>
      </c>
      <c r="T327" s="90">
        <f>+IF(YEAR(T$137)=YEAR(Assumptions!$G$31),'S&amp;U'!$R$19,0)</f>
        <v>0</v>
      </c>
      <c r="U327" s="90">
        <f>+IF(YEAR(U$137)=YEAR(Assumptions!$G$31),'S&amp;U'!$R$19,0)</f>
        <v>0</v>
      </c>
      <c r="V327" s="90">
        <f>+IF(YEAR(V$137)=YEAR(Assumptions!$G$31),'S&amp;U'!$R$19,0)</f>
        <v>0</v>
      </c>
      <c r="W327" s="90">
        <f>+IF(YEAR(W$137)=YEAR(Assumptions!$G$31),'S&amp;U'!$R$19,0)</f>
        <v>0</v>
      </c>
      <c r="X327" s="90">
        <f>+IF(YEAR(X$137)=YEAR(Assumptions!$G$31),'S&amp;U'!$R$19,0)</f>
        <v>0</v>
      </c>
      <c r="Y327" s="90">
        <f>+IF(YEAR(Y$137)=YEAR(Assumptions!$G$31),'S&amp;U'!$R$19,0)</f>
        <v>0</v>
      </c>
      <c r="Z327" s="90">
        <f>+IF(YEAR(Z$137)=YEAR(Assumptions!$G$31),'S&amp;U'!$R$19,0)</f>
        <v>0</v>
      </c>
    </row>
    <row r="328" spans="1:26">
      <c r="A328" s="699"/>
      <c r="B328" s="699" t="s">
        <v>682</v>
      </c>
      <c r="C328" s="49"/>
      <c r="D328" s="49"/>
      <c r="E328" s="49"/>
      <c r="F328" s="90">
        <v>0</v>
      </c>
      <c r="G328" s="90">
        <v>0</v>
      </c>
      <c r="H328" s="90">
        <v>0</v>
      </c>
      <c r="I328" s="90">
        <v>0</v>
      </c>
      <c r="J328" s="90">
        <v>0</v>
      </c>
      <c r="K328" s="90">
        <v>0</v>
      </c>
      <c r="L328" s="90">
        <v>0</v>
      </c>
      <c r="M328" s="90">
        <v>0</v>
      </c>
      <c r="N328" s="90">
        <v>0</v>
      </c>
      <c r="O328" s="90">
        <v>0</v>
      </c>
      <c r="P328" s="90">
        <v>0</v>
      </c>
      <c r="Q328" s="90">
        <v>0</v>
      </c>
      <c r="R328" s="90">
        <v>0</v>
      </c>
      <c r="S328" s="90">
        <v>0</v>
      </c>
      <c r="T328" s="90">
        <v>0</v>
      </c>
      <c r="U328" s="90">
        <v>0</v>
      </c>
      <c r="V328" s="90">
        <v>0</v>
      </c>
      <c r="W328" s="90">
        <v>0</v>
      </c>
      <c r="X328" s="90">
        <v>0</v>
      </c>
      <c r="Y328" s="90">
        <v>0</v>
      </c>
      <c r="Z328" s="90">
        <v>0</v>
      </c>
    </row>
    <row r="329" spans="1:26">
      <c r="A329" s="699"/>
      <c r="B329" s="699" t="s">
        <v>1149</v>
      </c>
      <c r="C329" s="49"/>
      <c r="D329" s="49"/>
      <c r="E329" s="49"/>
      <c r="F329" s="90">
        <f>+SUM(F326:F328)</f>
        <v>0</v>
      </c>
      <c r="G329" s="90">
        <f t="shared" ref="G329:Z329" si="166">+SUM(G326:G328)</f>
        <v>0</v>
      </c>
      <c r="H329" s="90">
        <f t="shared" si="166"/>
        <v>0</v>
      </c>
      <c r="I329" s="90">
        <f t="shared" si="166"/>
        <v>0</v>
      </c>
      <c r="J329" s="90">
        <f t="shared" si="166"/>
        <v>0</v>
      </c>
      <c r="K329" s="90">
        <f t="shared" si="166"/>
        <v>0</v>
      </c>
      <c r="L329" s="90">
        <f t="shared" si="166"/>
        <v>0</v>
      </c>
      <c r="M329" s="90">
        <f t="shared" si="166"/>
        <v>0</v>
      </c>
      <c r="N329" s="90">
        <f t="shared" si="166"/>
        <v>0</v>
      </c>
      <c r="O329" s="90">
        <f t="shared" si="166"/>
        <v>0</v>
      </c>
      <c r="P329" s="90">
        <f t="shared" si="166"/>
        <v>0</v>
      </c>
      <c r="Q329" s="90">
        <f t="shared" si="166"/>
        <v>0</v>
      </c>
      <c r="R329" s="90">
        <f t="shared" si="166"/>
        <v>0</v>
      </c>
      <c r="S329" s="90">
        <f t="shared" si="166"/>
        <v>0</v>
      </c>
      <c r="T329" s="90">
        <f t="shared" si="166"/>
        <v>0</v>
      </c>
      <c r="U329" s="90">
        <f t="shared" si="166"/>
        <v>0</v>
      </c>
      <c r="V329" s="90">
        <f t="shared" si="166"/>
        <v>0</v>
      </c>
      <c r="W329" s="90">
        <f t="shared" si="166"/>
        <v>0</v>
      </c>
      <c r="X329" s="90">
        <f t="shared" si="166"/>
        <v>0</v>
      </c>
      <c r="Y329" s="90">
        <f t="shared" si="166"/>
        <v>0</v>
      </c>
      <c r="Z329" s="90">
        <f t="shared" si="166"/>
        <v>0</v>
      </c>
    </row>
    <row r="330" spans="1:26">
      <c r="A330" s="699"/>
      <c r="B330" s="49"/>
      <c r="C330" s="49"/>
      <c r="D330" s="49"/>
      <c r="E330" s="49"/>
      <c r="F330" s="699"/>
      <c r="G330" s="49"/>
      <c r="H330" s="49"/>
      <c r="I330" s="49"/>
      <c r="J330" s="49"/>
      <c r="K330" s="49"/>
      <c r="L330" s="49"/>
      <c r="M330" s="49"/>
      <c r="N330" s="49"/>
      <c r="O330" s="49"/>
      <c r="P330" s="49"/>
      <c r="Q330" s="49"/>
      <c r="R330" s="49"/>
      <c r="S330" s="49"/>
      <c r="T330" s="49"/>
      <c r="U330" s="49"/>
      <c r="V330" s="49"/>
      <c r="W330" s="49"/>
      <c r="X330" s="49"/>
      <c r="Y330" s="49"/>
      <c r="Z330" s="49"/>
    </row>
    <row r="331" spans="1:26">
      <c r="A331" s="699"/>
      <c r="B331" s="49" t="s">
        <v>1150</v>
      </c>
      <c r="C331" s="49"/>
      <c r="D331" s="49"/>
      <c r="E331" s="49"/>
      <c r="F331" s="1028">
        <f>+F329*Assumptions!$O$157</f>
        <v>0</v>
      </c>
      <c r="G331" s="1028">
        <f>+G329*Assumptions!$O$157</f>
        <v>0</v>
      </c>
      <c r="H331" s="1028">
        <f>+H329*Assumptions!$O$157</f>
        <v>0</v>
      </c>
      <c r="I331" s="1028">
        <f>+I329*Assumptions!$O$157</f>
        <v>0</v>
      </c>
      <c r="J331" s="1028">
        <f>+J329*Assumptions!$O$157</f>
        <v>0</v>
      </c>
      <c r="K331" s="1028">
        <f>+K329*Assumptions!$O$157</f>
        <v>0</v>
      </c>
      <c r="L331" s="1028">
        <f>+L329*Assumptions!$O$157</f>
        <v>0</v>
      </c>
      <c r="M331" s="1028">
        <f>+M329*Assumptions!$O$157</f>
        <v>0</v>
      </c>
      <c r="N331" s="1028">
        <f>+N329*Assumptions!$O$157</f>
        <v>0</v>
      </c>
      <c r="O331" s="1028">
        <f>+O329*Assumptions!$O$157</f>
        <v>0</v>
      </c>
      <c r="P331" s="1028">
        <f>+P329*Assumptions!$O$157</f>
        <v>0</v>
      </c>
      <c r="Q331" s="1028">
        <f>+Q329*Assumptions!$O$157</f>
        <v>0</v>
      </c>
      <c r="R331" s="1028">
        <f>+R329*Assumptions!$O$157</f>
        <v>0</v>
      </c>
      <c r="S331" s="1028">
        <f>+S329*Assumptions!$O$157</f>
        <v>0</v>
      </c>
      <c r="T331" s="1028">
        <f>+T329*Assumptions!$O$157</f>
        <v>0</v>
      </c>
      <c r="U331" s="1028">
        <f>+U329*Assumptions!$O$157</f>
        <v>0</v>
      </c>
      <c r="V331" s="1028">
        <f>+V329*Assumptions!$O$157</f>
        <v>0</v>
      </c>
      <c r="W331" s="1028">
        <f>+W329*Assumptions!$O$157</f>
        <v>0</v>
      </c>
      <c r="X331" s="1028">
        <f>+X329*Assumptions!$O$157</f>
        <v>0</v>
      </c>
      <c r="Y331" s="1028">
        <f>+Y329*Assumptions!$O$157</f>
        <v>0</v>
      </c>
      <c r="Z331" s="1028">
        <f>+Z329*Assumptions!$O$157</f>
        <v>0</v>
      </c>
    </row>
    <row r="332" spans="1:26" ht="16.5">
      <c r="A332" s="699" t="s">
        <v>511</v>
      </c>
      <c r="B332" s="61" t="s">
        <v>1151</v>
      </c>
      <c r="C332" s="61"/>
      <c r="D332" s="61"/>
      <c r="E332" s="61"/>
      <c r="F332" s="145">
        <f>+F331-F328</f>
        <v>0</v>
      </c>
      <c r="G332" s="145">
        <f t="shared" ref="G332:Z332" si="167">+G331-G328</f>
        <v>0</v>
      </c>
      <c r="H332" s="145">
        <f t="shared" si="167"/>
        <v>0</v>
      </c>
      <c r="I332" s="145">
        <f t="shared" si="167"/>
        <v>0</v>
      </c>
      <c r="J332" s="145">
        <f t="shared" si="167"/>
        <v>0</v>
      </c>
      <c r="K332" s="145">
        <f t="shared" si="167"/>
        <v>0</v>
      </c>
      <c r="L332" s="145">
        <f t="shared" si="167"/>
        <v>0</v>
      </c>
      <c r="M332" s="145">
        <f t="shared" si="167"/>
        <v>0</v>
      </c>
      <c r="N332" s="145">
        <f t="shared" si="167"/>
        <v>0</v>
      </c>
      <c r="O332" s="145">
        <f t="shared" si="167"/>
        <v>0</v>
      </c>
      <c r="P332" s="145">
        <f t="shared" si="167"/>
        <v>0</v>
      </c>
      <c r="Q332" s="145">
        <f t="shared" si="167"/>
        <v>0</v>
      </c>
      <c r="R332" s="145">
        <f t="shared" si="167"/>
        <v>0</v>
      </c>
      <c r="S332" s="145">
        <f t="shared" si="167"/>
        <v>0</v>
      </c>
      <c r="T332" s="145">
        <f t="shared" si="167"/>
        <v>0</v>
      </c>
      <c r="U332" s="145">
        <f t="shared" si="167"/>
        <v>0</v>
      </c>
      <c r="V332" s="145">
        <f t="shared" si="167"/>
        <v>0</v>
      </c>
      <c r="W332" s="145">
        <f t="shared" si="167"/>
        <v>0</v>
      </c>
      <c r="X332" s="145">
        <f t="shared" si="167"/>
        <v>0</v>
      </c>
      <c r="Y332" s="145">
        <f t="shared" si="167"/>
        <v>0</v>
      </c>
      <c r="Z332" s="145">
        <f t="shared" si="167"/>
        <v>0</v>
      </c>
    </row>
    <row r="333" spans="1:26">
      <c r="A333" s="699"/>
      <c r="B333" s="117" t="s">
        <v>670</v>
      </c>
      <c r="C333" s="49"/>
      <c r="D333" s="49"/>
      <c r="E333" s="49"/>
      <c r="F333" s="146" t="str">
        <f t="shared" ref="F333:Z333" si="168">+IFERROR(F323/F332,"")</f>
        <v/>
      </c>
      <c r="G333" s="146" t="str">
        <f t="shared" si="168"/>
        <v/>
      </c>
      <c r="H333" s="146" t="str">
        <f t="shared" si="168"/>
        <v/>
      </c>
      <c r="I333" s="146" t="str">
        <f t="shared" si="168"/>
        <v/>
      </c>
      <c r="J333" s="146" t="str">
        <f t="shared" si="168"/>
        <v/>
      </c>
      <c r="K333" s="146" t="str">
        <f t="shared" si="168"/>
        <v/>
      </c>
      <c r="L333" s="146" t="str">
        <f t="shared" si="168"/>
        <v/>
      </c>
      <c r="M333" s="146" t="str">
        <f t="shared" si="168"/>
        <v/>
      </c>
      <c r="N333" s="146" t="str">
        <f t="shared" si="168"/>
        <v/>
      </c>
      <c r="O333" s="146" t="str">
        <f t="shared" si="168"/>
        <v/>
      </c>
      <c r="P333" s="146" t="str">
        <f t="shared" si="168"/>
        <v/>
      </c>
      <c r="Q333" s="146" t="str">
        <f t="shared" si="168"/>
        <v/>
      </c>
      <c r="R333" s="146" t="str">
        <f t="shared" si="168"/>
        <v/>
      </c>
      <c r="S333" s="146" t="str">
        <f t="shared" si="168"/>
        <v/>
      </c>
      <c r="T333" s="146" t="str">
        <f t="shared" si="168"/>
        <v/>
      </c>
      <c r="U333" s="146" t="str">
        <f t="shared" si="168"/>
        <v/>
      </c>
      <c r="V333" s="146" t="str">
        <f t="shared" si="168"/>
        <v/>
      </c>
      <c r="W333" s="146" t="str">
        <f t="shared" si="168"/>
        <v/>
      </c>
      <c r="X333" s="146" t="str">
        <f t="shared" si="168"/>
        <v/>
      </c>
      <c r="Y333" s="146" t="str">
        <f t="shared" si="168"/>
        <v/>
      </c>
      <c r="Z333" s="146" t="str">
        <f t="shared" si="168"/>
        <v/>
      </c>
    </row>
    <row r="334" spans="1:26">
      <c r="A334" s="699"/>
      <c r="B334" s="49"/>
      <c r="C334" s="49"/>
      <c r="D334" s="49"/>
      <c r="E334" s="49"/>
      <c r="F334" s="699"/>
      <c r="G334" s="699"/>
      <c r="H334" s="699"/>
      <c r="I334" s="699"/>
      <c r="J334" s="699"/>
      <c r="K334" s="699"/>
      <c r="L334" s="699"/>
      <c r="M334" s="699"/>
      <c r="N334" s="699"/>
      <c r="O334" s="699"/>
      <c r="P334" s="699"/>
      <c r="Q334" s="699"/>
      <c r="R334" s="699"/>
      <c r="S334" s="699"/>
      <c r="T334" s="699"/>
      <c r="U334" s="699"/>
      <c r="V334" s="699"/>
      <c r="W334" s="699"/>
      <c r="X334" s="699"/>
      <c r="Y334" s="699"/>
      <c r="Z334" s="699"/>
    </row>
    <row r="335" spans="1:26">
      <c r="A335" s="699"/>
      <c r="B335" s="49" t="s">
        <v>1152</v>
      </c>
      <c r="C335" s="49"/>
      <c r="D335" s="49"/>
      <c r="E335" s="49"/>
      <c r="F335" s="1087">
        <f>+F327*Assumptions!$O$139</f>
        <v>0</v>
      </c>
      <c r="G335" s="1087">
        <f>+G327*Assumptions!$O$158</f>
        <v>0</v>
      </c>
      <c r="H335" s="1087">
        <f>+H327*Assumptions!$O$158</f>
        <v>0</v>
      </c>
      <c r="I335" s="1087">
        <f>+I327*Assumptions!$O$158</f>
        <v>0</v>
      </c>
      <c r="J335" s="1087">
        <f>+J327*Assumptions!$O$158</f>
        <v>0</v>
      </c>
      <c r="K335" s="1087">
        <f>+K327*Assumptions!$O$158</f>
        <v>0</v>
      </c>
      <c r="L335" s="1087">
        <f>+L327*Assumptions!$O$158</f>
        <v>0</v>
      </c>
      <c r="M335" s="1087">
        <f>+M327*Assumptions!$O$158</f>
        <v>0</v>
      </c>
      <c r="N335" s="1087">
        <f>+N327*Assumptions!$O$158</f>
        <v>0</v>
      </c>
      <c r="O335" s="1087">
        <f>+O327*Assumptions!$O$158</f>
        <v>0</v>
      </c>
      <c r="P335" s="1087">
        <f>+P327*Assumptions!$O$158</f>
        <v>0</v>
      </c>
      <c r="Q335" s="1087">
        <f>+Q327*Assumptions!$O$158</f>
        <v>0</v>
      </c>
      <c r="R335" s="1087">
        <f>+R327*Assumptions!$O$158</f>
        <v>0</v>
      </c>
      <c r="S335" s="1087">
        <f>+S327*Assumptions!$O$158</f>
        <v>0</v>
      </c>
      <c r="T335" s="1087">
        <f>+T327*Assumptions!$O$158</f>
        <v>0</v>
      </c>
      <c r="U335" s="1087">
        <f>+U327*Assumptions!$O$158</f>
        <v>0</v>
      </c>
      <c r="V335" s="1087">
        <f>+V327*Assumptions!$O$158</f>
        <v>0</v>
      </c>
      <c r="W335" s="1087">
        <f>+W327*Assumptions!$O$158</f>
        <v>0</v>
      </c>
      <c r="X335" s="1087">
        <f>+X327*Assumptions!$O$158</f>
        <v>0</v>
      </c>
      <c r="Y335" s="1087">
        <f>+Y327*Assumptions!$O$158</f>
        <v>0</v>
      </c>
      <c r="Z335" s="1087">
        <f>+Z327*Assumptions!$O$158</f>
        <v>0</v>
      </c>
    </row>
    <row r="336" spans="1:26">
      <c r="A336" s="699"/>
      <c r="B336" s="49"/>
      <c r="C336" s="49"/>
      <c r="D336" s="49"/>
      <c r="E336" s="49"/>
      <c r="F336" s="699"/>
      <c r="G336" s="699"/>
      <c r="H336" s="699"/>
      <c r="I336" s="699"/>
      <c r="J336" s="699"/>
      <c r="K336" s="699"/>
      <c r="L336" s="699"/>
      <c r="M336" s="699"/>
      <c r="N336" s="699"/>
      <c r="O336" s="699"/>
      <c r="P336" s="699"/>
      <c r="Q336" s="699"/>
      <c r="R336" s="699"/>
      <c r="S336" s="699"/>
      <c r="T336" s="699"/>
      <c r="U336" s="699"/>
      <c r="V336" s="699"/>
      <c r="W336" s="699"/>
      <c r="X336" s="699"/>
      <c r="Y336" s="699"/>
      <c r="Z336" s="699"/>
    </row>
    <row r="337" spans="2:26" ht="16.5">
      <c r="B337" s="61" t="s">
        <v>1153</v>
      </c>
      <c r="C337" s="61"/>
      <c r="D337" s="61"/>
      <c r="E337" s="61"/>
      <c r="F337" s="144">
        <v>0</v>
      </c>
      <c r="G337" s="144">
        <v>0</v>
      </c>
      <c r="H337" s="144">
        <v>0</v>
      </c>
      <c r="I337" s="144">
        <v>0</v>
      </c>
      <c r="J337" s="144">
        <v>0</v>
      </c>
      <c r="K337" s="144">
        <v>0</v>
      </c>
      <c r="L337" s="144">
        <v>0</v>
      </c>
      <c r="M337" s="144">
        <v>0</v>
      </c>
      <c r="N337" s="144">
        <v>0</v>
      </c>
      <c r="O337" s="144">
        <v>0</v>
      </c>
      <c r="P337" s="144">
        <v>0</v>
      </c>
      <c r="Q337" s="144">
        <v>0</v>
      </c>
      <c r="R337" s="144">
        <v>0</v>
      </c>
      <c r="S337" s="144">
        <v>0</v>
      </c>
      <c r="T337" s="144">
        <v>0</v>
      </c>
      <c r="U337" s="144">
        <v>0</v>
      </c>
      <c r="V337" s="144">
        <v>0</v>
      </c>
      <c r="W337" s="144">
        <v>0</v>
      </c>
      <c r="X337" s="144">
        <v>0</v>
      </c>
      <c r="Y337" s="144">
        <v>0</v>
      </c>
      <c r="Z337" s="144">
        <v>0</v>
      </c>
    </row>
    <row r="338" spans="2:26">
      <c r="B338" s="49"/>
      <c r="C338" s="49"/>
      <c r="D338" s="49"/>
      <c r="E338" s="49"/>
      <c r="F338" s="699"/>
      <c r="G338" s="699"/>
      <c r="H338" s="699"/>
      <c r="I338" s="699"/>
      <c r="J338" s="699"/>
      <c r="K338" s="699"/>
      <c r="L338" s="699"/>
      <c r="M338" s="699"/>
      <c r="N338" s="699"/>
      <c r="O338" s="699"/>
      <c r="P338" s="699"/>
      <c r="Q338" s="699"/>
      <c r="R338" s="699"/>
      <c r="S338" s="699"/>
      <c r="T338" s="699"/>
      <c r="U338" s="699"/>
      <c r="V338" s="699"/>
      <c r="W338" s="699"/>
      <c r="X338" s="699"/>
      <c r="Y338" s="699"/>
      <c r="Z338" s="699"/>
    </row>
    <row r="339" spans="2:26" ht="15.75">
      <c r="B339" s="112" t="s">
        <v>1178</v>
      </c>
      <c r="C339" s="49"/>
      <c r="D339" s="49"/>
      <c r="E339" s="49"/>
      <c r="F339" s="699"/>
      <c r="G339" s="699"/>
      <c r="H339" s="699"/>
      <c r="I339" s="699"/>
      <c r="J339" s="699"/>
      <c r="K339" s="699"/>
      <c r="L339" s="699"/>
      <c r="M339" s="699"/>
      <c r="N339" s="699"/>
      <c r="O339" s="699"/>
      <c r="P339" s="699"/>
      <c r="Q339" s="699"/>
      <c r="R339" s="699"/>
      <c r="S339" s="699"/>
      <c r="T339" s="699"/>
      <c r="U339" s="699"/>
      <c r="V339" s="699"/>
      <c r="W339" s="699"/>
      <c r="X339" s="699"/>
      <c r="Y339" s="699"/>
      <c r="Z339" s="699"/>
    </row>
    <row r="340" spans="2:26">
      <c r="B340" s="699" t="s">
        <v>1156</v>
      </c>
      <c r="C340" s="49"/>
      <c r="D340" s="49"/>
      <c r="E340" s="49"/>
      <c r="F340" s="83">
        <f>+F299+F323</f>
        <v>0</v>
      </c>
      <c r="G340" s="83">
        <f t="shared" ref="G340:Z340" si="169">+G299+G323</f>
        <v>0</v>
      </c>
      <c r="H340" s="83">
        <f t="shared" si="169"/>
        <v>0</v>
      </c>
      <c r="I340" s="83">
        <f t="shared" si="169"/>
        <v>36954584.678355075</v>
      </c>
      <c r="J340" s="83">
        <f t="shared" si="169"/>
        <v>0</v>
      </c>
      <c r="K340" s="83">
        <f t="shared" si="169"/>
        <v>0</v>
      </c>
      <c r="L340" s="83">
        <f t="shared" si="169"/>
        <v>0</v>
      </c>
      <c r="M340" s="83">
        <f t="shared" si="169"/>
        <v>0</v>
      </c>
      <c r="N340" s="83">
        <f t="shared" si="169"/>
        <v>0</v>
      </c>
      <c r="O340" s="83">
        <f t="shared" si="169"/>
        <v>0</v>
      </c>
      <c r="P340" s="83">
        <f t="shared" si="169"/>
        <v>0</v>
      </c>
      <c r="Q340" s="83">
        <f t="shared" si="169"/>
        <v>0</v>
      </c>
      <c r="R340" s="83">
        <f t="shared" si="169"/>
        <v>0</v>
      </c>
      <c r="S340" s="83">
        <f t="shared" si="169"/>
        <v>0</v>
      </c>
      <c r="T340" s="83">
        <f t="shared" si="169"/>
        <v>0</v>
      </c>
      <c r="U340" s="83">
        <f t="shared" si="169"/>
        <v>0</v>
      </c>
      <c r="V340" s="83">
        <f t="shared" si="169"/>
        <v>0</v>
      </c>
      <c r="W340" s="83">
        <f t="shared" si="169"/>
        <v>0</v>
      </c>
      <c r="X340" s="83">
        <f t="shared" si="169"/>
        <v>0</v>
      </c>
      <c r="Y340" s="83">
        <f t="shared" si="169"/>
        <v>0</v>
      </c>
      <c r="Z340" s="83">
        <f t="shared" si="169"/>
        <v>0</v>
      </c>
    </row>
    <row r="341" spans="2:26">
      <c r="B341" s="699" t="s">
        <v>1158</v>
      </c>
      <c r="C341" s="49"/>
      <c r="D341" s="49"/>
      <c r="E341" s="49"/>
      <c r="F341" s="90">
        <f>-F340*Assumptions!$G$42</f>
        <v>0</v>
      </c>
      <c r="G341" s="90">
        <f>-G340*Assumptions!$G$42</f>
        <v>0</v>
      </c>
      <c r="H341" s="90">
        <f>-H340*Assumptions!$G$42</f>
        <v>0</v>
      </c>
      <c r="I341" s="90">
        <f>-I340*Assumptions!$G$42</f>
        <v>-369545.84678355075</v>
      </c>
      <c r="J341" s="90">
        <f>-J340*Assumptions!$G$42</f>
        <v>0</v>
      </c>
      <c r="K341" s="90">
        <f>-K340*Assumptions!$G$42</f>
        <v>0</v>
      </c>
      <c r="L341" s="90">
        <f>-L340*Assumptions!$G$42</f>
        <v>0</v>
      </c>
      <c r="M341" s="90">
        <f>-M340*Assumptions!$G$42</f>
        <v>0</v>
      </c>
      <c r="N341" s="90">
        <f>-N340*Assumptions!$G$42</f>
        <v>0</v>
      </c>
      <c r="O341" s="90">
        <f>-O340*Assumptions!$G$42</f>
        <v>0</v>
      </c>
      <c r="P341" s="90">
        <f>-P340*Assumptions!$G$42</f>
        <v>0</v>
      </c>
      <c r="Q341" s="90">
        <f>-Q340*Assumptions!$G$42</f>
        <v>0</v>
      </c>
      <c r="R341" s="90">
        <f>-R340*Assumptions!$G$42</f>
        <v>0</v>
      </c>
      <c r="S341" s="90">
        <f>-S340*Assumptions!$G$42</f>
        <v>0</v>
      </c>
      <c r="T341" s="90">
        <f>-T340*Assumptions!$G$42</f>
        <v>0</v>
      </c>
      <c r="U341" s="90">
        <f>-U340*Assumptions!$G$42</f>
        <v>0</v>
      </c>
      <c r="V341" s="90">
        <f>-V340*Assumptions!$G$42</f>
        <v>0</v>
      </c>
      <c r="W341" s="90">
        <f>-W340*Assumptions!$G$42</f>
        <v>0</v>
      </c>
      <c r="X341" s="90">
        <f>-X340*Assumptions!$G$42</f>
        <v>0</v>
      </c>
      <c r="Y341" s="90">
        <f>-Y340*Assumptions!$G$42</f>
        <v>0</v>
      </c>
      <c r="Z341" s="90">
        <f>-Z340*Assumptions!$G$42</f>
        <v>0</v>
      </c>
    </row>
    <row r="342" spans="2:26">
      <c r="B342" s="699" t="s">
        <v>1159</v>
      </c>
      <c r="C342" s="49"/>
      <c r="D342" s="49"/>
      <c r="E342" s="49"/>
      <c r="F342" s="90">
        <f>+IF(YEAR(F$137)=YEAR(Assumptions!$G$35),-'Phase 2 Pro Forma'!F329,0)</f>
        <v>0</v>
      </c>
      <c r="G342" s="90">
        <f>+IF(YEAR(G$137)=YEAR(Assumptions!$G$35),-'Phase 2 Pro Forma'!G329,0)</f>
        <v>0</v>
      </c>
      <c r="H342" s="90">
        <f>+IF(YEAR(H$137)=YEAR(Assumptions!$G$35),-'Phase 2 Pro Forma'!H329,0)</f>
        <v>0</v>
      </c>
      <c r="I342" s="90">
        <f>+IF(YEAR(I$137)=YEAR(Assumptions!$G$35),-'Phase 2 Pro Forma'!I329,0)</f>
        <v>0</v>
      </c>
      <c r="J342" s="90">
        <f>+IF(YEAR(J$137)=YEAR(Assumptions!$G$35),-'Phase 2 Pro Forma'!J329,0)</f>
        <v>0</v>
      </c>
      <c r="K342" s="90">
        <f>+IF(YEAR(K$137)=YEAR(Assumptions!$G$35),-'Phase 2 Pro Forma'!K329,0)</f>
        <v>0</v>
      </c>
      <c r="L342" s="90">
        <f>+IF(YEAR(L$137)=YEAR(Assumptions!$G$35),-'Phase 2 Pro Forma'!L329,0)</f>
        <v>0</v>
      </c>
      <c r="M342" s="90">
        <f>+IF(YEAR(M$137)=YEAR(Assumptions!$G$35),-'Phase 2 Pro Forma'!M329,0)</f>
        <v>0</v>
      </c>
      <c r="N342" s="90">
        <f>+IF(YEAR(N$137)=YEAR(Assumptions!$G$35),-'Phase 2 Pro Forma'!N329,0)</f>
        <v>0</v>
      </c>
      <c r="O342" s="90">
        <f>+IF(YEAR(O$137)=YEAR(Assumptions!$G$35),-'Phase 2 Pro Forma'!O329,0)</f>
        <v>0</v>
      </c>
      <c r="P342" s="90">
        <f>+IF(YEAR(P$137)=YEAR(Assumptions!$G$35),-'Phase 2 Pro Forma'!P329,0)</f>
        <v>0</v>
      </c>
      <c r="Q342" s="90">
        <f>+IF(YEAR(Q$137)=YEAR(Assumptions!$G$35),-'Phase 2 Pro Forma'!Q329,0)</f>
        <v>0</v>
      </c>
      <c r="R342" s="90">
        <f>+IF(YEAR(R$137)=YEAR(Assumptions!$G$35),-'Phase 2 Pro Forma'!R329,0)</f>
        <v>0</v>
      </c>
      <c r="S342" s="90">
        <f>+IF(YEAR(S$137)=YEAR(Assumptions!$G$35),-'Phase 2 Pro Forma'!S329,0)</f>
        <v>0</v>
      </c>
      <c r="T342" s="90">
        <f>+IF(YEAR(T$137)=YEAR(Assumptions!$G$35),-'Phase 2 Pro Forma'!T329,0)</f>
        <v>0</v>
      </c>
      <c r="U342" s="90">
        <f>+IF(YEAR(U$137)=YEAR(Assumptions!$G$35),-'Phase 2 Pro Forma'!U329,0)</f>
        <v>0</v>
      </c>
      <c r="V342" s="90">
        <f>+IF(YEAR(V$137)=YEAR(Assumptions!$G$35),-'Phase 2 Pro Forma'!V329,0)</f>
        <v>0</v>
      </c>
      <c r="W342" s="90">
        <f>+IF(YEAR(W$137)=YEAR(Assumptions!$G$35),-'Phase 2 Pro Forma'!W329,0)</f>
        <v>0</v>
      </c>
      <c r="X342" s="90">
        <f>+IF(YEAR(X$137)=YEAR(Assumptions!$G$35),-'Phase 2 Pro Forma'!X329,0)</f>
        <v>0</v>
      </c>
      <c r="Y342" s="90">
        <f>+IF(YEAR(Y$137)=YEAR(Assumptions!$G$35),-'Phase 2 Pro Forma'!Y329,0)</f>
        <v>0</v>
      </c>
      <c r="Z342" s="90">
        <f>+IF(YEAR(Z$137)=YEAR(Assumptions!$G$35),-'Phase 2 Pro Forma'!Z329,0)</f>
        <v>0</v>
      </c>
    </row>
    <row r="343" spans="2:26">
      <c r="B343" s="61" t="s">
        <v>1160</v>
      </c>
      <c r="C343" s="61"/>
      <c r="D343" s="61"/>
      <c r="E343" s="61"/>
      <c r="F343" s="64">
        <f>+SUM(F340:F342)</f>
        <v>0</v>
      </c>
      <c r="G343" s="64">
        <f t="shared" ref="G343:Z343" si="170">+SUM(G340:G342)</f>
        <v>0</v>
      </c>
      <c r="H343" s="64">
        <f t="shared" si="170"/>
        <v>0</v>
      </c>
      <c r="I343" s="64">
        <f t="shared" si="170"/>
        <v>36585038.831571527</v>
      </c>
      <c r="J343" s="64">
        <f t="shared" si="170"/>
        <v>0</v>
      </c>
      <c r="K343" s="64">
        <f t="shared" si="170"/>
        <v>0</v>
      </c>
      <c r="L343" s="64">
        <f t="shared" si="170"/>
        <v>0</v>
      </c>
      <c r="M343" s="64">
        <f t="shared" si="170"/>
        <v>0</v>
      </c>
      <c r="N343" s="64">
        <f t="shared" si="170"/>
        <v>0</v>
      </c>
      <c r="O343" s="64">
        <f t="shared" si="170"/>
        <v>0</v>
      </c>
      <c r="P343" s="64">
        <f t="shared" si="170"/>
        <v>0</v>
      </c>
      <c r="Q343" s="64">
        <f t="shared" si="170"/>
        <v>0</v>
      </c>
      <c r="R343" s="64">
        <f t="shared" si="170"/>
        <v>0</v>
      </c>
      <c r="S343" s="64">
        <f t="shared" si="170"/>
        <v>0</v>
      </c>
      <c r="T343" s="64">
        <f t="shared" si="170"/>
        <v>0</v>
      </c>
      <c r="U343" s="64">
        <f t="shared" si="170"/>
        <v>0</v>
      </c>
      <c r="V343" s="64">
        <f t="shared" si="170"/>
        <v>0</v>
      </c>
      <c r="W343" s="64">
        <f t="shared" si="170"/>
        <v>0</v>
      </c>
      <c r="X343" s="64">
        <f t="shared" si="170"/>
        <v>0</v>
      </c>
      <c r="Y343" s="64">
        <f t="shared" si="170"/>
        <v>0</v>
      </c>
      <c r="Z343" s="64">
        <f t="shared" si="170"/>
        <v>0</v>
      </c>
    </row>
    <row r="344" spans="2:26">
      <c r="B344" s="49"/>
      <c r="C344" s="49"/>
      <c r="D344" s="49"/>
      <c r="E344" s="49"/>
      <c r="F344" s="49"/>
      <c r="G344" s="49"/>
      <c r="H344" s="49"/>
      <c r="I344" s="49"/>
      <c r="J344" s="49"/>
      <c r="K344" s="49"/>
      <c r="L344" s="49"/>
      <c r="M344" s="49"/>
      <c r="N344" s="49"/>
      <c r="O344" s="49"/>
      <c r="P344" s="49"/>
      <c r="Q344" s="49"/>
      <c r="R344" s="49"/>
      <c r="S344" s="49"/>
      <c r="T344" s="49"/>
      <c r="U344" s="49"/>
      <c r="V344" s="49"/>
      <c r="W344" s="49"/>
      <c r="X344" s="49"/>
      <c r="Y344" s="49"/>
      <c r="Z344" s="49"/>
    </row>
    <row r="345" spans="2:26" ht="15.75">
      <c r="B345" s="50" t="s">
        <v>1179</v>
      </c>
      <c r="C345" s="50"/>
      <c r="D345" s="50"/>
      <c r="E345" s="50"/>
      <c r="F345" s="55">
        <f>+IF(YEAR(F$137)&lt;=YEAR(Assumptions!$G$35),'Phase 2 Pro Forma'!F343+'Phase 2 Pro Forma'!F337,0)</f>
        <v>0</v>
      </c>
      <c r="G345" s="55">
        <f>+IF(YEAR(G$137)&lt;=YEAR(Assumptions!$G$35),'Phase 2 Pro Forma'!G343+'Phase 2 Pro Forma'!G337,0)</f>
        <v>0</v>
      </c>
      <c r="H345" s="55">
        <f>+IF(YEAR(H$137)&lt;=YEAR(Assumptions!$G$35),'Phase 2 Pro Forma'!H343+'Phase 2 Pro Forma'!H337,0)</f>
        <v>0</v>
      </c>
      <c r="I345" s="55">
        <f>+IF(YEAR(I$137)&lt;=YEAR(Assumptions!$G$35),'Phase 2 Pro Forma'!I343+'Phase 2 Pro Forma'!I337,0)</f>
        <v>36585038.831571527</v>
      </c>
      <c r="J345" s="55">
        <f>+IF(YEAR(J$137)&lt;=YEAR(Assumptions!$G$35),'Phase 2 Pro Forma'!J343+'Phase 2 Pro Forma'!J337,0)</f>
        <v>0</v>
      </c>
      <c r="K345" s="55">
        <f>+IF(YEAR(K$137)&lt;=YEAR(Assumptions!$G$35),'Phase 2 Pro Forma'!K343+'Phase 2 Pro Forma'!K337,0)</f>
        <v>0</v>
      </c>
      <c r="L345" s="55">
        <f>+IF(YEAR(L$137)&lt;=YEAR(Assumptions!$G$35),'Phase 2 Pro Forma'!L343+'Phase 2 Pro Forma'!L337,0)</f>
        <v>0</v>
      </c>
      <c r="M345" s="55">
        <f>+IF(YEAR(M$137)&lt;=YEAR(Assumptions!$G$35),'Phase 2 Pro Forma'!M343+'Phase 2 Pro Forma'!M337,0)</f>
        <v>0</v>
      </c>
      <c r="N345" s="55">
        <f>+IF(YEAR(N$137)&lt;=YEAR(Assumptions!$G$35),'Phase 2 Pro Forma'!N343+'Phase 2 Pro Forma'!N337,0)</f>
        <v>0</v>
      </c>
      <c r="O345" s="55">
        <f>+IF(YEAR(O$137)&lt;=YEAR(Assumptions!$G$35),'Phase 2 Pro Forma'!O343+'Phase 2 Pro Forma'!O337,0)</f>
        <v>0</v>
      </c>
      <c r="P345" s="55">
        <f>+IF(YEAR(P$137)&lt;=YEAR(Assumptions!$G$35),'Phase 2 Pro Forma'!P343+'Phase 2 Pro Forma'!P337,0)</f>
        <v>0</v>
      </c>
      <c r="Q345" s="55">
        <f>+IF(YEAR(Q$137)&lt;=YEAR(Assumptions!$G$35),'Phase 2 Pro Forma'!Q343+'Phase 2 Pro Forma'!Q337,0)</f>
        <v>0</v>
      </c>
      <c r="R345" s="55">
        <f>+IF(YEAR(R$137)&lt;=YEAR(Assumptions!$G$35),'Phase 2 Pro Forma'!R343+'Phase 2 Pro Forma'!R337,0)</f>
        <v>0</v>
      </c>
      <c r="S345" s="55">
        <f>+IF(YEAR(S$137)&lt;=YEAR(Assumptions!$G$35),'Phase 2 Pro Forma'!S343+'Phase 2 Pro Forma'!S337,0)</f>
        <v>0</v>
      </c>
      <c r="T345" s="55">
        <f>+IF(YEAR(T$137)&lt;=YEAR(Assumptions!$G$35),'Phase 2 Pro Forma'!T343+'Phase 2 Pro Forma'!T337,0)</f>
        <v>0</v>
      </c>
      <c r="U345" s="55">
        <f>+IF(YEAR(U$137)&lt;=YEAR(Assumptions!$G$35),'Phase 2 Pro Forma'!U343+'Phase 2 Pro Forma'!U337,0)</f>
        <v>0</v>
      </c>
      <c r="V345" s="55">
        <f>+IF(YEAR(V$137)&lt;=YEAR(Assumptions!$G$35),'Phase 2 Pro Forma'!V343+'Phase 2 Pro Forma'!V337,0)</f>
        <v>0</v>
      </c>
      <c r="W345" s="55">
        <f>+IF(YEAR(W$137)&lt;=YEAR(Assumptions!$G$35),'Phase 2 Pro Forma'!W343+'Phase 2 Pro Forma'!W337,0)</f>
        <v>0</v>
      </c>
      <c r="X345" s="55">
        <f>+IF(YEAR(X$137)&lt;=YEAR(Assumptions!$G$35),'Phase 2 Pro Forma'!X343+'Phase 2 Pro Forma'!X337,0)</f>
        <v>0</v>
      </c>
      <c r="Y345" s="55">
        <f>+IF(YEAR(Y$137)&lt;=YEAR(Assumptions!$G$35),'Phase 2 Pro Forma'!Y343+'Phase 2 Pro Forma'!Y337,0)</f>
        <v>0</v>
      </c>
      <c r="Z345" s="55">
        <f>+IF(YEAR(Z$137)&lt;=YEAR(Assumptions!$G$35),'Phase 2 Pro Forma'!Z343+'Phase 2 Pro Forma'!Z337,0)</f>
        <v>0</v>
      </c>
    </row>
    <row r="346" spans="2:26">
      <c r="B346" s="49"/>
      <c r="C346" s="49"/>
      <c r="D346" s="49"/>
      <c r="E346" s="49"/>
      <c r="F346" s="49"/>
      <c r="G346" s="49"/>
      <c r="H346" s="49"/>
      <c r="I346" s="49"/>
      <c r="J346" s="49"/>
      <c r="K346" s="49"/>
      <c r="L346" s="49"/>
      <c r="M346" s="49"/>
      <c r="N346" s="49"/>
      <c r="O346" s="49"/>
      <c r="P346" s="49"/>
      <c r="Q346" s="49"/>
      <c r="R346" s="49"/>
      <c r="S346" s="49"/>
      <c r="T346" s="49"/>
      <c r="U346" s="49"/>
      <c r="V346" s="49"/>
      <c r="W346" s="49"/>
      <c r="X346" s="49"/>
      <c r="Y346" s="49"/>
      <c r="Z346" s="49"/>
    </row>
    <row r="347" spans="2:26" ht="15.75">
      <c r="B347" s="50" t="s">
        <v>1187</v>
      </c>
      <c r="C347" s="50"/>
      <c r="D347" s="50"/>
      <c r="E347" s="50"/>
      <c r="F347" s="55">
        <f t="shared" ref="F347:Z347" ca="1" si="171">+F273+F228+F158+F345</f>
        <v>0</v>
      </c>
      <c r="G347" s="55">
        <f t="shared" ca="1" si="171"/>
        <v>0</v>
      </c>
      <c r="H347" s="55">
        <f t="shared" ca="1" si="171"/>
        <v>0</v>
      </c>
      <c r="I347" s="55">
        <f t="shared" ca="1" si="171"/>
        <v>19031441.973054491</v>
      </c>
      <c r="J347" s="55">
        <f t="shared" ca="1" si="171"/>
        <v>-4809205.851375958</v>
      </c>
      <c r="K347" s="55">
        <f t="shared" ca="1" si="171"/>
        <v>3831454.3700697683</v>
      </c>
      <c r="L347" s="55">
        <f t="shared" ca="1" si="171"/>
        <v>5403807.7384106982</v>
      </c>
      <c r="M347" s="55">
        <f t="shared" ca="1" si="171"/>
        <v>224619961.49145395</v>
      </c>
      <c r="N347" s="55">
        <f t="shared" si="171"/>
        <v>0</v>
      </c>
      <c r="O347" s="55">
        <f t="shared" si="171"/>
        <v>0</v>
      </c>
      <c r="P347" s="55">
        <f t="shared" si="171"/>
        <v>0</v>
      </c>
      <c r="Q347" s="55">
        <f t="shared" si="171"/>
        <v>0</v>
      </c>
      <c r="R347" s="55">
        <f t="shared" si="171"/>
        <v>0</v>
      </c>
      <c r="S347" s="55">
        <f t="shared" si="171"/>
        <v>0</v>
      </c>
      <c r="T347" s="55">
        <f t="shared" si="171"/>
        <v>0</v>
      </c>
      <c r="U347" s="55">
        <f t="shared" si="171"/>
        <v>0</v>
      </c>
      <c r="V347" s="55">
        <f t="shared" si="171"/>
        <v>0</v>
      </c>
      <c r="W347" s="55">
        <f t="shared" si="171"/>
        <v>0</v>
      </c>
      <c r="X347" s="55">
        <f t="shared" si="171"/>
        <v>0</v>
      </c>
      <c r="Y347" s="55">
        <f t="shared" si="171"/>
        <v>0</v>
      </c>
      <c r="Z347" s="55">
        <f t="shared" si="171"/>
        <v>0</v>
      </c>
    </row>
    <row r="348" spans="2:26">
      <c r="B348" s="49"/>
      <c r="C348" s="49"/>
      <c r="D348" s="49"/>
      <c r="E348" s="49"/>
      <c r="F348" s="49"/>
      <c r="G348" s="49"/>
      <c r="H348" s="49"/>
      <c r="I348" s="49"/>
      <c r="J348" s="49"/>
      <c r="K348" s="49"/>
      <c r="L348" s="49"/>
      <c r="M348" s="49"/>
      <c r="N348" s="49"/>
      <c r="O348" s="49"/>
      <c r="P348" s="49"/>
      <c r="Q348" s="49"/>
      <c r="R348" s="49"/>
      <c r="S348" s="49"/>
      <c r="T348" s="49"/>
      <c r="U348" s="49"/>
      <c r="V348" s="49"/>
      <c r="W348" s="49"/>
      <c r="X348" s="49"/>
      <c r="Y348" s="49"/>
      <c r="Z348" s="49"/>
    </row>
    <row r="349" spans="2:26">
      <c r="B349" s="49" t="s">
        <v>1188</v>
      </c>
      <c r="C349" s="49"/>
      <c r="D349" s="49"/>
      <c r="E349" s="49"/>
      <c r="F349" s="83">
        <f t="shared" ref="F349:Z349" ca="1" si="172">+F370+F153</f>
        <v>0</v>
      </c>
      <c r="G349" s="83">
        <f t="shared" ca="1" si="172"/>
        <v>144395044.08202571</v>
      </c>
      <c r="H349" s="83">
        <f t="shared" ca="1" si="172"/>
        <v>105245488.70435193</v>
      </c>
      <c r="I349" s="83">
        <f t="shared" ca="1" si="172"/>
        <v>0</v>
      </c>
      <c r="J349" s="83">
        <f t="shared" ca="1" si="172"/>
        <v>0</v>
      </c>
      <c r="K349" s="83">
        <f t="shared" ca="1" si="172"/>
        <v>0</v>
      </c>
      <c r="L349" s="83">
        <f t="shared" ca="1" si="172"/>
        <v>0</v>
      </c>
      <c r="M349" s="83">
        <f t="shared" ca="1" si="172"/>
        <v>0</v>
      </c>
      <c r="N349" s="83">
        <f t="shared" ca="1" si="172"/>
        <v>0</v>
      </c>
      <c r="O349" s="83">
        <f t="shared" ca="1" si="172"/>
        <v>0</v>
      </c>
      <c r="P349" s="83">
        <f t="shared" ca="1" si="172"/>
        <v>0</v>
      </c>
      <c r="Q349" s="83">
        <f t="shared" ca="1" si="172"/>
        <v>0</v>
      </c>
      <c r="R349" s="83">
        <f t="shared" ca="1" si="172"/>
        <v>0</v>
      </c>
      <c r="S349" s="83">
        <f t="shared" ca="1" si="172"/>
        <v>0</v>
      </c>
      <c r="T349" s="83">
        <f t="shared" ca="1" si="172"/>
        <v>0</v>
      </c>
      <c r="U349" s="83">
        <f t="shared" ca="1" si="172"/>
        <v>0</v>
      </c>
      <c r="V349" s="83">
        <f t="shared" ca="1" si="172"/>
        <v>0</v>
      </c>
      <c r="W349" s="83">
        <f t="shared" ca="1" si="172"/>
        <v>0</v>
      </c>
      <c r="X349" s="83">
        <f t="shared" ca="1" si="172"/>
        <v>0</v>
      </c>
      <c r="Y349" s="83">
        <f t="shared" ca="1" si="172"/>
        <v>0</v>
      </c>
      <c r="Z349" s="83">
        <f t="shared" ca="1" si="172"/>
        <v>0</v>
      </c>
    </row>
    <row r="350" spans="2:26">
      <c r="B350" s="49" t="s">
        <v>1189</v>
      </c>
      <c r="C350" s="49"/>
      <c r="D350" s="49"/>
      <c r="E350" s="49"/>
      <c r="F350" s="83">
        <f t="shared" ref="F350:Z350" ca="1" si="173">-F270+F260-F224+F214-F155+F144+F263+F217+F147</f>
        <v>0</v>
      </c>
      <c r="G350" s="83">
        <f t="shared" ca="1" si="173"/>
        <v>0</v>
      </c>
      <c r="H350" s="83">
        <f t="shared" ca="1" si="173"/>
        <v>0</v>
      </c>
      <c r="I350" s="83">
        <f t="shared" ca="1" si="173"/>
        <v>17822222.808142733</v>
      </c>
      <c r="J350" s="83">
        <f t="shared" ca="1" si="173"/>
        <v>15325817.480278956</v>
      </c>
      <c r="K350" s="83">
        <f t="shared" ca="1" si="173"/>
        <v>15325817.480278954</v>
      </c>
      <c r="L350" s="83">
        <f t="shared" ca="1" si="173"/>
        <v>15325817.480278956</v>
      </c>
      <c r="M350" s="83">
        <f t="shared" ca="1" si="173"/>
        <v>242580241.6022498</v>
      </c>
      <c r="N350" s="83">
        <f t="shared" ca="1" si="173"/>
        <v>15325817.480278954</v>
      </c>
      <c r="O350" s="83">
        <f t="shared" ca="1" si="173"/>
        <v>15325817.480278956</v>
      </c>
      <c r="P350" s="83">
        <f t="shared" ca="1" si="173"/>
        <v>15325817.480278954</v>
      </c>
      <c r="Q350" s="83">
        <f t="shared" ca="1" si="173"/>
        <v>15325817.480278954</v>
      </c>
      <c r="R350" s="83">
        <f t="shared" ca="1" si="173"/>
        <v>15325817.480278954</v>
      </c>
      <c r="S350" s="83">
        <f t="shared" ca="1" si="173"/>
        <v>15325817.480278956</v>
      </c>
      <c r="T350" s="83">
        <f t="shared" ca="1" si="173"/>
        <v>15325817.480278956</v>
      </c>
      <c r="U350" s="83">
        <f t="shared" ca="1" si="173"/>
        <v>15325817.480278954</v>
      </c>
      <c r="V350" s="83">
        <f t="shared" ca="1" si="173"/>
        <v>15325817.480278956</v>
      </c>
      <c r="W350" s="83">
        <f t="shared" ca="1" si="173"/>
        <v>15325817.480278956</v>
      </c>
      <c r="X350" s="83">
        <f t="shared" ca="1" si="173"/>
        <v>15325817.480278954</v>
      </c>
      <c r="Y350" s="83">
        <f t="shared" ca="1" si="173"/>
        <v>15325817.480278954</v>
      </c>
      <c r="Z350" s="83">
        <f t="shared" ca="1" si="173"/>
        <v>15325817.480278954</v>
      </c>
    </row>
    <row r="351" spans="2:26">
      <c r="B351" s="49"/>
      <c r="C351" s="49"/>
      <c r="D351" s="49"/>
      <c r="E351" s="49"/>
      <c r="F351" s="49"/>
      <c r="G351" s="49"/>
      <c r="H351" s="49"/>
      <c r="I351" s="172"/>
      <c r="J351" s="49"/>
      <c r="K351" s="49"/>
      <c r="L351" s="49"/>
      <c r="M351" s="49"/>
      <c r="N351" s="49"/>
      <c r="O351" s="49"/>
      <c r="P351" s="49"/>
      <c r="Q351" s="49"/>
      <c r="R351" s="49"/>
      <c r="S351" s="49"/>
      <c r="T351" s="49"/>
      <c r="U351" s="49"/>
      <c r="V351" s="49"/>
      <c r="W351" s="49"/>
      <c r="X351" s="49"/>
      <c r="Y351" s="49"/>
      <c r="Z351" s="49"/>
    </row>
    <row r="352" spans="2:26" ht="15.75">
      <c r="B352" s="468" t="s">
        <v>1190</v>
      </c>
      <c r="C352" s="540"/>
      <c r="D352" s="540"/>
      <c r="E352" s="540"/>
      <c r="F352" s="759"/>
      <c r="G352" s="759"/>
      <c r="H352" s="759"/>
      <c r="I352" s="759"/>
      <c r="J352" s="759"/>
      <c r="K352" s="759"/>
      <c r="L352" s="759"/>
      <c r="M352" s="759"/>
      <c r="N352" s="759"/>
      <c r="O352" s="759"/>
      <c r="P352" s="759"/>
      <c r="Q352" s="759"/>
      <c r="R352" s="759"/>
      <c r="S352" s="759"/>
      <c r="T352" s="759"/>
      <c r="U352" s="759"/>
      <c r="V352" s="759"/>
      <c r="W352" s="759"/>
      <c r="X352" s="759"/>
      <c r="Y352" s="759"/>
      <c r="Z352" s="759"/>
    </row>
    <row r="353" spans="1:26">
      <c r="A353" s="699"/>
      <c r="B353" s="49"/>
      <c r="C353" s="49"/>
      <c r="D353" s="49"/>
      <c r="E353" s="49"/>
      <c r="F353" s="49"/>
      <c r="G353" s="49"/>
      <c r="H353" s="49"/>
      <c r="I353" s="49"/>
      <c r="J353" s="49"/>
      <c r="K353" s="49"/>
      <c r="L353" s="49"/>
      <c r="M353" s="49"/>
      <c r="N353" s="49"/>
      <c r="O353" s="49"/>
      <c r="P353" s="49"/>
      <c r="Q353" s="49"/>
      <c r="R353" s="49"/>
      <c r="S353" s="49"/>
      <c r="T353" s="49"/>
      <c r="U353" s="49"/>
      <c r="V353" s="49"/>
      <c r="W353" s="49"/>
      <c r="X353" s="49"/>
      <c r="Y353" s="49"/>
      <c r="Z353" s="49"/>
    </row>
    <row r="354" spans="1:26" ht="15.75">
      <c r="A354" s="699"/>
      <c r="B354" s="112" t="s">
        <v>1191</v>
      </c>
      <c r="C354" s="49"/>
      <c r="D354" s="49"/>
      <c r="E354" s="49"/>
      <c r="F354" s="148">
        <f>+Assumptions!$G$27</f>
        <v>46387</v>
      </c>
      <c r="G354" s="148">
        <f>+EOMONTH(F354,12)</f>
        <v>46752</v>
      </c>
      <c r="H354" s="148">
        <f t="shared" ref="H354:Z354" si="174">+EOMONTH(G354,12)</f>
        <v>47118</v>
      </c>
      <c r="I354" s="148">
        <f t="shared" si="174"/>
        <v>47483</v>
      </c>
      <c r="J354" s="148">
        <f t="shared" si="174"/>
        <v>47848</v>
      </c>
      <c r="K354" s="148">
        <f t="shared" si="174"/>
        <v>48213</v>
      </c>
      <c r="L354" s="148">
        <f t="shared" si="174"/>
        <v>48579</v>
      </c>
      <c r="M354" s="148">
        <f t="shared" si="174"/>
        <v>48944</v>
      </c>
      <c r="N354" s="148">
        <f t="shared" si="174"/>
        <v>49309</v>
      </c>
      <c r="O354" s="148">
        <f t="shared" si="174"/>
        <v>49674</v>
      </c>
      <c r="P354" s="148">
        <f t="shared" si="174"/>
        <v>50040</v>
      </c>
      <c r="Q354" s="148">
        <f t="shared" si="174"/>
        <v>50405</v>
      </c>
      <c r="R354" s="148">
        <f t="shared" si="174"/>
        <v>50770</v>
      </c>
      <c r="S354" s="148">
        <f t="shared" si="174"/>
        <v>51135</v>
      </c>
      <c r="T354" s="148">
        <f t="shared" si="174"/>
        <v>51501</v>
      </c>
      <c r="U354" s="148">
        <f t="shared" si="174"/>
        <v>51866</v>
      </c>
      <c r="V354" s="148">
        <f t="shared" si="174"/>
        <v>52231</v>
      </c>
      <c r="W354" s="148">
        <f t="shared" si="174"/>
        <v>52596</v>
      </c>
      <c r="X354" s="148">
        <f t="shared" si="174"/>
        <v>52962</v>
      </c>
      <c r="Y354" s="148">
        <f t="shared" si="174"/>
        <v>53327</v>
      </c>
      <c r="Z354" s="148">
        <f t="shared" si="174"/>
        <v>53692</v>
      </c>
    </row>
    <row r="355" spans="1:26" ht="15.75">
      <c r="A355" s="699"/>
      <c r="B355" s="699" t="s">
        <v>341</v>
      </c>
      <c r="C355" s="49"/>
      <c r="D355" s="94">
        <f>+SUM(F355:Z355)</f>
        <v>4691009.3245623549</v>
      </c>
      <c r="E355" s="94"/>
      <c r="F355" s="83">
        <f>+IF(AND(F$354&gt;=Assumptions!$G$27,F$354&lt;Assumptions!$G$29),'S&amp;U'!$I7/ROUNDUP(Assumptions!$G$28/12,0),IF(AND(F$354&gt;=Assumptions!$G$29,F$354&lt;Assumptions!$G$31),'S&amp;U'!$I39/ROUNDUP(Assumptions!$G$30/12,0),0))</f>
        <v>4691009.3245623549</v>
      </c>
      <c r="G355" s="83">
        <f>+IF(AND(G$354&gt;=Assumptions!$G$27,G$354&lt;Assumptions!$G$29),'S&amp;U'!$I7/ROUNDUP(Assumptions!$G$28/12,0),IF(AND(G$354&gt;=Assumptions!$G$29,G$354&lt;Assumptions!$G$31),'S&amp;U'!$I39/ROUNDUP(Assumptions!$G$30/12,0),0))</f>
        <v>0</v>
      </c>
      <c r="H355" s="83">
        <f>+IF(AND(H$354&gt;=Assumptions!$G$27,H$354&lt;Assumptions!$G$29),'S&amp;U'!$I7/ROUNDUP(Assumptions!$G$28/12,0),IF(AND(H$354&gt;=Assumptions!$G$29,H$354&lt;Assumptions!$G$31),'S&amp;U'!$I39/ROUNDUP(Assumptions!$G$30/12,0),0))</f>
        <v>0</v>
      </c>
      <c r="I355" s="83">
        <f>+IF(AND(I$354&gt;=Assumptions!$G$27,I$354&lt;Assumptions!$G$29),'S&amp;U'!$I7/ROUNDUP(Assumptions!$G$28/12,0),IF(AND(I$354&gt;=Assumptions!$G$29,I$354&lt;Assumptions!$G$31),'S&amp;U'!$I39/ROUNDUP(Assumptions!$G$30/12,0),0))</f>
        <v>0</v>
      </c>
      <c r="J355" s="83">
        <f>+IF(AND(J$354&gt;=Assumptions!$G$27,J$354&lt;Assumptions!$G$29),'S&amp;U'!$I7/ROUNDUP(Assumptions!$G$28/12,0),IF(AND(J$354&gt;=Assumptions!$G$29,J$354&lt;Assumptions!$G$31),'S&amp;U'!$I39/ROUNDUP(Assumptions!$G$30/12,0),0))</f>
        <v>0</v>
      </c>
      <c r="K355" s="83">
        <f>+IF(AND(K$354&gt;=Assumptions!$G$27,K$354&lt;Assumptions!$G$29),'S&amp;U'!$I7/ROUNDUP(Assumptions!$G$28/12,0),IF(AND(K$354&gt;=Assumptions!$G$29,K$354&lt;Assumptions!$G$31),'S&amp;U'!$I39/ROUNDUP(Assumptions!$G$30/12,0),0))</f>
        <v>0</v>
      </c>
      <c r="L355" s="83">
        <f>+IF(AND(L$354&gt;=Assumptions!$G$27,L$354&lt;Assumptions!$G$29),'S&amp;U'!$I7/ROUNDUP(Assumptions!$G$28/12,0),IF(AND(L$354&gt;=Assumptions!$G$29,L$354&lt;Assumptions!$G$31),'S&amp;U'!$I39/ROUNDUP(Assumptions!$G$30/12,0),0))</f>
        <v>0</v>
      </c>
      <c r="M355" s="83">
        <f>+IF(AND(M$354&gt;=Assumptions!$G$27,M$354&lt;Assumptions!$G$29),'S&amp;U'!$I7/ROUNDUP(Assumptions!$G$28/12,0),IF(AND(M$354&gt;=Assumptions!$G$29,M$354&lt;Assumptions!$G$31),'S&amp;U'!$I39/ROUNDUP(Assumptions!$G$30/12,0),0))</f>
        <v>0</v>
      </c>
      <c r="N355" s="83">
        <f>+IF(AND(N$354&gt;=Assumptions!$G$27,N$354&lt;Assumptions!$G$29),'S&amp;U'!$I7/ROUNDUP(Assumptions!$G$28/12,0),IF(AND(N$354&gt;=Assumptions!$G$29,N$354&lt;Assumptions!$G$31),'S&amp;U'!$I39/ROUNDUP(Assumptions!$G$30/12,0),0))</f>
        <v>0</v>
      </c>
      <c r="O355" s="83">
        <f>+IF(AND(O$354&gt;=Assumptions!$G$27,O$354&lt;Assumptions!$G$29),'S&amp;U'!$I7/ROUNDUP(Assumptions!$G$28/12,0),IF(AND(O$354&gt;=Assumptions!$G$29,O$354&lt;Assumptions!$G$31),'S&amp;U'!$I39/ROUNDUP(Assumptions!$G$30/12,0),0))</f>
        <v>0</v>
      </c>
      <c r="P355" s="83">
        <f>+IF(AND(P$354&gt;=Assumptions!$G$27,P$354&lt;Assumptions!$G$29),'S&amp;U'!$I7/ROUNDUP(Assumptions!$G$28/12,0),IF(AND(P$354&gt;=Assumptions!$G$29,P$354&lt;Assumptions!$G$31),'S&amp;U'!$I39/ROUNDUP(Assumptions!$G$30/12,0),0))</f>
        <v>0</v>
      </c>
      <c r="Q355" s="83">
        <f>+IF(AND(Q$354&gt;=Assumptions!$G$27,Q$354&lt;Assumptions!$G$29),'S&amp;U'!$I7/ROUNDUP(Assumptions!$G$28/12,0),IF(AND(Q$354&gt;=Assumptions!$G$29,Q$354&lt;Assumptions!$G$31),'S&amp;U'!$I39/ROUNDUP(Assumptions!$G$30/12,0),0))</f>
        <v>0</v>
      </c>
      <c r="R355" s="83">
        <f>+IF(AND(R$354&gt;=Assumptions!$G$27,R$354&lt;Assumptions!$G$29),'S&amp;U'!$I7/ROUNDUP(Assumptions!$G$28/12,0),IF(AND(R$354&gt;=Assumptions!$G$29,R$354&lt;Assumptions!$G$31),'S&amp;U'!$I39/ROUNDUP(Assumptions!$G$30/12,0),0))</f>
        <v>0</v>
      </c>
      <c r="S355" s="83">
        <f>+IF(AND(S$354&gt;=Assumptions!$G$27,S$354&lt;Assumptions!$G$29),'S&amp;U'!$I7/ROUNDUP(Assumptions!$G$28/12,0),IF(AND(S$354&gt;=Assumptions!$G$29,S$354&lt;Assumptions!$G$31),'S&amp;U'!$I39/ROUNDUP(Assumptions!$G$30/12,0),0))</f>
        <v>0</v>
      </c>
      <c r="T355" s="83">
        <f>+IF(AND(T$354&gt;=Assumptions!$G$27,T$354&lt;Assumptions!$G$29),'S&amp;U'!$I7/ROUNDUP(Assumptions!$G$28/12,0),IF(AND(T$354&gt;=Assumptions!$G$29,T$354&lt;Assumptions!$G$31),'S&amp;U'!$I39/ROUNDUP(Assumptions!$G$30/12,0),0))</f>
        <v>0</v>
      </c>
      <c r="U355" s="83">
        <f>+IF(AND(U$354&gt;=Assumptions!$G$27,U$354&lt;Assumptions!$G$29),'S&amp;U'!$I7/ROUNDUP(Assumptions!$G$28/12,0),IF(AND(U$354&gt;=Assumptions!$G$29,U$354&lt;Assumptions!$G$31),'S&amp;U'!$I39/ROUNDUP(Assumptions!$G$30/12,0),0))</f>
        <v>0</v>
      </c>
      <c r="V355" s="83">
        <f>+IF(AND(V$354&gt;=Assumptions!$G$27,V$354&lt;Assumptions!$G$29),'S&amp;U'!$I7/ROUNDUP(Assumptions!$G$28/12,0),IF(AND(V$354&gt;=Assumptions!$G$29,V$354&lt;Assumptions!$G$31),'S&amp;U'!$I39/ROUNDUP(Assumptions!$G$30/12,0),0))</f>
        <v>0</v>
      </c>
      <c r="W355" s="83">
        <f>+IF(AND(W$354&gt;=Assumptions!$G$27,W$354&lt;Assumptions!$G$29),'S&amp;U'!$I7/ROUNDUP(Assumptions!$G$28/12,0),IF(AND(W$354&gt;=Assumptions!$G$29,W$354&lt;Assumptions!$G$31),'S&amp;U'!$I39/ROUNDUP(Assumptions!$G$30/12,0),0))</f>
        <v>0</v>
      </c>
      <c r="X355" s="83">
        <f>+IF(AND(X$354&gt;=Assumptions!$G$27,X$354&lt;Assumptions!$G$29),'S&amp;U'!$I7/ROUNDUP(Assumptions!$G$28/12,0),IF(AND(X$354&gt;=Assumptions!$G$29,X$354&lt;Assumptions!$G$31),'S&amp;U'!$I39/ROUNDUP(Assumptions!$G$30/12,0),0))</f>
        <v>0</v>
      </c>
      <c r="Y355" s="83">
        <f>+IF(AND(Y$354&gt;=Assumptions!$G$27,Y$354&lt;Assumptions!$G$29),'S&amp;U'!$I7/ROUNDUP(Assumptions!$G$28/12,0),IF(AND(Y$354&gt;=Assumptions!$G$29,Y$354&lt;Assumptions!$G$31),'S&amp;U'!$I39/ROUNDUP(Assumptions!$G$30/12,0),0))</f>
        <v>0</v>
      </c>
      <c r="Z355" s="83">
        <f>+IF(AND(Z$354&gt;=Assumptions!$G$27,Z$354&lt;Assumptions!$G$29),'S&amp;U'!$I7/ROUNDUP(Assumptions!$G$28/12,0),IF(AND(Z$354&gt;=Assumptions!$G$29,Z$354&lt;Assumptions!$G$31),'S&amp;U'!$I39/ROUNDUP(Assumptions!$G$30/12,0),0))</f>
        <v>0</v>
      </c>
    </row>
    <row r="356" spans="1:26" ht="15.75">
      <c r="A356" s="699"/>
      <c r="B356" s="699" t="s">
        <v>236</v>
      </c>
      <c r="C356" s="49"/>
      <c r="D356" s="94">
        <f t="shared" ref="D356:D362" si="175">+SUM(F356:Z356)</f>
        <v>2030684</v>
      </c>
      <c r="E356" s="94"/>
      <c r="F356" s="83">
        <f>+IF(AND(F$354&gt;=Assumptions!$G$27,F$354&lt;Assumptions!$G$29),'S&amp;U'!$I8/ROUNDUP(Assumptions!$G$28/12,0),IF(AND(F$354&gt;=Assumptions!$G$29,F$354&lt;Assumptions!$G$31),'S&amp;U'!$I40/ROUNDUP(Assumptions!$G$30/12,0),0))</f>
        <v>2030684</v>
      </c>
      <c r="G356" s="83">
        <f>+IF(AND(G$354&gt;=Assumptions!$G$27,G$354&lt;Assumptions!$G$29),'S&amp;U'!$I8/ROUNDUP(Assumptions!$G$28/12,0),IF(AND(G$354&gt;=Assumptions!$G$29,G$354&lt;Assumptions!$G$31),'S&amp;U'!$I40/ROUNDUP(Assumptions!$G$30/12,0),0))</f>
        <v>0</v>
      </c>
      <c r="H356" s="83">
        <f>+IF(AND(H$354&gt;=Assumptions!$G$27,H$354&lt;Assumptions!$G$29),'S&amp;U'!$I8/ROUNDUP(Assumptions!$G$28/12,0),IF(AND(H$354&gt;=Assumptions!$G$29,H$354&lt;Assumptions!$G$31),'S&amp;U'!$I40/ROUNDUP(Assumptions!$G$30/12,0),0))</f>
        <v>0</v>
      </c>
      <c r="I356" s="83">
        <f>+IF(AND(I$354&gt;=Assumptions!$G$27,I$354&lt;Assumptions!$G$29),'S&amp;U'!$I8/ROUNDUP(Assumptions!$G$28/12,0),IF(AND(I$354&gt;=Assumptions!$G$29,I$354&lt;Assumptions!$G$31),'S&amp;U'!$I40/ROUNDUP(Assumptions!$G$30/12,0),0))</f>
        <v>0</v>
      </c>
      <c r="J356" s="83">
        <f>+IF(AND(J$354&gt;=Assumptions!$G$27,J$354&lt;Assumptions!$G$29),'S&amp;U'!$I8/ROUNDUP(Assumptions!$G$28/12,0),IF(AND(J$354&gt;=Assumptions!$G$29,J$354&lt;Assumptions!$G$31),'S&amp;U'!$I40/ROUNDUP(Assumptions!$G$30/12,0),0))</f>
        <v>0</v>
      </c>
      <c r="K356" s="83">
        <f>+IF(AND(K$354&gt;=Assumptions!$G$27,K$354&lt;Assumptions!$G$29),'S&amp;U'!$I8/ROUNDUP(Assumptions!$G$28/12,0),IF(AND(K$354&gt;=Assumptions!$G$29,K$354&lt;Assumptions!$G$31),'S&amp;U'!$I40/ROUNDUP(Assumptions!$G$30/12,0),0))</f>
        <v>0</v>
      </c>
      <c r="L356" s="83">
        <f>+IF(AND(L$354&gt;=Assumptions!$G$27,L$354&lt;Assumptions!$G$29),'S&amp;U'!$I8/ROUNDUP(Assumptions!$G$28/12,0),IF(AND(L$354&gt;=Assumptions!$G$29,L$354&lt;Assumptions!$G$31),'S&amp;U'!$I40/ROUNDUP(Assumptions!$G$30/12,0),0))</f>
        <v>0</v>
      </c>
      <c r="M356" s="83">
        <f>+IF(AND(M$354&gt;=Assumptions!$G$27,M$354&lt;Assumptions!$G$29),'S&amp;U'!$I8/ROUNDUP(Assumptions!$G$28/12,0),IF(AND(M$354&gt;=Assumptions!$G$29,M$354&lt;Assumptions!$G$31),'S&amp;U'!$I40/ROUNDUP(Assumptions!$G$30/12,0),0))</f>
        <v>0</v>
      </c>
      <c r="N356" s="83">
        <f>+IF(AND(N$354&gt;=Assumptions!$G$27,N$354&lt;Assumptions!$G$29),'S&amp;U'!$I8/ROUNDUP(Assumptions!$G$28/12,0),IF(AND(N$354&gt;=Assumptions!$G$29,N$354&lt;Assumptions!$G$31),'S&amp;U'!$I40/ROUNDUP(Assumptions!$G$30/12,0),0))</f>
        <v>0</v>
      </c>
      <c r="O356" s="83">
        <f>+IF(AND(O$354&gt;=Assumptions!$G$27,O$354&lt;Assumptions!$G$29),'S&amp;U'!$I8/ROUNDUP(Assumptions!$G$28/12,0),IF(AND(O$354&gt;=Assumptions!$G$29,O$354&lt;Assumptions!$G$31),'S&amp;U'!$I40/ROUNDUP(Assumptions!$G$30/12,0),0))</f>
        <v>0</v>
      </c>
      <c r="P356" s="83">
        <f>+IF(AND(P$354&gt;=Assumptions!$G$27,P$354&lt;Assumptions!$G$29),'S&amp;U'!$I8/ROUNDUP(Assumptions!$G$28/12,0),IF(AND(P$354&gt;=Assumptions!$G$29,P$354&lt;Assumptions!$G$31),'S&amp;U'!$I40/ROUNDUP(Assumptions!$G$30/12,0),0))</f>
        <v>0</v>
      </c>
      <c r="Q356" s="83">
        <f>+IF(AND(Q$354&gt;=Assumptions!$G$27,Q$354&lt;Assumptions!$G$29),'S&amp;U'!$I8/ROUNDUP(Assumptions!$G$28/12,0),IF(AND(Q$354&gt;=Assumptions!$G$29,Q$354&lt;Assumptions!$G$31),'S&amp;U'!$I40/ROUNDUP(Assumptions!$G$30/12,0),0))</f>
        <v>0</v>
      </c>
      <c r="R356" s="83">
        <f>+IF(AND(R$354&gt;=Assumptions!$G$27,R$354&lt;Assumptions!$G$29),'S&amp;U'!$I8/ROUNDUP(Assumptions!$G$28/12,0),IF(AND(R$354&gt;=Assumptions!$G$29,R$354&lt;Assumptions!$G$31),'S&amp;U'!$I40/ROUNDUP(Assumptions!$G$30/12,0),0))</f>
        <v>0</v>
      </c>
      <c r="S356" s="83">
        <f>+IF(AND(S$354&gt;=Assumptions!$G$27,S$354&lt;Assumptions!$G$29),'S&amp;U'!$I8/ROUNDUP(Assumptions!$G$28/12,0),IF(AND(S$354&gt;=Assumptions!$G$29,S$354&lt;Assumptions!$G$31),'S&amp;U'!$I40/ROUNDUP(Assumptions!$G$30/12,0),0))</f>
        <v>0</v>
      </c>
      <c r="T356" s="83">
        <f>+IF(AND(T$354&gt;=Assumptions!$G$27,T$354&lt;Assumptions!$G$29),'S&amp;U'!$I8/ROUNDUP(Assumptions!$G$28/12,0),IF(AND(T$354&gt;=Assumptions!$G$29,T$354&lt;Assumptions!$G$31),'S&amp;U'!$I40/ROUNDUP(Assumptions!$G$30/12,0),0))</f>
        <v>0</v>
      </c>
      <c r="U356" s="83">
        <f>+IF(AND(U$354&gt;=Assumptions!$G$27,U$354&lt;Assumptions!$G$29),'S&amp;U'!$I8/ROUNDUP(Assumptions!$G$28/12,0),IF(AND(U$354&gt;=Assumptions!$G$29,U$354&lt;Assumptions!$G$31),'S&amp;U'!$I40/ROUNDUP(Assumptions!$G$30/12,0),0))</f>
        <v>0</v>
      </c>
      <c r="V356" s="83">
        <f>+IF(AND(V$354&gt;=Assumptions!$G$27,V$354&lt;Assumptions!$G$29),'S&amp;U'!$I8/ROUNDUP(Assumptions!$G$28/12,0),IF(AND(V$354&gt;=Assumptions!$G$29,V$354&lt;Assumptions!$G$31),'S&amp;U'!$I40/ROUNDUP(Assumptions!$G$30/12,0),0))</f>
        <v>0</v>
      </c>
      <c r="W356" s="83">
        <f>+IF(AND(W$354&gt;=Assumptions!$G$27,W$354&lt;Assumptions!$G$29),'S&amp;U'!$I8/ROUNDUP(Assumptions!$G$28/12,0),IF(AND(W$354&gt;=Assumptions!$G$29,W$354&lt;Assumptions!$G$31),'S&amp;U'!$I40/ROUNDUP(Assumptions!$G$30/12,0),0))</f>
        <v>0</v>
      </c>
      <c r="X356" s="83">
        <f>+IF(AND(X$354&gt;=Assumptions!$G$27,X$354&lt;Assumptions!$G$29),'S&amp;U'!$I8/ROUNDUP(Assumptions!$G$28/12,0),IF(AND(X$354&gt;=Assumptions!$G$29,X$354&lt;Assumptions!$G$31),'S&amp;U'!$I40/ROUNDUP(Assumptions!$G$30/12,0),0))</f>
        <v>0</v>
      </c>
      <c r="Y356" s="83">
        <f>+IF(AND(Y$354&gt;=Assumptions!$G$27,Y$354&lt;Assumptions!$G$29),'S&amp;U'!$I8/ROUNDUP(Assumptions!$G$28/12,0),IF(AND(Y$354&gt;=Assumptions!$G$29,Y$354&lt;Assumptions!$G$31),'S&amp;U'!$I40/ROUNDUP(Assumptions!$G$30/12,0),0))</f>
        <v>0</v>
      </c>
      <c r="Z356" s="83">
        <f>+IF(AND(Z$354&gt;=Assumptions!$G$27,Z$354&lt;Assumptions!$G$29),'S&amp;U'!$I8/ROUNDUP(Assumptions!$G$28/12,0),IF(AND(Z$354&gt;=Assumptions!$G$29,Z$354&lt;Assumptions!$G$31),'S&amp;U'!$I40/ROUNDUP(Assumptions!$G$30/12,0),0))</f>
        <v>0</v>
      </c>
    </row>
    <row r="357" spans="1:26" ht="15.75">
      <c r="A357" s="699"/>
      <c r="B357" s="699" t="s">
        <v>344</v>
      </c>
      <c r="C357" s="49"/>
      <c r="D357" s="94">
        <f t="shared" ca="1" si="175"/>
        <v>267804657.74088663</v>
      </c>
      <c r="E357" s="94"/>
      <c r="F357" s="83">
        <f>+IF(AND(F$354&gt;=Assumptions!$G$27,F$354&lt;Assumptions!$G$29),'S&amp;U'!$I9/ROUNDUP(Assumptions!$G$28/12,0),IF(AND(F$354&gt;=Assumptions!$G$29,F$354&lt;Assumptions!$G$31),'S&amp;U'!$I41/ROUNDUP(Assumptions!$G$30/12,0),0))</f>
        <v>424651.195832</v>
      </c>
      <c r="G357" s="83">
        <f ca="1">+IF(AND(G$354&gt;=Assumptions!$G$27,G$354&lt;Assumptions!$G$29),'S&amp;U'!$I9/ROUNDUP(Assumptions!$G$28/12,0),IF(AND(G$354&gt;=Assumptions!$G$29,G$354&lt;Assumptions!$G$31),'S&amp;U'!$I41/ROUNDUP(Assumptions!$G$30/12,0),0))</f>
        <v>133690003.27252732</v>
      </c>
      <c r="H357" s="83">
        <f ca="1">+IF(AND(H$354&gt;=Assumptions!$G$27,H$354&lt;Assumptions!$G$29),'S&amp;U'!$I9/ROUNDUP(Assumptions!$G$28/12,0),IF(AND(H$354&gt;=Assumptions!$G$29,H$354&lt;Assumptions!$G$31),'S&amp;U'!$I41/ROUNDUP(Assumptions!$G$30/12,0),0))</f>
        <v>133690003.27252732</v>
      </c>
      <c r="I357" s="83">
        <f>+IF(AND(I$354&gt;=Assumptions!$G$27,I$354&lt;Assumptions!$G$29),'S&amp;U'!$I9/ROUNDUP(Assumptions!$G$28/12,0),IF(AND(I$354&gt;=Assumptions!$G$29,I$354&lt;Assumptions!$G$31),'S&amp;U'!$I41/ROUNDUP(Assumptions!$G$30/12,0),0))</f>
        <v>0</v>
      </c>
      <c r="J357" s="83">
        <f>+IF(AND(J$354&gt;=Assumptions!$G$27,J$354&lt;Assumptions!$G$29),'S&amp;U'!$I9/ROUNDUP(Assumptions!$G$28/12,0),IF(AND(J$354&gt;=Assumptions!$G$29,J$354&lt;Assumptions!$G$31),'S&amp;U'!$I41/ROUNDUP(Assumptions!$G$30/12,0),0))</f>
        <v>0</v>
      </c>
      <c r="K357" s="83">
        <f>+IF(AND(K$354&gt;=Assumptions!$G$27,K$354&lt;Assumptions!$G$29),'S&amp;U'!$I9/ROUNDUP(Assumptions!$G$28/12,0),IF(AND(K$354&gt;=Assumptions!$G$29,K$354&lt;Assumptions!$G$31),'S&amp;U'!$I41/ROUNDUP(Assumptions!$G$30/12,0),0))</f>
        <v>0</v>
      </c>
      <c r="L357" s="83">
        <f>+IF(AND(L$354&gt;=Assumptions!$G$27,L$354&lt;Assumptions!$G$29),'S&amp;U'!$I9/ROUNDUP(Assumptions!$G$28/12,0),IF(AND(L$354&gt;=Assumptions!$G$29,L$354&lt;Assumptions!$G$31),'S&amp;U'!$I41/ROUNDUP(Assumptions!$G$30/12,0),0))</f>
        <v>0</v>
      </c>
      <c r="M357" s="83">
        <f>+IF(AND(M$354&gt;=Assumptions!$G$27,M$354&lt;Assumptions!$G$29),'S&amp;U'!$I9/ROUNDUP(Assumptions!$G$28/12,0),IF(AND(M$354&gt;=Assumptions!$G$29,M$354&lt;Assumptions!$G$31),'S&amp;U'!$I41/ROUNDUP(Assumptions!$G$30/12,0),0))</f>
        <v>0</v>
      </c>
      <c r="N357" s="83">
        <f>+IF(AND(N$354&gt;=Assumptions!$G$27,N$354&lt;Assumptions!$G$29),'S&amp;U'!$I9/ROUNDUP(Assumptions!$G$28/12,0),IF(AND(N$354&gt;=Assumptions!$G$29,N$354&lt;Assumptions!$G$31),'S&amp;U'!$I41/ROUNDUP(Assumptions!$G$30/12,0),0))</f>
        <v>0</v>
      </c>
      <c r="O357" s="83">
        <f>+IF(AND(O$354&gt;=Assumptions!$G$27,O$354&lt;Assumptions!$G$29),'S&amp;U'!$I9/ROUNDUP(Assumptions!$G$28/12,0),IF(AND(O$354&gt;=Assumptions!$G$29,O$354&lt;Assumptions!$G$31),'S&amp;U'!$I41/ROUNDUP(Assumptions!$G$30/12,0),0))</f>
        <v>0</v>
      </c>
      <c r="P357" s="83">
        <f>+IF(AND(P$354&gt;=Assumptions!$G$27,P$354&lt;Assumptions!$G$29),'S&amp;U'!$I9/ROUNDUP(Assumptions!$G$28/12,0),IF(AND(P$354&gt;=Assumptions!$G$29,P$354&lt;Assumptions!$G$31),'S&amp;U'!$I41/ROUNDUP(Assumptions!$G$30/12,0),0))</f>
        <v>0</v>
      </c>
      <c r="Q357" s="83">
        <f>+IF(AND(Q$354&gt;=Assumptions!$G$27,Q$354&lt;Assumptions!$G$29),'S&amp;U'!$I9/ROUNDUP(Assumptions!$G$28/12,0),IF(AND(Q$354&gt;=Assumptions!$G$29,Q$354&lt;Assumptions!$G$31),'S&amp;U'!$I41/ROUNDUP(Assumptions!$G$30/12,0),0))</f>
        <v>0</v>
      </c>
      <c r="R357" s="83">
        <f>+IF(AND(R$354&gt;=Assumptions!$G$27,R$354&lt;Assumptions!$G$29),'S&amp;U'!$I9/ROUNDUP(Assumptions!$G$28/12,0),IF(AND(R$354&gt;=Assumptions!$G$29,R$354&lt;Assumptions!$G$31),'S&amp;U'!$I41/ROUNDUP(Assumptions!$G$30/12,0),0))</f>
        <v>0</v>
      </c>
      <c r="S357" s="83">
        <f>+IF(AND(S$354&gt;=Assumptions!$G$27,S$354&lt;Assumptions!$G$29),'S&amp;U'!$I9/ROUNDUP(Assumptions!$G$28/12,0),IF(AND(S$354&gt;=Assumptions!$G$29,S$354&lt;Assumptions!$G$31),'S&amp;U'!$I41/ROUNDUP(Assumptions!$G$30/12,0),0))</f>
        <v>0</v>
      </c>
      <c r="T357" s="83">
        <f>+IF(AND(T$354&gt;=Assumptions!$G$27,T$354&lt;Assumptions!$G$29),'S&amp;U'!$I9/ROUNDUP(Assumptions!$G$28/12,0),IF(AND(T$354&gt;=Assumptions!$G$29,T$354&lt;Assumptions!$G$31),'S&amp;U'!$I41/ROUNDUP(Assumptions!$G$30/12,0),0))</f>
        <v>0</v>
      </c>
      <c r="U357" s="83">
        <f>+IF(AND(U$354&gt;=Assumptions!$G$27,U$354&lt;Assumptions!$G$29),'S&amp;U'!$I9/ROUNDUP(Assumptions!$G$28/12,0),IF(AND(U$354&gt;=Assumptions!$G$29,U$354&lt;Assumptions!$G$31),'S&amp;U'!$I41/ROUNDUP(Assumptions!$G$30/12,0),0))</f>
        <v>0</v>
      </c>
      <c r="V357" s="83">
        <f>+IF(AND(V$354&gt;=Assumptions!$G$27,V$354&lt;Assumptions!$G$29),'S&amp;U'!$I9/ROUNDUP(Assumptions!$G$28/12,0),IF(AND(V$354&gt;=Assumptions!$G$29,V$354&lt;Assumptions!$G$31),'S&amp;U'!$I41/ROUNDUP(Assumptions!$G$30/12,0),0))</f>
        <v>0</v>
      </c>
      <c r="W357" s="83">
        <f>+IF(AND(W$354&gt;=Assumptions!$G$27,W$354&lt;Assumptions!$G$29),'S&amp;U'!$I9/ROUNDUP(Assumptions!$G$28/12,0),IF(AND(W$354&gt;=Assumptions!$G$29,W$354&lt;Assumptions!$G$31),'S&amp;U'!$I41/ROUNDUP(Assumptions!$G$30/12,0),0))</f>
        <v>0</v>
      </c>
      <c r="X357" s="83">
        <f>+IF(AND(X$354&gt;=Assumptions!$G$27,X$354&lt;Assumptions!$G$29),'S&amp;U'!$I9/ROUNDUP(Assumptions!$G$28/12,0),IF(AND(X$354&gt;=Assumptions!$G$29,X$354&lt;Assumptions!$G$31),'S&amp;U'!$I41/ROUNDUP(Assumptions!$G$30/12,0),0))</f>
        <v>0</v>
      </c>
      <c r="Y357" s="83">
        <f>+IF(AND(Y$354&gt;=Assumptions!$G$27,Y$354&lt;Assumptions!$G$29),'S&amp;U'!$I9/ROUNDUP(Assumptions!$G$28/12,0),IF(AND(Y$354&gt;=Assumptions!$G$29,Y$354&lt;Assumptions!$G$31),'S&amp;U'!$I41/ROUNDUP(Assumptions!$G$30/12,0),0))</f>
        <v>0</v>
      </c>
      <c r="Z357" s="83">
        <f>+IF(AND(Z$354&gt;=Assumptions!$G$27,Z$354&lt;Assumptions!$G$29),'S&amp;U'!$I9/ROUNDUP(Assumptions!$G$28/12,0),IF(AND(Z$354&gt;=Assumptions!$G$29,Z$354&lt;Assumptions!$G$31),'S&amp;U'!$I41/ROUNDUP(Assumptions!$G$30/12,0),0))</f>
        <v>0</v>
      </c>
    </row>
    <row r="358" spans="1:26" ht="15.75">
      <c r="A358" s="699"/>
      <c r="B358" s="699" t="s">
        <v>345</v>
      </c>
      <c r="C358" s="49"/>
      <c r="D358" s="94">
        <f t="shared" ca="1" si="175"/>
        <v>67128952.665678784</v>
      </c>
      <c r="E358" s="94"/>
      <c r="F358" s="83">
        <f ca="1">+IF(AND(F$354&gt;=Assumptions!$G$27,F$354&lt;Assumptions!$G$29),'S&amp;U'!$I10/ROUNDUP(Assumptions!$G$28/12,0),IF(AND(F$354&gt;=Assumptions!$G$29,F$354&lt;Assumptions!$G$31),'S&amp;U'!$I42/ROUNDUP(Assumptions!$G$30/12,0),0))</f>
        <v>67128952.665678784</v>
      </c>
      <c r="G358" s="83">
        <f ca="1">+IF(AND(G$354&gt;=Assumptions!$G$27,G$354&lt;Assumptions!$G$29),'S&amp;U'!$I10/ROUNDUP(Assumptions!$G$28/12,0),IF(AND(G$354&gt;=Assumptions!$G$29,G$354&lt;Assumptions!$G$31),'S&amp;U'!$I42/ROUNDUP(Assumptions!$G$30/12,0),0))</f>
        <v>0</v>
      </c>
      <c r="H358" s="83">
        <f ca="1">+IF(AND(H$354&gt;=Assumptions!$G$27,H$354&lt;Assumptions!$G$29),'S&amp;U'!$I10/ROUNDUP(Assumptions!$G$28/12,0),IF(AND(H$354&gt;=Assumptions!$G$29,H$354&lt;Assumptions!$G$31),'S&amp;U'!$I42/ROUNDUP(Assumptions!$G$30/12,0),0))</f>
        <v>0</v>
      </c>
      <c r="I358" s="83">
        <f>+IF(AND(I$354&gt;=Assumptions!$G$27,I$354&lt;Assumptions!$G$29),'S&amp;U'!$I10/ROUNDUP(Assumptions!$G$28/12,0),IF(AND(I$354&gt;=Assumptions!$G$29,I$354&lt;Assumptions!$G$31),'S&amp;U'!$I42/ROUNDUP(Assumptions!$G$30/12,0),0))</f>
        <v>0</v>
      </c>
      <c r="J358" s="83">
        <f>+IF(AND(J$354&gt;=Assumptions!$G$27,J$354&lt;Assumptions!$G$29),'S&amp;U'!$I10/ROUNDUP(Assumptions!$G$28/12,0),IF(AND(J$354&gt;=Assumptions!$G$29,J$354&lt;Assumptions!$G$31),'S&amp;U'!$I42/ROUNDUP(Assumptions!$G$30/12,0),0))</f>
        <v>0</v>
      </c>
      <c r="K358" s="83">
        <f>+IF(AND(K$354&gt;=Assumptions!$G$27,K$354&lt;Assumptions!$G$29),'S&amp;U'!$I10/ROUNDUP(Assumptions!$G$28/12,0),IF(AND(K$354&gt;=Assumptions!$G$29,K$354&lt;Assumptions!$G$31),'S&amp;U'!$I42/ROUNDUP(Assumptions!$G$30/12,0),0))</f>
        <v>0</v>
      </c>
      <c r="L358" s="83">
        <f>+IF(AND(L$354&gt;=Assumptions!$G$27,L$354&lt;Assumptions!$G$29),'S&amp;U'!$I10/ROUNDUP(Assumptions!$G$28/12,0),IF(AND(L$354&gt;=Assumptions!$G$29,L$354&lt;Assumptions!$G$31),'S&amp;U'!$I42/ROUNDUP(Assumptions!$G$30/12,0),0))</f>
        <v>0</v>
      </c>
      <c r="M358" s="83">
        <f>+IF(AND(M$354&gt;=Assumptions!$G$27,M$354&lt;Assumptions!$G$29),'S&amp;U'!$I10/ROUNDUP(Assumptions!$G$28/12,0),IF(AND(M$354&gt;=Assumptions!$G$29,M$354&lt;Assumptions!$G$31),'S&amp;U'!$I42/ROUNDUP(Assumptions!$G$30/12,0),0))</f>
        <v>0</v>
      </c>
      <c r="N358" s="83">
        <f>+IF(AND(N$354&gt;=Assumptions!$G$27,N$354&lt;Assumptions!$G$29),'S&amp;U'!$I10/ROUNDUP(Assumptions!$G$28/12,0),IF(AND(N$354&gt;=Assumptions!$G$29,N$354&lt;Assumptions!$G$31),'S&amp;U'!$I42/ROUNDUP(Assumptions!$G$30/12,0),0))</f>
        <v>0</v>
      </c>
      <c r="O358" s="83">
        <f>+IF(AND(O$354&gt;=Assumptions!$G$27,O$354&lt;Assumptions!$G$29),'S&amp;U'!$I10/ROUNDUP(Assumptions!$G$28/12,0),IF(AND(O$354&gt;=Assumptions!$G$29,O$354&lt;Assumptions!$G$31),'S&amp;U'!$I42/ROUNDUP(Assumptions!$G$30/12,0),0))</f>
        <v>0</v>
      </c>
      <c r="P358" s="83">
        <f>+IF(AND(P$354&gt;=Assumptions!$G$27,P$354&lt;Assumptions!$G$29),'S&amp;U'!$I10/ROUNDUP(Assumptions!$G$28/12,0),IF(AND(P$354&gt;=Assumptions!$G$29,P$354&lt;Assumptions!$G$31),'S&amp;U'!$I42/ROUNDUP(Assumptions!$G$30/12,0),0))</f>
        <v>0</v>
      </c>
      <c r="Q358" s="83">
        <f>+IF(AND(Q$354&gt;=Assumptions!$G$27,Q$354&lt;Assumptions!$G$29),'S&amp;U'!$I10/ROUNDUP(Assumptions!$G$28/12,0),IF(AND(Q$354&gt;=Assumptions!$G$29,Q$354&lt;Assumptions!$G$31),'S&amp;U'!$I42/ROUNDUP(Assumptions!$G$30/12,0),0))</f>
        <v>0</v>
      </c>
      <c r="R358" s="83">
        <f>+IF(AND(R$354&gt;=Assumptions!$G$27,R$354&lt;Assumptions!$G$29),'S&amp;U'!$I10/ROUNDUP(Assumptions!$G$28/12,0),IF(AND(R$354&gt;=Assumptions!$G$29,R$354&lt;Assumptions!$G$31),'S&amp;U'!$I42/ROUNDUP(Assumptions!$G$30/12,0),0))</f>
        <v>0</v>
      </c>
      <c r="S358" s="83">
        <f>+IF(AND(S$354&gt;=Assumptions!$G$27,S$354&lt;Assumptions!$G$29),'S&amp;U'!$I10/ROUNDUP(Assumptions!$G$28/12,0),IF(AND(S$354&gt;=Assumptions!$G$29,S$354&lt;Assumptions!$G$31),'S&amp;U'!$I42/ROUNDUP(Assumptions!$G$30/12,0),0))</f>
        <v>0</v>
      </c>
      <c r="T358" s="83">
        <f>+IF(AND(T$354&gt;=Assumptions!$G$27,T$354&lt;Assumptions!$G$29),'S&amp;U'!$I10/ROUNDUP(Assumptions!$G$28/12,0),IF(AND(T$354&gt;=Assumptions!$G$29,T$354&lt;Assumptions!$G$31),'S&amp;U'!$I42/ROUNDUP(Assumptions!$G$30/12,0),0))</f>
        <v>0</v>
      </c>
      <c r="U358" s="83">
        <f>+IF(AND(U$354&gt;=Assumptions!$G$27,U$354&lt;Assumptions!$G$29),'S&amp;U'!$I10/ROUNDUP(Assumptions!$G$28/12,0),IF(AND(U$354&gt;=Assumptions!$G$29,U$354&lt;Assumptions!$G$31),'S&amp;U'!$I42/ROUNDUP(Assumptions!$G$30/12,0),0))</f>
        <v>0</v>
      </c>
      <c r="V358" s="83">
        <f>+IF(AND(V$354&gt;=Assumptions!$G$27,V$354&lt;Assumptions!$G$29),'S&amp;U'!$I10/ROUNDUP(Assumptions!$G$28/12,0),IF(AND(V$354&gt;=Assumptions!$G$29,V$354&lt;Assumptions!$G$31),'S&amp;U'!$I42/ROUNDUP(Assumptions!$G$30/12,0),0))</f>
        <v>0</v>
      </c>
      <c r="W358" s="83">
        <f>+IF(AND(W$354&gt;=Assumptions!$G$27,W$354&lt;Assumptions!$G$29),'S&amp;U'!$I10/ROUNDUP(Assumptions!$G$28/12,0),IF(AND(W$354&gt;=Assumptions!$G$29,W$354&lt;Assumptions!$G$31),'S&amp;U'!$I42/ROUNDUP(Assumptions!$G$30/12,0),0))</f>
        <v>0</v>
      </c>
      <c r="X358" s="83">
        <f>+IF(AND(X$354&gt;=Assumptions!$G$27,X$354&lt;Assumptions!$G$29),'S&amp;U'!$I10/ROUNDUP(Assumptions!$G$28/12,0),IF(AND(X$354&gt;=Assumptions!$G$29,X$354&lt;Assumptions!$G$31),'S&amp;U'!$I42/ROUNDUP(Assumptions!$G$30/12,0),0))</f>
        <v>0</v>
      </c>
      <c r="Y358" s="83">
        <f>+IF(AND(Y$354&gt;=Assumptions!$G$27,Y$354&lt;Assumptions!$G$29),'S&amp;U'!$I10/ROUNDUP(Assumptions!$G$28/12,0),IF(AND(Y$354&gt;=Assumptions!$G$29,Y$354&lt;Assumptions!$G$31),'S&amp;U'!$I42/ROUNDUP(Assumptions!$G$30/12,0),0))</f>
        <v>0</v>
      </c>
      <c r="Z358" s="83">
        <f>+IF(AND(Z$354&gt;=Assumptions!$G$27,Z$354&lt;Assumptions!$G$29),'S&amp;U'!$I10/ROUNDUP(Assumptions!$G$28/12,0),IF(AND(Z$354&gt;=Assumptions!$G$29,Z$354&lt;Assumptions!$G$31),'S&amp;U'!$I42/ROUNDUP(Assumptions!$G$30/12,0),0))</f>
        <v>0</v>
      </c>
    </row>
    <row r="359" spans="1:26" ht="15.75">
      <c r="A359" s="699" t="s">
        <v>511</v>
      </c>
      <c r="B359" s="699" t="s">
        <v>347</v>
      </c>
      <c r="C359" s="49"/>
      <c r="D359" s="94">
        <f t="shared" ca="1" si="175"/>
        <v>21460662.638504423</v>
      </c>
      <c r="E359" s="94"/>
      <c r="F359" s="83">
        <f>+IF(AND(F$354&gt;=Assumptions!$G$27,F$354&lt;Assumptions!$G$29),'S&amp;U'!$I11/ROUNDUP(Assumptions!$G$28/12,0),IF(AND(F$354&gt;=Assumptions!$G$29,F$354&lt;Assumptions!$G$31),'S&amp;U'!$I43/ROUNDUP(Assumptions!$G$30/12,0),0))</f>
        <v>0</v>
      </c>
      <c r="G359" s="83">
        <f ca="1">+IF(AND(G$354&gt;=Assumptions!$G$27,G$354&lt;Assumptions!$G$29),'S&amp;U'!$I11/ROUNDUP(Assumptions!$G$28/12,0),IF(AND(G$354&gt;=Assumptions!$G$29,G$354&lt;Assumptions!$G$31),'S&amp;U'!$I43/ROUNDUP(Assumptions!$G$30/12,0),0))</f>
        <v>10730331.319252213</v>
      </c>
      <c r="H359" s="83">
        <f ca="1">+IF(AND(H$354&gt;=Assumptions!$G$27,H$354&lt;Assumptions!$G$29),'S&amp;U'!$I11/ROUNDUP(Assumptions!$G$28/12,0),IF(AND(H$354&gt;=Assumptions!$G$29,H$354&lt;Assumptions!$G$31),'S&amp;U'!$I43/ROUNDUP(Assumptions!$G$30/12,0),0))</f>
        <v>10730331.319252213</v>
      </c>
      <c r="I359" s="83">
        <f>+IF(AND(I$354&gt;=Assumptions!$G$27,I$354&lt;Assumptions!$G$29),'S&amp;U'!$I11/ROUNDUP(Assumptions!$G$28/12,0),IF(AND(I$354&gt;=Assumptions!$G$29,I$354&lt;Assumptions!$G$31),'S&amp;U'!$I43/ROUNDUP(Assumptions!$G$30/12,0),0))</f>
        <v>0</v>
      </c>
      <c r="J359" s="83">
        <f>+IF(AND(J$354&gt;=Assumptions!$G$27,J$354&lt;Assumptions!$G$29),'S&amp;U'!$I11/ROUNDUP(Assumptions!$G$28/12,0),IF(AND(J$354&gt;=Assumptions!$G$29,J$354&lt;Assumptions!$G$31),'S&amp;U'!$I43/ROUNDUP(Assumptions!$G$30/12,0),0))</f>
        <v>0</v>
      </c>
      <c r="K359" s="83">
        <f>+IF(AND(K$354&gt;=Assumptions!$G$27,K$354&lt;Assumptions!$G$29),'S&amp;U'!$I11/ROUNDUP(Assumptions!$G$28/12,0),IF(AND(K$354&gt;=Assumptions!$G$29,K$354&lt;Assumptions!$G$31),'S&amp;U'!$I43/ROUNDUP(Assumptions!$G$30/12,0),0))</f>
        <v>0</v>
      </c>
      <c r="L359" s="83">
        <f>+IF(AND(L$354&gt;=Assumptions!$G$27,L$354&lt;Assumptions!$G$29),'S&amp;U'!$I11/ROUNDUP(Assumptions!$G$28/12,0),IF(AND(L$354&gt;=Assumptions!$G$29,L$354&lt;Assumptions!$G$31),'S&amp;U'!$I43/ROUNDUP(Assumptions!$G$30/12,0),0))</f>
        <v>0</v>
      </c>
      <c r="M359" s="83">
        <f>+IF(AND(M$354&gt;=Assumptions!$G$27,M$354&lt;Assumptions!$G$29),'S&amp;U'!$I11/ROUNDUP(Assumptions!$G$28/12,0),IF(AND(M$354&gt;=Assumptions!$G$29,M$354&lt;Assumptions!$G$31),'S&amp;U'!$I43/ROUNDUP(Assumptions!$G$30/12,0),0))</f>
        <v>0</v>
      </c>
      <c r="N359" s="83">
        <f>+IF(AND(N$354&gt;=Assumptions!$G$27,N$354&lt;Assumptions!$G$29),'S&amp;U'!$I11/ROUNDUP(Assumptions!$G$28/12,0),IF(AND(N$354&gt;=Assumptions!$G$29,N$354&lt;Assumptions!$G$31),'S&amp;U'!$I43/ROUNDUP(Assumptions!$G$30/12,0),0))</f>
        <v>0</v>
      </c>
      <c r="O359" s="83">
        <f>+IF(AND(O$354&gt;=Assumptions!$G$27,O$354&lt;Assumptions!$G$29),'S&amp;U'!$I11/ROUNDUP(Assumptions!$G$28/12,0),IF(AND(O$354&gt;=Assumptions!$G$29,O$354&lt;Assumptions!$G$31),'S&amp;U'!$I43/ROUNDUP(Assumptions!$G$30/12,0),0))</f>
        <v>0</v>
      </c>
      <c r="P359" s="83">
        <f>+IF(AND(P$354&gt;=Assumptions!$G$27,P$354&lt;Assumptions!$G$29),'S&amp;U'!$I11/ROUNDUP(Assumptions!$G$28/12,0),IF(AND(P$354&gt;=Assumptions!$G$29,P$354&lt;Assumptions!$G$31),'S&amp;U'!$I43/ROUNDUP(Assumptions!$G$30/12,0),0))</f>
        <v>0</v>
      </c>
      <c r="Q359" s="83">
        <f>+IF(AND(Q$354&gt;=Assumptions!$G$27,Q$354&lt;Assumptions!$G$29),'S&amp;U'!$I11/ROUNDUP(Assumptions!$G$28/12,0),IF(AND(Q$354&gt;=Assumptions!$G$29,Q$354&lt;Assumptions!$G$31),'S&amp;U'!$I43/ROUNDUP(Assumptions!$G$30/12,0),0))</f>
        <v>0</v>
      </c>
      <c r="R359" s="83">
        <f>+IF(AND(R$354&gt;=Assumptions!$G$27,R$354&lt;Assumptions!$G$29),'S&amp;U'!$I11/ROUNDUP(Assumptions!$G$28/12,0),IF(AND(R$354&gt;=Assumptions!$G$29,R$354&lt;Assumptions!$G$31),'S&amp;U'!$I43/ROUNDUP(Assumptions!$G$30/12,0),0))</f>
        <v>0</v>
      </c>
      <c r="S359" s="83">
        <f>+IF(AND(S$354&gt;=Assumptions!$G$27,S$354&lt;Assumptions!$G$29),'S&amp;U'!$I11/ROUNDUP(Assumptions!$G$28/12,0),IF(AND(S$354&gt;=Assumptions!$G$29,S$354&lt;Assumptions!$G$31),'S&amp;U'!$I43/ROUNDUP(Assumptions!$G$30/12,0),0))</f>
        <v>0</v>
      </c>
      <c r="T359" s="83">
        <f>+IF(AND(T$354&gt;=Assumptions!$G$27,T$354&lt;Assumptions!$G$29),'S&amp;U'!$I11/ROUNDUP(Assumptions!$G$28/12,0),IF(AND(T$354&gt;=Assumptions!$G$29,T$354&lt;Assumptions!$G$31),'S&amp;U'!$I43/ROUNDUP(Assumptions!$G$30/12,0),0))</f>
        <v>0</v>
      </c>
      <c r="U359" s="83">
        <f>+IF(AND(U$354&gt;=Assumptions!$G$27,U$354&lt;Assumptions!$G$29),'S&amp;U'!$I11/ROUNDUP(Assumptions!$G$28/12,0),IF(AND(U$354&gt;=Assumptions!$G$29,U$354&lt;Assumptions!$G$31),'S&amp;U'!$I43/ROUNDUP(Assumptions!$G$30/12,0),0))</f>
        <v>0</v>
      </c>
      <c r="V359" s="83">
        <f>+IF(AND(V$354&gt;=Assumptions!$G$27,V$354&lt;Assumptions!$G$29),'S&amp;U'!$I11/ROUNDUP(Assumptions!$G$28/12,0),IF(AND(V$354&gt;=Assumptions!$G$29,V$354&lt;Assumptions!$G$31),'S&amp;U'!$I43/ROUNDUP(Assumptions!$G$30/12,0),0))</f>
        <v>0</v>
      </c>
      <c r="W359" s="83">
        <f>+IF(AND(W$354&gt;=Assumptions!$G$27,W$354&lt;Assumptions!$G$29),'S&amp;U'!$I11/ROUNDUP(Assumptions!$G$28/12,0),IF(AND(W$354&gt;=Assumptions!$G$29,W$354&lt;Assumptions!$G$31),'S&amp;U'!$I43/ROUNDUP(Assumptions!$G$30/12,0),0))</f>
        <v>0</v>
      </c>
      <c r="X359" s="83">
        <f>+IF(AND(X$354&gt;=Assumptions!$G$27,X$354&lt;Assumptions!$G$29),'S&amp;U'!$I11/ROUNDUP(Assumptions!$G$28/12,0),IF(AND(X$354&gt;=Assumptions!$G$29,X$354&lt;Assumptions!$G$31),'S&amp;U'!$I43/ROUNDUP(Assumptions!$G$30/12,0),0))</f>
        <v>0</v>
      </c>
      <c r="Y359" s="83">
        <f>+IF(AND(Y$354&gt;=Assumptions!$G$27,Y$354&lt;Assumptions!$G$29),'S&amp;U'!$I11/ROUNDUP(Assumptions!$G$28/12,0),IF(AND(Y$354&gt;=Assumptions!$G$29,Y$354&lt;Assumptions!$G$31),'S&amp;U'!$I43/ROUNDUP(Assumptions!$G$30/12,0),0))</f>
        <v>0</v>
      </c>
      <c r="Z359" s="83">
        <f>+IF(AND(Z$354&gt;=Assumptions!$G$27,Z$354&lt;Assumptions!$G$29),'S&amp;U'!$I11/ROUNDUP(Assumptions!$G$28/12,0),IF(AND(Z$354&gt;=Assumptions!$G$29,Z$354&lt;Assumptions!$G$31),'S&amp;U'!$I43/ROUNDUP(Assumptions!$G$30/12,0),0))</f>
        <v>0</v>
      </c>
    </row>
    <row r="360" spans="1:26" ht="15.75">
      <c r="A360" s="699"/>
      <c r="B360" s="699" t="s">
        <v>348</v>
      </c>
      <c r="C360" s="49"/>
      <c r="D360" s="94">
        <f t="shared" ca="1" si="175"/>
        <v>23043740.800185625</v>
      </c>
      <c r="E360" s="94"/>
      <c r="F360" s="83">
        <f>+IF(AND(F$354&gt;=Assumptions!$G$27,F$354&lt;Assumptions!$G$29),'S&amp;U'!$I12/ROUNDUP(Assumptions!$G$28/12,0),IF(AND(F$354&gt;=Assumptions!$G$29,F$354&lt;Assumptions!$G$31),'S&amp;U'!$I44/ROUNDUP(Assumptions!$G$30/12,0),0))</f>
        <v>0</v>
      </c>
      <c r="G360" s="83">
        <f ca="1">+IF(AND(G$354&gt;=Assumptions!$G$27,G$354&lt;Assumptions!$G$29),'S&amp;U'!$I12/ROUNDUP(Assumptions!$G$28/12,0),IF(AND(G$354&gt;=Assumptions!$G$29,G$354&lt;Assumptions!$G$31),'S&amp;U'!$I44/ROUNDUP(Assumptions!$G$30/12,0),0))</f>
        <v>11521870.400092812</v>
      </c>
      <c r="H360" s="83">
        <f ca="1">+IF(AND(H$354&gt;=Assumptions!$G$27,H$354&lt;Assumptions!$G$29),'S&amp;U'!$I12/ROUNDUP(Assumptions!$G$28/12,0),IF(AND(H$354&gt;=Assumptions!$G$29,H$354&lt;Assumptions!$G$31),'S&amp;U'!$I44/ROUNDUP(Assumptions!$G$30/12,0),0))</f>
        <v>11521870.400092812</v>
      </c>
      <c r="I360" s="83">
        <f>+IF(AND(I$354&gt;=Assumptions!$G$27,I$354&lt;Assumptions!$G$29),'S&amp;U'!$I12/ROUNDUP(Assumptions!$G$28/12,0),IF(AND(I$354&gt;=Assumptions!$G$29,I$354&lt;Assumptions!$G$31),'S&amp;U'!$I44/ROUNDUP(Assumptions!$G$30/12,0),0))</f>
        <v>0</v>
      </c>
      <c r="J360" s="83">
        <f>+IF(AND(J$354&gt;=Assumptions!$G$27,J$354&lt;Assumptions!$G$29),'S&amp;U'!$I12/ROUNDUP(Assumptions!$G$28/12,0),IF(AND(J$354&gt;=Assumptions!$G$29,J$354&lt;Assumptions!$G$31),'S&amp;U'!$I44/ROUNDUP(Assumptions!$G$30/12,0),0))</f>
        <v>0</v>
      </c>
      <c r="K360" s="83">
        <f>+IF(AND(K$354&gt;=Assumptions!$G$27,K$354&lt;Assumptions!$G$29),'S&amp;U'!$I12/ROUNDUP(Assumptions!$G$28/12,0),IF(AND(K$354&gt;=Assumptions!$G$29,K$354&lt;Assumptions!$G$31),'S&amp;U'!$I44/ROUNDUP(Assumptions!$G$30/12,0),0))</f>
        <v>0</v>
      </c>
      <c r="L360" s="83">
        <f>+IF(AND(L$354&gt;=Assumptions!$G$27,L$354&lt;Assumptions!$G$29),'S&amp;U'!$I12/ROUNDUP(Assumptions!$G$28/12,0),IF(AND(L$354&gt;=Assumptions!$G$29,L$354&lt;Assumptions!$G$31),'S&amp;U'!$I44/ROUNDUP(Assumptions!$G$30/12,0),0))</f>
        <v>0</v>
      </c>
      <c r="M360" s="83">
        <f>+IF(AND(M$354&gt;=Assumptions!$G$27,M$354&lt;Assumptions!$G$29),'S&amp;U'!$I12/ROUNDUP(Assumptions!$G$28/12,0),IF(AND(M$354&gt;=Assumptions!$G$29,M$354&lt;Assumptions!$G$31),'S&amp;U'!$I44/ROUNDUP(Assumptions!$G$30/12,0),0))</f>
        <v>0</v>
      </c>
      <c r="N360" s="83">
        <f>+IF(AND(N$354&gt;=Assumptions!$G$27,N$354&lt;Assumptions!$G$29),'S&amp;U'!$I12/ROUNDUP(Assumptions!$G$28/12,0),IF(AND(N$354&gt;=Assumptions!$G$29,N$354&lt;Assumptions!$G$31),'S&amp;U'!$I44/ROUNDUP(Assumptions!$G$30/12,0),0))</f>
        <v>0</v>
      </c>
      <c r="O360" s="83">
        <f>+IF(AND(O$354&gt;=Assumptions!$G$27,O$354&lt;Assumptions!$G$29),'S&amp;U'!$I12/ROUNDUP(Assumptions!$G$28/12,0),IF(AND(O$354&gt;=Assumptions!$G$29,O$354&lt;Assumptions!$G$31),'S&amp;U'!$I44/ROUNDUP(Assumptions!$G$30/12,0),0))</f>
        <v>0</v>
      </c>
      <c r="P360" s="83">
        <f>+IF(AND(P$354&gt;=Assumptions!$G$27,P$354&lt;Assumptions!$G$29),'S&amp;U'!$I12/ROUNDUP(Assumptions!$G$28/12,0),IF(AND(P$354&gt;=Assumptions!$G$29,P$354&lt;Assumptions!$G$31),'S&amp;U'!$I44/ROUNDUP(Assumptions!$G$30/12,0),0))</f>
        <v>0</v>
      </c>
      <c r="Q360" s="83">
        <f>+IF(AND(Q$354&gt;=Assumptions!$G$27,Q$354&lt;Assumptions!$G$29),'S&amp;U'!$I12/ROUNDUP(Assumptions!$G$28/12,0),IF(AND(Q$354&gt;=Assumptions!$G$29,Q$354&lt;Assumptions!$G$31),'S&amp;U'!$I44/ROUNDUP(Assumptions!$G$30/12,0),0))</f>
        <v>0</v>
      </c>
      <c r="R360" s="83">
        <f>+IF(AND(R$354&gt;=Assumptions!$G$27,R$354&lt;Assumptions!$G$29),'S&amp;U'!$I12/ROUNDUP(Assumptions!$G$28/12,0),IF(AND(R$354&gt;=Assumptions!$G$29,R$354&lt;Assumptions!$G$31),'S&amp;U'!$I44/ROUNDUP(Assumptions!$G$30/12,0),0))</f>
        <v>0</v>
      </c>
      <c r="S360" s="83">
        <f>+IF(AND(S$354&gt;=Assumptions!$G$27,S$354&lt;Assumptions!$G$29),'S&amp;U'!$I12/ROUNDUP(Assumptions!$G$28/12,0),IF(AND(S$354&gt;=Assumptions!$G$29,S$354&lt;Assumptions!$G$31),'S&amp;U'!$I44/ROUNDUP(Assumptions!$G$30/12,0),0))</f>
        <v>0</v>
      </c>
      <c r="T360" s="83">
        <f>+IF(AND(T$354&gt;=Assumptions!$G$27,T$354&lt;Assumptions!$G$29),'S&amp;U'!$I12/ROUNDUP(Assumptions!$G$28/12,0),IF(AND(T$354&gt;=Assumptions!$G$29,T$354&lt;Assumptions!$G$31),'S&amp;U'!$I44/ROUNDUP(Assumptions!$G$30/12,0),0))</f>
        <v>0</v>
      </c>
      <c r="U360" s="83">
        <f>+IF(AND(U$354&gt;=Assumptions!$G$27,U$354&lt;Assumptions!$G$29),'S&amp;U'!$I12/ROUNDUP(Assumptions!$G$28/12,0),IF(AND(U$354&gt;=Assumptions!$G$29,U$354&lt;Assumptions!$G$31),'S&amp;U'!$I44/ROUNDUP(Assumptions!$G$30/12,0),0))</f>
        <v>0</v>
      </c>
      <c r="V360" s="83">
        <f>+IF(AND(V$354&gt;=Assumptions!$G$27,V$354&lt;Assumptions!$G$29),'S&amp;U'!$I12/ROUNDUP(Assumptions!$G$28/12,0),IF(AND(V$354&gt;=Assumptions!$G$29,V$354&lt;Assumptions!$G$31),'S&amp;U'!$I44/ROUNDUP(Assumptions!$G$30/12,0),0))</f>
        <v>0</v>
      </c>
      <c r="W360" s="83">
        <f>+IF(AND(W$354&gt;=Assumptions!$G$27,W$354&lt;Assumptions!$G$29),'S&amp;U'!$I12/ROUNDUP(Assumptions!$G$28/12,0),IF(AND(W$354&gt;=Assumptions!$G$29,W$354&lt;Assumptions!$G$31),'S&amp;U'!$I44/ROUNDUP(Assumptions!$G$30/12,0),0))</f>
        <v>0</v>
      </c>
      <c r="X360" s="83">
        <f>+IF(AND(X$354&gt;=Assumptions!$G$27,X$354&lt;Assumptions!$G$29),'S&amp;U'!$I12/ROUNDUP(Assumptions!$G$28/12,0),IF(AND(X$354&gt;=Assumptions!$G$29,X$354&lt;Assumptions!$G$31),'S&amp;U'!$I44/ROUNDUP(Assumptions!$G$30/12,0),0))</f>
        <v>0</v>
      </c>
      <c r="Y360" s="83">
        <f>+IF(AND(Y$354&gt;=Assumptions!$G$27,Y$354&lt;Assumptions!$G$29),'S&amp;U'!$I12/ROUNDUP(Assumptions!$G$28/12,0),IF(AND(Y$354&gt;=Assumptions!$G$29,Y$354&lt;Assumptions!$G$31),'S&amp;U'!$I44/ROUNDUP(Assumptions!$G$30/12,0),0))</f>
        <v>0</v>
      </c>
      <c r="Z360" s="83">
        <f>+IF(AND(Z$354&gt;=Assumptions!$G$27,Z$354&lt;Assumptions!$G$29),'S&amp;U'!$I12/ROUNDUP(Assumptions!$G$28/12,0),IF(AND(Z$354&gt;=Assumptions!$G$29,Z$354&lt;Assumptions!$G$31),'S&amp;U'!$I44/ROUNDUP(Assumptions!$G$30/12,0),0))</f>
        <v>0</v>
      </c>
    </row>
    <row r="361" spans="1:26" ht="15.75">
      <c r="A361" s="699"/>
      <c r="B361" s="699" t="s">
        <v>349</v>
      </c>
      <c r="C361" s="49"/>
      <c r="D361" s="94">
        <f t="shared" ca="1" si="175"/>
        <v>15258747.913810223</v>
      </c>
      <c r="E361" s="94"/>
      <c r="F361" s="83">
        <f ca="1">+IF(AND(F$354&gt;=Assumptions!$G$27,F$354&lt;Assumptions!$G$29),'S&amp;U'!$I13/ROUNDUP(Assumptions!$G$28/12,0),IF(AND(F$354&gt;=Assumptions!$G$29,F$354&lt;Assumptions!$G$33),'S&amp;U'!$I45/ROUNDUP((Assumptions!$G$30+Assumptions!$G$32)/12,0),0))</f>
        <v>15258747.913810223</v>
      </c>
      <c r="G361" s="83">
        <f ca="1">+IF(AND(G$354&gt;=Assumptions!$G$27,G$354&lt;Assumptions!$G$29),'S&amp;U'!$I13/ROUNDUP(Assumptions!$G$28/12,0),IF(AND(G$354&gt;=Assumptions!$G$29,G$354&lt;Assumptions!$G$33),'S&amp;U'!$I45/ROUNDUP((Assumptions!$G$30+Assumptions!$G$32)/12,0),0))</f>
        <v>0</v>
      </c>
      <c r="H361" s="83">
        <f ca="1">+IF(AND(H$354&gt;=Assumptions!$G$27,H$354&lt;Assumptions!$G$29),'S&amp;U'!$I13/ROUNDUP(Assumptions!$G$28/12,0),IF(AND(H$354&gt;=Assumptions!$G$29,H$354&lt;Assumptions!$G$33),'S&amp;U'!$I45/ROUNDUP((Assumptions!$G$30+Assumptions!$G$32)/12,0),0))</f>
        <v>0</v>
      </c>
      <c r="I361" s="83">
        <f ca="1">+IF(AND(I$354&gt;=Assumptions!$G$27,I$354&lt;Assumptions!$G$29),'S&amp;U'!$I13/ROUNDUP(Assumptions!$G$28/12,0),IF(AND(I$354&gt;=Assumptions!$G$29,I$354&lt;Assumptions!$G$33),'S&amp;U'!$I45/ROUNDUP((Assumptions!$G$30+Assumptions!$G$32)/12,0),0))</f>
        <v>0</v>
      </c>
      <c r="J361" s="83">
        <f ca="1">+IF(AND(J$354&gt;=Assumptions!$G$27,J$354&lt;Assumptions!$G$29),'S&amp;U'!$I13/ROUNDUP(Assumptions!$G$28/12,0),IF(AND(J$354&gt;=Assumptions!$G$29,J$354&lt;Assumptions!$G$33),'S&amp;U'!$I45/ROUNDUP((Assumptions!$G$30+Assumptions!$G$32)/12,0),0))</f>
        <v>0</v>
      </c>
      <c r="K361" s="83">
        <f>+IF(AND(K$354&gt;=Assumptions!$G$27,K$354&lt;Assumptions!$G$29),'S&amp;U'!$I13/ROUNDUP(Assumptions!$G$28/12,0),IF(AND(K$354&gt;=Assumptions!$G$29,K$354&lt;Assumptions!$G$33),'S&amp;U'!$I45/ROUNDUP((Assumptions!$G$30+Assumptions!$G$32)/12,0),0))</f>
        <v>0</v>
      </c>
      <c r="L361" s="83">
        <f>+IF(AND(L$354&gt;=Assumptions!$G$27,L$354&lt;Assumptions!$G$29),'S&amp;U'!$I13/ROUNDUP(Assumptions!$G$28/12,0),IF(AND(L$354&gt;=Assumptions!$G$29,L$354&lt;Assumptions!$G$33),'S&amp;U'!$I45/ROUNDUP((Assumptions!$G$30+Assumptions!$G$32)/12,0),0))</f>
        <v>0</v>
      </c>
      <c r="M361" s="83">
        <f>+IF(AND(M$354&gt;=Assumptions!$G$27,M$354&lt;Assumptions!$G$29),'S&amp;U'!$I13/ROUNDUP(Assumptions!$G$28/12,0),IF(AND(M$354&gt;=Assumptions!$G$29,M$354&lt;Assumptions!$G$33),'S&amp;U'!$I45/ROUNDUP((Assumptions!$G$30+Assumptions!$G$32)/12,0),0))</f>
        <v>0</v>
      </c>
      <c r="N361" s="83">
        <f>+IF(AND(N$354&gt;=Assumptions!$G$27,N$354&lt;Assumptions!$G$29),'S&amp;U'!$I13/ROUNDUP(Assumptions!$G$28/12,0),IF(AND(N$354&gt;=Assumptions!$G$29,N$354&lt;Assumptions!$G$33),'S&amp;U'!$I45/ROUNDUP((Assumptions!$G$30+Assumptions!$G$32)/12,0),0))</f>
        <v>0</v>
      </c>
      <c r="O361" s="83">
        <f>+IF(AND(O$354&gt;=Assumptions!$G$27,O$354&lt;Assumptions!$G$29),'S&amp;U'!$I13/ROUNDUP(Assumptions!$G$28/12,0),IF(AND(O$354&gt;=Assumptions!$G$29,O$354&lt;Assumptions!$G$33),'S&amp;U'!$I45/ROUNDUP((Assumptions!$G$30+Assumptions!$G$32)/12,0),0))</f>
        <v>0</v>
      </c>
      <c r="P361" s="83">
        <f>+IF(AND(P$354&gt;=Assumptions!$G$27,P$354&lt;Assumptions!$G$29),'S&amp;U'!$I13/ROUNDUP(Assumptions!$G$28/12,0),IF(AND(P$354&gt;=Assumptions!$G$29,P$354&lt;Assumptions!$G$33),'S&amp;U'!$I45/ROUNDUP((Assumptions!$G$30+Assumptions!$G$32)/12,0),0))</f>
        <v>0</v>
      </c>
      <c r="Q361" s="83">
        <f>+IF(AND(Q$354&gt;=Assumptions!$G$27,Q$354&lt;Assumptions!$G$29),'S&amp;U'!$I13/ROUNDUP(Assumptions!$G$28/12,0),IF(AND(Q$354&gt;=Assumptions!$G$29,Q$354&lt;Assumptions!$G$33),'S&amp;U'!$I45/ROUNDUP((Assumptions!$G$30+Assumptions!$G$32)/12,0),0))</f>
        <v>0</v>
      </c>
      <c r="R361" s="83">
        <f>+IF(AND(R$354&gt;=Assumptions!$G$27,R$354&lt;Assumptions!$G$29),'S&amp;U'!$I13/ROUNDUP(Assumptions!$G$28/12,0),IF(AND(R$354&gt;=Assumptions!$G$29,R$354&lt;Assumptions!$G$33),'S&amp;U'!$I45/ROUNDUP((Assumptions!$G$30+Assumptions!$G$32)/12,0),0))</f>
        <v>0</v>
      </c>
      <c r="S361" s="83">
        <f>+IF(AND(S$354&gt;=Assumptions!$G$27,S$354&lt;Assumptions!$G$29),'S&amp;U'!$I13/ROUNDUP(Assumptions!$G$28/12,0),IF(AND(S$354&gt;=Assumptions!$G$29,S$354&lt;Assumptions!$G$33),'S&amp;U'!$I45/ROUNDUP((Assumptions!$G$30+Assumptions!$G$32)/12,0),0))</f>
        <v>0</v>
      </c>
      <c r="T361" s="83">
        <f>+IF(AND(T$354&gt;=Assumptions!$G$27,T$354&lt;Assumptions!$G$29),'S&amp;U'!$I13/ROUNDUP(Assumptions!$G$28/12,0),IF(AND(T$354&gt;=Assumptions!$G$29,T$354&lt;Assumptions!$G$33),'S&amp;U'!$I45/ROUNDUP((Assumptions!$G$30+Assumptions!$G$32)/12,0),0))</f>
        <v>0</v>
      </c>
      <c r="U361" s="83">
        <f>+IF(AND(U$354&gt;=Assumptions!$G$27,U$354&lt;Assumptions!$G$29),'S&amp;U'!$I13/ROUNDUP(Assumptions!$G$28/12,0),IF(AND(U$354&gt;=Assumptions!$G$29,U$354&lt;Assumptions!$G$33),'S&amp;U'!$I45/ROUNDUP((Assumptions!$G$30+Assumptions!$G$32)/12,0),0))</f>
        <v>0</v>
      </c>
      <c r="V361" s="83">
        <f>+IF(AND(V$354&gt;=Assumptions!$G$27,V$354&lt;Assumptions!$G$29),'S&amp;U'!$I13/ROUNDUP(Assumptions!$G$28/12,0),IF(AND(V$354&gt;=Assumptions!$G$29,V$354&lt;Assumptions!$G$33),'S&amp;U'!$I45/ROUNDUP((Assumptions!$G$30+Assumptions!$G$32)/12,0),0))</f>
        <v>0</v>
      </c>
      <c r="W361" s="83">
        <f>+IF(AND(W$354&gt;=Assumptions!$G$27,W$354&lt;Assumptions!$G$29),'S&amp;U'!$I13/ROUNDUP(Assumptions!$G$28/12,0),IF(AND(W$354&gt;=Assumptions!$G$29,W$354&lt;Assumptions!$G$33),'S&amp;U'!$I45/ROUNDUP((Assumptions!$G$30+Assumptions!$G$32)/12,0),0))</f>
        <v>0</v>
      </c>
      <c r="X361" s="83">
        <f>+IF(AND(X$354&gt;=Assumptions!$G$27,X$354&lt;Assumptions!$G$29),'S&amp;U'!$I13/ROUNDUP(Assumptions!$G$28/12,0),IF(AND(X$354&gt;=Assumptions!$G$29,X$354&lt;Assumptions!$G$33),'S&amp;U'!$I45/ROUNDUP((Assumptions!$G$30+Assumptions!$G$32)/12,0),0))</f>
        <v>0</v>
      </c>
      <c r="Y361" s="83">
        <f>+IF(AND(Y$354&gt;=Assumptions!$G$27,Y$354&lt;Assumptions!$G$29),'S&amp;U'!$I13/ROUNDUP(Assumptions!$G$28/12,0),IF(AND(Y$354&gt;=Assumptions!$G$29,Y$354&lt;Assumptions!$G$33),'S&amp;U'!$I45/ROUNDUP((Assumptions!$G$30+Assumptions!$G$32)/12,0),0))</f>
        <v>0</v>
      </c>
      <c r="Z361" s="83">
        <f>+IF(AND(Z$354&gt;=Assumptions!$G$27,Z$354&lt;Assumptions!$G$29),'S&amp;U'!$I13/ROUNDUP(Assumptions!$G$28/12,0),IF(AND(Z$354&gt;=Assumptions!$G$29,Z$354&lt;Assumptions!$G$33),'S&amp;U'!$I45/ROUNDUP((Assumptions!$G$30+Assumptions!$G$32)/12,0),0))</f>
        <v>0</v>
      </c>
    </row>
    <row r="362" spans="1:26" ht="15.75">
      <c r="A362" s="699"/>
      <c r="B362" s="50" t="s">
        <v>1192</v>
      </c>
      <c r="C362" s="50"/>
      <c r="D362" s="55">
        <f t="shared" ca="1" si="175"/>
        <v>401418455.08362806</v>
      </c>
      <c r="E362" s="55"/>
      <c r="F362" s="55">
        <f ca="1">+SUM(F355:F361)</f>
        <v>89534045.099883363</v>
      </c>
      <c r="G362" s="55">
        <f t="shared" ref="G362:Z362" ca="1" si="176">+SUM(G355:G361)</f>
        <v>155942204.99187234</v>
      </c>
      <c r="H362" s="55">
        <f t="shared" ca="1" si="176"/>
        <v>155942204.99187234</v>
      </c>
      <c r="I362" s="55">
        <f t="shared" ca="1" si="176"/>
        <v>0</v>
      </c>
      <c r="J362" s="55">
        <f t="shared" ca="1" si="176"/>
        <v>0</v>
      </c>
      <c r="K362" s="55">
        <f t="shared" si="176"/>
        <v>0</v>
      </c>
      <c r="L362" s="55">
        <f t="shared" si="176"/>
        <v>0</v>
      </c>
      <c r="M362" s="55">
        <f t="shared" si="176"/>
        <v>0</v>
      </c>
      <c r="N362" s="55">
        <f t="shared" si="176"/>
        <v>0</v>
      </c>
      <c r="O362" s="55">
        <f t="shared" si="176"/>
        <v>0</v>
      </c>
      <c r="P362" s="55">
        <f t="shared" si="176"/>
        <v>0</v>
      </c>
      <c r="Q362" s="55">
        <f t="shared" si="176"/>
        <v>0</v>
      </c>
      <c r="R362" s="55">
        <f t="shared" si="176"/>
        <v>0</v>
      </c>
      <c r="S362" s="55">
        <f t="shared" si="176"/>
        <v>0</v>
      </c>
      <c r="T362" s="55">
        <f t="shared" si="176"/>
        <v>0</v>
      </c>
      <c r="U362" s="55">
        <f t="shared" si="176"/>
        <v>0</v>
      </c>
      <c r="V362" s="55">
        <f t="shared" si="176"/>
        <v>0</v>
      </c>
      <c r="W362" s="55">
        <f t="shared" si="176"/>
        <v>0</v>
      </c>
      <c r="X362" s="55">
        <f t="shared" si="176"/>
        <v>0</v>
      </c>
      <c r="Y362" s="55">
        <f t="shared" si="176"/>
        <v>0</v>
      </c>
      <c r="Z362" s="55">
        <f t="shared" si="176"/>
        <v>0</v>
      </c>
    </row>
    <row r="363" spans="1:26">
      <c r="A363" s="699"/>
      <c r="B363" s="49"/>
      <c r="C363" s="49"/>
      <c r="D363" s="49"/>
      <c r="E363" s="49"/>
      <c r="F363" s="49"/>
      <c r="G363" s="49"/>
      <c r="H363" s="49"/>
      <c r="I363" s="49"/>
      <c r="J363" s="49"/>
      <c r="K363" s="49"/>
      <c r="L363" s="49"/>
      <c r="M363" s="49"/>
      <c r="N363" s="49"/>
      <c r="O363" s="49"/>
      <c r="P363" s="49"/>
      <c r="Q363" s="49"/>
      <c r="R363" s="49"/>
      <c r="S363" s="49"/>
      <c r="T363" s="49"/>
      <c r="U363" s="49"/>
      <c r="V363" s="49"/>
      <c r="W363" s="49"/>
      <c r="X363" s="49"/>
      <c r="Y363" s="49"/>
      <c r="Z363" s="49"/>
    </row>
    <row r="364" spans="1:26" ht="15.75">
      <c r="A364" s="699"/>
      <c r="B364" s="112" t="s">
        <v>1193</v>
      </c>
      <c r="C364" s="49"/>
      <c r="D364" s="49"/>
      <c r="E364" s="49"/>
      <c r="F364" s="148">
        <f>+Assumptions!$G$27</f>
        <v>46387</v>
      </c>
      <c r="G364" s="148">
        <f>+EOMONTH(F364,12)</f>
        <v>46752</v>
      </c>
      <c r="H364" s="148">
        <f t="shared" ref="H364:Z364" si="177">+EOMONTH(G364,12)</f>
        <v>47118</v>
      </c>
      <c r="I364" s="148">
        <f t="shared" si="177"/>
        <v>47483</v>
      </c>
      <c r="J364" s="148">
        <f t="shared" si="177"/>
        <v>47848</v>
      </c>
      <c r="K364" s="148">
        <f t="shared" si="177"/>
        <v>48213</v>
      </c>
      <c r="L364" s="148">
        <f t="shared" si="177"/>
        <v>48579</v>
      </c>
      <c r="M364" s="148">
        <f t="shared" si="177"/>
        <v>48944</v>
      </c>
      <c r="N364" s="148">
        <f t="shared" si="177"/>
        <v>49309</v>
      </c>
      <c r="O364" s="148">
        <f t="shared" si="177"/>
        <v>49674</v>
      </c>
      <c r="P364" s="148">
        <f t="shared" si="177"/>
        <v>50040</v>
      </c>
      <c r="Q364" s="148">
        <f t="shared" si="177"/>
        <v>50405</v>
      </c>
      <c r="R364" s="148">
        <f t="shared" si="177"/>
        <v>50770</v>
      </c>
      <c r="S364" s="148">
        <f t="shared" si="177"/>
        <v>51135</v>
      </c>
      <c r="T364" s="148">
        <f t="shared" si="177"/>
        <v>51501</v>
      </c>
      <c r="U364" s="148">
        <f t="shared" si="177"/>
        <v>51866</v>
      </c>
      <c r="V364" s="148">
        <f t="shared" si="177"/>
        <v>52231</v>
      </c>
      <c r="W364" s="148">
        <f t="shared" si="177"/>
        <v>52596</v>
      </c>
      <c r="X364" s="148">
        <f t="shared" si="177"/>
        <v>52962</v>
      </c>
      <c r="Y364" s="148">
        <f t="shared" si="177"/>
        <v>53327</v>
      </c>
      <c r="Z364" s="148">
        <f t="shared" si="177"/>
        <v>53692</v>
      </c>
    </row>
    <row r="365" spans="1:26" ht="15.75">
      <c r="A365" s="699"/>
      <c r="B365" s="699" t="s">
        <v>1194</v>
      </c>
      <c r="C365" s="49"/>
      <c r="D365" s="94">
        <f ca="1">+SUM(F365:Z365)</f>
        <v>29640547.373204827</v>
      </c>
      <c r="E365" s="94"/>
      <c r="F365" s="83">
        <f ca="1">+MIN('S&amp;U'!$I23-SUM($E365:E365),F$362)</f>
        <v>29640547.373204827</v>
      </c>
      <c r="G365" s="83">
        <f ca="1">+MIN('S&amp;U'!$I23-SUM($E365:F365),G$362)</f>
        <v>0</v>
      </c>
      <c r="H365" s="83">
        <f ca="1">+MIN('S&amp;U'!$I23-SUM($E365:G365),H$362)</f>
        <v>0</v>
      </c>
      <c r="I365" s="83">
        <f ca="1">+MIN('S&amp;U'!$I23-SUM($E365:H365),I$362)</f>
        <v>0</v>
      </c>
      <c r="J365" s="83">
        <f ca="1">+MIN('S&amp;U'!$I23-SUM($E365:I365),J$362)</f>
        <v>0</v>
      </c>
      <c r="K365" s="83">
        <f ca="1">+MIN('S&amp;U'!$I23-SUM($E365:J365),K$362)</f>
        <v>0</v>
      </c>
      <c r="L365" s="83">
        <f ca="1">+MIN('S&amp;U'!$I23-SUM($E365:K365),L$362)</f>
        <v>0</v>
      </c>
      <c r="M365" s="83">
        <f ca="1">+MIN('S&amp;U'!$I23-SUM($E365:L365),M$362)</f>
        <v>0</v>
      </c>
      <c r="N365" s="83">
        <f ca="1">+MIN('S&amp;U'!$I23-SUM($E365:M365),N$362)</f>
        <v>0</v>
      </c>
      <c r="O365" s="83">
        <f ca="1">+MIN('S&amp;U'!$I23-SUM($E365:N365),O$362)</f>
        <v>0</v>
      </c>
      <c r="P365" s="83">
        <f ca="1">+MIN('S&amp;U'!$I23-SUM($E365:O365),P$362)</f>
        <v>0</v>
      </c>
      <c r="Q365" s="83">
        <f ca="1">+MIN('S&amp;U'!$I23-SUM($E365:P365),Q$362)</f>
        <v>0</v>
      </c>
      <c r="R365" s="83">
        <f ca="1">+MIN('S&amp;U'!$I23-SUM($E365:Q365),R$362)</f>
        <v>0</v>
      </c>
      <c r="S365" s="83">
        <f ca="1">+MIN('S&amp;U'!$I23-SUM($E365:R365),S$362)</f>
        <v>0</v>
      </c>
      <c r="T365" s="83">
        <f ca="1">+MIN('S&amp;U'!$I23-SUM($E365:S365),T$362)</f>
        <v>0</v>
      </c>
      <c r="U365" s="83">
        <f ca="1">+MIN('S&amp;U'!$I23-SUM($E365:T365),U$362)</f>
        <v>0</v>
      </c>
      <c r="V365" s="83">
        <f ca="1">+MIN('S&amp;U'!$I23-SUM($E365:U365),V$362)</f>
        <v>0</v>
      </c>
      <c r="W365" s="83">
        <f ca="1">+MIN('S&amp;U'!$I23-SUM($E365:V365),W$362)</f>
        <v>0</v>
      </c>
      <c r="X365" s="83">
        <f ca="1">+MIN('S&amp;U'!$I23-SUM($E365:W365),X$362)</f>
        <v>0</v>
      </c>
      <c r="Y365" s="83">
        <f ca="1">+MIN('S&amp;U'!$I23-SUM($E365:X365),Y$362)</f>
        <v>0</v>
      </c>
      <c r="Z365" s="83">
        <f ca="1">+MIN('S&amp;U'!$I23-SUM($E365:Y365),Z$362)</f>
        <v>0</v>
      </c>
    </row>
    <row r="366" spans="1:26" ht="15.75">
      <c r="A366" s="699"/>
      <c r="B366" s="699" t="s">
        <v>146</v>
      </c>
      <c r="C366" s="49"/>
      <c r="D366" s="94">
        <f t="shared" ref="D366:D371" ca="1" si="178">+SUM(F366:Z366)</f>
        <v>0</v>
      </c>
      <c r="E366" s="94"/>
      <c r="F366" s="83">
        <f ca="1">+MIN('S&amp;U'!$I19-SUM($E366:E366),F$362-SUM(F$365:F365))</f>
        <v>0</v>
      </c>
      <c r="G366" s="83">
        <f ca="1">+MIN('S&amp;U'!$I19-SUM($E366:F366),G$362-SUM(G$365:G365))</f>
        <v>0</v>
      </c>
      <c r="H366" s="83">
        <f ca="1">+MIN('S&amp;U'!$I19-SUM($E366:G366),H$362-SUM(H$365:H365))</f>
        <v>0</v>
      </c>
      <c r="I366" s="83">
        <f ca="1">+MIN('S&amp;U'!$I19-SUM($E366:H366),I$362-SUM(I$365:I365))</f>
        <v>0</v>
      </c>
      <c r="J366" s="83">
        <f ca="1">+MIN('S&amp;U'!$I19-SUM($E366:I366),J$362-SUM(J$365:J365))</f>
        <v>0</v>
      </c>
      <c r="K366" s="83">
        <f ca="1">+MIN('S&amp;U'!$I19-SUM($E366:J366),K$362-SUM(K$365:K365))</f>
        <v>0</v>
      </c>
      <c r="L366" s="83">
        <f ca="1">+MIN('S&amp;U'!$I19-SUM($E366:K366),L$362-SUM(L$365:L365))</f>
        <v>0</v>
      </c>
      <c r="M366" s="83">
        <f ca="1">+MIN('S&amp;U'!$I19-SUM($E366:L366),M$362-SUM(M$365:M365))</f>
        <v>0</v>
      </c>
      <c r="N366" s="83">
        <f ca="1">+MIN('S&amp;U'!$I19-SUM($E366:M366),N$362-SUM(N$365:N365))</f>
        <v>0</v>
      </c>
      <c r="O366" s="83">
        <f ca="1">+MIN('S&amp;U'!$I19-SUM($E366:N366),O$362-SUM(O$365:O365))</f>
        <v>0</v>
      </c>
      <c r="P366" s="83">
        <f ca="1">+MIN('S&amp;U'!$I19-SUM($E366:O366),P$362-SUM(P$365:P365))</f>
        <v>0</v>
      </c>
      <c r="Q366" s="83">
        <f ca="1">+MIN('S&amp;U'!$I19-SUM($E366:P366),Q$362-SUM(Q$365:Q365))</f>
        <v>0</v>
      </c>
      <c r="R366" s="83">
        <f ca="1">+MIN('S&amp;U'!$I19-SUM($E366:Q366),R$362-SUM(R$365:R365))</f>
        <v>0</v>
      </c>
      <c r="S366" s="83">
        <f ca="1">+MIN('S&amp;U'!$I19-SUM($E366:R366),S$362-SUM(S$365:S365))</f>
        <v>0</v>
      </c>
      <c r="T366" s="83">
        <f ca="1">+MIN('S&amp;U'!$I19-SUM($E366:S366),T$362-SUM(T$365:T365))</f>
        <v>0</v>
      </c>
      <c r="U366" s="83">
        <f ca="1">+MIN('S&amp;U'!$I19-SUM($E366:T366),U$362-SUM(U$365:U365))</f>
        <v>0</v>
      </c>
      <c r="V366" s="83">
        <f ca="1">+MIN('S&amp;U'!$I19-SUM($E366:U366),V$362-SUM(V$365:V365))</f>
        <v>0</v>
      </c>
      <c r="W366" s="83">
        <f ca="1">+MIN('S&amp;U'!$I19-SUM($E366:V366),W$362-SUM(W$365:W365))</f>
        <v>0</v>
      </c>
      <c r="X366" s="83">
        <f ca="1">+MIN('S&amp;U'!$I19-SUM($E366:W366),X$362-SUM(X$365:X365))</f>
        <v>0</v>
      </c>
      <c r="Y366" s="83">
        <f ca="1">+MIN('S&amp;U'!$I19-SUM($E366:X366),Y$362-SUM(Y$365:Y365))</f>
        <v>0</v>
      </c>
      <c r="Z366" s="83">
        <f ca="1">+MIN('S&amp;U'!$I19-SUM($E366:Y366),Z$362-SUM(Z$365:Z365))</f>
        <v>0</v>
      </c>
    </row>
    <row r="367" spans="1:26" ht="15.75">
      <c r="A367" s="699"/>
      <c r="B367" s="699" t="s">
        <v>1195</v>
      </c>
      <c r="C367" s="49"/>
      <c r="D367" s="94">
        <f t="shared" ca="1" si="178"/>
        <v>71440658.636525184</v>
      </c>
      <c r="E367" s="94"/>
      <c r="F367" s="83">
        <f ca="1">+MIN('S&amp;U'!$I20-SUM($E367:E367),F$362-SUM(F$365:F366))</f>
        <v>59893497.726678535</v>
      </c>
      <c r="G367" s="83">
        <f ca="1">+MIN('S&amp;U'!$I20-SUM($E367:F367),G$362-SUM(G$365:G366))</f>
        <v>11547160.909846649</v>
      </c>
      <c r="H367" s="83">
        <f ca="1">+MIN('S&amp;U'!$I20-SUM($E367:G367),H$362-SUM(H$365:H366))</f>
        <v>0</v>
      </c>
      <c r="I367" s="83">
        <f ca="1">+MIN('S&amp;U'!$I20-SUM($E367:H367),I$362-SUM(I$365:I366))</f>
        <v>0</v>
      </c>
      <c r="J367" s="83">
        <f ca="1">+MIN('S&amp;U'!$I20-SUM($E367:I367),J$362-SUM(J$365:J366))</f>
        <v>0</v>
      </c>
      <c r="K367" s="83">
        <f ca="1">+MIN('S&amp;U'!$I20-SUM($E367:J367),K$362-SUM(K$365:K366))</f>
        <v>0</v>
      </c>
      <c r="L367" s="83">
        <f ca="1">+MIN('S&amp;U'!$I20-SUM($E367:K367),L$362-SUM(L$365:L366))</f>
        <v>0</v>
      </c>
      <c r="M367" s="83">
        <f ca="1">+MIN('S&amp;U'!$I20-SUM($E367:L367),M$362-SUM(M$365:M366))</f>
        <v>0</v>
      </c>
      <c r="N367" s="83">
        <f ca="1">+MIN('S&amp;U'!$I20-SUM($E367:M367),N$362-SUM(N$365:N366))</f>
        <v>0</v>
      </c>
      <c r="O367" s="83">
        <f ca="1">+MIN('S&amp;U'!$I20-SUM($E367:N367),O$362-SUM(O$365:O366))</f>
        <v>0</v>
      </c>
      <c r="P367" s="83">
        <f ca="1">+MIN('S&amp;U'!$I20-SUM($E367:O367),P$362-SUM(P$365:P366))</f>
        <v>0</v>
      </c>
      <c r="Q367" s="83">
        <f ca="1">+MIN('S&amp;U'!$I20-SUM($E367:P367),Q$362-SUM(Q$365:Q366))</f>
        <v>0</v>
      </c>
      <c r="R367" s="83">
        <f ca="1">+MIN('S&amp;U'!$I20-SUM($E367:Q367),R$362-SUM(R$365:R366))</f>
        <v>0</v>
      </c>
      <c r="S367" s="83">
        <f ca="1">+MIN('S&amp;U'!$I20-SUM($E367:R367),S$362-SUM(S$365:S366))</f>
        <v>0</v>
      </c>
      <c r="T367" s="83">
        <f ca="1">+MIN('S&amp;U'!$I20-SUM($E367:S367),T$362-SUM(T$365:T366))</f>
        <v>0</v>
      </c>
      <c r="U367" s="83">
        <f ca="1">+MIN('S&amp;U'!$I20-SUM($E367:T367),U$362-SUM(U$365:U366))</f>
        <v>0</v>
      </c>
      <c r="V367" s="83">
        <f ca="1">+MIN('S&amp;U'!$I20-SUM($E367:U367),V$362-SUM(V$365:V366))</f>
        <v>0</v>
      </c>
      <c r="W367" s="83">
        <f ca="1">+MIN('S&amp;U'!$I20-SUM($E367:V367),W$362-SUM(W$365:W366))</f>
        <v>0</v>
      </c>
      <c r="X367" s="83">
        <f ca="1">+MIN('S&amp;U'!$I20-SUM($E367:W367),X$362-SUM(X$365:X366))</f>
        <v>0</v>
      </c>
      <c r="Y367" s="83">
        <f ca="1">+MIN('S&amp;U'!$I20-SUM($E367:X367),Y$362-SUM(Y$365:Y366))</f>
        <v>0</v>
      </c>
      <c r="Z367" s="83">
        <f ca="1">+MIN('S&amp;U'!$I20-SUM($E367:Y367),Z$362-SUM(Z$365:Z366))</f>
        <v>0</v>
      </c>
    </row>
    <row r="368" spans="1:26" ht="15.75">
      <c r="A368" s="699"/>
      <c r="B368" s="699" t="s">
        <v>1196</v>
      </c>
      <c r="C368" s="49"/>
      <c r="D368" s="94">
        <f t="shared" ca="1" si="178"/>
        <v>0</v>
      </c>
      <c r="E368" s="94"/>
      <c r="F368" s="83">
        <f ca="1">+MIN('S&amp;U'!$I21-SUM($E368:E368),F$362-SUM(F$365:F367))</f>
        <v>0</v>
      </c>
      <c r="G368" s="83">
        <f ca="1">+MIN('S&amp;U'!$I21-SUM($E368:F368),G$362-SUM(G$365:G367))</f>
        <v>0</v>
      </c>
      <c r="H368" s="83">
        <f ca="1">+MIN('S&amp;U'!$I21-SUM($E368:G368),H$362-SUM(H$365:H367))</f>
        <v>0</v>
      </c>
      <c r="I368" s="83">
        <f ca="1">+MIN('S&amp;U'!$I21-SUM($E368:H368),I$362-SUM(I$365:I367))</f>
        <v>0</v>
      </c>
      <c r="J368" s="83">
        <f ca="1">+MIN('S&amp;U'!$I21-SUM($E368:I368),J$362-SUM(J$365:J367))</f>
        <v>0</v>
      </c>
      <c r="K368" s="83">
        <f ca="1">+MIN('S&amp;U'!$I21-SUM($E368:J368),K$362-SUM(K$365:K367))</f>
        <v>0</v>
      </c>
      <c r="L368" s="83">
        <f ca="1">+MIN('S&amp;U'!$I21-SUM($E368:K368),L$362-SUM(L$365:L367))</f>
        <v>0</v>
      </c>
      <c r="M368" s="83">
        <f ca="1">+MIN('S&amp;U'!$I21-SUM($E368:L368),M$362-SUM(M$365:M367))</f>
        <v>0</v>
      </c>
      <c r="N368" s="83">
        <f ca="1">+MIN('S&amp;U'!$I21-SUM($E368:M368),N$362-SUM(N$365:N367))</f>
        <v>0</v>
      </c>
      <c r="O368" s="83">
        <f ca="1">+MIN('S&amp;U'!$I21-SUM($E368:N368),O$362-SUM(O$365:O367))</f>
        <v>0</v>
      </c>
      <c r="P368" s="83">
        <f ca="1">+MIN('S&amp;U'!$I21-SUM($E368:O368),P$362-SUM(P$365:P367))</f>
        <v>0</v>
      </c>
      <c r="Q368" s="83">
        <f ca="1">+MIN('S&amp;U'!$I21-SUM($E368:P368),Q$362-SUM(Q$365:Q367))</f>
        <v>0</v>
      </c>
      <c r="R368" s="83">
        <f ca="1">+MIN('S&amp;U'!$I21-SUM($E368:Q368),R$362-SUM(R$365:R367))</f>
        <v>0</v>
      </c>
      <c r="S368" s="83">
        <f ca="1">+MIN('S&amp;U'!$I21-SUM($E368:R368),S$362-SUM(S$365:S367))</f>
        <v>0</v>
      </c>
      <c r="T368" s="83">
        <f ca="1">+MIN('S&amp;U'!$I21-SUM($E368:S368),T$362-SUM(T$365:T367))</f>
        <v>0</v>
      </c>
      <c r="U368" s="83">
        <f ca="1">+MIN('S&amp;U'!$I21-SUM($E368:T368),U$362-SUM(U$365:U367))</f>
        <v>0</v>
      </c>
      <c r="V368" s="83">
        <f ca="1">+MIN('S&amp;U'!$I21-SUM($E368:U368),V$362-SUM(V$365:V367))</f>
        <v>0</v>
      </c>
      <c r="W368" s="83">
        <f ca="1">+MIN('S&amp;U'!$I21-SUM($E368:V368),W$362-SUM(W$365:W367))</f>
        <v>0</v>
      </c>
      <c r="X368" s="83">
        <f ca="1">+MIN('S&amp;U'!$I21-SUM($E368:W368),X$362-SUM(X$365:X367))</f>
        <v>0</v>
      </c>
      <c r="Y368" s="83">
        <f ca="1">+MIN('S&amp;U'!$I21-SUM($E368:X368),Y$362-SUM(Y$365:Y367))</f>
        <v>0</v>
      </c>
      <c r="Z368" s="83">
        <f ca="1">+MIN('S&amp;U'!$I21-SUM($E368:Y368),Z$362-SUM(Z$365:Z367))</f>
        <v>0</v>
      </c>
    </row>
    <row r="369" spans="1:26" ht="15.75">
      <c r="A369" s="699"/>
      <c r="B369" s="699" t="s">
        <v>1197</v>
      </c>
      <c r="C369" s="49"/>
      <c r="D369" s="94">
        <f t="shared" ca="1" si="178"/>
        <v>0</v>
      </c>
      <c r="E369" s="94"/>
      <c r="F369" s="83">
        <f ca="1">+MIN('S&amp;U'!$I22-SUM($E369:E369),F$362-SUM(F$365:F368))</f>
        <v>0</v>
      </c>
      <c r="G369" s="83">
        <f ca="1">+MIN('S&amp;U'!$I22-SUM($E369:F369),G$362-SUM(G$365:G368))</f>
        <v>0</v>
      </c>
      <c r="H369" s="83">
        <f ca="1">+MIN('S&amp;U'!$I22-SUM($E369:G369),H$362-SUM(H$365:H368))</f>
        <v>0</v>
      </c>
      <c r="I369" s="83">
        <f ca="1">+MIN('S&amp;U'!$I22-SUM($E369:H369),I$362-SUM(I$365:I368))</f>
        <v>0</v>
      </c>
      <c r="J369" s="83">
        <f ca="1">+MIN('S&amp;U'!$I22-SUM($E369:I369),J$362-SUM(J$365:J368))</f>
        <v>0</v>
      </c>
      <c r="K369" s="83">
        <f ca="1">+MIN('S&amp;U'!$I22-SUM($E369:J369),K$362-SUM(K$365:K368))</f>
        <v>0</v>
      </c>
      <c r="L369" s="83">
        <f ca="1">+MIN('S&amp;U'!$I22-SUM($E369:K369),L$362-SUM(L$365:L368))</f>
        <v>0</v>
      </c>
      <c r="M369" s="83">
        <f ca="1">+MIN('S&amp;U'!$I22-SUM($E369:L369),M$362-SUM(M$365:M368))</f>
        <v>0</v>
      </c>
      <c r="N369" s="83">
        <f ca="1">+MIN('S&amp;U'!$I22-SUM($E369:M369),N$362-SUM(N$365:N368))</f>
        <v>0</v>
      </c>
      <c r="O369" s="83">
        <f ca="1">+MIN('S&amp;U'!$I22-SUM($E369:N369),O$362-SUM(O$365:O368))</f>
        <v>0</v>
      </c>
      <c r="P369" s="83">
        <f ca="1">+MIN('S&amp;U'!$I22-SUM($E369:O369),P$362-SUM(P$365:P368))</f>
        <v>0</v>
      </c>
      <c r="Q369" s="83">
        <f ca="1">+MIN('S&amp;U'!$I22-SUM($E369:P369),Q$362-SUM(Q$365:Q368))</f>
        <v>0</v>
      </c>
      <c r="R369" s="83">
        <f ca="1">+MIN('S&amp;U'!$I22-SUM($E369:Q369),R$362-SUM(R$365:R368))</f>
        <v>0</v>
      </c>
      <c r="S369" s="83">
        <f ca="1">+MIN('S&amp;U'!$I22-SUM($E369:R369),S$362-SUM(S$365:S368))</f>
        <v>0</v>
      </c>
      <c r="T369" s="83">
        <f ca="1">+MIN('S&amp;U'!$I22-SUM($E369:S369),T$362-SUM(T$365:T368))</f>
        <v>0</v>
      </c>
      <c r="U369" s="83">
        <f ca="1">+MIN('S&amp;U'!$I22-SUM($E369:T369),U$362-SUM(U$365:U368))</f>
        <v>0</v>
      </c>
      <c r="V369" s="83">
        <f ca="1">+MIN('S&amp;U'!$I22-SUM($E369:U369),V$362-SUM(V$365:V368))</f>
        <v>0</v>
      </c>
      <c r="W369" s="83">
        <f ca="1">+MIN('S&amp;U'!$I22-SUM($E369:V369),W$362-SUM(W$365:W368))</f>
        <v>0</v>
      </c>
      <c r="X369" s="83">
        <f ca="1">+MIN('S&amp;U'!$I22-SUM($E369:W369),X$362-SUM(X$365:X368))</f>
        <v>0</v>
      </c>
      <c r="Y369" s="83">
        <f ca="1">+MIN('S&amp;U'!$I22-SUM($E369:X369),Y$362-SUM(Y$365:Y368))</f>
        <v>0</v>
      </c>
      <c r="Z369" s="83">
        <f ca="1">+MIN('S&amp;U'!$I22-SUM($E369:Y369),Z$362-SUM(Z$365:Z368))</f>
        <v>0</v>
      </c>
    </row>
    <row r="370" spans="1:26" ht="15.75">
      <c r="A370" s="699"/>
      <c r="B370" s="699" t="s">
        <v>323</v>
      </c>
      <c r="C370" s="49"/>
      <c r="D370" s="94">
        <f t="shared" ca="1" si="178"/>
        <v>249640532.78637764</v>
      </c>
      <c r="E370" s="94"/>
      <c r="F370" s="83">
        <f ca="1">+MIN('S&amp;U'!$I17-SUM($E370:E370),F$362-SUM(F$365:F369))</f>
        <v>0</v>
      </c>
      <c r="G370" s="83">
        <f ca="1">+MIN('S&amp;U'!$I17-SUM($E370:F370),G$362-SUM(G$365:G369))</f>
        <v>144395044.08202571</v>
      </c>
      <c r="H370" s="83">
        <f ca="1">+MIN('S&amp;U'!$I17-SUM($E370:G370),H$362-SUM(H$365:H369))</f>
        <v>105245488.7043519</v>
      </c>
      <c r="I370" s="83">
        <f ca="1">+MIN('S&amp;U'!$I17-SUM($E370:H370),I$362-SUM(I$365:I369))</f>
        <v>0</v>
      </c>
      <c r="J370" s="83">
        <f ca="1">+MIN('S&amp;U'!$I17-SUM($E370:I370),J$362-SUM(J$365:J369))</f>
        <v>0</v>
      </c>
      <c r="K370" s="83">
        <f ca="1">+MIN('S&amp;U'!$I17-SUM($E370:J370),K$362-SUM(K$365:K369))</f>
        <v>0</v>
      </c>
      <c r="L370" s="83">
        <f ca="1">+MIN('S&amp;U'!$I17-SUM($E370:K370),L$362-SUM(L$365:L369))</f>
        <v>0</v>
      </c>
      <c r="M370" s="83">
        <f ca="1">+MIN('S&amp;U'!$I17-SUM($E370:L370),M$362-SUM(M$365:M369))</f>
        <v>0</v>
      </c>
      <c r="N370" s="83">
        <f ca="1">+MIN('S&amp;U'!$I17-SUM($E370:M370),N$362-SUM(N$365:N369))</f>
        <v>0</v>
      </c>
      <c r="O370" s="83">
        <f ca="1">+MIN('S&amp;U'!$I17-SUM($E370:N370),O$362-SUM(O$365:O369))</f>
        <v>0</v>
      </c>
      <c r="P370" s="83">
        <f ca="1">+MIN('S&amp;U'!$I17-SUM($E370:O370),P$362-SUM(P$365:P369))</f>
        <v>0</v>
      </c>
      <c r="Q370" s="83">
        <f ca="1">+MIN('S&amp;U'!$I17-SUM($E370:P370),Q$362-SUM(Q$365:Q369))</f>
        <v>0</v>
      </c>
      <c r="R370" s="83">
        <f ca="1">+MIN('S&amp;U'!$I17-SUM($E370:Q370),R$362-SUM(R$365:R369))</f>
        <v>0</v>
      </c>
      <c r="S370" s="83">
        <f ca="1">+MIN('S&amp;U'!$I17-SUM($E370:R370),S$362-SUM(S$365:S369))</f>
        <v>0</v>
      </c>
      <c r="T370" s="83">
        <f ca="1">+MIN('S&amp;U'!$I17-SUM($E370:S370),T$362-SUM(T$365:T369))</f>
        <v>0</v>
      </c>
      <c r="U370" s="83">
        <f ca="1">+MIN('S&amp;U'!$I17-SUM($E370:T370),U$362-SUM(U$365:U369))</f>
        <v>0</v>
      </c>
      <c r="V370" s="83">
        <f ca="1">+MIN('S&amp;U'!$I17-SUM($E370:U370),V$362-SUM(V$365:V369))</f>
        <v>0</v>
      </c>
      <c r="W370" s="83">
        <f ca="1">+MIN('S&amp;U'!$I17-SUM($E370:V370),W$362-SUM(W$365:W369))</f>
        <v>0</v>
      </c>
      <c r="X370" s="83">
        <f ca="1">+MIN('S&amp;U'!$I17-SUM($E370:W370),X$362-SUM(X$365:X369))</f>
        <v>0</v>
      </c>
      <c r="Y370" s="83">
        <f ca="1">+MIN('S&amp;U'!$I17-SUM($E370:X370),Y$362-SUM(Y$365:Y369))</f>
        <v>0</v>
      </c>
      <c r="Z370" s="83">
        <f ca="1">+MIN('S&amp;U'!$I17-SUM($E370:Y370),Z$362-SUM(Z$365:Z369))</f>
        <v>0</v>
      </c>
    </row>
    <row r="371" spans="1:26" ht="15.75">
      <c r="A371" s="699"/>
      <c r="B371" s="699" t="s">
        <v>326</v>
      </c>
      <c r="C371" s="49"/>
      <c r="D371" s="94">
        <f t="shared" ca="1" si="178"/>
        <v>50696716.287520379</v>
      </c>
      <c r="E371" s="94"/>
      <c r="F371" s="83">
        <f ca="1">+MIN('S&amp;U'!$I18-SUM($E371:E371),F$362-SUM(F$365:F370))</f>
        <v>0</v>
      </c>
      <c r="G371" s="83">
        <f ca="1">+MIN('S&amp;U'!$I18-SUM($E371:F371),G$362-SUM(G$365:G370))</f>
        <v>-2.9802322387695313E-8</v>
      </c>
      <c r="H371" s="83">
        <f ca="1">+MIN('S&amp;U'!$I18-SUM($E371:G371),H$362-SUM(H$365:H370))</f>
        <v>50696716.287520416</v>
      </c>
      <c r="I371" s="83">
        <f ca="1">+MIN('S&amp;U'!$I18-SUM($E371:H371),I$362-SUM(I$365:I370))</f>
        <v>0</v>
      </c>
      <c r="J371" s="83">
        <f ca="1">+MIN('S&amp;U'!$I18-SUM($E371:I371),J$362-SUM(J$365:J370))</f>
        <v>0</v>
      </c>
      <c r="K371" s="83">
        <f ca="1">+MIN('S&amp;U'!$I18-SUM($E371:J371),K$362-SUM(K$365:K370))</f>
        <v>0</v>
      </c>
      <c r="L371" s="83">
        <f ca="1">+MIN('S&amp;U'!$I18-SUM($E371:K371),L$362-SUM(L$365:L370))</f>
        <v>0</v>
      </c>
      <c r="M371" s="83">
        <f ca="1">+MIN('S&amp;U'!$I18-SUM($E371:L371),M$362-SUM(M$365:M370))</f>
        <v>0</v>
      </c>
      <c r="N371" s="83">
        <f ca="1">+MIN('S&amp;U'!$I18-SUM($E371:M371),N$362-SUM(N$365:N370))</f>
        <v>0</v>
      </c>
      <c r="O371" s="83">
        <f ca="1">+MIN('S&amp;U'!$I18-SUM($E371:N371),O$362-SUM(O$365:O370))</f>
        <v>0</v>
      </c>
      <c r="P371" s="83">
        <f ca="1">+MIN('S&amp;U'!$I18-SUM($E371:O371),P$362-SUM(P$365:P370))</f>
        <v>0</v>
      </c>
      <c r="Q371" s="83">
        <f ca="1">+MIN('S&amp;U'!$I18-SUM($E371:P371),Q$362-SUM(Q$365:Q370))</f>
        <v>0</v>
      </c>
      <c r="R371" s="83">
        <f ca="1">+MIN('S&amp;U'!$I18-SUM($E371:Q371),R$362-SUM(R$365:R370))</f>
        <v>0</v>
      </c>
      <c r="S371" s="83">
        <f ca="1">+MIN('S&amp;U'!$I18-SUM($E371:R371),S$362-SUM(S$365:S370))</f>
        <v>0</v>
      </c>
      <c r="T371" s="83">
        <f ca="1">+MIN('S&amp;U'!$I18-SUM($E371:S371),T$362-SUM(T$365:T370))</f>
        <v>0</v>
      </c>
      <c r="U371" s="83">
        <f ca="1">+MIN('S&amp;U'!$I18-SUM($E371:T371),U$362-SUM(U$365:U370))</f>
        <v>0</v>
      </c>
      <c r="V371" s="83">
        <f ca="1">+MIN('S&amp;U'!$I18-SUM($E371:U371),V$362-SUM(V$365:V370))</f>
        <v>0</v>
      </c>
      <c r="W371" s="83">
        <f ca="1">+MIN('S&amp;U'!$I18-SUM($E371:V371),W$362-SUM(W$365:W370))</f>
        <v>0</v>
      </c>
      <c r="X371" s="83">
        <f ca="1">+MIN('S&amp;U'!$I18-SUM($E371:W371),X$362-SUM(X$365:X370))</f>
        <v>0</v>
      </c>
      <c r="Y371" s="83">
        <f ca="1">+MIN('S&amp;U'!$I18-SUM($E371:X371),Y$362-SUM(Y$365:Y370))</f>
        <v>0</v>
      </c>
      <c r="Z371" s="83">
        <f ca="1">+MIN('S&amp;U'!$I18-SUM($E371:Y371),Z$362-SUM(Z$365:Z370))</f>
        <v>0</v>
      </c>
    </row>
    <row r="372" spans="1:26" ht="15.75">
      <c r="A372" s="699"/>
      <c r="B372" s="50" t="s">
        <v>1198</v>
      </c>
      <c r="C372" s="50"/>
      <c r="D372" s="55">
        <f ca="1">+SUM(F372:Z372)</f>
        <v>401418455.08362806</v>
      </c>
      <c r="E372" s="55"/>
      <c r="F372" s="55">
        <f ca="1">+SUM(F365:F371)</f>
        <v>89534045.099883363</v>
      </c>
      <c r="G372" s="55">
        <f t="shared" ref="G372:Z372" ca="1" si="179">+SUM(G365:G371)</f>
        <v>155942204.99187234</v>
      </c>
      <c r="H372" s="55">
        <f t="shared" ca="1" si="179"/>
        <v>155942204.99187231</v>
      </c>
      <c r="I372" s="55">
        <f t="shared" ca="1" si="179"/>
        <v>0</v>
      </c>
      <c r="J372" s="55">
        <f t="shared" ca="1" si="179"/>
        <v>0</v>
      </c>
      <c r="K372" s="55">
        <f t="shared" ca="1" si="179"/>
        <v>0</v>
      </c>
      <c r="L372" s="55">
        <f t="shared" ca="1" si="179"/>
        <v>0</v>
      </c>
      <c r="M372" s="55">
        <f t="shared" ca="1" si="179"/>
        <v>0</v>
      </c>
      <c r="N372" s="55">
        <f t="shared" ca="1" si="179"/>
        <v>0</v>
      </c>
      <c r="O372" s="55">
        <f t="shared" ca="1" si="179"/>
        <v>0</v>
      </c>
      <c r="P372" s="55">
        <f t="shared" ca="1" si="179"/>
        <v>0</v>
      </c>
      <c r="Q372" s="55">
        <f t="shared" ca="1" si="179"/>
        <v>0</v>
      </c>
      <c r="R372" s="55">
        <f t="shared" ca="1" si="179"/>
        <v>0</v>
      </c>
      <c r="S372" s="55">
        <f t="shared" ca="1" si="179"/>
        <v>0</v>
      </c>
      <c r="T372" s="55">
        <f t="shared" ca="1" si="179"/>
        <v>0</v>
      </c>
      <c r="U372" s="55">
        <f t="shared" ca="1" si="179"/>
        <v>0</v>
      </c>
      <c r="V372" s="55">
        <f t="shared" ca="1" si="179"/>
        <v>0</v>
      </c>
      <c r="W372" s="55">
        <f t="shared" ca="1" si="179"/>
        <v>0</v>
      </c>
      <c r="X372" s="55">
        <f t="shared" ca="1" si="179"/>
        <v>0</v>
      </c>
      <c r="Y372" s="55">
        <f t="shared" ca="1" si="179"/>
        <v>0</v>
      </c>
      <c r="Z372" s="55">
        <f t="shared" ca="1" si="179"/>
        <v>0</v>
      </c>
    </row>
    <row r="373" spans="1:26">
      <c r="A373" s="69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 ht="15.75">
      <c r="A374" s="699"/>
      <c r="B374" s="699" t="s">
        <v>1199</v>
      </c>
      <c r="C374" s="49"/>
      <c r="D374" s="94">
        <f ca="1">+SUM(F374:Z374)</f>
        <v>122137374.92404556</v>
      </c>
      <c r="E374" s="49"/>
      <c r="F374" s="90">
        <f ca="1">+SUM(F366:F369,F371)</f>
        <v>59893497.726678535</v>
      </c>
      <c r="G374" s="90">
        <f t="shared" ref="G374:Z374" ca="1" si="180">+SUM(G366:G369,G371)</f>
        <v>11547160.909846619</v>
      </c>
      <c r="H374" s="90">
        <f t="shared" ca="1" si="180"/>
        <v>50696716.287520416</v>
      </c>
      <c r="I374" s="90">
        <f t="shared" ca="1" si="180"/>
        <v>0</v>
      </c>
      <c r="J374" s="90">
        <f t="shared" ca="1" si="180"/>
        <v>0</v>
      </c>
      <c r="K374" s="90">
        <f t="shared" ca="1" si="180"/>
        <v>0</v>
      </c>
      <c r="L374" s="90">
        <f t="shared" ca="1" si="180"/>
        <v>0</v>
      </c>
      <c r="M374" s="90">
        <f t="shared" ca="1" si="180"/>
        <v>0</v>
      </c>
      <c r="N374" s="90">
        <f t="shared" ca="1" si="180"/>
        <v>0</v>
      </c>
      <c r="O374" s="90">
        <f t="shared" ca="1" si="180"/>
        <v>0</v>
      </c>
      <c r="P374" s="90">
        <f t="shared" ca="1" si="180"/>
        <v>0</v>
      </c>
      <c r="Q374" s="90">
        <f t="shared" ca="1" si="180"/>
        <v>0</v>
      </c>
      <c r="R374" s="90">
        <f t="shared" ca="1" si="180"/>
        <v>0</v>
      </c>
      <c r="S374" s="90">
        <f t="shared" ca="1" si="180"/>
        <v>0</v>
      </c>
      <c r="T374" s="90">
        <f t="shared" ca="1" si="180"/>
        <v>0</v>
      </c>
      <c r="U374" s="90">
        <f t="shared" ca="1" si="180"/>
        <v>0</v>
      </c>
      <c r="V374" s="90">
        <f t="shared" ca="1" si="180"/>
        <v>0</v>
      </c>
      <c r="W374" s="90">
        <f t="shared" ca="1" si="180"/>
        <v>0</v>
      </c>
      <c r="X374" s="90">
        <f t="shared" ca="1" si="180"/>
        <v>0</v>
      </c>
      <c r="Y374" s="90">
        <f t="shared" ca="1" si="180"/>
        <v>0</v>
      </c>
      <c r="Z374" s="90">
        <f t="shared" ca="1" si="180"/>
        <v>0</v>
      </c>
    </row>
    <row r="375" spans="1:26">
      <c r="A375" s="699"/>
      <c r="B375" s="49"/>
      <c r="C375" s="49"/>
      <c r="D375" s="49"/>
      <c r="E375" s="49"/>
      <c r="F375" s="49"/>
      <c r="G375" s="49"/>
      <c r="H375" s="49"/>
      <c r="I375" s="49"/>
      <c r="J375" s="49"/>
      <c r="K375" s="49"/>
      <c r="L375" s="49"/>
      <c r="M375" s="49"/>
      <c r="N375" s="49"/>
      <c r="O375" s="49"/>
      <c r="P375" s="49"/>
      <c r="Q375" s="49"/>
      <c r="R375" s="49"/>
      <c r="S375" s="49"/>
      <c r="T375" s="49"/>
      <c r="U375" s="49"/>
      <c r="V375" s="49"/>
      <c r="W375" s="49"/>
      <c r="X375" s="49"/>
      <c r="Y375" s="49"/>
      <c r="Z375" s="49"/>
    </row>
    <row r="376" spans="1:26" ht="15.75">
      <c r="A376" s="699"/>
      <c r="B376" s="112" t="s">
        <v>1200</v>
      </c>
      <c r="C376" s="49"/>
      <c r="D376" s="49"/>
      <c r="E376" s="49"/>
      <c r="F376" s="49"/>
      <c r="G376" s="49"/>
      <c r="H376" s="49"/>
      <c r="I376" s="49"/>
      <c r="J376" s="49"/>
      <c r="K376" s="49"/>
      <c r="L376" s="49"/>
      <c r="M376" s="49"/>
      <c r="N376" s="49"/>
      <c r="O376" s="49"/>
      <c r="P376" s="49"/>
      <c r="Q376" s="49"/>
      <c r="R376" s="49"/>
      <c r="S376" s="49"/>
      <c r="T376" s="49"/>
      <c r="U376" s="49"/>
      <c r="V376" s="49"/>
      <c r="W376" s="49"/>
      <c r="X376" s="49"/>
      <c r="Y376" s="49"/>
      <c r="Z376" s="49"/>
    </row>
    <row r="377" spans="1:26" ht="15.75">
      <c r="A377" s="699"/>
      <c r="B377" s="699" t="s">
        <v>1201</v>
      </c>
      <c r="C377" s="49"/>
      <c r="D377" s="94">
        <f t="shared" ref="D377:D379" ca="1" si="181">+SUM(F377:Z377)</f>
        <v>-29640547.373204827</v>
      </c>
      <c r="E377" s="94"/>
      <c r="F377" s="83">
        <f ca="1">-F365</f>
        <v>-29640547.373204827</v>
      </c>
      <c r="G377" s="83">
        <f t="shared" ref="G377:Z377" ca="1" si="182">-G365</f>
        <v>0</v>
      </c>
      <c r="H377" s="83">
        <f t="shared" ca="1" si="182"/>
        <v>0</v>
      </c>
      <c r="I377" s="83">
        <f t="shared" ca="1" si="182"/>
        <v>0</v>
      </c>
      <c r="J377" s="83">
        <f t="shared" ca="1" si="182"/>
        <v>0</v>
      </c>
      <c r="K377" s="83">
        <f t="shared" ca="1" si="182"/>
        <v>0</v>
      </c>
      <c r="L377" s="83">
        <f t="shared" ca="1" si="182"/>
        <v>0</v>
      </c>
      <c r="M377" s="83">
        <f t="shared" ca="1" si="182"/>
        <v>0</v>
      </c>
      <c r="N377" s="83">
        <f t="shared" ca="1" si="182"/>
        <v>0</v>
      </c>
      <c r="O377" s="83">
        <f t="shared" ca="1" si="182"/>
        <v>0</v>
      </c>
      <c r="P377" s="83">
        <f t="shared" ca="1" si="182"/>
        <v>0</v>
      </c>
      <c r="Q377" s="83">
        <f t="shared" ca="1" si="182"/>
        <v>0</v>
      </c>
      <c r="R377" s="83">
        <f t="shared" ca="1" si="182"/>
        <v>0</v>
      </c>
      <c r="S377" s="83">
        <f t="shared" ca="1" si="182"/>
        <v>0</v>
      </c>
      <c r="T377" s="83">
        <f t="shared" ca="1" si="182"/>
        <v>0</v>
      </c>
      <c r="U377" s="83">
        <f t="shared" ca="1" si="182"/>
        <v>0</v>
      </c>
      <c r="V377" s="83">
        <f t="shared" ca="1" si="182"/>
        <v>0</v>
      </c>
      <c r="W377" s="83">
        <f t="shared" ca="1" si="182"/>
        <v>0</v>
      </c>
      <c r="X377" s="83">
        <f t="shared" ca="1" si="182"/>
        <v>0</v>
      </c>
      <c r="Y377" s="83">
        <f t="shared" ca="1" si="182"/>
        <v>0</v>
      </c>
      <c r="Z377" s="83">
        <f t="shared" ca="1" si="182"/>
        <v>0</v>
      </c>
    </row>
    <row r="378" spans="1:26" ht="15.75">
      <c r="A378" s="699" t="s">
        <v>511</v>
      </c>
      <c r="B378" s="699" t="s">
        <v>1202</v>
      </c>
      <c r="C378" s="49"/>
      <c r="D378" s="94">
        <f t="shared" ca="1" si="181"/>
        <v>248077459.72161287</v>
      </c>
      <c r="E378" s="94"/>
      <c r="F378" s="90">
        <f ca="1">+F347</f>
        <v>0</v>
      </c>
      <c r="G378" s="90">
        <f t="shared" ref="G378:Z378" ca="1" si="183">+G347</f>
        <v>0</v>
      </c>
      <c r="H378" s="90">
        <f t="shared" ca="1" si="183"/>
        <v>0</v>
      </c>
      <c r="I378" s="90">
        <f t="shared" ca="1" si="183"/>
        <v>19031441.973054491</v>
      </c>
      <c r="J378" s="90">
        <f t="shared" ca="1" si="183"/>
        <v>-4809205.851375958</v>
      </c>
      <c r="K378" s="90">
        <f t="shared" ca="1" si="183"/>
        <v>3831454.3700697683</v>
      </c>
      <c r="L378" s="90">
        <f t="shared" ca="1" si="183"/>
        <v>5403807.7384106982</v>
      </c>
      <c r="M378" s="90">
        <f t="shared" ca="1" si="183"/>
        <v>224619961.49145395</v>
      </c>
      <c r="N378" s="90">
        <f t="shared" si="183"/>
        <v>0</v>
      </c>
      <c r="O378" s="90">
        <f t="shared" si="183"/>
        <v>0</v>
      </c>
      <c r="P378" s="90">
        <f t="shared" si="183"/>
        <v>0</v>
      </c>
      <c r="Q378" s="90">
        <f t="shared" si="183"/>
        <v>0</v>
      </c>
      <c r="R378" s="90">
        <f t="shared" si="183"/>
        <v>0</v>
      </c>
      <c r="S378" s="90">
        <f t="shared" si="183"/>
        <v>0</v>
      </c>
      <c r="T378" s="90">
        <f t="shared" si="183"/>
        <v>0</v>
      </c>
      <c r="U378" s="90">
        <f t="shared" si="183"/>
        <v>0</v>
      </c>
      <c r="V378" s="90">
        <f t="shared" si="183"/>
        <v>0</v>
      </c>
      <c r="W378" s="90">
        <f t="shared" si="183"/>
        <v>0</v>
      </c>
      <c r="X378" s="90">
        <f t="shared" si="183"/>
        <v>0</v>
      </c>
      <c r="Y378" s="90">
        <f t="shared" si="183"/>
        <v>0</v>
      </c>
      <c r="Z378" s="90">
        <f t="shared" si="183"/>
        <v>0</v>
      </c>
    </row>
    <row r="379" spans="1:26" ht="15.75">
      <c r="A379" s="699"/>
      <c r="B379" s="50" t="s">
        <v>1203</v>
      </c>
      <c r="C379" s="50"/>
      <c r="D379" s="55">
        <f t="shared" ca="1" si="181"/>
        <v>218436912.34840804</v>
      </c>
      <c r="E379" s="55"/>
      <c r="F379" s="55">
        <f ca="1">+SUM(F377:F378)</f>
        <v>-29640547.373204827</v>
      </c>
      <c r="G379" s="55">
        <f t="shared" ref="G379:Z379" ca="1" si="184">+SUM(G377:G378)</f>
        <v>0</v>
      </c>
      <c r="H379" s="55">
        <f t="shared" ca="1" si="184"/>
        <v>0</v>
      </c>
      <c r="I379" s="55">
        <f t="shared" ca="1" si="184"/>
        <v>19031441.973054491</v>
      </c>
      <c r="J379" s="55">
        <f t="shared" ca="1" si="184"/>
        <v>-4809205.851375958</v>
      </c>
      <c r="K379" s="55">
        <f t="shared" ca="1" si="184"/>
        <v>3831454.3700697683</v>
      </c>
      <c r="L379" s="55">
        <f t="shared" ca="1" si="184"/>
        <v>5403807.7384106982</v>
      </c>
      <c r="M379" s="55">
        <f t="shared" ca="1" si="184"/>
        <v>224619961.49145395</v>
      </c>
      <c r="N379" s="55">
        <f t="shared" ca="1" si="184"/>
        <v>0</v>
      </c>
      <c r="O379" s="55">
        <f t="shared" ca="1" si="184"/>
        <v>0</v>
      </c>
      <c r="P379" s="55">
        <f t="shared" ca="1" si="184"/>
        <v>0</v>
      </c>
      <c r="Q379" s="55">
        <f t="shared" ca="1" si="184"/>
        <v>0</v>
      </c>
      <c r="R379" s="55">
        <f t="shared" ca="1" si="184"/>
        <v>0</v>
      </c>
      <c r="S379" s="55">
        <f t="shared" ca="1" si="184"/>
        <v>0</v>
      </c>
      <c r="T379" s="55">
        <f t="shared" ca="1" si="184"/>
        <v>0</v>
      </c>
      <c r="U379" s="55">
        <f t="shared" ca="1" si="184"/>
        <v>0</v>
      </c>
      <c r="V379" s="55">
        <f t="shared" ca="1" si="184"/>
        <v>0</v>
      </c>
      <c r="W379" s="55">
        <f t="shared" ca="1" si="184"/>
        <v>0</v>
      </c>
      <c r="X379" s="55">
        <f t="shared" ca="1" si="184"/>
        <v>0</v>
      </c>
      <c r="Y379" s="55">
        <f t="shared" ca="1" si="184"/>
        <v>0</v>
      </c>
      <c r="Z379" s="55">
        <f t="shared" ca="1" si="184"/>
        <v>0</v>
      </c>
    </row>
    <row r="380" spans="1:26">
      <c r="A380" s="699"/>
      <c r="B380" s="49"/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 ht="15.75">
      <c r="A381" s="699"/>
      <c r="B381" s="154" t="s">
        <v>378</v>
      </c>
      <c r="C381" s="154"/>
      <c r="D381" s="155">
        <f ca="1">+IRR(F379:P379)</f>
        <v>0.39038561957097073</v>
      </c>
      <c r="E381" s="49"/>
      <c r="F381" s="49"/>
      <c r="G381" s="49"/>
      <c r="H381" s="49"/>
      <c r="I381" s="90"/>
      <c r="J381" s="49"/>
      <c r="K381" s="49"/>
      <c r="L381" s="49"/>
      <c r="M381" s="49"/>
      <c r="N381" s="49"/>
      <c r="O381" s="49"/>
      <c r="P381" s="49"/>
      <c r="Q381" s="49"/>
      <c r="R381" s="49"/>
      <c r="S381" s="49"/>
      <c r="T381" s="49"/>
      <c r="U381" s="49"/>
      <c r="V381" s="49"/>
      <c r="W381" s="49"/>
      <c r="X381" s="49"/>
      <c r="Y381" s="49"/>
      <c r="Z381" s="49"/>
    </row>
    <row r="382" spans="1:26" ht="15.75">
      <c r="A382" s="699"/>
      <c r="B382" s="113" t="s">
        <v>1204</v>
      </c>
      <c r="C382" s="156"/>
      <c r="D382" s="150">
        <f ca="1">+SUM(F379:Z379)</f>
        <v>218436912.3484081</v>
      </c>
      <c r="E382" s="49"/>
      <c r="F382" s="49"/>
      <c r="G382" s="49"/>
      <c r="H382" s="49"/>
      <c r="I382" s="49"/>
      <c r="J382" s="49"/>
      <c r="K382" s="49"/>
      <c r="L382" s="49"/>
      <c r="M382" s="49"/>
      <c r="N382" s="49"/>
      <c r="O382" s="49"/>
      <c r="P382" s="49"/>
      <c r="Q382" s="49"/>
      <c r="R382" s="49"/>
      <c r="S382" s="49"/>
      <c r="T382" s="49"/>
      <c r="U382" s="49"/>
      <c r="V382" s="49"/>
      <c r="W382" s="49"/>
      <c r="X382" s="49"/>
      <c r="Y382" s="49"/>
      <c r="Z382" s="49"/>
    </row>
    <row r="383" spans="1:26" ht="15.75">
      <c r="A383" s="699"/>
      <c r="B383" s="157" t="s">
        <v>382</v>
      </c>
      <c r="C383" s="158"/>
      <c r="D383" s="159">
        <f ca="1">+D382/-D377</f>
        <v>7.3695303125837661</v>
      </c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>
      <c r="A384" s="699"/>
      <c r="B384" s="49"/>
      <c r="C384" s="49"/>
      <c r="D384" s="49"/>
      <c r="E384" s="49"/>
      <c r="F384" s="49"/>
      <c r="G384" s="49"/>
      <c r="H384" s="49"/>
      <c r="I384" s="49"/>
      <c r="J384" s="49"/>
      <c r="K384" s="49"/>
      <c r="L384" s="49"/>
      <c r="M384" s="49"/>
      <c r="N384" s="49"/>
      <c r="O384" s="49"/>
      <c r="P384" s="49"/>
      <c r="Q384" s="49"/>
      <c r="R384" s="49"/>
      <c r="S384" s="49"/>
      <c r="T384" s="49"/>
      <c r="U384" s="49"/>
      <c r="V384" s="49"/>
      <c r="W384" s="49"/>
      <c r="X384" s="49"/>
      <c r="Y384" s="49"/>
      <c r="Z384" s="49"/>
    </row>
    <row r="385" spans="2:26" ht="15.75">
      <c r="B385" s="468" t="s">
        <v>1205</v>
      </c>
      <c r="C385" s="540"/>
      <c r="D385" s="540"/>
      <c r="E385" s="540"/>
      <c r="F385" s="759"/>
      <c r="G385" s="759"/>
      <c r="H385" s="759"/>
      <c r="I385" s="759"/>
      <c r="J385" s="759"/>
      <c r="K385" s="759"/>
      <c r="L385" s="759"/>
      <c r="M385" s="759"/>
      <c r="N385" s="759"/>
      <c r="O385" s="759"/>
      <c r="P385" s="759"/>
      <c r="Q385" s="759"/>
      <c r="R385" s="759"/>
      <c r="S385" s="759"/>
      <c r="T385" s="759"/>
      <c r="U385" s="759"/>
      <c r="V385" s="759"/>
      <c r="W385" s="759"/>
      <c r="X385" s="759"/>
      <c r="Y385" s="759"/>
      <c r="Z385" s="759"/>
    </row>
    <row r="386" spans="2:26">
      <c r="B386" s="49"/>
      <c r="C386" s="49"/>
      <c r="D386" s="49"/>
      <c r="E386" s="49"/>
      <c r="F386" s="49"/>
      <c r="G386" s="49"/>
      <c r="H386" s="49"/>
      <c r="I386" s="49"/>
      <c r="J386" s="49"/>
      <c r="K386" s="49"/>
      <c r="L386" s="49"/>
      <c r="M386" s="49"/>
      <c r="N386" s="49"/>
      <c r="O386" s="49"/>
      <c r="P386" s="49"/>
      <c r="Q386" s="49"/>
      <c r="R386" s="49"/>
      <c r="S386" s="49"/>
      <c r="T386" s="49"/>
      <c r="U386" s="49"/>
      <c r="V386" s="49"/>
      <c r="W386" s="49"/>
      <c r="X386" s="49"/>
      <c r="Y386" s="49"/>
      <c r="Z386" s="49"/>
    </row>
    <row r="387" spans="2:26" ht="15.75">
      <c r="B387" s="112" t="s">
        <v>1135</v>
      </c>
      <c r="C387" s="49"/>
      <c r="D387" s="49"/>
      <c r="E387" s="49"/>
      <c r="F387" s="148">
        <f>+Assumptions!$G$27</f>
        <v>46387</v>
      </c>
      <c r="G387" s="148">
        <f>+EOMONTH(F387,12)</f>
        <v>46752</v>
      </c>
      <c r="H387" s="148">
        <f t="shared" ref="H387:Z387" si="185">+EOMONTH(G387,12)</f>
        <v>47118</v>
      </c>
      <c r="I387" s="148">
        <f t="shared" si="185"/>
        <v>47483</v>
      </c>
      <c r="J387" s="148">
        <f t="shared" si="185"/>
        <v>47848</v>
      </c>
      <c r="K387" s="148">
        <f t="shared" si="185"/>
        <v>48213</v>
      </c>
      <c r="L387" s="148">
        <f t="shared" si="185"/>
        <v>48579</v>
      </c>
      <c r="M387" s="148">
        <f t="shared" si="185"/>
        <v>48944</v>
      </c>
      <c r="N387" s="148">
        <f t="shared" si="185"/>
        <v>49309</v>
      </c>
      <c r="O387" s="148">
        <f t="shared" si="185"/>
        <v>49674</v>
      </c>
      <c r="P387" s="148">
        <f t="shared" si="185"/>
        <v>50040</v>
      </c>
      <c r="Q387" s="148">
        <f t="shared" si="185"/>
        <v>50405</v>
      </c>
      <c r="R387" s="148">
        <f t="shared" si="185"/>
        <v>50770</v>
      </c>
      <c r="S387" s="148">
        <f t="shared" si="185"/>
        <v>51135</v>
      </c>
      <c r="T387" s="148">
        <f t="shared" si="185"/>
        <v>51501</v>
      </c>
      <c r="U387" s="148">
        <f t="shared" si="185"/>
        <v>51866</v>
      </c>
      <c r="V387" s="148">
        <f t="shared" si="185"/>
        <v>52231</v>
      </c>
      <c r="W387" s="148">
        <f t="shared" si="185"/>
        <v>52596</v>
      </c>
      <c r="X387" s="148">
        <f t="shared" si="185"/>
        <v>52962</v>
      </c>
      <c r="Y387" s="148">
        <f t="shared" si="185"/>
        <v>53327</v>
      </c>
      <c r="Z387" s="148">
        <f t="shared" si="185"/>
        <v>53692</v>
      </c>
    </row>
    <row r="388" spans="2:26" ht="15.75">
      <c r="B388" s="699" t="s">
        <v>1206</v>
      </c>
      <c r="C388" s="5"/>
      <c r="D388" s="5"/>
      <c r="E388" s="5"/>
      <c r="F388" s="83">
        <f ca="1">+F$135</f>
        <v>0</v>
      </c>
      <c r="G388" s="83">
        <f t="shared" ref="G388:Z388" ca="1" si="186">+G$135</f>
        <v>0</v>
      </c>
      <c r="H388" s="83">
        <f t="shared" ca="1" si="186"/>
        <v>0</v>
      </c>
      <c r="I388" s="83">
        <f t="shared" ca="1" si="186"/>
        <v>268625.94962569512</v>
      </c>
      <c r="J388" s="83">
        <f t="shared" ca="1" si="186"/>
        <v>10516611.628902998</v>
      </c>
      <c r="K388" s="83">
        <f t="shared" ca="1" si="186"/>
        <v>19157271.850348722</v>
      </c>
      <c r="L388" s="83">
        <f t="shared" ca="1" si="186"/>
        <v>20729625.218689654</v>
      </c>
      <c r="M388" s="83">
        <f t="shared" ca="1" si="186"/>
        <v>21071614.201068375</v>
      </c>
      <c r="N388" s="83">
        <f t="shared" ca="1" si="186"/>
        <v>21505797.94487381</v>
      </c>
      <c r="O388" s="83">
        <f t="shared" ca="1" si="186"/>
        <v>21953007.2009934</v>
      </c>
      <c r="P388" s="83">
        <f t="shared" ca="1" si="186"/>
        <v>22331697.642841242</v>
      </c>
      <c r="Q388" s="83">
        <f t="shared" ca="1" si="186"/>
        <v>24143699.5224187</v>
      </c>
      <c r="R388" s="83">
        <f t="shared" ca="1" si="186"/>
        <v>24632377.151230499</v>
      </c>
      <c r="S388" s="83">
        <f t="shared" ca="1" si="186"/>
        <v>25051321.964192647</v>
      </c>
      <c r="T388" s="83">
        <f t="shared" ca="1" si="186"/>
        <v>25569760.060599077</v>
      </c>
      <c r="U388" s="83">
        <f t="shared" ca="1" si="186"/>
        <v>26103751.299897712</v>
      </c>
      <c r="V388" s="83">
        <f t="shared" ca="1" si="186"/>
        <v>28105028.554044083</v>
      </c>
      <c r="W388" s="83">
        <f t="shared" ca="1" si="186"/>
        <v>28671539.859815996</v>
      </c>
      <c r="X388" s="83">
        <f t="shared" ca="1" si="186"/>
        <v>29255046.504761063</v>
      </c>
      <c r="Y388" s="83">
        <f t="shared" ca="1" si="186"/>
        <v>29766525.661827404</v>
      </c>
      <c r="Z388" s="83">
        <f t="shared" ca="1" si="186"/>
        <v>30385567.861449629</v>
      </c>
    </row>
    <row r="389" spans="2:26" ht="15.75">
      <c r="B389" s="699" t="s">
        <v>1162</v>
      </c>
      <c r="C389" s="5"/>
      <c r="D389" s="5"/>
      <c r="E389" s="5"/>
      <c r="F389" s="90">
        <f ca="1">+F$203</f>
        <v>0</v>
      </c>
      <c r="G389" s="90">
        <f t="shared" ref="G389:Z389" ca="1" si="187">+G$203</f>
        <v>0</v>
      </c>
      <c r="H389" s="90">
        <f t="shared" ca="1" si="187"/>
        <v>0</v>
      </c>
      <c r="I389" s="90">
        <f t="shared" ca="1" si="187"/>
        <v>0</v>
      </c>
      <c r="J389" s="90">
        <f t="shared" ca="1" si="187"/>
        <v>0</v>
      </c>
      <c r="K389" s="90">
        <f t="shared" ca="1" si="187"/>
        <v>0</v>
      </c>
      <c r="L389" s="90">
        <f t="shared" ca="1" si="187"/>
        <v>0</v>
      </c>
      <c r="M389" s="90">
        <f t="shared" ca="1" si="187"/>
        <v>0</v>
      </c>
      <c r="N389" s="90">
        <f t="shared" ca="1" si="187"/>
        <v>0</v>
      </c>
      <c r="O389" s="90">
        <f t="shared" ca="1" si="187"/>
        <v>0</v>
      </c>
      <c r="P389" s="90">
        <f t="shared" ca="1" si="187"/>
        <v>0</v>
      </c>
      <c r="Q389" s="90">
        <f t="shared" ca="1" si="187"/>
        <v>0</v>
      </c>
      <c r="R389" s="90">
        <f t="shared" ca="1" si="187"/>
        <v>0</v>
      </c>
      <c r="S389" s="90">
        <f t="shared" ca="1" si="187"/>
        <v>0</v>
      </c>
      <c r="T389" s="90">
        <f t="shared" ca="1" si="187"/>
        <v>0</v>
      </c>
      <c r="U389" s="90">
        <f t="shared" ca="1" si="187"/>
        <v>0</v>
      </c>
      <c r="V389" s="90">
        <f t="shared" ca="1" si="187"/>
        <v>0</v>
      </c>
      <c r="W389" s="90">
        <f t="shared" ca="1" si="187"/>
        <v>0</v>
      </c>
      <c r="X389" s="90">
        <f t="shared" ca="1" si="187"/>
        <v>0</v>
      </c>
      <c r="Y389" s="90">
        <f t="shared" ca="1" si="187"/>
        <v>0</v>
      </c>
      <c r="Z389" s="90">
        <f t="shared" ca="1" si="187"/>
        <v>0</v>
      </c>
    </row>
    <row r="390" spans="2:26" ht="15.75">
      <c r="B390" s="699" t="s">
        <v>1154</v>
      </c>
      <c r="C390" s="5"/>
      <c r="D390" s="5"/>
      <c r="E390" s="5"/>
      <c r="F390" s="90">
        <f t="shared" ref="F390:Z390" si="188">+F249</f>
        <v>0</v>
      </c>
      <c r="G390" s="90">
        <f t="shared" si="188"/>
        <v>0</v>
      </c>
      <c r="H390" s="90">
        <f t="shared" si="188"/>
        <v>0</v>
      </c>
      <c r="I390" s="90">
        <f t="shared" si="188"/>
        <v>0</v>
      </c>
      <c r="J390" s="90">
        <f t="shared" si="188"/>
        <v>0</v>
      </c>
      <c r="K390" s="90">
        <f t="shared" si="188"/>
        <v>0</v>
      </c>
      <c r="L390" s="90">
        <f t="shared" si="188"/>
        <v>0</v>
      </c>
      <c r="M390" s="90">
        <f t="shared" si="188"/>
        <v>0</v>
      </c>
      <c r="N390" s="90">
        <f t="shared" si="188"/>
        <v>0</v>
      </c>
      <c r="O390" s="90">
        <f t="shared" si="188"/>
        <v>0</v>
      </c>
      <c r="P390" s="90">
        <f t="shared" si="188"/>
        <v>0</v>
      </c>
      <c r="Q390" s="90">
        <f t="shared" si="188"/>
        <v>0</v>
      </c>
      <c r="R390" s="90">
        <f t="shared" si="188"/>
        <v>0</v>
      </c>
      <c r="S390" s="90">
        <f t="shared" si="188"/>
        <v>0</v>
      </c>
      <c r="T390" s="90">
        <f t="shared" si="188"/>
        <v>0</v>
      </c>
      <c r="U390" s="90">
        <f t="shared" si="188"/>
        <v>0</v>
      </c>
      <c r="V390" s="90">
        <f t="shared" si="188"/>
        <v>0</v>
      </c>
      <c r="W390" s="90">
        <f t="shared" si="188"/>
        <v>0</v>
      </c>
      <c r="X390" s="90">
        <f t="shared" si="188"/>
        <v>0</v>
      </c>
      <c r="Y390" s="90">
        <f t="shared" si="188"/>
        <v>0</v>
      </c>
      <c r="Z390" s="90">
        <f t="shared" si="188"/>
        <v>0</v>
      </c>
    </row>
    <row r="391" spans="2:26" ht="15.75">
      <c r="B391" s="50" t="s">
        <v>1135</v>
      </c>
      <c r="C391" s="50"/>
      <c r="D391" s="55"/>
      <c r="E391" s="55"/>
      <c r="F391" s="55">
        <f ca="1">+SUM(F388:F390)</f>
        <v>0</v>
      </c>
      <c r="G391" s="55">
        <f t="shared" ref="G391:Z391" ca="1" si="189">+SUM(G388:G390)</f>
        <v>0</v>
      </c>
      <c r="H391" s="55">
        <f t="shared" ca="1" si="189"/>
        <v>0</v>
      </c>
      <c r="I391" s="55">
        <f t="shared" ca="1" si="189"/>
        <v>268625.94962569512</v>
      </c>
      <c r="J391" s="55">
        <f t="shared" ca="1" si="189"/>
        <v>10516611.628902998</v>
      </c>
      <c r="K391" s="55">
        <f t="shared" ca="1" si="189"/>
        <v>19157271.850348722</v>
      </c>
      <c r="L391" s="55">
        <f t="shared" ca="1" si="189"/>
        <v>20729625.218689654</v>
      </c>
      <c r="M391" s="55">
        <f t="shared" ca="1" si="189"/>
        <v>21071614.201068375</v>
      </c>
      <c r="N391" s="55">
        <f t="shared" ca="1" si="189"/>
        <v>21505797.94487381</v>
      </c>
      <c r="O391" s="55">
        <f t="shared" ca="1" si="189"/>
        <v>21953007.2009934</v>
      </c>
      <c r="P391" s="55">
        <f t="shared" ca="1" si="189"/>
        <v>22331697.642841242</v>
      </c>
      <c r="Q391" s="55">
        <f t="shared" ca="1" si="189"/>
        <v>24143699.5224187</v>
      </c>
      <c r="R391" s="55">
        <f t="shared" ca="1" si="189"/>
        <v>24632377.151230499</v>
      </c>
      <c r="S391" s="55">
        <f t="shared" ca="1" si="189"/>
        <v>25051321.964192647</v>
      </c>
      <c r="T391" s="55">
        <f t="shared" ca="1" si="189"/>
        <v>25569760.060599077</v>
      </c>
      <c r="U391" s="55">
        <f t="shared" ca="1" si="189"/>
        <v>26103751.299897712</v>
      </c>
      <c r="V391" s="55">
        <f t="shared" ca="1" si="189"/>
        <v>28105028.554044083</v>
      </c>
      <c r="W391" s="55">
        <f t="shared" ca="1" si="189"/>
        <v>28671539.859815996</v>
      </c>
      <c r="X391" s="55">
        <f t="shared" ca="1" si="189"/>
        <v>29255046.504761063</v>
      </c>
      <c r="Y391" s="55">
        <f t="shared" ca="1" si="189"/>
        <v>29766525.661827404</v>
      </c>
      <c r="Z391" s="55">
        <f t="shared" ca="1" si="189"/>
        <v>30385567.861449629</v>
      </c>
    </row>
    <row r="392" spans="2:26">
      <c r="B392" s="49"/>
      <c r="C392" s="49"/>
      <c r="D392" s="49"/>
      <c r="E392" s="49"/>
      <c r="F392" s="49"/>
      <c r="G392" s="49"/>
      <c r="H392" s="49"/>
      <c r="I392" s="49"/>
      <c r="J392" s="49"/>
      <c r="K392" s="49"/>
      <c r="L392" s="49"/>
      <c r="M392" s="49"/>
      <c r="N392" s="49"/>
      <c r="O392" s="49"/>
      <c r="P392" s="49"/>
      <c r="Q392" s="49"/>
      <c r="R392" s="49"/>
      <c r="S392" s="49"/>
      <c r="T392" s="49"/>
      <c r="U392" s="49"/>
      <c r="V392" s="49"/>
      <c r="W392" s="49"/>
      <c r="X392" s="49"/>
      <c r="Y392" s="49"/>
      <c r="Z392" s="49"/>
    </row>
    <row r="393" spans="2:26" ht="15.75">
      <c r="B393" s="112" t="s">
        <v>1207</v>
      </c>
      <c r="C393" s="49"/>
      <c r="D393" s="49"/>
      <c r="E393" s="49"/>
      <c r="F393" s="148">
        <f>+Assumptions!$G$27</f>
        <v>46387</v>
      </c>
      <c r="G393" s="148">
        <f>+EOMONTH(F393,12)</f>
        <v>46752</v>
      </c>
      <c r="H393" s="148">
        <f t="shared" ref="H393:Z393" si="190">+EOMONTH(G393,12)</f>
        <v>47118</v>
      </c>
      <c r="I393" s="148">
        <f t="shared" si="190"/>
        <v>47483</v>
      </c>
      <c r="J393" s="148">
        <f t="shared" si="190"/>
        <v>47848</v>
      </c>
      <c r="K393" s="148">
        <f t="shared" si="190"/>
        <v>48213</v>
      </c>
      <c r="L393" s="148">
        <f t="shared" si="190"/>
        <v>48579</v>
      </c>
      <c r="M393" s="148">
        <f t="shared" si="190"/>
        <v>48944</v>
      </c>
      <c r="N393" s="148">
        <f t="shared" si="190"/>
        <v>49309</v>
      </c>
      <c r="O393" s="148">
        <f t="shared" si="190"/>
        <v>49674</v>
      </c>
      <c r="P393" s="148">
        <f t="shared" si="190"/>
        <v>50040</v>
      </c>
      <c r="Q393" s="148">
        <f t="shared" si="190"/>
        <v>50405</v>
      </c>
      <c r="R393" s="148">
        <f t="shared" si="190"/>
        <v>50770</v>
      </c>
      <c r="S393" s="148">
        <f t="shared" si="190"/>
        <v>51135</v>
      </c>
      <c r="T393" s="148">
        <f t="shared" si="190"/>
        <v>51501</v>
      </c>
      <c r="U393" s="148">
        <f t="shared" si="190"/>
        <v>51866</v>
      </c>
      <c r="V393" s="148">
        <f t="shared" si="190"/>
        <v>52231</v>
      </c>
      <c r="W393" s="148">
        <f t="shared" si="190"/>
        <v>52596</v>
      </c>
      <c r="X393" s="148">
        <f t="shared" si="190"/>
        <v>52962</v>
      </c>
      <c r="Y393" s="148">
        <f t="shared" si="190"/>
        <v>53327</v>
      </c>
      <c r="Z393" s="148">
        <f t="shared" si="190"/>
        <v>53692</v>
      </c>
    </row>
    <row r="394" spans="2:26" ht="15.75">
      <c r="B394" s="699" t="s">
        <v>1156</v>
      </c>
      <c r="C394" s="5"/>
      <c r="D394" s="5"/>
      <c r="E394" s="5"/>
      <c r="F394" s="83">
        <f t="shared" ref="F394:Z394" si="191">+F152+F222+F268+F340</f>
        <v>0</v>
      </c>
      <c r="G394" s="83">
        <f t="shared" si="191"/>
        <v>0</v>
      </c>
      <c r="H394" s="83">
        <f t="shared" si="191"/>
        <v>0</v>
      </c>
      <c r="I394" s="83">
        <f t="shared" si="191"/>
        <v>36954584.678355075</v>
      </c>
      <c r="J394" s="83">
        <f t="shared" si="191"/>
        <v>0</v>
      </c>
      <c r="K394" s="83">
        <f t="shared" si="191"/>
        <v>0</v>
      </c>
      <c r="L394" s="83">
        <f t="shared" si="191"/>
        <v>0</v>
      </c>
      <c r="M394" s="83">
        <f t="shared" ca="1" si="191"/>
        <v>450634938.27538925</v>
      </c>
      <c r="N394" s="83">
        <f t="shared" si="191"/>
        <v>0</v>
      </c>
      <c r="O394" s="83">
        <f t="shared" si="191"/>
        <v>0</v>
      </c>
      <c r="P394" s="83">
        <f t="shared" si="191"/>
        <v>0</v>
      </c>
      <c r="Q394" s="83">
        <f t="shared" si="191"/>
        <v>0</v>
      </c>
      <c r="R394" s="83">
        <f t="shared" si="191"/>
        <v>0</v>
      </c>
      <c r="S394" s="83">
        <f t="shared" si="191"/>
        <v>0</v>
      </c>
      <c r="T394" s="83">
        <f t="shared" si="191"/>
        <v>0</v>
      </c>
      <c r="U394" s="83">
        <f t="shared" si="191"/>
        <v>0</v>
      </c>
      <c r="V394" s="83">
        <f t="shared" si="191"/>
        <v>0</v>
      </c>
      <c r="W394" s="83">
        <f t="shared" si="191"/>
        <v>0</v>
      </c>
      <c r="X394" s="83">
        <f t="shared" si="191"/>
        <v>0</v>
      </c>
      <c r="Y394" s="83">
        <f t="shared" si="191"/>
        <v>0</v>
      </c>
      <c r="Z394" s="83">
        <f t="shared" si="191"/>
        <v>0</v>
      </c>
    </row>
    <row r="395" spans="2:26">
      <c r="B395" s="699" t="s">
        <v>1158</v>
      </c>
      <c r="C395" s="49"/>
      <c r="D395" s="49"/>
      <c r="E395" s="49"/>
      <c r="F395" s="83">
        <f t="shared" ref="F395:Z395" si="192">+F154+F223+F269+F341</f>
        <v>0</v>
      </c>
      <c r="G395" s="83">
        <f t="shared" si="192"/>
        <v>0</v>
      </c>
      <c r="H395" s="83">
        <f t="shared" si="192"/>
        <v>0</v>
      </c>
      <c r="I395" s="83">
        <f t="shared" si="192"/>
        <v>-369545.84678355075</v>
      </c>
      <c r="J395" s="83">
        <f t="shared" si="192"/>
        <v>0</v>
      </c>
      <c r="K395" s="83">
        <f t="shared" si="192"/>
        <v>0</v>
      </c>
      <c r="L395" s="83">
        <f t="shared" si="192"/>
        <v>0</v>
      </c>
      <c r="M395" s="83">
        <f t="shared" ca="1" si="192"/>
        <v>-4506349.3827538928</v>
      </c>
      <c r="N395" s="83">
        <f t="shared" si="192"/>
        <v>0</v>
      </c>
      <c r="O395" s="83">
        <f t="shared" si="192"/>
        <v>0</v>
      </c>
      <c r="P395" s="83">
        <f t="shared" si="192"/>
        <v>0</v>
      </c>
      <c r="Q395" s="83">
        <f t="shared" si="192"/>
        <v>0</v>
      </c>
      <c r="R395" s="83">
        <f t="shared" si="192"/>
        <v>0</v>
      </c>
      <c r="S395" s="83">
        <f t="shared" si="192"/>
        <v>0</v>
      </c>
      <c r="T395" s="83">
        <f t="shared" si="192"/>
        <v>0</v>
      </c>
      <c r="U395" s="83">
        <f t="shared" si="192"/>
        <v>0</v>
      </c>
      <c r="V395" s="83">
        <f t="shared" si="192"/>
        <v>0</v>
      </c>
      <c r="W395" s="83">
        <f t="shared" si="192"/>
        <v>0</v>
      </c>
      <c r="X395" s="83">
        <f t="shared" si="192"/>
        <v>0</v>
      </c>
      <c r="Y395" s="83">
        <f t="shared" si="192"/>
        <v>0</v>
      </c>
      <c r="Z395" s="83">
        <f t="shared" si="192"/>
        <v>0</v>
      </c>
    </row>
    <row r="396" spans="2:26" ht="15.75">
      <c r="B396" s="50" t="s">
        <v>1160</v>
      </c>
      <c r="C396" s="50"/>
      <c r="D396" s="55"/>
      <c r="E396" s="55"/>
      <c r="F396" s="55">
        <f>+SUM(F394:F395)</f>
        <v>0</v>
      </c>
      <c r="G396" s="55">
        <f t="shared" ref="G396:Z396" si="193">+SUM(G394:G395)</f>
        <v>0</v>
      </c>
      <c r="H396" s="55">
        <f t="shared" si="193"/>
        <v>0</v>
      </c>
      <c r="I396" s="55">
        <f t="shared" si="193"/>
        <v>36585038.831571527</v>
      </c>
      <c r="J396" s="55">
        <f t="shared" si="193"/>
        <v>0</v>
      </c>
      <c r="K396" s="55">
        <f t="shared" si="193"/>
        <v>0</v>
      </c>
      <c r="L396" s="55">
        <f t="shared" si="193"/>
        <v>0</v>
      </c>
      <c r="M396" s="55">
        <f t="shared" ca="1" si="193"/>
        <v>446128588.89263535</v>
      </c>
      <c r="N396" s="55">
        <f t="shared" si="193"/>
        <v>0</v>
      </c>
      <c r="O396" s="55">
        <f t="shared" si="193"/>
        <v>0</v>
      </c>
      <c r="P396" s="55">
        <f t="shared" si="193"/>
        <v>0</v>
      </c>
      <c r="Q396" s="55">
        <f t="shared" si="193"/>
        <v>0</v>
      </c>
      <c r="R396" s="55">
        <f t="shared" si="193"/>
        <v>0</v>
      </c>
      <c r="S396" s="55">
        <f t="shared" si="193"/>
        <v>0</v>
      </c>
      <c r="T396" s="55">
        <f t="shared" si="193"/>
        <v>0</v>
      </c>
      <c r="U396" s="55">
        <f t="shared" si="193"/>
        <v>0</v>
      </c>
      <c r="V396" s="55">
        <f t="shared" si="193"/>
        <v>0</v>
      </c>
      <c r="W396" s="55">
        <f t="shared" si="193"/>
        <v>0</v>
      </c>
      <c r="X396" s="55">
        <f t="shared" si="193"/>
        <v>0</v>
      </c>
      <c r="Y396" s="55">
        <f t="shared" si="193"/>
        <v>0</v>
      </c>
      <c r="Z396" s="55">
        <f t="shared" si="193"/>
        <v>0</v>
      </c>
    </row>
    <row r="397" spans="2:26">
      <c r="B397" s="49"/>
      <c r="C397" s="49"/>
      <c r="D397" s="49"/>
      <c r="E397" s="49"/>
      <c r="F397" s="49"/>
      <c r="G397" s="49"/>
      <c r="H397" s="49"/>
      <c r="I397" s="49"/>
      <c r="J397" s="49"/>
      <c r="K397" s="49"/>
      <c r="L397" s="49"/>
      <c r="M397" s="49"/>
      <c r="N397" s="49"/>
      <c r="O397" s="49"/>
      <c r="P397" s="49"/>
      <c r="Q397" s="49"/>
      <c r="R397" s="49"/>
      <c r="S397" s="49"/>
      <c r="T397" s="49"/>
      <c r="U397" s="49"/>
      <c r="V397" s="49"/>
      <c r="W397" s="49"/>
      <c r="X397" s="49"/>
      <c r="Y397" s="49"/>
      <c r="Z397" s="49"/>
    </row>
    <row r="398" spans="2:26" ht="15.75">
      <c r="B398" s="112" t="s">
        <v>1208</v>
      </c>
      <c r="C398" s="49"/>
      <c r="D398" s="49"/>
      <c r="E398" s="49"/>
      <c r="F398" s="148">
        <f>+Assumptions!$G$27</f>
        <v>46387</v>
      </c>
      <c r="G398" s="148">
        <f>+EOMONTH(F398,12)</f>
        <v>46752</v>
      </c>
      <c r="H398" s="148">
        <f t="shared" ref="H398:Z398" si="194">+EOMONTH(G398,12)</f>
        <v>47118</v>
      </c>
      <c r="I398" s="148">
        <f t="shared" si="194"/>
        <v>47483</v>
      </c>
      <c r="J398" s="148">
        <f t="shared" si="194"/>
        <v>47848</v>
      </c>
      <c r="K398" s="148">
        <f t="shared" si="194"/>
        <v>48213</v>
      </c>
      <c r="L398" s="148">
        <f t="shared" si="194"/>
        <v>48579</v>
      </c>
      <c r="M398" s="148">
        <f t="shared" si="194"/>
        <v>48944</v>
      </c>
      <c r="N398" s="148">
        <f t="shared" si="194"/>
        <v>49309</v>
      </c>
      <c r="O398" s="148">
        <f t="shared" si="194"/>
        <v>49674</v>
      </c>
      <c r="P398" s="148">
        <f t="shared" si="194"/>
        <v>50040</v>
      </c>
      <c r="Q398" s="148">
        <f t="shared" si="194"/>
        <v>50405</v>
      </c>
      <c r="R398" s="148">
        <f t="shared" si="194"/>
        <v>50770</v>
      </c>
      <c r="S398" s="148">
        <f t="shared" si="194"/>
        <v>51135</v>
      </c>
      <c r="T398" s="148">
        <f t="shared" si="194"/>
        <v>51501</v>
      </c>
      <c r="U398" s="148">
        <f t="shared" si="194"/>
        <v>51866</v>
      </c>
      <c r="V398" s="148">
        <f t="shared" si="194"/>
        <v>52231</v>
      </c>
      <c r="W398" s="148">
        <f t="shared" si="194"/>
        <v>52596</v>
      </c>
      <c r="X398" s="148">
        <f t="shared" si="194"/>
        <v>52962</v>
      </c>
      <c r="Y398" s="148">
        <f t="shared" si="194"/>
        <v>53327</v>
      </c>
      <c r="Z398" s="148">
        <f t="shared" si="194"/>
        <v>53692</v>
      </c>
    </row>
    <row r="399" spans="2:26" ht="15.75">
      <c r="B399" s="699" t="s">
        <v>341</v>
      </c>
      <c r="C399" s="49"/>
      <c r="D399" s="94">
        <f>+SUM(F399:Z399)</f>
        <v>4691009.3245623549</v>
      </c>
      <c r="E399" s="94"/>
      <c r="F399" s="83">
        <f>+F355</f>
        <v>4691009.3245623549</v>
      </c>
      <c r="G399" s="83">
        <f t="shared" ref="G399:Z405" si="195">+G355</f>
        <v>0</v>
      </c>
      <c r="H399" s="83">
        <f t="shared" si="195"/>
        <v>0</v>
      </c>
      <c r="I399" s="83">
        <f t="shared" si="195"/>
        <v>0</v>
      </c>
      <c r="J399" s="83">
        <f t="shared" si="195"/>
        <v>0</v>
      </c>
      <c r="K399" s="83">
        <f t="shared" si="195"/>
        <v>0</v>
      </c>
      <c r="L399" s="83">
        <f t="shared" si="195"/>
        <v>0</v>
      </c>
      <c r="M399" s="83">
        <f t="shared" si="195"/>
        <v>0</v>
      </c>
      <c r="N399" s="83">
        <f t="shared" si="195"/>
        <v>0</v>
      </c>
      <c r="O399" s="83">
        <f t="shared" si="195"/>
        <v>0</v>
      </c>
      <c r="P399" s="83">
        <f t="shared" si="195"/>
        <v>0</v>
      </c>
      <c r="Q399" s="83">
        <f t="shared" si="195"/>
        <v>0</v>
      </c>
      <c r="R399" s="83">
        <f t="shared" si="195"/>
        <v>0</v>
      </c>
      <c r="S399" s="83">
        <f t="shared" si="195"/>
        <v>0</v>
      </c>
      <c r="T399" s="83">
        <f t="shared" si="195"/>
        <v>0</v>
      </c>
      <c r="U399" s="83">
        <f t="shared" si="195"/>
        <v>0</v>
      </c>
      <c r="V399" s="83">
        <f t="shared" si="195"/>
        <v>0</v>
      </c>
      <c r="W399" s="83">
        <f t="shared" si="195"/>
        <v>0</v>
      </c>
      <c r="X399" s="83">
        <f t="shared" si="195"/>
        <v>0</v>
      </c>
      <c r="Y399" s="83">
        <f t="shared" si="195"/>
        <v>0</v>
      </c>
      <c r="Z399" s="83">
        <f t="shared" si="195"/>
        <v>0</v>
      </c>
    </row>
    <row r="400" spans="2:26" ht="15.75">
      <c r="B400" s="699" t="s">
        <v>236</v>
      </c>
      <c r="C400" s="49"/>
      <c r="D400" s="94">
        <f t="shared" ref="D400:D406" si="196">+SUM(F400:Z400)</f>
        <v>2030684</v>
      </c>
      <c r="E400" s="94"/>
      <c r="F400" s="83">
        <f t="shared" ref="F400:U405" si="197">+F356</f>
        <v>2030684</v>
      </c>
      <c r="G400" s="83">
        <f t="shared" si="197"/>
        <v>0</v>
      </c>
      <c r="H400" s="83">
        <f t="shared" si="197"/>
        <v>0</v>
      </c>
      <c r="I400" s="83">
        <f t="shared" si="197"/>
        <v>0</v>
      </c>
      <c r="J400" s="83">
        <f t="shared" si="197"/>
        <v>0</v>
      </c>
      <c r="K400" s="83">
        <f t="shared" si="197"/>
        <v>0</v>
      </c>
      <c r="L400" s="83">
        <f t="shared" si="197"/>
        <v>0</v>
      </c>
      <c r="M400" s="83">
        <f t="shared" si="197"/>
        <v>0</v>
      </c>
      <c r="N400" s="83">
        <f t="shared" si="197"/>
        <v>0</v>
      </c>
      <c r="O400" s="83">
        <f t="shared" si="197"/>
        <v>0</v>
      </c>
      <c r="P400" s="83">
        <f t="shared" si="197"/>
        <v>0</v>
      </c>
      <c r="Q400" s="83">
        <f t="shared" si="197"/>
        <v>0</v>
      </c>
      <c r="R400" s="83">
        <f t="shared" si="197"/>
        <v>0</v>
      </c>
      <c r="S400" s="83">
        <f t="shared" si="197"/>
        <v>0</v>
      </c>
      <c r="T400" s="83">
        <f t="shared" si="197"/>
        <v>0</v>
      </c>
      <c r="U400" s="83">
        <f t="shared" si="197"/>
        <v>0</v>
      </c>
      <c r="V400" s="83">
        <f t="shared" si="195"/>
        <v>0</v>
      </c>
      <c r="W400" s="83">
        <f t="shared" si="195"/>
        <v>0</v>
      </c>
      <c r="X400" s="83">
        <f t="shared" si="195"/>
        <v>0</v>
      </c>
      <c r="Y400" s="83">
        <f t="shared" si="195"/>
        <v>0</v>
      </c>
      <c r="Z400" s="83">
        <f t="shared" si="195"/>
        <v>0</v>
      </c>
    </row>
    <row r="401" spans="1:26" ht="15.75">
      <c r="A401" s="699"/>
      <c r="B401" s="699" t="s">
        <v>344</v>
      </c>
      <c r="C401" s="49"/>
      <c r="D401" s="94">
        <f t="shared" ca="1" si="196"/>
        <v>267804657.74088663</v>
      </c>
      <c r="E401" s="94"/>
      <c r="F401" s="83">
        <f t="shared" si="197"/>
        <v>424651.195832</v>
      </c>
      <c r="G401" s="83">
        <f t="shared" ca="1" si="195"/>
        <v>133690003.27252732</v>
      </c>
      <c r="H401" s="83">
        <f t="shared" ca="1" si="195"/>
        <v>133690003.27252732</v>
      </c>
      <c r="I401" s="83">
        <f t="shared" si="195"/>
        <v>0</v>
      </c>
      <c r="J401" s="83">
        <f t="shared" si="195"/>
        <v>0</v>
      </c>
      <c r="K401" s="83">
        <f t="shared" si="195"/>
        <v>0</v>
      </c>
      <c r="L401" s="83">
        <f t="shared" si="195"/>
        <v>0</v>
      </c>
      <c r="M401" s="83">
        <f t="shared" si="195"/>
        <v>0</v>
      </c>
      <c r="N401" s="83">
        <f t="shared" si="195"/>
        <v>0</v>
      </c>
      <c r="O401" s="83">
        <f t="shared" si="195"/>
        <v>0</v>
      </c>
      <c r="P401" s="83">
        <f t="shared" si="195"/>
        <v>0</v>
      </c>
      <c r="Q401" s="83">
        <f t="shared" si="195"/>
        <v>0</v>
      </c>
      <c r="R401" s="83">
        <f t="shared" si="195"/>
        <v>0</v>
      </c>
      <c r="S401" s="83">
        <f t="shared" si="195"/>
        <v>0</v>
      </c>
      <c r="T401" s="83">
        <f t="shared" si="195"/>
        <v>0</v>
      </c>
      <c r="U401" s="83">
        <f t="shared" si="195"/>
        <v>0</v>
      </c>
      <c r="V401" s="83">
        <f t="shared" si="195"/>
        <v>0</v>
      </c>
      <c r="W401" s="83">
        <f t="shared" si="195"/>
        <v>0</v>
      </c>
      <c r="X401" s="83">
        <f t="shared" si="195"/>
        <v>0</v>
      </c>
      <c r="Y401" s="83">
        <f t="shared" si="195"/>
        <v>0</v>
      </c>
      <c r="Z401" s="83">
        <f t="shared" si="195"/>
        <v>0</v>
      </c>
    </row>
    <row r="402" spans="1:26" ht="15.75">
      <c r="A402" s="699" t="s">
        <v>511</v>
      </c>
      <c r="B402" s="699" t="s">
        <v>345</v>
      </c>
      <c r="C402" s="49"/>
      <c r="D402" s="94">
        <f t="shared" ca="1" si="196"/>
        <v>67128952.665678784</v>
      </c>
      <c r="E402" s="94"/>
      <c r="F402" s="83">
        <f t="shared" ca="1" si="197"/>
        <v>67128952.665678784</v>
      </c>
      <c r="G402" s="83">
        <f t="shared" ca="1" si="195"/>
        <v>0</v>
      </c>
      <c r="H402" s="83">
        <f t="shared" ca="1" si="195"/>
        <v>0</v>
      </c>
      <c r="I402" s="83">
        <f t="shared" si="195"/>
        <v>0</v>
      </c>
      <c r="J402" s="83">
        <f t="shared" si="195"/>
        <v>0</v>
      </c>
      <c r="K402" s="83">
        <f t="shared" si="195"/>
        <v>0</v>
      </c>
      <c r="L402" s="83">
        <f t="shared" si="195"/>
        <v>0</v>
      </c>
      <c r="M402" s="83">
        <f t="shared" si="195"/>
        <v>0</v>
      </c>
      <c r="N402" s="83">
        <f t="shared" si="195"/>
        <v>0</v>
      </c>
      <c r="O402" s="83">
        <f t="shared" si="195"/>
        <v>0</v>
      </c>
      <c r="P402" s="83">
        <f t="shared" si="195"/>
        <v>0</v>
      </c>
      <c r="Q402" s="83">
        <f t="shared" si="195"/>
        <v>0</v>
      </c>
      <c r="R402" s="83">
        <f t="shared" si="195"/>
        <v>0</v>
      </c>
      <c r="S402" s="83">
        <f t="shared" si="195"/>
        <v>0</v>
      </c>
      <c r="T402" s="83">
        <f t="shared" si="195"/>
        <v>0</v>
      </c>
      <c r="U402" s="83">
        <f t="shared" si="195"/>
        <v>0</v>
      </c>
      <c r="V402" s="83">
        <f t="shared" si="195"/>
        <v>0</v>
      </c>
      <c r="W402" s="83">
        <f t="shared" si="195"/>
        <v>0</v>
      </c>
      <c r="X402" s="83">
        <f t="shared" si="195"/>
        <v>0</v>
      </c>
      <c r="Y402" s="83">
        <f t="shared" si="195"/>
        <v>0</v>
      </c>
      <c r="Z402" s="83">
        <f t="shared" si="195"/>
        <v>0</v>
      </c>
    </row>
    <row r="403" spans="1:26" ht="15.75">
      <c r="A403" s="699"/>
      <c r="B403" s="699" t="s">
        <v>347</v>
      </c>
      <c r="C403" s="49"/>
      <c r="D403" s="94">
        <f t="shared" si="196"/>
        <v>0</v>
      </c>
      <c r="E403" s="94"/>
      <c r="F403" s="83">
        <v>0</v>
      </c>
      <c r="G403" s="83">
        <v>0</v>
      </c>
      <c r="H403" s="83">
        <v>0</v>
      </c>
      <c r="I403" s="83">
        <v>0</v>
      </c>
      <c r="J403" s="83">
        <v>0</v>
      </c>
      <c r="K403" s="83">
        <v>0</v>
      </c>
      <c r="L403" s="83">
        <v>0</v>
      </c>
      <c r="M403" s="83">
        <v>0</v>
      </c>
      <c r="N403" s="83">
        <v>0</v>
      </c>
      <c r="O403" s="83">
        <v>0</v>
      </c>
      <c r="P403" s="83">
        <v>0</v>
      </c>
      <c r="Q403" s="83">
        <v>0</v>
      </c>
      <c r="R403" s="83">
        <v>0</v>
      </c>
      <c r="S403" s="83">
        <v>0</v>
      </c>
      <c r="T403" s="83">
        <v>0</v>
      </c>
      <c r="U403" s="83">
        <v>0</v>
      </c>
      <c r="V403" s="83">
        <v>0</v>
      </c>
      <c r="W403" s="83">
        <v>0</v>
      </c>
      <c r="X403" s="83">
        <v>0</v>
      </c>
      <c r="Y403" s="83">
        <v>0</v>
      </c>
      <c r="Z403" s="83">
        <v>0</v>
      </c>
    </row>
    <row r="404" spans="1:26" ht="15.75">
      <c r="A404" s="699" t="s">
        <v>511</v>
      </c>
      <c r="B404" s="699" t="s">
        <v>348</v>
      </c>
      <c r="C404" s="49"/>
      <c r="D404" s="94">
        <f t="shared" ca="1" si="196"/>
        <v>23043740.800185625</v>
      </c>
      <c r="E404" s="94"/>
      <c r="F404" s="83">
        <f t="shared" si="197"/>
        <v>0</v>
      </c>
      <c r="G404" s="83">
        <f t="shared" ca="1" si="195"/>
        <v>11521870.400092812</v>
      </c>
      <c r="H404" s="83">
        <f t="shared" ca="1" si="195"/>
        <v>11521870.400092812</v>
      </c>
      <c r="I404" s="83">
        <f t="shared" si="195"/>
        <v>0</v>
      </c>
      <c r="J404" s="83">
        <f t="shared" si="195"/>
        <v>0</v>
      </c>
      <c r="K404" s="83">
        <f t="shared" si="195"/>
        <v>0</v>
      </c>
      <c r="L404" s="83">
        <f t="shared" si="195"/>
        <v>0</v>
      </c>
      <c r="M404" s="83">
        <f t="shared" si="195"/>
        <v>0</v>
      </c>
      <c r="N404" s="83">
        <f t="shared" si="195"/>
        <v>0</v>
      </c>
      <c r="O404" s="83">
        <f t="shared" si="195"/>
        <v>0</v>
      </c>
      <c r="P404" s="83">
        <f t="shared" si="195"/>
        <v>0</v>
      </c>
      <c r="Q404" s="83">
        <f t="shared" si="195"/>
        <v>0</v>
      </c>
      <c r="R404" s="83">
        <f t="shared" si="195"/>
        <v>0</v>
      </c>
      <c r="S404" s="83">
        <f t="shared" si="195"/>
        <v>0</v>
      </c>
      <c r="T404" s="83">
        <f t="shared" si="195"/>
        <v>0</v>
      </c>
      <c r="U404" s="83">
        <f t="shared" si="195"/>
        <v>0</v>
      </c>
      <c r="V404" s="83">
        <f t="shared" si="195"/>
        <v>0</v>
      </c>
      <c r="W404" s="83">
        <f t="shared" si="195"/>
        <v>0</v>
      </c>
      <c r="X404" s="83">
        <f t="shared" si="195"/>
        <v>0</v>
      </c>
      <c r="Y404" s="83">
        <f t="shared" si="195"/>
        <v>0</v>
      </c>
      <c r="Z404" s="83">
        <f t="shared" si="195"/>
        <v>0</v>
      </c>
    </row>
    <row r="405" spans="1:26" ht="15.75">
      <c r="A405" s="699"/>
      <c r="B405" s="699" t="s">
        <v>349</v>
      </c>
      <c r="C405" s="49"/>
      <c r="D405" s="94">
        <f t="shared" ca="1" si="196"/>
        <v>15258747.913810223</v>
      </c>
      <c r="E405" s="94"/>
      <c r="F405" s="83">
        <f t="shared" ca="1" si="197"/>
        <v>15258747.913810223</v>
      </c>
      <c r="G405" s="83">
        <f t="shared" ca="1" si="195"/>
        <v>0</v>
      </c>
      <c r="H405" s="83">
        <f t="shared" ca="1" si="195"/>
        <v>0</v>
      </c>
      <c r="I405" s="83">
        <f t="shared" ca="1" si="195"/>
        <v>0</v>
      </c>
      <c r="J405" s="83">
        <f t="shared" ca="1" si="195"/>
        <v>0</v>
      </c>
      <c r="K405" s="83">
        <f t="shared" si="195"/>
        <v>0</v>
      </c>
      <c r="L405" s="83">
        <f t="shared" si="195"/>
        <v>0</v>
      </c>
      <c r="M405" s="83">
        <f t="shared" si="195"/>
        <v>0</v>
      </c>
      <c r="N405" s="83">
        <f t="shared" si="195"/>
        <v>0</v>
      </c>
      <c r="O405" s="83">
        <f t="shared" si="195"/>
        <v>0</v>
      </c>
      <c r="P405" s="83">
        <f t="shared" si="195"/>
        <v>0</v>
      </c>
      <c r="Q405" s="83">
        <f t="shared" si="195"/>
        <v>0</v>
      </c>
      <c r="R405" s="83">
        <f t="shared" si="195"/>
        <v>0</v>
      </c>
      <c r="S405" s="83">
        <f t="shared" si="195"/>
        <v>0</v>
      </c>
      <c r="T405" s="83">
        <f t="shared" si="195"/>
        <v>0</v>
      </c>
      <c r="U405" s="83">
        <f t="shared" si="195"/>
        <v>0</v>
      </c>
      <c r="V405" s="83">
        <f t="shared" si="195"/>
        <v>0</v>
      </c>
      <c r="W405" s="83">
        <f t="shared" si="195"/>
        <v>0</v>
      </c>
      <c r="X405" s="83">
        <f t="shared" si="195"/>
        <v>0</v>
      </c>
      <c r="Y405" s="83">
        <f t="shared" si="195"/>
        <v>0</v>
      </c>
      <c r="Z405" s="83">
        <f t="shared" si="195"/>
        <v>0</v>
      </c>
    </row>
    <row r="406" spans="1:26" ht="15.75">
      <c r="A406" s="699"/>
      <c r="B406" s="50" t="s">
        <v>1192</v>
      </c>
      <c r="C406" s="50"/>
      <c r="D406" s="55">
        <f t="shared" ca="1" si="196"/>
        <v>379957792.44512367</v>
      </c>
      <c r="E406" s="55"/>
      <c r="F406" s="55">
        <f ca="1">+SUM(F399:F405)</f>
        <v>89534045.099883363</v>
      </c>
      <c r="G406" s="55">
        <f t="shared" ref="G406:Z406" ca="1" si="198">+SUM(G399:G405)</f>
        <v>145211873.67262015</v>
      </c>
      <c r="H406" s="55">
        <f t="shared" ca="1" si="198"/>
        <v>145211873.67262015</v>
      </c>
      <c r="I406" s="55">
        <f t="shared" ca="1" si="198"/>
        <v>0</v>
      </c>
      <c r="J406" s="55">
        <f t="shared" ca="1" si="198"/>
        <v>0</v>
      </c>
      <c r="K406" s="55">
        <f t="shared" si="198"/>
        <v>0</v>
      </c>
      <c r="L406" s="55">
        <f t="shared" si="198"/>
        <v>0</v>
      </c>
      <c r="M406" s="55">
        <f t="shared" si="198"/>
        <v>0</v>
      </c>
      <c r="N406" s="55">
        <f t="shared" si="198"/>
        <v>0</v>
      </c>
      <c r="O406" s="55">
        <f t="shared" si="198"/>
        <v>0</v>
      </c>
      <c r="P406" s="55">
        <f t="shared" si="198"/>
        <v>0</v>
      </c>
      <c r="Q406" s="55">
        <f t="shared" si="198"/>
        <v>0</v>
      </c>
      <c r="R406" s="55">
        <f t="shared" si="198"/>
        <v>0</v>
      </c>
      <c r="S406" s="55">
        <f t="shared" si="198"/>
        <v>0</v>
      </c>
      <c r="T406" s="55">
        <f t="shared" si="198"/>
        <v>0</v>
      </c>
      <c r="U406" s="55">
        <f t="shared" si="198"/>
        <v>0</v>
      </c>
      <c r="V406" s="55">
        <f t="shared" si="198"/>
        <v>0</v>
      </c>
      <c r="W406" s="55">
        <f t="shared" si="198"/>
        <v>0</v>
      </c>
      <c r="X406" s="55">
        <f t="shared" si="198"/>
        <v>0</v>
      </c>
      <c r="Y406" s="55">
        <f t="shared" si="198"/>
        <v>0</v>
      </c>
      <c r="Z406" s="55">
        <f t="shared" si="198"/>
        <v>0</v>
      </c>
    </row>
    <row r="407" spans="1:26">
      <c r="A407" s="699"/>
      <c r="B407" s="49"/>
      <c r="C407" s="49"/>
      <c r="D407" s="49"/>
      <c r="E407" s="49"/>
      <c r="F407" s="49"/>
      <c r="G407" s="49"/>
      <c r="H407" s="49"/>
      <c r="I407" s="49"/>
      <c r="J407" s="49"/>
      <c r="K407" s="49"/>
      <c r="L407" s="49"/>
      <c r="M407" s="49"/>
      <c r="N407" s="49"/>
      <c r="O407" s="49"/>
      <c r="P407" s="49"/>
      <c r="Q407" s="49"/>
      <c r="R407" s="49"/>
      <c r="S407" s="49"/>
      <c r="T407" s="49"/>
      <c r="U407" s="49"/>
      <c r="V407" s="49"/>
      <c r="W407" s="49"/>
      <c r="X407" s="49"/>
      <c r="Y407" s="49"/>
      <c r="Z407" s="49"/>
    </row>
    <row r="408" spans="1:26" ht="15.75">
      <c r="A408" s="699"/>
      <c r="B408" s="112" t="s">
        <v>1193</v>
      </c>
      <c r="C408" s="49"/>
      <c r="D408" s="49"/>
      <c r="E408" s="49"/>
      <c r="F408" s="148">
        <f>+Assumptions!$G$27</f>
        <v>46387</v>
      </c>
      <c r="G408" s="148">
        <f>+EOMONTH(F408,12)</f>
        <v>46752</v>
      </c>
      <c r="H408" s="148">
        <f t="shared" ref="H408:Z408" si="199">+EOMONTH(G408,12)</f>
        <v>47118</v>
      </c>
      <c r="I408" s="148">
        <f t="shared" si="199"/>
        <v>47483</v>
      </c>
      <c r="J408" s="148">
        <f t="shared" si="199"/>
        <v>47848</v>
      </c>
      <c r="K408" s="148">
        <f t="shared" si="199"/>
        <v>48213</v>
      </c>
      <c r="L408" s="148">
        <f t="shared" si="199"/>
        <v>48579</v>
      </c>
      <c r="M408" s="148">
        <f t="shared" si="199"/>
        <v>48944</v>
      </c>
      <c r="N408" s="148">
        <f t="shared" si="199"/>
        <v>49309</v>
      </c>
      <c r="O408" s="148">
        <f t="shared" si="199"/>
        <v>49674</v>
      </c>
      <c r="P408" s="148">
        <f t="shared" si="199"/>
        <v>50040</v>
      </c>
      <c r="Q408" s="148">
        <f t="shared" si="199"/>
        <v>50405</v>
      </c>
      <c r="R408" s="148">
        <f t="shared" si="199"/>
        <v>50770</v>
      </c>
      <c r="S408" s="148">
        <f t="shared" si="199"/>
        <v>51135</v>
      </c>
      <c r="T408" s="148">
        <f t="shared" si="199"/>
        <v>51501</v>
      </c>
      <c r="U408" s="148">
        <f t="shared" si="199"/>
        <v>51866</v>
      </c>
      <c r="V408" s="148">
        <f t="shared" si="199"/>
        <v>52231</v>
      </c>
      <c r="W408" s="148">
        <f t="shared" si="199"/>
        <v>52596</v>
      </c>
      <c r="X408" s="148">
        <f t="shared" si="199"/>
        <v>52962</v>
      </c>
      <c r="Y408" s="148">
        <f t="shared" si="199"/>
        <v>53327</v>
      </c>
      <c r="Z408" s="148">
        <f t="shared" si="199"/>
        <v>53692</v>
      </c>
    </row>
    <row r="409" spans="1:26" ht="15.75">
      <c r="A409" s="699"/>
      <c r="B409" s="699" t="s">
        <v>1194</v>
      </c>
      <c r="C409" s="49"/>
      <c r="D409" s="94">
        <f ca="1">+D406-SUM(D366:D369,D371)</f>
        <v>257820417.52107811</v>
      </c>
      <c r="E409" s="94"/>
      <c r="F409" s="83">
        <f ca="1">+MIN($D$409-SUM($E409:E409),F$406)</f>
        <v>89534045.099883363</v>
      </c>
      <c r="G409" s="83">
        <f ca="1">+MIN($D$409-SUM($E409:F409),G$406)</f>
        <v>145211873.67262015</v>
      </c>
      <c r="H409" s="83">
        <f ca="1">+MIN($D$409-SUM($E409:G409),H$406)</f>
        <v>23074498.748574615</v>
      </c>
      <c r="I409" s="83">
        <f ca="1">+MIN($D$409-SUM($E409:H409),I$406)</f>
        <v>0</v>
      </c>
      <c r="J409" s="83">
        <f ca="1">+MIN($D$409-SUM($E409:I409),J$406)</f>
        <v>0</v>
      </c>
      <c r="K409" s="83">
        <f ca="1">+MIN($D$409-SUM($E409:J409),K$406)</f>
        <v>0</v>
      </c>
      <c r="L409" s="83">
        <f ca="1">+MIN($D$409-SUM($E409:K409),L$406)</f>
        <v>0</v>
      </c>
      <c r="M409" s="83">
        <f ca="1">+MIN($D$409-SUM($E409:L409),M$406)</f>
        <v>0</v>
      </c>
      <c r="N409" s="83">
        <f ca="1">+MIN($D$409-SUM($E409:M409),N$406)</f>
        <v>0</v>
      </c>
      <c r="O409" s="83">
        <f ca="1">+MIN($D$409-SUM($E409:N409),O$406)</f>
        <v>0</v>
      </c>
      <c r="P409" s="83">
        <f ca="1">+MIN($D$409-SUM($E409:O409),P$406)</f>
        <v>0</v>
      </c>
      <c r="Q409" s="83">
        <f ca="1">+MIN($D$409-SUM($E409:P409),Q$406)</f>
        <v>0</v>
      </c>
      <c r="R409" s="83">
        <f ca="1">+MIN($D$409-SUM($E409:Q409),R$406)</f>
        <v>0</v>
      </c>
      <c r="S409" s="83">
        <f ca="1">+MIN($D$409-SUM($E409:R409),S$406)</f>
        <v>0</v>
      </c>
      <c r="T409" s="83">
        <f ca="1">+MIN($D$409-SUM($E409:S409),T$406)</f>
        <v>0</v>
      </c>
      <c r="U409" s="83">
        <f ca="1">+MIN($D$409-SUM($E409:T409),U$406)</f>
        <v>0</v>
      </c>
      <c r="V409" s="83">
        <f ca="1">+MIN($D$409-SUM($E409:U409),V$406)</f>
        <v>0</v>
      </c>
      <c r="W409" s="83">
        <f ca="1">+MIN($D$409-SUM($E409:V409),W$406)</f>
        <v>0</v>
      </c>
      <c r="X409" s="83">
        <f ca="1">+MIN($D$409-SUM($E409:W409),X$406)</f>
        <v>0</v>
      </c>
      <c r="Y409" s="83">
        <f ca="1">+MIN($D$409-SUM($E409:X409),Y$406)</f>
        <v>0</v>
      </c>
      <c r="Z409" s="83">
        <f ca="1">+MIN($D$409-SUM($E409:Y409),Z$406)</f>
        <v>0</v>
      </c>
    </row>
    <row r="410" spans="1:26" ht="15.75">
      <c r="A410" s="699"/>
      <c r="B410" s="699"/>
      <c r="C410" s="49"/>
      <c r="D410" s="94">
        <f t="shared" ref="D410:D415" ca="1" si="200">+SUM(F410:Z410)</f>
        <v>0</v>
      </c>
      <c r="E410" s="94"/>
      <c r="F410" s="83">
        <f ca="1">+MIN('S&amp;U'!$I19-SUM($E410:E410),F$406-SUM(F$409:F409))</f>
        <v>0</v>
      </c>
      <c r="G410" s="83">
        <f ca="1">+MIN('S&amp;U'!$I19-SUM($E410:F410),G$406-SUM(G$409:G409))</f>
        <v>0</v>
      </c>
      <c r="H410" s="83">
        <f ca="1">+MIN('S&amp;U'!$I19-SUM($E410:G410),H$406-SUM(H$409:H409))</f>
        <v>0</v>
      </c>
      <c r="I410" s="83">
        <f ca="1">+MIN('S&amp;U'!$I19-SUM($E410:H410),I$406-SUM(I$409:I409))</f>
        <v>0</v>
      </c>
      <c r="J410" s="83">
        <f ca="1">+MIN('S&amp;U'!$I19-SUM($E410:I410),J$406-SUM(J$409:J409))</f>
        <v>0</v>
      </c>
      <c r="K410" s="83">
        <f ca="1">+MIN('S&amp;U'!$I19-SUM($E410:J410),K$406-SUM(K$409:K409))</f>
        <v>0</v>
      </c>
      <c r="L410" s="83">
        <f ca="1">+MIN('S&amp;U'!$I19-SUM($E410:K410),L$406-SUM(L$409:L409))</f>
        <v>0</v>
      </c>
      <c r="M410" s="83">
        <f ca="1">+MIN('S&amp;U'!$I19-SUM($E410:L410),M$406-SUM(M$409:M409))</f>
        <v>0</v>
      </c>
      <c r="N410" s="83">
        <f ca="1">+MIN('S&amp;U'!$I19-SUM($E410:M410),N$406-SUM(N$409:N409))</f>
        <v>0</v>
      </c>
      <c r="O410" s="83">
        <f ca="1">+MIN('S&amp;U'!$I19-SUM($E410:N410),O$406-SUM(O$409:O409))</f>
        <v>0</v>
      </c>
      <c r="P410" s="83">
        <f ca="1">+MIN('S&amp;U'!$I19-SUM($E410:O410),P$406-SUM(P$409:P409))</f>
        <v>0</v>
      </c>
      <c r="Q410" s="83">
        <f ca="1">+MIN('S&amp;U'!$I19-SUM($E410:P410),Q$406-SUM(Q$409:Q409))</f>
        <v>0</v>
      </c>
      <c r="R410" s="83">
        <f ca="1">+MIN('S&amp;U'!$I19-SUM($E410:Q410),R$406-SUM(R$409:R409))</f>
        <v>0</v>
      </c>
      <c r="S410" s="83">
        <f ca="1">+MIN('S&amp;U'!$I19-SUM($E410:R410),S$406-SUM(S$409:S409))</f>
        <v>0</v>
      </c>
      <c r="T410" s="83">
        <f ca="1">+MIN('S&amp;U'!$I19-SUM($E410:S410),T$406-SUM(T$409:T409))</f>
        <v>0</v>
      </c>
      <c r="U410" s="83">
        <f ca="1">+MIN('S&amp;U'!$I19-SUM($E410:T410),U$406-SUM(U$409:U409))</f>
        <v>0</v>
      </c>
      <c r="V410" s="83">
        <f ca="1">+MIN('S&amp;U'!$I19-SUM($E410:U410),V$406-SUM(V$409:V409))</f>
        <v>0</v>
      </c>
      <c r="W410" s="83">
        <f ca="1">+MIN('S&amp;U'!$I19-SUM($E410:V410),W$406-SUM(W$409:W409))</f>
        <v>0</v>
      </c>
      <c r="X410" s="83">
        <f ca="1">+MIN('S&amp;U'!$I19-SUM($E410:W410),X$406-SUM(X$409:X409))</f>
        <v>0</v>
      </c>
      <c r="Y410" s="83">
        <f ca="1">+MIN('S&amp;U'!$I19-SUM($E410:X410),Y$406-SUM(Y$409:Y409))</f>
        <v>0</v>
      </c>
      <c r="Z410" s="83">
        <f ca="1">+MIN('S&amp;U'!$I19-SUM($E410:Y410),Z$406-SUM(Z$409:Z409))</f>
        <v>0</v>
      </c>
    </row>
    <row r="411" spans="1:26" ht="15.75">
      <c r="A411" s="699"/>
      <c r="B411" s="699" t="s">
        <v>1195</v>
      </c>
      <c r="C411" s="49"/>
      <c r="D411" s="94">
        <f t="shared" ca="1" si="200"/>
        <v>71440658.636525184</v>
      </c>
      <c r="E411" s="94"/>
      <c r="F411" s="83">
        <f ca="1">+MIN('S&amp;U'!$I20-SUM($E411:E411),F$406-SUM(F$409:F410))</f>
        <v>0</v>
      </c>
      <c r="G411" s="83">
        <f ca="1">+MIN('S&amp;U'!$I20-SUM($E411:F411),G$406-SUM(G$409:G410))</f>
        <v>0</v>
      </c>
      <c r="H411" s="83">
        <f ca="1">+MIN('S&amp;U'!$I20-SUM($E411:G411),H$406-SUM(H$409:H410))</f>
        <v>71440658.636525184</v>
      </c>
      <c r="I411" s="83">
        <f ca="1">+MIN('S&amp;U'!$I20-SUM($E411:H411),I$406-SUM(I$409:I410))</f>
        <v>0</v>
      </c>
      <c r="J411" s="83">
        <f ca="1">+MIN('S&amp;U'!$I20-SUM($E411:I411),J$406-SUM(J$409:J410))</f>
        <v>0</v>
      </c>
      <c r="K411" s="83">
        <f ca="1">+MIN('S&amp;U'!$I20-SUM($E411:J411),K$406-SUM(K$409:K410))</f>
        <v>0</v>
      </c>
      <c r="L411" s="83">
        <f ca="1">+MIN('S&amp;U'!$I20-SUM($E411:K411),L$406-SUM(L$409:L410))</f>
        <v>0</v>
      </c>
      <c r="M411" s="83">
        <f ca="1">+MIN('S&amp;U'!$I20-SUM($E411:L411),M$406-SUM(M$409:M410))</f>
        <v>0</v>
      </c>
      <c r="N411" s="83">
        <f ca="1">+MIN('S&amp;U'!$I20-SUM($E411:M411),N$406-SUM(N$409:N410))</f>
        <v>0</v>
      </c>
      <c r="O411" s="83">
        <f ca="1">+MIN('S&amp;U'!$I20-SUM($E411:N411),O$406-SUM(O$409:O410))</f>
        <v>0</v>
      </c>
      <c r="P411" s="83">
        <f ca="1">+MIN('S&amp;U'!$I20-SUM($E411:O411),P$406-SUM(P$409:P410))</f>
        <v>0</v>
      </c>
      <c r="Q411" s="83">
        <f ca="1">+MIN('S&amp;U'!$I20-SUM($E411:P411),Q$406-SUM(Q$409:Q410))</f>
        <v>0</v>
      </c>
      <c r="R411" s="83">
        <f ca="1">+MIN('S&amp;U'!$I20-SUM($E411:Q411),R$406-SUM(R$409:R410))</f>
        <v>0</v>
      </c>
      <c r="S411" s="83">
        <f ca="1">+MIN('S&amp;U'!$I20-SUM($E411:R411),S$406-SUM(S$409:S410))</f>
        <v>0</v>
      </c>
      <c r="T411" s="83">
        <f ca="1">+MIN('S&amp;U'!$I20-SUM($E411:S411),T$406-SUM(T$409:T410))</f>
        <v>0</v>
      </c>
      <c r="U411" s="83">
        <f ca="1">+MIN('S&amp;U'!$I20-SUM($E411:T411),U$406-SUM(U$409:U410))</f>
        <v>0</v>
      </c>
      <c r="V411" s="83">
        <f ca="1">+MIN('S&amp;U'!$I20-SUM($E411:U411),V$406-SUM(V$409:V410))</f>
        <v>0</v>
      </c>
      <c r="W411" s="83">
        <f ca="1">+MIN('S&amp;U'!$I20-SUM($E411:V411),W$406-SUM(W$409:W410))</f>
        <v>0</v>
      </c>
      <c r="X411" s="83">
        <f ca="1">+MIN('S&amp;U'!$I20-SUM($E411:W411),X$406-SUM(X$409:X410))</f>
        <v>0</v>
      </c>
      <c r="Y411" s="83">
        <f ca="1">+MIN('S&amp;U'!$I20-SUM($E411:X411),Y$406-SUM(Y$409:Y410))</f>
        <v>0</v>
      </c>
      <c r="Z411" s="83">
        <f ca="1">+MIN('S&amp;U'!$I20-SUM($E411:Y411),Z$406-SUM(Z$409:Z410))</f>
        <v>0</v>
      </c>
    </row>
    <row r="412" spans="1:26" ht="15.75">
      <c r="A412" s="699"/>
      <c r="B412" s="699" t="s">
        <v>1196</v>
      </c>
      <c r="C412" s="49"/>
      <c r="D412" s="94">
        <f t="shared" ca="1" si="200"/>
        <v>0</v>
      </c>
      <c r="E412" s="94"/>
      <c r="F412" s="83">
        <f ca="1">+MIN('S&amp;U'!$I21-SUM($E412:E412),F$406-SUM(F$409:F411))</f>
        <v>0</v>
      </c>
      <c r="G412" s="83">
        <f ca="1">+MIN('S&amp;U'!$I21-SUM($E412:F412),G$406-SUM(G$409:G411))</f>
        <v>0</v>
      </c>
      <c r="H412" s="83">
        <f ca="1">+MIN('S&amp;U'!$I21-SUM($E412:G412),H$406-SUM(H$409:H411))</f>
        <v>0</v>
      </c>
      <c r="I412" s="83">
        <f ca="1">+MIN('S&amp;U'!$I21-SUM($E412:H412),I$406-SUM(I$409:I411))</f>
        <v>0</v>
      </c>
      <c r="J412" s="83">
        <f ca="1">+MIN('S&amp;U'!$I21-SUM($E412:I412),J$406-SUM(J$409:J411))</f>
        <v>0</v>
      </c>
      <c r="K412" s="83">
        <f ca="1">+MIN('S&amp;U'!$I21-SUM($E412:J412),K$406-SUM(K$409:K411))</f>
        <v>0</v>
      </c>
      <c r="L412" s="83">
        <f ca="1">+MIN('S&amp;U'!$I21-SUM($E412:K412),L$406-SUM(L$409:L411))</f>
        <v>0</v>
      </c>
      <c r="M412" s="83">
        <f ca="1">+MIN('S&amp;U'!$I21-SUM($E412:L412),M$406-SUM(M$409:M411))</f>
        <v>0</v>
      </c>
      <c r="N412" s="83">
        <f ca="1">+MIN('S&amp;U'!$I21-SUM($E412:M412),N$406-SUM(N$409:N411))</f>
        <v>0</v>
      </c>
      <c r="O412" s="83">
        <f ca="1">+MIN('S&amp;U'!$I21-SUM($E412:N412),O$406-SUM(O$409:O411))</f>
        <v>0</v>
      </c>
      <c r="P412" s="83">
        <f ca="1">+MIN('S&amp;U'!$I21-SUM($E412:O412),P$406-SUM(P$409:P411))</f>
        <v>0</v>
      </c>
      <c r="Q412" s="83">
        <f ca="1">+MIN('S&amp;U'!$I21-SUM($E412:P412),Q$406-SUM(Q$409:Q411))</f>
        <v>0</v>
      </c>
      <c r="R412" s="83">
        <f ca="1">+MIN('S&amp;U'!$I21-SUM($E412:Q412),R$406-SUM(R$409:R411))</f>
        <v>0</v>
      </c>
      <c r="S412" s="83">
        <f ca="1">+MIN('S&amp;U'!$I21-SUM($E412:R412),S$406-SUM(S$409:S411))</f>
        <v>0</v>
      </c>
      <c r="T412" s="83">
        <f ca="1">+MIN('S&amp;U'!$I21-SUM($E412:S412),T$406-SUM(T$409:T411))</f>
        <v>0</v>
      </c>
      <c r="U412" s="83">
        <f ca="1">+MIN('S&amp;U'!$I21-SUM($E412:T412),U$406-SUM(U$409:U411))</f>
        <v>0</v>
      </c>
      <c r="V412" s="83">
        <f ca="1">+MIN('S&amp;U'!$I21-SUM($E412:U412),V$406-SUM(V$409:V411))</f>
        <v>0</v>
      </c>
      <c r="W412" s="83">
        <f ca="1">+MIN('S&amp;U'!$I21-SUM($E412:V412),W$406-SUM(W$409:W411))</f>
        <v>0</v>
      </c>
      <c r="X412" s="83">
        <f ca="1">+MIN('S&amp;U'!$I21-SUM($E412:W412),X$406-SUM(X$409:X411))</f>
        <v>0</v>
      </c>
      <c r="Y412" s="83">
        <f ca="1">+MIN('S&amp;U'!$I21-SUM($E412:X412),Y$406-SUM(Y$409:Y411))</f>
        <v>0</v>
      </c>
      <c r="Z412" s="83">
        <f ca="1">+MIN('S&amp;U'!$I21-SUM($E412:Y412),Z$406-SUM(Z$409:Z411))</f>
        <v>0</v>
      </c>
    </row>
    <row r="413" spans="1:26" ht="15.75">
      <c r="A413" s="699"/>
      <c r="B413" s="699" t="s">
        <v>1197</v>
      </c>
      <c r="C413" s="49"/>
      <c r="D413" s="94">
        <f t="shared" ca="1" si="200"/>
        <v>0</v>
      </c>
      <c r="E413" s="94"/>
      <c r="F413" s="83">
        <f ca="1">+MIN('S&amp;U'!$I22-SUM($E413:E413),F$406-SUM(F$409:F412))</f>
        <v>0</v>
      </c>
      <c r="G413" s="83">
        <f ca="1">+MIN('S&amp;U'!$I22-SUM($E413:F413),G$406-SUM(G$409:G412))</f>
        <v>0</v>
      </c>
      <c r="H413" s="83">
        <f ca="1">+MIN('S&amp;U'!$I22-SUM($E413:G413),H$406-SUM(H$409:H412))</f>
        <v>0</v>
      </c>
      <c r="I413" s="83">
        <f ca="1">+MIN('S&amp;U'!$I22-SUM($E413:H413),I$406-SUM(I$409:I412))</f>
        <v>0</v>
      </c>
      <c r="J413" s="83">
        <f ca="1">+MIN('S&amp;U'!$I22-SUM($E413:I413),J$406-SUM(J$409:J412))</f>
        <v>0</v>
      </c>
      <c r="K413" s="83">
        <f ca="1">+MIN('S&amp;U'!$I22-SUM($E413:J413),K$406-SUM(K$409:K412))</f>
        <v>0</v>
      </c>
      <c r="L413" s="83">
        <f ca="1">+MIN('S&amp;U'!$I22-SUM($E413:K413),L$406-SUM(L$409:L412))</f>
        <v>0</v>
      </c>
      <c r="M413" s="83">
        <f ca="1">+MIN('S&amp;U'!$I22-SUM($E413:L413),M$406-SUM(M$409:M412))</f>
        <v>0</v>
      </c>
      <c r="N413" s="83">
        <f ca="1">+MIN('S&amp;U'!$I22-SUM($E413:M413),N$406-SUM(N$409:N412))</f>
        <v>0</v>
      </c>
      <c r="O413" s="83">
        <f ca="1">+MIN('S&amp;U'!$I22-SUM($E413:N413),O$406-SUM(O$409:O412))</f>
        <v>0</v>
      </c>
      <c r="P413" s="83">
        <f ca="1">+MIN('S&amp;U'!$I22-SUM($E413:O413),P$406-SUM(P$409:P412))</f>
        <v>0</v>
      </c>
      <c r="Q413" s="83">
        <f ca="1">+MIN('S&amp;U'!$I22-SUM($E413:P413),Q$406-SUM(Q$409:Q412))</f>
        <v>0</v>
      </c>
      <c r="R413" s="83">
        <f ca="1">+MIN('S&amp;U'!$I22-SUM($E413:Q413),R$406-SUM(R$409:R412))</f>
        <v>0</v>
      </c>
      <c r="S413" s="83">
        <f ca="1">+MIN('S&amp;U'!$I22-SUM($E413:R413),S$406-SUM(S$409:S412))</f>
        <v>0</v>
      </c>
      <c r="T413" s="83">
        <f ca="1">+MIN('S&amp;U'!$I22-SUM($E413:S413),T$406-SUM(T$409:T412))</f>
        <v>0</v>
      </c>
      <c r="U413" s="83">
        <f ca="1">+MIN('S&amp;U'!$I22-SUM($E413:T413),U$406-SUM(U$409:U412))</f>
        <v>0</v>
      </c>
      <c r="V413" s="83">
        <f ca="1">+MIN('S&amp;U'!$I22-SUM($E413:U413),V$406-SUM(V$409:V412))</f>
        <v>0</v>
      </c>
      <c r="W413" s="83">
        <f ca="1">+MIN('S&amp;U'!$I22-SUM($E413:V413),W$406-SUM(W$409:W412))</f>
        <v>0</v>
      </c>
      <c r="X413" s="83">
        <f ca="1">+MIN('S&amp;U'!$I22-SUM($E413:W413),X$406-SUM(X$409:X412))</f>
        <v>0</v>
      </c>
      <c r="Y413" s="83">
        <f ca="1">+MIN('S&amp;U'!$I22-SUM($E413:X413),Y$406-SUM(Y$409:Y412))</f>
        <v>0</v>
      </c>
      <c r="Z413" s="83">
        <f ca="1">+MIN('S&amp;U'!$I22-SUM($E413:Y413),Z$406-SUM(Z$409:Z412))</f>
        <v>0</v>
      </c>
    </row>
    <row r="414" spans="1:26" ht="15.75">
      <c r="A414" s="699"/>
      <c r="B414" s="699" t="s">
        <v>323</v>
      </c>
      <c r="C414" s="49"/>
      <c r="D414" s="94">
        <f t="shared" si="200"/>
        <v>0</v>
      </c>
      <c r="E414" s="94"/>
      <c r="F414" s="83">
        <v>0</v>
      </c>
      <c r="G414" s="83">
        <v>0</v>
      </c>
      <c r="H414" s="83">
        <v>0</v>
      </c>
      <c r="I414" s="83">
        <v>0</v>
      </c>
      <c r="J414" s="83">
        <v>0</v>
      </c>
      <c r="K414" s="83">
        <v>0</v>
      </c>
      <c r="L414" s="83">
        <v>0</v>
      </c>
      <c r="M414" s="83">
        <v>0</v>
      </c>
      <c r="N414" s="83">
        <v>0</v>
      </c>
      <c r="O414" s="83">
        <v>0</v>
      </c>
      <c r="P414" s="83">
        <v>0</v>
      </c>
      <c r="Q414" s="83">
        <v>0</v>
      </c>
      <c r="R414" s="83">
        <v>0</v>
      </c>
      <c r="S414" s="83">
        <v>0</v>
      </c>
      <c r="T414" s="83">
        <v>0</v>
      </c>
      <c r="U414" s="83">
        <v>0</v>
      </c>
      <c r="V414" s="83">
        <v>0</v>
      </c>
      <c r="W414" s="83">
        <v>0</v>
      </c>
      <c r="X414" s="83">
        <v>0</v>
      </c>
      <c r="Y414" s="83">
        <v>0</v>
      </c>
      <c r="Z414" s="83">
        <v>0</v>
      </c>
    </row>
    <row r="415" spans="1:26" ht="15.75">
      <c r="A415" s="699"/>
      <c r="B415" s="699" t="s">
        <v>326</v>
      </c>
      <c r="C415" s="49"/>
      <c r="D415" s="94">
        <f t="shared" ca="1" si="200"/>
        <v>50696716.287520349</v>
      </c>
      <c r="E415" s="94"/>
      <c r="F415" s="83">
        <f ca="1">+MIN('S&amp;U'!$I26-SUM($E415:E415),F$406-SUM(F$409:F414))</f>
        <v>0</v>
      </c>
      <c r="G415" s="83">
        <f ca="1">+MIN('S&amp;U'!$I26-SUM($E415:F415),G$406-SUM(G$409:G414))</f>
        <v>0</v>
      </c>
      <c r="H415" s="83">
        <f ca="1">+MIN('S&amp;U'!$I26-SUM($E415:G415),H$406-SUM(H$409:H414))</f>
        <v>50696716.287520349</v>
      </c>
      <c r="I415" s="83">
        <f ca="1">+MIN('S&amp;U'!$I26-SUM($E415:H415),I$406-SUM(I$409:I414))</f>
        <v>0</v>
      </c>
      <c r="J415" s="83">
        <f ca="1">+MIN('S&amp;U'!$I26-SUM($E415:I415),J$406-SUM(J$409:J414))</f>
        <v>0</v>
      </c>
      <c r="K415" s="83">
        <f ca="1">+MIN('S&amp;U'!$I26-SUM($E415:J415),K$406-SUM(K$409:K414))</f>
        <v>0</v>
      </c>
      <c r="L415" s="83">
        <f ca="1">+MIN('S&amp;U'!$I26-SUM($E415:K415),L$406-SUM(L$409:L414))</f>
        <v>0</v>
      </c>
      <c r="M415" s="83">
        <f ca="1">+MIN('S&amp;U'!$I26-SUM($E415:L415),M$406-SUM(M$409:M414))</f>
        <v>0</v>
      </c>
      <c r="N415" s="83">
        <f ca="1">+MIN('S&amp;U'!$I26-SUM($E415:M415),N$406-SUM(N$409:N414))</f>
        <v>0</v>
      </c>
      <c r="O415" s="83">
        <f ca="1">+MIN('S&amp;U'!$I26-SUM($E415:N415),O$406-SUM(O$409:O414))</f>
        <v>0</v>
      </c>
      <c r="P415" s="83">
        <f ca="1">+MIN('S&amp;U'!$I26-SUM($E415:O415),P$406-SUM(P$409:P414))</f>
        <v>0</v>
      </c>
      <c r="Q415" s="83">
        <f ca="1">+MIN('S&amp;U'!$I26-SUM($E415:P415),Q$406-SUM(Q$409:Q414))</f>
        <v>0</v>
      </c>
      <c r="R415" s="83">
        <f ca="1">+MIN('S&amp;U'!$I26-SUM($E415:Q415),R$406-SUM(R$409:R414))</f>
        <v>0</v>
      </c>
      <c r="S415" s="83">
        <f ca="1">+MIN('S&amp;U'!$I26-SUM($E415:R415),S$406-SUM(S$409:S414))</f>
        <v>0</v>
      </c>
      <c r="T415" s="83">
        <f ca="1">+MIN('S&amp;U'!$I26-SUM($E415:S415),T$406-SUM(T$409:T414))</f>
        <v>0</v>
      </c>
      <c r="U415" s="83">
        <f ca="1">+MIN('S&amp;U'!$I26-SUM($E415:T415),U$406-SUM(U$409:U414))</f>
        <v>0</v>
      </c>
      <c r="V415" s="83">
        <f ca="1">+MIN('S&amp;U'!$I26-SUM($E415:U415),V$406-SUM(V$409:V414))</f>
        <v>0</v>
      </c>
      <c r="W415" s="83">
        <f ca="1">+MIN('S&amp;U'!$I26-SUM($E415:V415),W$406-SUM(W$409:W414))</f>
        <v>0</v>
      </c>
      <c r="X415" s="83">
        <f ca="1">+MIN('S&amp;U'!$I26-SUM($E415:W415),X$406-SUM(X$409:X414))</f>
        <v>0</v>
      </c>
      <c r="Y415" s="83">
        <f ca="1">+MIN('S&amp;U'!$I26-SUM($E415:X415),Y$406-SUM(Y$409:Y414))</f>
        <v>0</v>
      </c>
      <c r="Z415" s="83">
        <f ca="1">+MIN('S&amp;U'!$I26-SUM($E415:Y415),Z$406-SUM(Z$409:Z414))</f>
        <v>0</v>
      </c>
    </row>
    <row r="416" spans="1:26" ht="15.75">
      <c r="A416" s="699"/>
      <c r="B416" s="50" t="s">
        <v>1198</v>
      </c>
      <c r="C416" s="50"/>
      <c r="D416" s="55">
        <f ca="1">+SUM(F416:Z416)</f>
        <v>379957792.44512367</v>
      </c>
      <c r="E416" s="55"/>
      <c r="F416" s="55">
        <f ca="1">+SUM(F409:F415)</f>
        <v>89534045.099883363</v>
      </c>
      <c r="G416" s="55">
        <f t="shared" ref="G416:Z416" ca="1" si="201">+SUM(G409:G415)</f>
        <v>145211873.67262015</v>
      </c>
      <c r="H416" s="55">
        <f t="shared" ca="1" si="201"/>
        <v>145211873.67262015</v>
      </c>
      <c r="I416" s="55">
        <f t="shared" ca="1" si="201"/>
        <v>0</v>
      </c>
      <c r="J416" s="55">
        <f t="shared" ca="1" si="201"/>
        <v>0</v>
      </c>
      <c r="K416" s="55">
        <f t="shared" ca="1" si="201"/>
        <v>0</v>
      </c>
      <c r="L416" s="55">
        <f t="shared" ca="1" si="201"/>
        <v>0</v>
      </c>
      <c r="M416" s="55">
        <f t="shared" ca="1" si="201"/>
        <v>0</v>
      </c>
      <c r="N416" s="55">
        <f t="shared" ca="1" si="201"/>
        <v>0</v>
      </c>
      <c r="O416" s="55">
        <f t="shared" ca="1" si="201"/>
        <v>0</v>
      </c>
      <c r="P416" s="55">
        <f t="shared" ca="1" si="201"/>
        <v>0</v>
      </c>
      <c r="Q416" s="55">
        <f t="shared" ca="1" si="201"/>
        <v>0</v>
      </c>
      <c r="R416" s="55">
        <f t="shared" ca="1" si="201"/>
        <v>0</v>
      </c>
      <c r="S416" s="55">
        <f t="shared" ca="1" si="201"/>
        <v>0</v>
      </c>
      <c r="T416" s="55">
        <f t="shared" ca="1" si="201"/>
        <v>0</v>
      </c>
      <c r="U416" s="55">
        <f t="shared" ca="1" si="201"/>
        <v>0</v>
      </c>
      <c r="V416" s="55">
        <f t="shared" ca="1" si="201"/>
        <v>0</v>
      </c>
      <c r="W416" s="55">
        <f t="shared" ca="1" si="201"/>
        <v>0</v>
      </c>
      <c r="X416" s="55">
        <f t="shared" ca="1" si="201"/>
        <v>0</v>
      </c>
      <c r="Y416" s="55">
        <f t="shared" ca="1" si="201"/>
        <v>0</v>
      </c>
      <c r="Z416" s="55">
        <f t="shared" ca="1" si="201"/>
        <v>0</v>
      </c>
    </row>
    <row r="417" spans="1:31">
      <c r="A417" s="699"/>
      <c r="B417" s="49"/>
      <c r="C417" s="49"/>
      <c r="D417" s="49"/>
      <c r="E417" s="49"/>
      <c r="F417" s="49"/>
      <c r="G417" s="49"/>
      <c r="H417" s="49"/>
      <c r="I417" s="49"/>
      <c r="J417" s="49"/>
      <c r="K417" s="49"/>
      <c r="L417" s="49"/>
      <c r="M417" s="49"/>
      <c r="N417" s="49"/>
      <c r="O417" s="49"/>
      <c r="P417" s="49"/>
      <c r="Q417" s="49"/>
      <c r="R417" s="49"/>
      <c r="S417" s="49"/>
      <c r="T417" s="49"/>
      <c r="U417" s="49"/>
      <c r="V417" s="49"/>
      <c r="W417" s="49"/>
      <c r="X417" s="49"/>
      <c r="Y417" s="49"/>
      <c r="Z417" s="49"/>
      <c r="AA417" s="699"/>
      <c r="AB417" s="699"/>
      <c r="AC417" s="699"/>
      <c r="AD417" s="699"/>
      <c r="AE417" s="699"/>
    </row>
    <row r="418" spans="1:31" ht="15.75">
      <c r="A418" s="699"/>
      <c r="B418" s="112" t="s">
        <v>1200</v>
      </c>
      <c r="C418" s="49"/>
      <c r="D418" s="49"/>
      <c r="E418" s="49"/>
      <c r="F418" s="148"/>
      <c r="G418" s="148"/>
      <c r="H418" s="148"/>
      <c r="I418" s="148"/>
      <c r="J418" s="148"/>
      <c r="K418" s="148"/>
      <c r="L418" s="148"/>
      <c r="M418" s="148"/>
      <c r="N418" s="148"/>
      <c r="O418" s="148"/>
      <c r="P418" s="148"/>
      <c r="Q418" s="148"/>
      <c r="R418" s="148"/>
      <c r="S418" s="148"/>
      <c r="T418" s="148"/>
      <c r="U418" s="148"/>
      <c r="V418" s="148"/>
      <c r="W418" s="148"/>
      <c r="X418" s="148"/>
      <c r="Y418" s="148"/>
      <c r="Z418" s="148"/>
      <c r="AA418" s="699"/>
      <c r="AB418" s="699"/>
      <c r="AC418" s="699"/>
      <c r="AD418" s="699"/>
      <c r="AE418" s="699"/>
    </row>
    <row r="419" spans="1:31" ht="15.75">
      <c r="A419" s="699"/>
      <c r="B419" s="699" t="s">
        <v>1201</v>
      </c>
      <c r="C419" s="49"/>
      <c r="D419" s="94">
        <f t="shared" ref="D419:D421" ca="1" si="202">+SUM(F419:Z419)</f>
        <v>-257820417.52107811</v>
      </c>
      <c r="E419" s="94"/>
      <c r="F419" s="83">
        <f ca="1">-F409</f>
        <v>-89534045.099883363</v>
      </c>
      <c r="G419" s="83">
        <f t="shared" ref="G419:Z419" ca="1" si="203">-G409</f>
        <v>-145211873.67262015</v>
      </c>
      <c r="H419" s="83">
        <f t="shared" ca="1" si="203"/>
        <v>-23074498.748574615</v>
      </c>
      <c r="I419" s="83">
        <f t="shared" ca="1" si="203"/>
        <v>0</v>
      </c>
      <c r="J419" s="83">
        <f t="shared" ca="1" si="203"/>
        <v>0</v>
      </c>
      <c r="K419" s="83">
        <f t="shared" ca="1" si="203"/>
        <v>0</v>
      </c>
      <c r="L419" s="83">
        <f t="shared" ca="1" si="203"/>
        <v>0</v>
      </c>
      <c r="M419" s="83">
        <f t="shared" ca="1" si="203"/>
        <v>0</v>
      </c>
      <c r="N419" s="83">
        <f t="shared" ca="1" si="203"/>
        <v>0</v>
      </c>
      <c r="O419" s="83">
        <f t="shared" ca="1" si="203"/>
        <v>0</v>
      </c>
      <c r="P419" s="83">
        <f t="shared" ca="1" si="203"/>
        <v>0</v>
      </c>
      <c r="Q419" s="83">
        <f t="shared" ca="1" si="203"/>
        <v>0</v>
      </c>
      <c r="R419" s="83">
        <f t="shared" ca="1" si="203"/>
        <v>0</v>
      </c>
      <c r="S419" s="83">
        <f t="shared" ca="1" si="203"/>
        <v>0</v>
      </c>
      <c r="T419" s="83">
        <f t="shared" ca="1" si="203"/>
        <v>0</v>
      </c>
      <c r="U419" s="83">
        <f t="shared" ca="1" si="203"/>
        <v>0</v>
      </c>
      <c r="V419" s="83">
        <f t="shared" ca="1" si="203"/>
        <v>0</v>
      </c>
      <c r="W419" s="83">
        <f t="shared" ca="1" si="203"/>
        <v>0</v>
      </c>
      <c r="X419" s="83">
        <f t="shared" ca="1" si="203"/>
        <v>0</v>
      </c>
      <c r="Y419" s="83">
        <f t="shared" ca="1" si="203"/>
        <v>0</v>
      </c>
      <c r="Z419" s="83">
        <f t="shared" ca="1" si="203"/>
        <v>0</v>
      </c>
      <c r="AA419" s="699"/>
      <c r="AB419" s="699"/>
      <c r="AC419" s="699"/>
      <c r="AD419" s="699"/>
      <c r="AE419" s="699"/>
    </row>
    <row r="420" spans="1:31" ht="15.75">
      <c r="A420" s="699"/>
      <c r="B420" s="699" t="s">
        <v>1202</v>
      </c>
      <c r="C420" s="49"/>
      <c r="D420" s="94">
        <f t="shared" ca="1" si="202"/>
        <v>554457376.57284236</v>
      </c>
      <c r="E420" s="94"/>
      <c r="F420" s="90">
        <f ca="1">+IF(YEAR(F$408)&lt;=YEAR(Assumptions!$G$35),'Phase 2 Pro Forma'!F391+'Phase 2 Pro Forma'!F396,0)</f>
        <v>0</v>
      </c>
      <c r="G420" s="90">
        <f ca="1">+IF(YEAR(G$408)&lt;=YEAR(Assumptions!$G$35),'Phase 2 Pro Forma'!G391+'Phase 2 Pro Forma'!G396,0)</f>
        <v>0</v>
      </c>
      <c r="H420" s="90">
        <f ca="1">+IF(YEAR(H$408)&lt;=YEAR(Assumptions!$G$35),'Phase 2 Pro Forma'!H391+'Phase 2 Pro Forma'!H396,0)</f>
        <v>0</v>
      </c>
      <c r="I420" s="90">
        <f ca="1">+IF(YEAR(I$408)&lt;=YEAR(Assumptions!$G$35),'Phase 2 Pro Forma'!I391+'Phase 2 Pro Forma'!I396,0)</f>
        <v>36853664.78119722</v>
      </c>
      <c r="J420" s="90">
        <f ca="1">+IF(YEAR(J$408)&lt;=YEAR(Assumptions!$G$35),'Phase 2 Pro Forma'!J391+'Phase 2 Pro Forma'!J396,0)</f>
        <v>10516611.628902998</v>
      </c>
      <c r="K420" s="90">
        <f ca="1">+IF(YEAR(K$408)&lt;=YEAR(Assumptions!$G$35),'Phase 2 Pro Forma'!K391+'Phase 2 Pro Forma'!K396,0)</f>
        <v>19157271.850348722</v>
      </c>
      <c r="L420" s="90">
        <f ca="1">+IF(YEAR(L$408)&lt;=YEAR(Assumptions!$G$35),'Phase 2 Pro Forma'!L391+'Phase 2 Pro Forma'!L396,0)</f>
        <v>20729625.218689654</v>
      </c>
      <c r="M420" s="90">
        <f ca="1">+IF(YEAR(M$408)&lt;=YEAR(Assumptions!$G$35),'Phase 2 Pro Forma'!M391+'Phase 2 Pro Forma'!M396,0)</f>
        <v>467200203.09370375</v>
      </c>
      <c r="N420" s="90">
        <f>+IF(YEAR(N$408)&lt;=YEAR(Assumptions!$G$35),'Phase 2 Pro Forma'!N391+'Phase 2 Pro Forma'!N396,0)</f>
        <v>0</v>
      </c>
      <c r="O420" s="90">
        <f>+IF(YEAR(O$408)&lt;=YEAR(Assumptions!$G$35),'Phase 2 Pro Forma'!O391+'Phase 2 Pro Forma'!O396,0)</f>
        <v>0</v>
      </c>
      <c r="P420" s="90">
        <f>+IF(YEAR(P$408)&lt;=YEAR(Assumptions!$G$35),'Phase 2 Pro Forma'!P391+'Phase 2 Pro Forma'!P396,0)</f>
        <v>0</v>
      </c>
      <c r="Q420" s="90">
        <f>+IF(YEAR(Q$408)&lt;=YEAR(Assumptions!$G$35),'Phase 2 Pro Forma'!Q391+'Phase 2 Pro Forma'!Q396,0)</f>
        <v>0</v>
      </c>
      <c r="R420" s="90">
        <f>+IF(YEAR(R$408)&lt;=YEAR(Assumptions!$G$35),'Phase 2 Pro Forma'!R391+'Phase 2 Pro Forma'!R396,0)</f>
        <v>0</v>
      </c>
      <c r="S420" s="90">
        <f>+IF(YEAR(S$408)&lt;=YEAR(Assumptions!$G$35),'Phase 2 Pro Forma'!S391+'Phase 2 Pro Forma'!S396,0)</f>
        <v>0</v>
      </c>
      <c r="T420" s="90">
        <f>+IF(YEAR(T$408)&lt;=YEAR(Assumptions!$G$35),'Phase 2 Pro Forma'!T391+'Phase 2 Pro Forma'!T396,0)</f>
        <v>0</v>
      </c>
      <c r="U420" s="90">
        <f>+IF(YEAR(U$408)&lt;=YEAR(Assumptions!$G$35),'Phase 2 Pro Forma'!U391+'Phase 2 Pro Forma'!U396,0)</f>
        <v>0</v>
      </c>
      <c r="V420" s="90">
        <f>+IF(YEAR(V$408)&lt;=YEAR(Assumptions!$G$35),'Phase 2 Pro Forma'!V391+'Phase 2 Pro Forma'!V396,0)</f>
        <v>0</v>
      </c>
      <c r="W420" s="90">
        <f>+IF(YEAR(W$408)&lt;=YEAR(Assumptions!$G$35),'Phase 2 Pro Forma'!W391+'Phase 2 Pro Forma'!W396,0)</f>
        <v>0</v>
      </c>
      <c r="X420" s="90">
        <f>+IF(YEAR(X$408)&lt;=YEAR(Assumptions!$G$35),'Phase 2 Pro Forma'!X391+'Phase 2 Pro Forma'!X396,0)</f>
        <v>0</v>
      </c>
      <c r="Y420" s="90">
        <f>+IF(YEAR(Y$408)&lt;=YEAR(Assumptions!$G$35),'Phase 2 Pro Forma'!Y391+'Phase 2 Pro Forma'!Y396,0)</f>
        <v>0</v>
      </c>
      <c r="Z420" s="90">
        <f>+IF(YEAR(Z$408)&lt;=YEAR(Assumptions!$G$35),'Phase 2 Pro Forma'!Z391+'Phase 2 Pro Forma'!Z396,0)</f>
        <v>0</v>
      </c>
      <c r="AA420" s="699"/>
      <c r="AB420" s="699"/>
      <c r="AC420" s="699"/>
      <c r="AD420" s="699"/>
      <c r="AE420" s="699"/>
    </row>
    <row r="421" spans="1:31" ht="15.75">
      <c r="A421" s="699"/>
      <c r="B421" s="50" t="s">
        <v>1203</v>
      </c>
      <c r="C421" s="50"/>
      <c r="D421" s="55">
        <f t="shared" ca="1" si="202"/>
        <v>296636959.05176425</v>
      </c>
      <c r="E421" s="55"/>
      <c r="F421" s="55">
        <f ca="1">+SUM(F419:F420)</f>
        <v>-89534045.099883363</v>
      </c>
      <c r="G421" s="55">
        <f t="shared" ref="G421:Z421" ca="1" si="204">+SUM(G419:G420)</f>
        <v>-145211873.67262015</v>
      </c>
      <c r="H421" s="55">
        <f t="shared" ca="1" si="204"/>
        <v>-23074498.748574615</v>
      </c>
      <c r="I421" s="55">
        <f t="shared" ca="1" si="204"/>
        <v>36853664.78119722</v>
      </c>
      <c r="J421" s="55">
        <f t="shared" ca="1" si="204"/>
        <v>10516611.628902998</v>
      </c>
      <c r="K421" s="55">
        <f t="shared" ca="1" si="204"/>
        <v>19157271.850348722</v>
      </c>
      <c r="L421" s="55">
        <f t="shared" ca="1" si="204"/>
        <v>20729625.218689654</v>
      </c>
      <c r="M421" s="55">
        <f t="shared" ca="1" si="204"/>
        <v>467200203.09370375</v>
      </c>
      <c r="N421" s="55">
        <f t="shared" ca="1" si="204"/>
        <v>0</v>
      </c>
      <c r="O421" s="55">
        <f t="shared" ca="1" si="204"/>
        <v>0</v>
      </c>
      <c r="P421" s="55">
        <f t="shared" ca="1" si="204"/>
        <v>0</v>
      </c>
      <c r="Q421" s="55">
        <f t="shared" ca="1" si="204"/>
        <v>0</v>
      </c>
      <c r="R421" s="55">
        <f t="shared" ca="1" si="204"/>
        <v>0</v>
      </c>
      <c r="S421" s="55">
        <f t="shared" ca="1" si="204"/>
        <v>0</v>
      </c>
      <c r="T421" s="55">
        <f t="shared" ca="1" si="204"/>
        <v>0</v>
      </c>
      <c r="U421" s="55">
        <f t="shared" ca="1" si="204"/>
        <v>0</v>
      </c>
      <c r="V421" s="55">
        <f t="shared" ca="1" si="204"/>
        <v>0</v>
      </c>
      <c r="W421" s="55">
        <f t="shared" ca="1" si="204"/>
        <v>0</v>
      </c>
      <c r="X421" s="55">
        <f t="shared" ca="1" si="204"/>
        <v>0</v>
      </c>
      <c r="Y421" s="55">
        <f t="shared" ca="1" si="204"/>
        <v>0</v>
      </c>
      <c r="Z421" s="55">
        <f t="shared" ca="1" si="204"/>
        <v>0</v>
      </c>
      <c r="AA421" s="699"/>
      <c r="AB421" s="699"/>
      <c r="AC421" s="699"/>
      <c r="AD421" s="699"/>
      <c r="AE421" s="699"/>
    </row>
    <row r="422" spans="1:31">
      <c r="A422" s="699"/>
      <c r="B422" s="49"/>
      <c r="C422" s="49"/>
      <c r="D422" s="49"/>
      <c r="E422" s="49"/>
      <c r="F422" s="49"/>
      <c r="G422" s="49"/>
      <c r="H422" s="49"/>
      <c r="I422" s="49"/>
      <c r="J422" s="49"/>
      <c r="K422" s="49"/>
      <c r="L422" s="49"/>
      <c r="M422" s="49"/>
      <c r="N422" s="49"/>
      <c r="O422" s="49"/>
      <c r="P422" s="49"/>
      <c r="Q422" s="49"/>
      <c r="R422" s="49"/>
      <c r="S422" s="49"/>
      <c r="T422" s="49"/>
      <c r="U422" s="49"/>
      <c r="V422" s="49"/>
      <c r="W422" s="49"/>
      <c r="X422" s="49"/>
      <c r="Y422" s="49"/>
      <c r="Z422" s="49"/>
      <c r="AA422" s="699"/>
      <c r="AB422" s="699"/>
      <c r="AC422" s="699"/>
      <c r="AD422" s="699"/>
      <c r="AE422" s="699"/>
    </row>
    <row r="423" spans="1:31" ht="15.75">
      <c r="A423" s="699"/>
      <c r="B423" s="154" t="s">
        <v>377</v>
      </c>
      <c r="C423" s="154"/>
      <c r="D423" s="155">
        <f ca="1">+IRR(F421:Z421)</f>
        <v>0.14216035742914723</v>
      </c>
      <c r="E423" s="49"/>
      <c r="F423" s="49"/>
      <c r="G423" s="49"/>
      <c r="H423" s="49"/>
      <c r="I423" s="49"/>
      <c r="J423" s="49"/>
      <c r="K423" s="49"/>
      <c r="L423" s="49"/>
      <c r="M423" s="49"/>
      <c r="N423" s="49"/>
      <c r="O423" s="49"/>
      <c r="P423" s="49"/>
      <c r="Q423" s="49"/>
      <c r="R423" s="49"/>
      <c r="S423" s="49"/>
      <c r="T423" s="49"/>
      <c r="U423" s="49"/>
      <c r="V423" s="49"/>
      <c r="W423" s="49"/>
      <c r="X423" s="49"/>
      <c r="Y423" s="49"/>
      <c r="Z423" s="49"/>
      <c r="AA423" s="699"/>
      <c r="AB423" s="699"/>
      <c r="AC423" s="699"/>
      <c r="AD423" s="699"/>
      <c r="AE423" s="699"/>
    </row>
    <row r="424" spans="1:31" ht="15.75">
      <c r="A424" s="699"/>
      <c r="B424" s="113" t="s">
        <v>1204</v>
      </c>
      <c r="C424" s="156"/>
      <c r="D424" s="150">
        <f ca="1">+SUM(F421:Z421)</f>
        <v>296636959.05176425</v>
      </c>
      <c r="E424" s="49"/>
      <c r="F424" s="49"/>
      <c r="G424" s="49"/>
      <c r="H424" s="49"/>
      <c r="I424" s="49"/>
      <c r="J424" s="49"/>
      <c r="K424" s="49"/>
      <c r="L424" s="49"/>
      <c r="M424" s="49"/>
      <c r="N424" s="49"/>
      <c r="O424" s="49"/>
      <c r="P424" s="49"/>
      <c r="Q424" s="49"/>
      <c r="R424" s="49"/>
      <c r="S424" s="49"/>
      <c r="T424" s="49"/>
      <c r="U424" s="49"/>
      <c r="V424" s="49"/>
      <c r="W424" s="49"/>
      <c r="X424" s="49"/>
      <c r="Y424" s="49"/>
      <c r="Z424" s="49"/>
      <c r="AA424" s="699"/>
      <c r="AB424" s="699"/>
      <c r="AC424" s="699"/>
      <c r="AD424" s="699"/>
      <c r="AE424" s="699"/>
    </row>
    <row r="425" spans="1:31" ht="15.75">
      <c r="A425" s="699"/>
      <c r="B425" s="157" t="s">
        <v>382</v>
      </c>
      <c r="C425" s="158"/>
      <c r="D425" s="159">
        <f ca="1">+D420/-D419</f>
        <v>2.1505565071374253</v>
      </c>
      <c r="E425" s="49"/>
      <c r="F425" s="49"/>
      <c r="G425" s="49"/>
      <c r="H425" s="49"/>
      <c r="I425" s="49"/>
      <c r="J425" s="49"/>
      <c r="K425" s="49"/>
      <c r="L425" s="49"/>
      <c r="M425" s="49"/>
      <c r="N425" s="49"/>
      <c r="O425" s="49"/>
      <c r="P425" s="49"/>
      <c r="Q425" s="49"/>
      <c r="R425" s="49"/>
      <c r="S425" s="49"/>
      <c r="T425" s="49"/>
      <c r="U425" s="49"/>
      <c r="V425" s="49"/>
      <c r="W425" s="49"/>
      <c r="X425" s="49"/>
      <c r="Y425" s="49"/>
      <c r="Z425" s="49"/>
      <c r="AA425" s="699"/>
      <c r="AB425" s="699"/>
      <c r="AC425" s="699"/>
      <c r="AD425" s="699"/>
      <c r="AE425" s="699"/>
    </row>
    <row r="426" spans="1:31">
      <c r="A426" s="699"/>
      <c r="B426" s="49"/>
      <c r="C426" s="49"/>
      <c r="D426" s="49"/>
      <c r="E426" s="49"/>
      <c r="F426" s="49"/>
      <c r="G426" s="49"/>
      <c r="H426" s="49"/>
      <c r="I426" s="49"/>
      <c r="J426" s="49"/>
      <c r="K426" s="49"/>
      <c r="L426" s="49"/>
      <c r="M426" s="49"/>
      <c r="N426" s="49"/>
      <c r="O426" s="49"/>
      <c r="P426" s="49"/>
      <c r="Q426" s="49"/>
      <c r="R426" s="49"/>
      <c r="S426" s="49"/>
      <c r="T426" s="49"/>
      <c r="U426" s="49"/>
      <c r="V426" s="49"/>
      <c r="W426" s="49"/>
      <c r="X426" s="49"/>
      <c r="Y426" s="49"/>
      <c r="Z426" s="49"/>
      <c r="AA426" s="699"/>
      <c r="AB426" s="699"/>
      <c r="AC426" s="699"/>
      <c r="AD426" s="699"/>
      <c r="AE426" s="699"/>
    </row>
    <row r="427" spans="1:31" ht="15.75">
      <c r="A427" s="699"/>
      <c r="B427" s="718" t="s">
        <v>1210</v>
      </c>
      <c r="C427" s="151"/>
      <c r="D427" s="151"/>
      <c r="E427" s="151"/>
      <c r="F427" s="971">
        <f>+F398</f>
        <v>46387</v>
      </c>
      <c r="G427" s="971">
        <f t="shared" ref="G427:Z427" si="205">+G398</f>
        <v>46752</v>
      </c>
      <c r="H427" s="971">
        <f t="shared" si="205"/>
        <v>47118</v>
      </c>
      <c r="I427" s="971">
        <f t="shared" si="205"/>
        <v>47483</v>
      </c>
      <c r="J427" s="971">
        <f t="shared" si="205"/>
        <v>47848</v>
      </c>
      <c r="K427" s="971">
        <f t="shared" si="205"/>
        <v>48213</v>
      </c>
      <c r="L427" s="971">
        <f t="shared" si="205"/>
        <v>48579</v>
      </c>
      <c r="M427" s="971">
        <f t="shared" si="205"/>
        <v>48944</v>
      </c>
      <c r="N427" s="971">
        <f t="shared" si="205"/>
        <v>49309</v>
      </c>
      <c r="O427" s="971">
        <f t="shared" si="205"/>
        <v>49674</v>
      </c>
      <c r="P427" s="971">
        <f t="shared" si="205"/>
        <v>50040</v>
      </c>
      <c r="Q427" s="971">
        <f t="shared" si="205"/>
        <v>50405</v>
      </c>
      <c r="R427" s="971">
        <f t="shared" si="205"/>
        <v>50770</v>
      </c>
      <c r="S427" s="971">
        <f t="shared" si="205"/>
        <v>51135</v>
      </c>
      <c r="T427" s="971">
        <f t="shared" si="205"/>
        <v>51501</v>
      </c>
      <c r="U427" s="971">
        <f t="shared" si="205"/>
        <v>51866</v>
      </c>
      <c r="V427" s="971">
        <f t="shared" si="205"/>
        <v>52231</v>
      </c>
      <c r="W427" s="971">
        <f t="shared" si="205"/>
        <v>52596</v>
      </c>
      <c r="X427" s="971">
        <f t="shared" si="205"/>
        <v>52962</v>
      </c>
      <c r="Y427" s="971">
        <f t="shared" si="205"/>
        <v>53327</v>
      </c>
      <c r="Z427" s="971">
        <f t="shared" si="205"/>
        <v>53692</v>
      </c>
      <c r="AA427" s="151"/>
      <c r="AB427" s="151"/>
      <c r="AC427" s="151"/>
      <c r="AD427" s="151"/>
      <c r="AE427" s="151"/>
    </row>
    <row r="428" spans="1:31" ht="15.75">
      <c r="A428" s="699"/>
      <c r="B428" s="718"/>
      <c r="C428" s="151"/>
      <c r="D428" s="151"/>
      <c r="E428" s="151"/>
      <c r="F428" s="151"/>
      <c r="G428" s="151"/>
      <c r="H428" s="151"/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</row>
    <row r="429" spans="1:31" ht="15.75">
      <c r="A429" s="699"/>
      <c r="B429" s="718" t="s">
        <v>1211</v>
      </c>
      <c r="C429" s="151"/>
      <c r="D429" s="151"/>
      <c r="E429" s="151"/>
      <c r="F429" s="718">
        <v>0</v>
      </c>
      <c r="G429" s="718">
        <f>+F429+1</f>
        <v>1</v>
      </c>
      <c r="H429" s="718">
        <f t="shared" ref="H429:Z429" si="206">+G429+1</f>
        <v>2</v>
      </c>
      <c r="I429" s="718">
        <f t="shared" si="206"/>
        <v>3</v>
      </c>
      <c r="J429" s="718">
        <f t="shared" si="206"/>
        <v>4</v>
      </c>
      <c r="K429" s="718">
        <f t="shared" si="206"/>
        <v>5</v>
      </c>
      <c r="L429" s="718">
        <f t="shared" si="206"/>
        <v>6</v>
      </c>
      <c r="M429" s="718">
        <f t="shared" si="206"/>
        <v>7</v>
      </c>
      <c r="N429" s="718">
        <f t="shared" si="206"/>
        <v>8</v>
      </c>
      <c r="O429" s="718">
        <f t="shared" si="206"/>
        <v>9</v>
      </c>
      <c r="P429" s="718">
        <f t="shared" si="206"/>
        <v>10</v>
      </c>
      <c r="Q429" s="718">
        <f t="shared" si="206"/>
        <v>11</v>
      </c>
      <c r="R429" s="718">
        <f t="shared" si="206"/>
        <v>12</v>
      </c>
      <c r="S429" s="718">
        <f t="shared" si="206"/>
        <v>13</v>
      </c>
      <c r="T429" s="718">
        <f t="shared" si="206"/>
        <v>14</v>
      </c>
      <c r="U429" s="718">
        <f t="shared" si="206"/>
        <v>15</v>
      </c>
      <c r="V429" s="718">
        <f t="shared" si="206"/>
        <v>16</v>
      </c>
      <c r="W429" s="718">
        <f t="shared" si="206"/>
        <v>17</v>
      </c>
      <c r="X429" s="718">
        <f t="shared" si="206"/>
        <v>18</v>
      </c>
      <c r="Y429" s="718">
        <f t="shared" si="206"/>
        <v>19</v>
      </c>
      <c r="Z429" s="718">
        <f t="shared" si="206"/>
        <v>20</v>
      </c>
      <c r="AA429" s="151"/>
      <c r="AB429" s="151"/>
      <c r="AC429" s="151"/>
      <c r="AD429" s="151"/>
      <c r="AE429" s="151"/>
    </row>
    <row r="430" spans="1:31" ht="15.75">
      <c r="A430" s="699" t="s">
        <v>511</v>
      </c>
      <c r="B430" s="151" t="s">
        <v>1212</v>
      </c>
      <c r="C430" s="151"/>
      <c r="D430" s="948"/>
      <c r="E430" s="948"/>
      <c r="F430" s="946">
        <f ca="1">+F$419</f>
        <v>-89534045.099883363</v>
      </c>
      <c r="G430" s="946">
        <f t="shared" ref="G430:Z430" ca="1" si="207">+G$419</f>
        <v>-145211873.67262015</v>
      </c>
      <c r="H430" s="946">
        <f t="shared" ca="1" si="207"/>
        <v>-23074498.748574615</v>
      </c>
      <c r="I430" s="946">
        <f t="shared" ca="1" si="207"/>
        <v>0</v>
      </c>
      <c r="J430" s="946">
        <f t="shared" ca="1" si="207"/>
        <v>0</v>
      </c>
      <c r="K430" s="946">
        <f t="shared" ca="1" si="207"/>
        <v>0</v>
      </c>
      <c r="L430" s="946">
        <f t="shared" ca="1" si="207"/>
        <v>0</v>
      </c>
      <c r="M430" s="946">
        <f t="shared" ca="1" si="207"/>
        <v>0</v>
      </c>
      <c r="N430" s="946">
        <f t="shared" ca="1" si="207"/>
        <v>0</v>
      </c>
      <c r="O430" s="946">
        <f t="shared" ca="1" si="207"/>
        <v>0</v>
      </c>
      <c r="P430" s="946">
        <f t="shared" ca="1" si="207"/>
        <v>0</v>
      </c>
      <c r="Q430" s="946">
        <f t="shared" ca="1" si="207"/>
        <v>0</v>
      </c>
      <c r="R430" s="946">
        <f t="shared" ca="1" si="207"/>
        <v>0</v>
      </c>
      <c r="S430" s="946">
        <f t="shared" ca="1" si="207"/>
        <v>0</v>
      </c>
      <c r="T430" s="946">
        <f t="shared" ca="1" si="207"/>
        <v>0</v>
      </c>
      <c r="U430" s="946">
        <f t="shared" ca="1" si="207"/>
        <v>0</v>
      </c>
      <c r="V430" s="946">
        <f t="shared" ca="1" si="207"/>
        <v>0</v>
      </c>
      <c r="W430" s="946">
        <f t="shared" ca="1" si="207"/>
        <v>0</v>
      </c>
      <c r="X430" s="946">
        <f t="shared" ca="1" si="207"/>
        <v>0</v>
      </c>
      <c r="Y430" s="946">
        <f t="shared" ca="1" si="207"/>
        <v>0</v>
      </c>
      <c r="Z430" s="946">
        <f t="shared" ca="1" si="207"/>
        <v>0</v>
      </c>
      <c r="AA430" s="151"/>
      <c r="AB430" s="151"/>
      <c r="AC430" s="151"/>
      <c r="AD430" s="151"/>
      <c r="AE430" s="151"/>
    </row>
    <row r="431" spans="1:31" ht="15.75">
      <c r="A431" s="699"/>
      <c r="B431" s="151" t="s">
        <v>1213</v>
      </c>
      <c r="C431" s="151"/>
      <c r="D431" s="948"/>
      <c r="E431" s="948"/>
      <c r="F431" s="972">
        <v>0</v>
      </c>
      <c r="G431" s="972">
        <v>0</v>
      </c>
      <c r="H431" s="972">
        <v>0</v>
      </c>
      <c r="I431" s="972">
        <v>0</v>
      </c>
      <c r="J431" s="972">
        <v>0</v>
      </c>
      <c r="K431" s="972">
        <v>0</v>
      </c>
      <c r="L431" s="972">
        <v>0</v>
      </c>
      <c r="M431" s="972">
        <v>0</v>
      </c>
      <c r="N431" s="972">
        <v>0</v>
      </c>
      <c r="O431" s="972">
        <v>0</v>
      </c>
      <c r="P431" s="972">
        <v>0</v>
      </c>
      <c r="Q431" s="972">
        <v>0</v>
      </c>
      <c r="R431" s="972">
        <v>0</v>
      </c>
      <c r="S431" s="972">
        <v>0</v>
      </c>
      <c r="T431" s="972">
        <v>0</v>
      </c>
      <c r="U431" s="972">
        <v>0</v>
      </c>
      <c r="V431" s="972">
        <v>0</v>
      </c>
      <c r="W431" s="972">
        <v>0</v>
      </c>
      <c r="X431" s="972">
        <v>0</v>
      </c>
      <c r="Y431" s="972">
        <v>0</v>
      </c>
      <c r="Z431" s="972">
        <v>0</v>
      </c>
      <c r="AA431" s="151"/>
      <c r="AB431" s="151"/>
      <c r="AC431" s="151"/>
      <c r="AD431" s="151"/>
      <c r="AE431" s="151"/>
    </row>
    <row r="432" spans="1:31" ht="15.75">
      <c r="A432" s="699"/>
      <c r="B432" s="151" t="s">
        <v>1214</v>
      </c>
      <c r="C432" s="151"/>
      <c r="D432" s="948"/>
      <c r="E432" s="948"/>
      <c r="F432" s="972">
        <v>0</v>
      </c>
      <c r="G432" s="972">
        <v>0</v>
      </c>
      <c r="H432" s="972">
        <v>0</v>
      </c>
      <c r="I432" s="972">
        <v>0</v>
      </c>
      <c r="J432" s="972">
        <v>0</v>
      </c>
      <c r="K432" s="972">
        <v>0</v>
      </c>
      <c r="L432" s="972">
        <v>0</v>
      </c>
      <c r="M432" s="972">
        <v>0</v>
      </c>
      <c r="N432" s="972">
        <v>0</v>
      </c>
      <c r="O432" s="972">
        <v>0</v>
      </c>
      <c r="P432" s="972">
        <v>0</v>
      </c>
      <c r="Q432" s="972">
        <v>0</v>
      </c>
      <c r="R432" s="972">
        <v>0</v>
      </c>
      <c r="S432" s="972">
        <v>0</v>
      </c>
      <c r="T432" s="972">
        <v>0</v>
      </c>
      <c r="U432" s="972">
        <v>0</v>
      </c>
      <c r="V432" s="972">
        <v>0</v>
      </c>
      <c r="W432" s="972">
        <v>0</v>
      </c>
      <c r="X432" s="972">
        <v>0</v>
      </c>
      <c r="Y432" s="972">
        <v>0</v>
      </c>
      <c r="Z432" s="972">
        <v>0</v>
      </c>
      <c r="AA432" s="151"/>
      <c r="AB432" s="151"/>
      <c r="AC432" s="151"/>
      <c r="AD432" s="151"/>
      <c r="AE432" s="151"/>
    </row>
    <row r="433" spans="2:31" ht="15.75">
      <c r="B433" s="151" t="s">
        <v>1215</v>
      </c>
      <c r="C433" s="151"/>
      <c r="D433" s="948"/>
      <c r="E433" s="948"/>
      <c r="F433" s="972">
        <f ca="1">-SUM(F460:F461)*Assumptions!$BT$178</f>
        <v>0</v>
      </c>
      <c r="G433" s="972">
        <f ca="1">-SUM(G460:G461)*Assumptions!$BT$178</f>
        <v>0</v>
      </c>
      <c r="H433" s="972">
        <f ca="1">-SUM(H460:H461)*Assumptions!$BT$178</f>
        <v>0</v>
      </c>
      <c r="I433" s="972">
        <f ca="1">-SUM(I460:I461)*Assumptions!$BT$178</f>
        <v>0</v>
      </c>
      <c r="J433" s="972" t="e">
        <f ca="1">-SUM(J460:J461)*Assumptions!$BT$178</f>
        <v>#DIV/0!</v>
      </c>
      <c r="K433" s="972" t="e">
        <f ca="1">-SUM(K460:K461)*Assumptions!$BT$178</f>
        <v>#DIV/0!</v>
      </c>
      <c r="L433" s="972" t="e">
        <f ca="1">-SUM(L460:L461)*Assumptions!$BT$178</f>
        <v>#DIV/0!</v>
      </c>
      <c r="M433" s="972" t="e">
        <f ca="1">-SUM(M460:M461)*Assumptions!$BT$178</f>
        <v>#DIV/0!</v>
      </c>
      <c r="N433" s="972">
        <f>-SUM(N460:N461)*Assumptions!$BT$178</f>
        <v>0</v>
      </c>
      <c r="O433" s="972">
        <f>-SUM(O460:O461)*Assumptions!$BT$178</f>
        <v>0</v>
      </c>
      <c r="P433" s="972">
        <f>-SUM(P460:P461)*Assumptions!$BT$178</f>
        <v>0</v>
      </c>
      <c r="Q433" s="972">
        <f>-SUM(Q460:Q461)*Assumptions!$BT$178</f>
        <v>0</v>
      </c>
      <c r="R433" s="972">
        <f>-SUM(R460:R461)*Assumptions!$BT$178</f>
        <v>0</v>
      </c>
      <c r="S433" s="972">
        <f>-SUM(S460:S461)*Assumptions!$BT$178</f>
        <v>0</v>
      </c>
      <c r="T433" s="972">
        <f>-SUM(T460:T461)*Assumptions!$BT$178</f>
        <v>0</v>
      </c>
      <c r="U433" s="972">
        <f>-SUM(U460:U461)*Assumptions!$BT$178</f>
        <v>0</v>
      </c>
      <c r="V433" s="972">
        <f>-SUM(V460:V461)*Assumptions!$BT$178</f>
        <v>0</v>
      </c>
      <c r="W433" s="972">
        <f>-SUM(W460:W461)*Assumptions!$BT$178</f>
        <v>0</v>
      </c>
      <c r="X433" s="972">
        <f>-SUM(X460:X461)*Assumptions!$BT$178</f>
        <v>0</v>
      </c>
      <c r="Y433" s="972">
        <f>-SUM(Y460:Y461)*Assumptions!$BT$178</f>
        <v>0</v>
      </c>
      <c r="Z433" s="972">
        <f>-SUM(Z460:Z461)*Assumptions!$BT$178</f>
        <v>0</v>
      </c>
      <c r="AA433" s="151"/>
      <c r="AB433" s="151"/>
      <c r="AC433" s="151"/>
      <c r="AD433" s="151"/>
      <c r="AE433" s="151"/>
    </row>
    <row r="434" spans="2:31" ht="15.75">
      <c r="B434" s="151" t="s">
        <v>1216</v>
      </c>
      <c r="C434" s="151"/>
      <c r="D434" s="948"/>
      <c r="E434" s="948"/>
      <c r="F434" s="972">
        <f ca="1">+IF(YEAR(F$427)&lt;=YEAR(Assumptions!$G$35),'Phase 2 Pro Forma'!F391,0)</f>
        <v>0</v>
      </c>
      <c r="G434" s="972">
        <f ca="1">+IF(YEAR(G$427)&lt;=YEAR(Assumptions!$G$35),'Phase 2 Pro Forma'!G391,0)</f>
        <v>0</v>
      </c>
      <c r="H434" s="972">
        <f ca="1">+IF(YEAR(H$427)&lt;=YEAR(Assumptions!$G$35),'Phase 2 Pro Forma'!H391,0)</f>
        <v>0</v>
      </c>
      <c r="I434" s="972">
        <f ca="1">+IF(YEAR(I$427)&lt;=YEAR(Assumptions!$G$35),'Phase 2 Pro Forma'!I391,0)</f>
        <v>268625.94962569512</v>
      </c>
      <c r="J434" s="972">
        <f ca="1">+IF(YEAR(J$427)&lt;=YEAR(Assumptions!$G$35),'Phase 2 Pro Forma'!J391,0)</f>
        <v>10516611.628902998</v>
      </c>
      <c r="K434" s="972">
        <f ca="1">+IF(YEAR(K$427)&lt;=YEAR(Assumptions!$G$35),'Phase 2 Pro Forma'!K391,0)</f>
        <v>19157271.850348722</v>
      </c>
      <c r="L434" s="972">
        <f ca="1">+IF(YEAR(L$427)&lt;=YEAR(Assumptions!$G$35),'Phase 2 Pro Forma'!L391,0)</f>
        <v>20729625.218689654</v>
      </c>
      <c r="M434" s="972">
        <f ca="1">+IF(YEAR(M$427)&lt;=YEAR(Assumptions!$G$35),'Phase 2 Pro Forma'!M391,0)</f>
        <v>21071614.201068375</v>
      </c>
      <c r="N434" s="972">
        <f>+IF(YEAR(N$427)&lt;=YEAR(Assumptions!$G$35),'Phase 2 Pro Forma'!N391,0)</f>
        <v>0</v>
      </c>
      <c r="O434" s="972">
        <f>+IF(YEAR(O$427)&lt;=YEAR(Assumptions!$G$35),'Phase 2 Pro Forma'!O391,0)</f>
        <v>0</v>
      </c>
      <c r="P434" s="972">
        <f>+IF(YEAR(P$427)&lt;=YEAR(Assumptions!$G$35),'Phase 2 Pro Forma'!P391,0)</f>
        <v>0</v>
      </c>
      <c r="Q434" s="972">
        <f>+IF(YEAR(Q$427)&lt;=YEAR(Assumptions!$G$35),'Phase 2 Pro Forma'!Q391,0)</f>
        <v>0</v>
      </c>
      <c r="R434" s="972">
        <f>+IF(YEAR(R$427)&lt;=YEAR(Assumptions!$G$35),'Phase 2 Pro Forma'!R391,0)</f>
        <v>0</v>
      </c>
      <c r="S434" s="972">
        <f>+IF(YEAR(S$427)&lt;=YEAR(Assumptions!$G$35),'Phase 2 Pro Forma'!S391,0)</f>
        <v>0</v>
      </c>
      <c r="T434" s="972">
        <f>+IF(YEAR(T$427)&lt;=YEAR(Assumptions!$G$35),'Phase 2 Pro Forma'!T391,0)</f>
        <v>0</v>
      </c>
      <c r="U434" s="972">
        <f>+IF(YEAR(U$427)&lt;=YEAR(Assumptions!$G$35),'Phase 2 Pro Forma'!U391,0)</f>
        <v>0</v>
      </c>
      <c r="V434" s="972">
        <f>+IF(YEAR(V$427)&lt;=YEAR(Assumptions!$G$35),'Phase 2 Pro Forma'!V391,0)</f>
        <v>0</v>
      </c>
      <c r="W434" s="972">
        <f>+IF(YEAR(W$427)&lt;=YEAR(Assumptions!$G$35),'Phase 2 Pro Forma'!W391,0)</f>
        <v>0</v>
      </c>
      <c r="X434" s="972">
        <f>+IF(YEAR(X$427)&lt;=YEAR(Assumptions!$G$35),'Phase 2 Pro Forma'!X391,0)</f>
        <v>0</v>
      </c>
      <c r="Y434" s="972">
        <f>+IF(YEAR(Y$427)&lt;=YEAR(Assumptions!$G$35),'Phase 2 Pro Forma'!Y391,0)</f>
        <v>0</v>
      </c>
      <c r="Z434" s="972">
        <f>+IF(YEAR(Z$427)&lt;=YEAR(Assumptions!$G$35),'Phase 2 Pro Forma'!Z391,0)</f>
        <v>0</v>
      </c>
      <c r="AA434" s="151"/>
      <c r="AB434" s="151"/>
      <c r="AC434" s="151"/>
      <c r="AD434" s="151"/>
      <c r="AE434" s="151"/>
    </row>
    <row r="435" spans="2:31" ht="15.75">
      <c r="B435" s="151" t="s">
        <v>1217</v>
      </c>
      <c r="C435" s="151"/>
      <c r="D435" s="948"/>
      <c r="E435" s="948"/>
      <c r="F435" s="972">
        <f>+IF(YEAR(F$427)&lt;=YEAR(Assumptions!$G$35),'Phase 2 Pro Forma'!F396,0)</f>
        <v>0</v>
      </c>
      <c r="G435" s="972">
        <f>+IF(YEAR(G$427)&lt;=YEAR(Assumptions!$G$35),'Phase 2 Pro Forma'!G396,0)</f>
        <v>0</v>
      </c>
      <c r="H435" s="972">
        <f>+IF(YEAR(H$427)&lt;=YEAR(Assumptions!$G$35),'Phase 2 Pro Forma'!H396,0)</f>
        <v>0</v>
      </c>
      <c r="I435" s="972">
        <f>+IF(YEAR(I$427)&lt;=YEAR(Assumptions!$G$35),'Phase 2 Pro Forma'!I396,0)</f>
        <v>36585038.831571527</v>
      </c>
      <c r="J435" s="972">
        <f>+IF(YEAR(J$427)&lt;=YEAR(Assumptions!$G$35),'Phase 2 Pro Forma'!J396,0)</f>
        <v>0</v>
      </c>
      <c r="K435" s="972">
        <f>+IF(YEAR(K$427)&lt;=YEAR(Assumptions!$G$35),'Phase 2 Pro Forma'!K396,0)</f>
        <v>0</v>
      </c>
      <c r="L435" s="972">
        <f>+IF(YEAR(L$427)&lt;=YEAR(Assumptions!$G$35),'Phase 2 Pro Forma'!L396,0)</f>
        <v>0</v>
      </c>
      <c r="M435" s="972">
        <f ca="1">+IF(YEAR(M$427)&lt;=YEAR(Assumptions!$G$35),'Phase 2 Pro Forma'!M396,0)</f>
        <v>446128588.89263535</v>
      </c>
      <c r="N435" s="972">
        <f>+IF(YEAR(N$427)&lt;=YEAR(Assumptions!$G$35),'Phase 2 Pro Forma'!N396,0)</f>
        <v>0</v>
      </c>
      <c r="O435" s="972">
        <f>+IF(YEAR(O$427)&lt;=YEAR(Assumptions!$G$35),'Phase 2 Pro Forma'!O396,0)</f>
        <v>0</v>
      </c>
      <c r="P435" s="972">
        <f>+IF(YEAR(P$427)&lt;=YEAR(Assumptions!$G$35),'Phase 2 Pro Forma'!P396,0)</f>
        <v>0</v>
      </c>
      <c r="Q435" s="972">
        <f>+IF(YEAR(Q$427)&lt;=YEAR(Assumptions!$G$35),'Phase 2 Pro Forma'!Q396,0)</f>
        <v>0</v>
      </c>
      <c r="R435" s="972">
        <f>+IF(YEAR(R$427)&lt;=YEAR(Assumptions!$G$35),'Phase 2 Pro Forma'!R396,0)</f>
        <v>0</v>
      </c>
      <c r="S435" s="972">
        <f>+IF(YEAR(S$427)&lt;=YEAR(Assumptions!$G$35),'Phase 2 Pro Forma'!S396,0)</f>
        <v>0</v>
      </c>
      <c r="T435" s="972">
        <f>+IF(YEAR(T$427)&lt;=YEAR(Assumptions!$G$35),'Phase 2 Pro Forma'!T396,0)</f>
        <v>0</v>
      </c>
      <c r="U435" s="972">
        <f>+IF(YEAR(U$427)&lt;=YEAR(Assumptions!$G$35),'Phase 2 Pro Forma'!U396,0)</f>
        <v>0</v>
      </c>
      <c r="V435" s="972">
        <f>+IF(YEAR(V$427)&lt;=YEAR(Assumptions!$G$35),'Phase 2 Pro Forma'!V396,0)</f>
        <v>0</v>
      </c>
      <c r="W435" s="972">
        <f>+IF(YEAR(W$427)&lt;=YEAR(Assumptions!$G$35),'Phase 2 Pro Forma'!W396,0)</f>
        <v>0</v>
      </c>
      <c r="X435" s="972">
        <f>+IF(YEAR(X$427)&lt;=YEAR(Assumptions!$G$35),'Phase 2 Pro Forma'!X396,0)</f>
        <v>0</v>
      </c>
      <c r="Y435" s="972">
        <f>+IF(YEAR(Y$427)&lt;=YEAR(Assumptions!$G$35),'Phase 2 Pro Forma'!Y396,0)</f>
        <v>0</v>
      </c>
      <c r="Z435" s="972">
        <f>+IF(YEAR(Z$427)&lt;=YEAR(Assumptions!$G$35),'Phase 2 Pro Forma'!Z396,0)</f>
        <v>0</v>
      </c>
      <c r="AA435" s="151"/>
      <c r="AB435" s="151"/>
      <c r="AC435" s="151"/>
      <c r="AD435" s="151"/>
      <c r="AE435" s="151"/>
    </row>
    <row r="436" spans="2:31" ht="15.75">
      <c r="B436" s="151" t="s">
        <v>1218</v>
      </c>
      <c r="C436" s="151"/>
      <c r="D436" s="948"/>
      <c r="E436" s="948"/>
      <c r="F436" s="972">
        <f>-F464*Assumptions!$BT$178</f>
        <v>0</v>
      </c>
      <c r="G436" s="972">
        <f>-G464*Assumptions!$BT$178</f>
        <v>0</v>
      </c>
      <c r="H436" s="972">
        <f>-H464*Assumptions!$BT$178</f>
        <v>0</v>
      </c>
      <c r="I436" s="972">
        <f>-I464*Assumptions!$BT$178</f>
        <v>0</v>
      </c>
      <c r="J436" s="972">
        <f>-J464*Assumptions!$BT$178</f>
        <v>0</v>
      </c>
      <c r="K436" s="972">
        <f>-K464*Assumptions!$BT$178</f>
        <v>0</v>
      </c>
      <c r="L436" s="972">
        <f>-L464*Assumptions!$BT$178</f>
        <v>0</v>
      </c>
      <c r="M436" s="972" t="e">
        <f ca="1">-M464*Assumptions!$BT$178</f>
        <v>#DIV/0!</v>
      </c>
      <c r="N436" s="972">
        <f>-N464*Assumptions!$BT$178</f>
        <v>0</v>
      </c>
      <c r="O436" s="972">
        <f>-O464*Assumptions!$BT$178</f>
        <v>0</v>
      </c>
      <c r="P436" s="972">
        <f>-P464*Assumptions!$BT$178</f>
        <v>0</v>
      </c>
      <c r="Q436" s="972">
        <f>-Q464*Assumptions!$BT$178</f>
        <v>0</v>
      </c>
      <c r="R436" s="972">
        <f>-R464*Assumptions!$BT$178</f>
        <v>0</v>
      </c>
      <c r="S436" s="972">
        <f>-S464*Assumptions!$BT$178</f>
        <v>0</v>
      </c>
      <c r="T436" s="972">
        <f>-T464*Assumptions!$BT$178</f>
        <v>0</v>
      </c>
      <c r="U436" s="972">
        <f>-U464*Assumptions!$BT$178</f>
        <v>0</v>
      </c>
      <c r="V436" s="972">
        <f>-V464*Assumptions!$BT$178</f>
        <v>0</v>
      </c>
      <c r="W436" s="972">
        <f>-W464*Assumptions!$BT$178</f>
        <v>0</v>
      </c>
      <c r="X436" s="972">
        <f>-X464*Assumptions!$BT$178</f>
        <v>0</v>
      </c>
      <c r="Y436" s="972">
        <f>-Y464*Assumptions!$BT$178</f>
        <v>0</v>
      </c>
      <c r="Z436" s="972">
        <f>-Z464*Assumptions!$BT$178</f>
        <v>0</v>
      </c>
      <c r="AA436" s="151"/>
      <c r="AB436" s="151"/>
      <c r="AC436" s="151"/>
      <c r="AD436" s="151"/>
      <c r="AE436" s="151"/>
    </row>
    <row r="437" spans="2:31" ht="15.75">
      <c r="B437" s="718" t="s">
        <v>1211</v>
      </c>
      <c r="C437" s="718"/>
      <c r="D437" s="948" t="e">
        <f ca="1">+SUM(F437:Z437)</f>
        <v>#DIV/0!</v>
      </c>
      <c r="E437" s="948"/>
      <c r="F437" s="948">
        <f ca="1">+SUM(F430:F436)</f>
        <v>-89534045.099883363</v>
      </c>
      <c r="G437" s="948">
        <f t="shared" ref="G437:Z437" ca="1" si="208">+SUM(G430:G436)</f>
        <v>-145211873.67262015</v>
      </c>
      <c r="H437" s="948">
        <f t="shared" ca="1" si="208"/>
        <v>-23074498.748574615</v>
      </c>
      <c r="I437" s="948">
        <f t="shared" ca="1" si="208"/>
        <v>36853664.78119722</v>
      </c>
      <c r="J437" s="948" t="e">
        <f t="shared" ca="1" si="208"/>
        <v>#DIV/0!</v>
      </c>
      <c r="K437" s="948" t="e">
        <f t="shared" ca="1" si="208"/>
        <v>#DIV/0!</v>
      </c>
      <c r="L437" s="948" t="e">
        <f t="shared" ca="1" si="208"/>
        <v>#DIV/0!</v>
      </c>
      <c r="M437" s="948" t="e">
        <f t="shared" ca="1" si="208"/>
        <v>#DIV/0!</v>
      </c>
      <c r="N437" s="948">
        <f t="shared" ca="1" si="208"/>
        <v>0</v>
      </c>
      <c r="O437" s="948">
        <f t="shared" ca="1" si="208"/>
        <v>0</v>
      </c>
      <c r="P437" s="948">
        <f t="shared" ca="1" si="208"/>
        <v>0</v>
      </c>
      <c r="Q437" s="948">
        <f t="shared" ca="1" si="208"/>
        <v>0</v>
      </c>
      <c r="R437" s="948">
        <f t="shared" ca="1" si="208"/>
        <v>0</v>
      </c>
      <c r="S437" s="948">
        <f t="shared" ca="1" si="208"/>
        <v>0</v>
      </c>
      <c r="T437" s="948">
        <f t="shared" ca="1" si="208"/>
        <v>0</v>
      </c>
      <c r="U437" s="948">
        <f t="shared" ca="1" si="208"/>
        <v>0</v>
      </c>
      <c r="V437" s="948">
        <f t="shared" ca="1" si="208"/>
        <v>0</v>
      </c>
      <c r="W437" s="948">
        <f t="shared" ca="1" si="208"/>
        <v>0</v>
      </c>
      <c r="X437" s="948">
        <f t="shared" ca="1" si="208"/>
        <v>0</v>
      </c>
      <c r="Y437" s="948">
        <f t="shared" ca="1" si="208"/>
        <v>0</v>
      </c>
      <c r="Z437" s="948">
        <f t="shared" ca="1" si="208"/>
        <v>0</v>
      </c>
      <c r="AA437" s="151"/>
      <c r="AB437" s="151"/>
      <c r="AC437" s="151"/>
      <c r="AD437" s="151"/>
      <c r="AE437" s="151"/>
    </row>
    <row r="438" spans="2:31" ht="15.75">
      <c r="B438" s="718"/>
      <c r="C438" s="151"/>
      <c r="D438" s="151"/>
      <c r="E438" s="151"/>
      <c r="F438" s="151"/>
      <c r="G438" s="151"/>
      <c r="H438" s="151"/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</row>
    <row r="439" spans="2:31" ht="15.75">
      <c r="B439" s="718" t="s">
        <v>1219</v>
      </c>
      <c r="C439" s="718"/>
      <c r="D439" s="966" t="e">
        <f ca="1">+IRR(F437:Z437)</f>
        <v>#VALUE!</v>
      </c>
      <c r="E439" s="151"/>
      <c r="F439" s="151"/>
      <c r="G439" s="151"/>
      <c r="H439" s="151"/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</row>
    <row r="440" spans="2:31" ht="15.75">
      <c r="B440" s="718"/>
      <c r="C440" s="151"/>
      <c r="D440" s="748"/>
      <c r="E440" s="151"/>
      <c r="F440" s="151"/>
      <c r="G440" s="151"/>
      <c r="H440" s="151"/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</row>
    <row r="441" spans="2:31" ht="15.75">
      <c r="B441" s="718" t="s">
        <v>1220</v>
      </c>
      <c r="C441" s="151"/>
      <c r="D441" s="151"/>
      <c r="E441" s="151"/>
      <c r="F441" s="718">
        <f>+F429</f>
        <v>0</v>
      </c>
      <c r="G441" s="718">
        <f t="shared" ref="G441:Z442" si="209">+G429</f>
        <v>1</v>
      </c>
      <c r="H441" s="718">
        <f t="shared" si="209"/>
        <v>2</v>
      </c>
      <c r="I441" s="718">
        <f t="shared" si="209"/>
        <v>3</v>
      </c>
      <c r="J441" s="718">
        <f t="shared" si="209"/>
        <v>4</v>
      </c>
      <c r="K441" s="718">
        <f t="shared" si="209"/>
        <v>5</v>
      </c>
      <c r="L441" s="718">
        <f t="shared" si="209"/>
        <v>6</v>
      </c>
      <c r="M441" s="718">
        <f t="shared" si="209"/>
        <v>7</v>
      </c>
      <c r="N441" s="718">
        <f t="shared" si="209"/>
        <v>8</v>
      </c>
      <c r="O441" s="718">
        <f t="shared" si="209"/>
        <v>9</v>
      </c>
      <c r="P441" s="718">
        <f t="shared" si="209"/>
        <v>10</v>
      </c>
      <c r="Q441" s="718">
        <f t="shared" si="209"/>
        <v>11</v>
      </c>
      <c r="R441" s="718">
        <f t="shared" si="209"/>
        <v>12</v>
      </c>
      <c r="S441" s="718">
        <f t="shared" si="209"/>
        <v>13</v>
      </c>
      <c r="T441" s="718">
        <f t="shared" si="209"/>
        <v>14</v>
      </c>
      <c r="U441" s="718">
        <f t="shared" si="209"/>
        <v>15</v>
      </c>
      <c r="V441" s="718">
        <f t="shared" si="209"/>
        <v>16</v>
      </c>
      <c r="W441" s="718">
        <f t="shared" si="209"/>
        <v>17</v>
      </c>
      <c r="X441" s="718">
        <f t="shared" si="209"/>
        <v>18</v>
      </c>
      <c r="Y441" s="718">
        <f t="shared" si="209"/>
        <v>19</v>
      </c>
      <c r="Z441" s="718">
        <f t="shared" si="209"/>
        <v>20</v>
      </c>
      <c r="AA441" s="151"/>
      <c r="AB441" s="151"/>
      <c r="AC441" s="151"/>
      <c r="AD441" s="151"/>
      <c r="AE441" s="151"/>
    </row>
    <row r="442" spans="2:31" ht="15.75">
      <c r="B442" s="151" t="s">
        <v>1212</v>
      </c>
      <c r="C442" s="151"/>
      <c r="D442" s="948"/>
      <c r="E442" s="948"/>
      <c r="F442" s="946">
        <f ca="1">+F430</f>
        <v>-89534045.099883363</v>
      </c>
      <c r="G442" s="946">
        <f t="shared" ca="1" si="209"/>
        <v>-145211873.67262015</v>
      </c>
      <c r="H442" s="946">
        <f t="shared" ca="1" si="209"/>
        <v>-23074498.748574615</v>
      </c>
      <c r="I442" s="946">
        <f t="shared" ca="1" si="209"/>
        <v>0</v>
      </c>
      <c r="J442" s="946">
        <f t="shared" ca="1" si="209"/>
        <v>0</v>
      </c>
      <c r="K442" s="946">
        <f t="shared" ca="1" si="209"/>
        <v>0</v>
      </c>
      <c r="L442" s="946">
        <f t="shared" ca="1" si="209"/>
        <v>0</v>
      </c>
      <c r="M442" s="946">
        <f t="shared" ca="1" si="209"/>
        <v>0</v>
      </c>
      <c r="N442" s="946">
        <f t="shared" ca="1" si="209"/>
        <v>0</v>
      </c>
      <c r="O442" s="946">
        <f t="shared" ca="1" si="209"/>
        <v>0</v>
      </c>
      <c r="P442" s="946">
        <f t="shared" ca="1" si="209"/>
        <v>0</v>
      </c>
      <c r="Q442" s="946">
        <f t="shared" ca="1" si="209"/>
        <v>0</v>
      </c>
      <c r="R442" s="946">
        <f t="shared" ca="1" si="209"/>
        <v>0</v>
      </c>
      <c r="S442" s="946">
        <f t="shared" ca="1" si="209"/>
        <v>0</v>
      </c>
      <c r="T442" s="946">
        <f t="shared" ca="1" si="209"/>
        <v>0</v>
      </c>
      <c r="U442" s="946">
        <f t="shared" ca="1" si="209"/>
        <v>0</v>
      </c>
      <c r="V442" s="946">
        <f t="shared" ca="1" si="209"/>
        <v>0</v>
      </c>
      <c r="W442" s="946">
        <f t="shared" ca="1" si="209"/>
        <v>0</v>
      </c>
      <c r="X442" s="946">
        <f t="shared" ca="1" si="209"/>
        <v>0</v>
      </c>
      <c r="Y442" s="946">
        <f t="shared" ca="1" si="209"/>
        <v>0</v>
      </c>
      <c r="Z442" s="946">
        <f t="shared" ca="1" si="209"/>
        <v>0</v>
      </c>
      <c r="AA442" s="151"/>
      <c r="AB442" s="151"/>
      <c r="AC442" s="151"/>
      <c r="AD442" s="151"/>
      <c r="AE442" s="151"/>
    </row>
    <row r="443" spans="2:31" ht="15.75">
      <c r="B443" s="151" t="s">
        <v>1213</v>
      </c>
      <c r="C443" s="151"/>
      <c r="D443" s="948"/>
      <c r="E443" s="948"/>
      <c r="F443" s="972">
        <f ca="1">-F442*Assumptions!$BT$178</f>
        <v>0</v>
      </c>
      <c r="G443" s="972">
        <f ca="1">-G442*Assumptions!$BT$178</f>
        <v>0</v>
      </c>
      <c r="H443" s="972">
        <f ca="1">-H442*Assumptions!$BT$178</f>
        <v>0</v>
      </c>
      <c r="I443" s="972">
        <f ca="1">-I442*Assumptions!$BT$178</f>
        <v>0</v>
      </c>
      <c r="J443" s="972">
        <f ca="1">-J442*Assumptions!$BT$178</f>
        <v>0</v>
      </c>
      <c r="K443" s="972">
        <f ca="1">-K442*Assumptions!$BT$178</f>
        <v>0</v>
      </c>
      <c r="L443" s="972">
        <f ca="1">-L442*Assumptions!$BT$178</f>
        <v>0</v>
      </c>
      <c r="M443" s="972">
        <f ca="1">-M442*Assumptions!$BT$178</f>
        <v>0</v>
      </c>
      <c r="N443" s="972">
        <f ca="1">-N442*Assumptions!$BT$178</f>
        <v>0</v>
      </c>
      <c r="O443" s="972">
        <f ca="1">-O442*Assumptions!$BT$178</f>
        <v>0</v>
      </c>
      <c r="P443" s="972">
        <f ca="1">-P442*Assumptions!$BT$178</f>
        <v>0</v>
      </c>
      <c r="Q443" s="972">
        <f ca="1">-Q442*Assumptions!$BT$178</f>
        <v>0</v>
      </c>
      <c r="R443" s="972">
        <f ca="1">-R442*Assumptions!$BT$178</f>
        <v>0</v>
      </c>
      <c r="S443" s="972">
        <f ca="1">-S442*Assumptions!$BT$178</f>
        <v>0</v>
      </c>
      <c r="T443" s="972">
        <f ca="1">-T442*Assumptions!$BT$178</f>
        <v>0</v>
      </c>
      <c r="U443" s="972">
        <f ca="1">-U442*Assumptions!$BT$178</f>
        <v>0</v>
      </c>
      <c r="V443" s="972">
        <f ca="1">-V442*Assumptions!$BT$178</f>
        <v>0</v>
      </c>
      <c r="W443" s="972">
        <f ca="1">-W442*Assumptions!$BT$178</f>
        <v>0</v>
      </c>
      <c r="X443" s="972">
        <f ca="1">-X442*Assumptions!$BT$178</f>
        <v>0</v>
      </c>
      <c r="Y443" s="972">
        <f ca="1">-Y442*Assumptions!$BT$178</f>
        <v>0</v>
      </c>
      <c r="Z443" s="972">
        <f ca="1">-Z442*Assumptions!$BT$178</f>
        <v>0</v>
      </c>
      <c r="AA443" s="151"/>
      <c r="AB443" s="151"/>
      <c r="AC443" s="151"/>
      <c r="AD443" s="151"/>
      <c r="AE443" s="151"/>
    </row>
    <row r="444" spans="2:31" ht="15.75">
      <c r="B444" s="151" t="s">
        <v>1214</v>
      </c>
      <c r="C444" s="151"/>
      <c r="D444" s="948"/>
      <c r="E444" s="948"/>
      <c r="F444" s="972">
        <f ca="1">IFERROR(-IF(YEAR(F427)&lt;MIN(YEAR(Assumptions!$G$35),2026),(OFFSET('Phase 2 Pro Forma'!F443,0,-10)),IF(YEAR('Phase 2 Pro Forma'!F427)=MIN(YEAR(Assumptions!$G$35),2026),SUM('Phase 2 Pro Forma'!$E$443:F$443)-SUM($E$444:E$444),0)),0)</f>
        <v>0</v>
      </c>
      <c r="G444" s="972">
        <f ca="1">IFERROR(-IF(YEAR(G427)&lt;MIN(YEAR(Assumptions!$G$35),2026),(OFFSET('Phase 2 Pro Forma'!G443,0,-10)),IF(YEAR('Phase 2 Pro Forma'!G427)=MIN(YEAR(Assumptions!$G$35),2026),SUM('Phase 2 Pro Forma'!$E$443:G$443)-SUM($E$444:F$444),0)),0)</f>
        <v>0</v>
      </c>
      <c r="H444" s="972">
        <f ca="1">IFERROR(-IF(YEAR(H427)&lt;MIN(YEAR(Assumptions!$G$35),2026),(OFFSET('Phase 2 Pro Forma'!H443,0,-10)),IF(YEAR('Phase 2 Pro Forma'!H427)=MIN(YEAR(Assumptions!$G$35),2026),SUM('Phase 2 Pro Forma'!$E$443:H$443)-SUM($E$444:G$444),0)),0)</f>
        <v>0</v>
      </c>
      <c r="I444" s="972">
        <f ca="1">IFERROR(-IF(YEAR(I427)&lt;MIN(YEAR(Assumptions!$G$35),2026),(OFFSET('Phase 2 Pro Forma'!I443,0,-10)),IF(YEAR('Phase 2 Pro Forma'!I427)=MIN(YEAR(Assumptions!$G$35),2026),SUM('Phase 2 Pro Forma'!$E$443:I$443)-SUM($E$444:H$444),0)),0)</f>
        <v>0</v>
      </c>
      <c r="J444" s="972">
        <f ca="1">IFERROR(-IF(YEAR(J427)&lt;MIN(YEAR(Assumptions!$G$35),2026),(OFFSET('Phase 2 Pro Forma'!J443,0,-10)),IF(YEAR('Phase 2 Pro Forma'!J427)=MIN(YEAR(Assumptions!$G$35),2026),SUM('Phase 2 Pro Forma'!$E$443:J$443)-SUM($E$444:I$444),0)),0)</f>
        <v>0</v>
      </c>
      <c r="K444" s="972">
        <f ca="1">IFERROR(-IF(YEAR(K427)&lt;MIN(YEAR(Assumptions!$G$35),2026),(OFFSET('Phase 2 Pro Forma'!K443,0,-10)),IF(YEAR('Phase 2 Pro Forma'!K427)=MIN(YEAR(Assumptions!$G$35),2026),SUM('Phase 2 Pro Forma'!$E$443:K$443)-SUM($E$444:J$444),0)),0)</f>
        <v>0</v>
      </c>
      <c r="L444" s="972">
        <f ca="1">IFERROR(-IF(YEAR(L427)&lt;MIN(YEAR(Assumptions!$G$35),2026),(OFFSET('Phase 2 Pro Forma'!L443,0,-10)),IF(YEAR('Phase 2 Pro Forma'!L427)=MIN(YEAR(Assumptions!$G$35),2026),SUM('Phase 2 Pro Forma'!$E$443:L$443)-SUM($E$444:K$444),0)),0)</f>
        <v>0</v>
      </c>
      <c r="M444" s="972">
        <f ca="1">IFERROR(-IF(YEAR(M427)&lt;MIN(YEAR(Assumptions!$G$35),2026),(OFFSET('Phase 2 Pro Forma'!M443,0,-10)),IF(YEAR('Phase 2 Pro Forma'!M427)=MIN(YEAR(Assumptions!$G$35),2026),SUM('Phase 2 Pro Forma'!$E$443:M$443)-SUM($E$444:L$444),0)),0)</f>
        <v>0</v>
      </c>
      <c r="N444" s="972">
        <f ca="1">IFERROR(-IF(YEAR(N427)&lt;MIN(YEAR(Assumptions!$G$35),2026),(OFFSET('Phase 2 Pro Forma'!N443,0,-10)),IF(YEAR('Phase 2 Pro Forma'!N427)=MIN(YEAR(Assumptions!$G$35),2026),SUM('Phase 2 Pro Forma'!$E$443:N$443)-SUM($E$444:M$444),0)),0)</f>
        <v>0</v>
      </c>
      <c r="O444" s="972">
        <f ca="1">IFERROR(-IF(YEAR(O427)&lt;MIN(YEAR(Assumptions!$G$35),2026),(OFFSET('Phase 2 Pro Forma'!O443,0,-10)),IF(YEAR('Phase 2 Pro Forma'!O427)=MIN(YEAR(Assumptions!$G$35),2026),SUM('Phase 2 Pro Forma'!$E$443:O$443)-SUM($E$444:N$444),0)),0)</f>
        <v>0</v>
      </c>
      <c r="P444" s="972">
        <f ca="1">IFERROR(-IF(YEAR(P427)&lt;MIN(YEAR(Assumptions!$G$35),2026),(OFFSET('Phase 2 Pro Forma'!P443,0,-10)),IF(YEAR('Phase 2 Pro Forma'!P427)=MIN(YEAR(Assumptions!$G$35),2026),SUM('Phase 2 Pro Forma'!$E$443:P$443)-SUM($E$444:O$444),0)),0)</f>
        <v>0</v>
      </c>
      <c r="Q444" s="972">
        <f ca="1">IFERROR(-IF(YEAR(Q427)&lt;MIN(YEAR(Assumptions!$G$35),2026),(OFFSET('Phase 2 Pro Forma'!Q443,0,-10)),IF(YEAR('Phase 2 Pro Forma'!Q427)=MIN(YEAR(Assumptions!$G$35),2026),SUM('Phase 2 Pro Forma'!$E$443:Q$443)-SUM($E$444:P$444),0)),0)</f>
        <v>0</v>
      </c>
      <c r="R444" s="972">
        <f ca="1">IFERROR(-IF(YEAR(R427)&lt;MIN(YEAR(Assumptions!$G$35),2026),(OFFSET('Phase 2 Pro Forma'!R443,0,-10)),IF(YEAR('Phase 2 Pro Forma'!R427)=MIN(YEAR(Assumptions!$G$35),2026),SUM('Phase 2 Pro Forma'!$E$443:R$443)-SUM($E$444:Q$444),0)),0)</f>
        <v>0</v>
      </c>
      <c r="S444" s="972">
        <f ca="1">IFERROR(-IF(YEAR(S427)&lt;MIN(YEAR(Assumptions!$G$35),2026),(OFFSET('Phase 2 Pro Forma'!S443,0,-10)),IF(YEAR('Phase 2 Pro Forma'!S427)=MIN(YEAR(Assumptions!$G$35),2026),SUM('Phase 2 Pro Forma'!$E$443:S$443)-SUM($E$444:R$444),0)),0)</f>
        <v>0</v>
      </c>
      <c r="T444" s="972">
        <f ca="1">IFERROR(-IF(YEAR(T427)&lt;MIN(YEAR(Assumptions!$G$35),2026),(OFFSET('Phase 2 Pro Forma'!T443,0,-10)),IF(YEAR('Phase 2 Pro Forma'!T427)=MIN(YEAR(Assumptions!$G$35),2026),SUM('Phase 2 Pro Forma'!$E$443:T$443)-SUM($E$444:S$444),0)),0)</f>
        <v>0</v>
      </c>
      <c r="U444" s="972">
        <f ca="1">IFERROR(-IF(YEAR(U427)&lt;MIN(YEAR(Assumptions!$G$35),2026),(OFFSET('Phase 2 Pro Forma'!U443,0,-10)),IF(YEAR('Phase 2 Pro Forma'!U427)=MIN(YEAR(Assumptions!$G$35),2026),SUM('Phase 2 Pro Forma'!$E$443:U$443)-SUM($E$444:T$444),0)),0)</f>
        <v>0</v>
      </c>
      <c r="V444" s="972">
        <f ca="1">IFERROR(-IF(YEAR(V427)&lt;MIN(YEAR(Assumptions!$G$35),2026),(OFFSET('Phase 2 Pro Forma'!V443,0,-10)),IF(YEAR('Phase 2 Pro Forma'!V427)=MIN(YEAR(Assumptions!$G$35),2026),SUM('Phase 2 Pro Forma'!$E$443:V$443)-SUM($E$444:U$444),0)),0)</f>
        <v>0</v>
      </c>
      <c r="W444" s="972">
        <f ca="1">IFERROR(-IF(YEAR(W427)&lt;MIN(YEAR(Assumptions!$G$35),2026),(OFFSET('Phase 2 Pro Forma'!W443,0,-10)),IF(YEAR('Phase 2 Pro Forma'!W427)=MIN(YEAR(Assumptions!$G$35),2026),SUM('Phase 2 Pro Forma'!$E$443:W$443)-SUM($E$444:V$444),0)),0)</f>
        <v>0</v>
      </c>
      <c r="X444" s="972">
        <f ca="1">IFERROR(-IF(YEAR(X427)&lt;MIN(YEAR(Assumptions!$G$35),2026),(OFFSET('Phase 2 Pro Forma'!X443,0,-10)),IF(YEAR('Phase 2 Pro Forma'!X427)=MIN(YEAR(Assumptions!$G$35),2026),SUM('Phase 2 Pro Forma'!$E$443:X$443)-SUM($E$444:W$444),0)),0)</f>
        <v>0</v>
      </c>
      <c r="Y444" s="972">
        <f ca="1">IFERROR(-IF(YEAR(Y427)&lt;MIN(YEAR(Assumptions!$G$35),2026),(OFFSET('Phase 2 Pro Forma'!Y443,0,-10)),IF(YEAR('Phase 2 Pro Forma'!Y427)=MIN(YEAR(Assumptions!$G$35),2026),SUM('Phase 2 Pro Forma'!$E$443:Y$443)-SUM($E$444:X$444),0)),0)</f>
        <v>0</v>
      </c>
      <c r="Z444" s="972">
        <f ca="1">IFERROR(-IF(YEAR(Z427)&lt;MIN(YEAR(Assumptions!$G$35),2026),(OFFSET('Phase 2 Pro Forma'!Z443,0,-10)),IF(YEAR('Phase 2 Pro Forma'!Z427)=MIN(YEAR(Assumptions!$G$35),2026),SUM('Phase 2 Pro Forma'!$E$443:Z$443)-SUM($E$444:Y$444),0)),0)</f>
        <v>0</v>
      </c>
      <c r="AA444" s="151"/>
      <c r="AB444" s="151"/>
      <c r="AC444" s="151"/>
      <c r="AD444" s="151"/>
      <c r="AE444" s="151"/>
    </row>
    <row r="445" spans="2:31" ht="15.75">
      <c r="B445" s="151" t="s">
        <v>1221</v>
      </c>
      <c r="C445" s="151"/>
      <c r="D445" s="948"/>
      <c r="E445" s="948"/>
      <c r="F445" s="972">
        <f ca="1">+IF(YEAR(F427)=MIN(YEAR(Assumptions!$G$35),2026),SUM('Phase 2 Pro Forma'!$F$455:$Z$455),0)</f>
        <v>0</v>
      </c>
      <c r="G445" s="972">
        <f>+IF(YEAR(G427)=MIN(YEAR(Assumptions!$G$35),2026),SUM('Phase 2 Pro Forma'!$F$455:$Z$455),0)</f>
        <v>0</v>
      </c>
      <c r="H445" s="972">
        <f>+IF(YEAR(H427)=MIN(YEAR(Assumptions!$G$35),2026),SUM('Phase 2 Pro Forma'!$F$455:$Z$455),0)</f>
        <v>0</v>
      </c>
      <c r="I445" s="972">
        <f>+IF(YEAR(I427)=MIN(YEAR(Assumptions!$G$35),2026),SUM('Phase 2 Pro Forma'!$F$455:$Z$455),0)</f>
        <v>0</v>
      </c>
      <c r="J445" s="972">
        <f>+IF(YEAR(J427)=MIN(YEAR(Assumptions!$G$35),2026),SUM('Phase 2 Pro Forma'!$F$455:$Z$455),0)</f>
        <v>0</v>
      </c>
      <c r="K445" s="972">
        <f>+IF(YEAR(K427)=MIN(YEAR(Assumptions!$G$35),2026),SUM('Phase 2 Pro Forma'!$F$455:$Z$455),0)</f>
        <v>0</v>
      </c>
      <c r="L445" s="972">
        <f>+IF(YEAR(L427)=MIN(YEAR(Assumptions!$G$35),2026),SUM('Phase 2 Pro Forma'!$F$455:$Z$455),0)</f>
        <v>0</v>
      </c>
      <c r="M445" s="972">
        <f>+IF(YEAR(M427)=MIN(YEAR(Assumptions!$G$35),2026),SUM('Phase 2 Pro Forma'!$F$455:$Z$455),0)</f>
        <v>0</v>
      </c>
      <c r="N445" s="972">
        <f>+IF(YEAR(N427)=MIN(YEAR(Assumptions!$G$35),2026),SUM('Phase 2 Pro Forma'!$F$455:$Z$455),0)</f>
        <v>0</v>
      </c>
      <c r="O445" s="972">
        <f>+IF(YEAR(O427)=MIN(YEAR(Assumptions!$G$35),2026),SUM('Phase 2 Pro Forma'!$F$455:$Z$455),0)</f>
        <v>0</v>
      </c>
      <c r="P445" s="972">
        <f>+IF(YEAR(P427)=MIN(YEAR(Assumptions!$G$35),2026),SUM('Phase 2 Pro Forma'!$F$455:$Z$455),0)</f>
        <v>0</v>
      </c>
      <c r="Q445" s="972">
        <f>+IF(YEAR(Q427)=MIN(YEAR(Assumptions!$G$35),2026),SUM('Phase 2 Pro Forma'!$F$455:$Z$455),0)</f>
        <v>0</v>
      </c>
      <c r="R445" s="972">
        <f>+IF(YEAR(R427)=MIN(YEAR(Assumptions!$G$35),2026),SUM('Phase 2 Pro Forma'!$F$455:$Z$455),0)</f>
        <v>0</v>
      </c>
      <c r="S445" s="972">
        <f>+IF(YEAR(S427)=MIN(YEAR(Assumptions!$G$35),2026),SUM('Phase 2 Pro Forma'!$F$455:$Z$455),0)</f>
        <v>0</v>
      </c>
      <c r="T445" s="972">
        <f>+IF(YEAR(T427)=MIN(YEAR(Assumptions!$G$35),2026),SUM('Phase 2 Pro Forma'!$F$455:$Z$455),0)</f>
        <v>0</v>
      </c>
      <c r="U445" s="972">
        <f>+IF(YEAR(U427)=MIN(YEAR(Assumptions!$G$35),2026),SUM('Phase 2 Pro Forma'!$F$455:$Z$455),0)</f>
        <v>0</v>
      </c>
      <c r="V445" s="972">
        <f>+IF(YEAR(V427)=MIN(YEAR(Assumptions!$G$35),2026),SUM('Phase 2 Pro Forma'!$F$455:$Z$455),0)</f>
        <v>0</v>
      </c>
      <c r="W445" s="972">
        <f>+IF(YEAR(W427)=MIN(YEAR(Assumptions!$G$35),2026),SUM('Phase 2 Pro Forma'!$F$455:$Z$455),0)</f>
        <v>0</v>
      </c>
      <c r="X445" s="972">
        <f>+IF(YEAR(X427)=MIN(YEAR(Assumptions!$G$35),2026),SUM('Phase 2 Pro Forma'!$F$455:$Z$455),0)</f>
        <v>0</v>
      </c>
      <c r="Y445" s="972">
        <f>+IF(YEAR(Y427)=MIN(YEAR(Assumptions!$G$35),2026),SUM('Phase 2 Pro Forma'!$F$455:$Z$455),0)</f>
        <v>0</v>
      </c>
      <c r="Z445" s="972">
        <f>+IF(YEAR(Z427)=MIN(YEAR(Assumptions!$G$35),2026),SUM('Phase 2 Pro Forma'!$F$455:$Z$455),0)</f>
        <v>0</v>
      </c>
      <c r="AA445" s="151"/>
      <c r="AB445" s="151"/>
      <c r="AC445" s="151"/>
      <c r="AD445" s="151"/>
      <c r="AE445" s="151"/>
    </row>
    <row r="446" spans="2:31" ht="15.75">
      <c r="B446" s="151" t="s">
        <v>1215</v>
      </c>
      <c r="C446" s="151"/>
      <c r="D446" s="948"/>
      <c r="E446" s="948"/>
      <c r="F446" s="972">
        <f ca="1">+F433</f>
        <v>0</v>
      </c>
      <c r="G446" s="972">
        <f t="shared" ref="G446:Z448" ca="1" si="210">+G433</f>
        <v>0</v>
      </c>
      <c r="H446" s="972">
        <f t="shared" ca="1" si="210"/>
        <v>0</v>
      </c>
      <c r="I446" s="972">
        <f t="shared" ca="1" si="210"/>
        <v>0</v>
      </c>
      <c r="J446" s="972" t="e">
        <f t="shared" ca="1" si="210"/>
        <v>#DIV/0!</v>
      </c>
      <c r="K446" s="972" t="e">
        <f t="shared" ca="1" si="210"/>
        <v>#DIV/0!</v>
      </c>
      <c r="L446" s="972" t="e">
        <f t="shared" ca="1" si="210"/>
        <v>#DIV/0!</v>
      </c>
      <c r="M446" s="972" t="e">
        <f t="shared" ca="1" si="210"/>
        <v>#DIV/0!</v>
      </c>
      <c r="N446" s="972">
        <f t="shared" si="210"/>
        <v>0</v>
      </c>
      <c r="O446" s="972">
        <f t="shared" si="210"/>
        <v>0</v>
      </c>
      <c r="P446" s="972">
        <f t="shared" si="210"/>
        <v>0</v>
      </c>
      <c r="Q446" s="972">
        <f t="shared" si="210"/>
        <v>0</v>
      </c>
      <c r="R446" s="972">
        <f t="shared" si="210"/>
        <v>0</v>
      </c>
      <c r="S446" s="972">
        <f t="shared" si="210"/>
        <v>0</v>
      </c>
      <c r="T446" s="972">
        <f t="shared" si="210"/>
        <v>0</v>
      </c>
      <c r="U446" s="972">
        <f t="shared" si="210"/>
        <v>0</v>
      </c>
      <c r="V446" s="972">
        <f t="shared" si="210"/>
        <v>0</v>
      </c>
      <c r="W446" s="972">
        <f t="shared" si="210"/>
        <v>0</v>
      </c>
      <c r="X446" s="972">
        <f t="shared" si="210"/>
        <v>0</v>
      </c>
      <c r="Y446" s="972">
        <f t="shared" si="210"/>
        <v>0</v>
      </c>
      <c r="Z446" s="972">
        <f t="shared" si="210"/>
        <v>0</v>
      </c>
      <c r="AA446" s="151"/>
      <c r="AB446" s="151"/>
      <c r="AC446" s="151"/>
      <c r="AD446" s="151"/>
      <c r="AE446" s="151"/>
    </row>
    <row r="447" spans="2:31" ht="15.75">
      <c r="B447" s="151" t="s">
        <v>1216</v>
      </c>
      <c r="C447" s="151"/>
      <c r="D447" s="948"/>
      <c r="E447" s="948"/>
      <c r="F447" s="972">
        <f ca="1">+F434</f>
        <v>0</v>
      </c>
      <c r="G447" s="972">
        <f t="shared" ca="1" si="210"/>
        <v>0</v>
      </c>
      <c r="H447" s="972">
        <f t="shared" ca="1" si="210"/>
        <v>0</v>
      </c>
      <c r="I447" s="972">
        <f t="shared" ca="1" si="210"/>
        <v>268625.94962569512</v>
      </c>
      <c r="J447" s="972">
        <f t="shared" ca="1" si="210"/>
        <v>10516611.628902998</v>
      </c>
      <c r="K447" s="972">
        <f t="shared" ca="1" si="210"/>
        <v>19157271.850348722</v>
      </c>
      <c r="L447" s="972">
        <f t="shared" ca="1" si="210"/>
        <v>20729625.218689654</v>
      </c>
      <c r="M447" s="972">
        <f t="shared" ca="1" si="210"/>
        <v>21071614.201068375</v>
      </c>
      <c r="N447" s="972">
        <f t="shared" si="210"/>
        <v>0</v>
      </c>
      <c r="O447" s="972">
        <f t="shared" si="210"/>
        <v>0</v>
      </c>
      <c r="P447" s="972">
        <f t="shared" si="210"/>
        <v>0</v>
      </c>
      <c r="Q447" s="972">
        <f t="shared" si="210"/>
        <v>0</v>
      </c>
      <c r="R447" s="972">
        <f t="shared" si="210"/>
        <v>0</v>
      </c>
      <c r="S447" s="972">
        <f t="shared" si="210"/>
        <v>0</v>
      </c>
      <c r="T447" s="972">
        <f t="shared" si="210"/>
        <v>0</v>
      </c>
      <c r="U447" s="972">
        <f t="shared" si="210"/>
        <v>0</v>
      </c>
      <c r="V447" s="972">
        <f t="shared" si="210"/>
        <v>0</v>
      </c>
      <c r="W447" s="972">
        <f t="shared" si="210"/>
        <v>0</v>
      </c>
      <c r="X447" s="972">
        <f t="shared" si="210"/>
        <v>0</v>
      </c>
      <c r="Y447" s="972">
        <f t="shared" si="210"/>
        <v>0</v>
      </c>
      <c r="Z447" s="972">
        <f t="shared" si="210"/>
        <v>0</v>
      </c>
      <c r="AA447" s="151"/>
      <c r="AB447" s="151"/>
      <c r="AC447" s="151"/>
      <c r="AD447" s="151"/>
      <c r="AE447" s="151"/>
    </row>
    <row r="448" spans="2:31" ht="15.75">
      <c r="B448" s="151" t="s">
        <v>1217</v>
      </c>
      <c r="C448" s="151"/>
      <c r="D448" s="948"/>
      <c r="E448" s="948"/>
      <c r="F448" s="972">
        <f>+F435</f>
        <v>0</v>
      </c>
      <c r="G448" s="972">
        <f t="shared" si="210"/>
        <v>0</v>
      </c>
      <c r="H448" s="972">
        <f t="shared" si="210"/>
        <v>0</v>
      </c>
      <c r="I448" s="972">
        <f t="shared" si="210"/>
        <v>36585038.831571527</v>
      </c>
      <c r="J448" s="972">
        <f t="shared" si="210"/>
        <v>0</v>
      </c>
      <c r="K448" s="972">
        <f t="shared" si="210"/>
        <v>0</v>
      </c>
      <c r="L448" s="972">
        <f t="shared" si="210"/>
        <v>0</v>
      </c>
      <c r="M448" s="972">
        <f t="shared" ca="1" si="210"/>
        <v>446128588.89263535</v>
      </c>
      <c r="N448" s="972">
        <f t="shared" si="210"/>
        <v>0</v>
      </c>
      <c r="O448" s="972">
        <f t="shared" si="210"/>
        <v>0</v>
      </c>
      <c r="P448" s="972">
        <f t="shared" si="210"/>
        <v>0</v>
      </c>
      <c r="Q448" s="972">
        <f t="shared" si="210"/>
        <v>0</v>
      </c>
      <c r="R448" s="972">
        <f t="shared" si="210"/>
        <v>0</v>
      </c>
      <c r="S448" s="972">
        <f t="shared" si="210"/>
        <v>0</v>
      </c>
      <c r="T448" s="972">
        <f t="shared" si="210"/>
        <v>0</v>
      </c>
      <c r="U448" s="972">
        <f t="shared" si="210"/>
        <v>0</v>
      </c>
      <c r="V448" s="972">
        <f t="shared" si="210"/>
        <v>0</v>
      </c>
      <c r="W448" s="972">
        <f t="shared" si="210"/>
        <v>0</v>
      </c>
      <c r="X448" s="972">
        <f t="shared" si="210"/>
        <v>0</v>
      </c>
      <c r="Y448" s="972">
        <f t="shared" si="210"/>
        <v>0</v>
      </c>
      <c r="Z448" s="972">
        <f t="shared" si="210"/>
        <v>0</v>
      </c>
      <c r="AA448" s="151"/>
      <c r="AB448" s="151"/>
      <c r="AC448" s="151"/>
      <c r="AD448" s="151"/>
      <c r="AE448" s="151"/>
    </row>
    <row r="449" spans="1:31" ht="15.75">
      <c r="A449" s="699"/>
      <c r="B449" s="151" t="s">
        <v>1218</v>
      </c>
      <c r="C449" s="151"/>
      <c r="D449" s="948"/>
      <c r="E449" s="948"/>
      <c r="F449" s="972">
        <f>+IF(F429&gt;=10,0,F436)</f>
        <v>0</v>
      </c>
      <c r="G449" s="972">
        <f t="shared" ref="G449:Z449" si="211">+IF(G429&gt;=10,0,G436)</f>
        <v>0</v>
      </c>
      <c r="H449" s="972">
        <f t="shared" si="211"/>
        <v>0</v>
      </c>
      <c r="I449" s="972">
        <f t="shared" si="211"/>
        <v>0</v>
      </c>
      <c r="J449" s="972">
        <f t="shared" si="211"/>
        <v>0</v>
      </c>
      <c r="K449" s="972">
        <f t="shared" si="211"/>
        <v>0</v>
      </c>
      <c r="L449" s="972">
        <f t="shared" si="211"/>
        <v>0</v>
      </c>
      <c r="M449" s="972" t="e">
        <f t="shared" ca="1" si="211"/>
        <v>#DIV/0!</v>
      </c>
      <c r="N449" s="972">
        <f t="shared" si="211"/>
        <v>0</v>
      </c>
      <c r="O449" s="972">
        <f t="shared" si="211"/>
        <v>0</v>
      </c>
      <c r="P449" s="972">
        <f t="shared" si="211"/>
        <v>0</v>
      </c>
      <c r="Q449" s="972">
        <f t="shared" si="211"/>
        <v>0</v>
      </c>
      <c r="R449" s="972">
        <f t="shared" si="211"/>
        <v>0</v>
      </c>
      <c r="S449" s="972">
        <f t="shared" si="211"/>
        <v>0</v>
      </c>
      <c r="T449" s="972">
        <f t="shared" si="211"/>
        <v>0</v>
      </c>
      <c r="U449" s="972">
        <f t="shared" si="211"/>
        <v>0</v>
      </c>
      <c r="V449" s="972">
        <f t="shared" si="211"/>
        <v>0</v>
      </c>
      <c r="W449" s="972">
        <f t="shared" si="211"/>
        <v>0</v>
      </c>
      <c r="X449" s="972">
        <f t="shared" si="211"/>
        <v>0</v>
      </c>
      <c r="Y449" s="972">
        <f t="shared" si="211"/>
        <v>0</v>
      </c>
      <c r="Z449" s="972">
        <f t="shared" si="211"/>
        <v>0</v>
      </c>
      <c r="AA449" s="151"/>
      <c r="AB449" s="151"/>
      <c r="AC449" s="151"/>
      <c r="AD449" s="151"/>
      <c r="AE449" s="151"/>
    </row>
    <row r="450" spans="1:31" ht="15.75">
      <c r="A450" s="699"/>
      <c r="B450" s="718" t="s">
        <v>1220</v>
      </c>
      <c r="C450" s="718"/>
      <c r="D450" s="948" t="e">
        <f ca="1">+SUM(F450:Z450)</f>
        <v>#DIV/0!</v>
      </c>
      <c r="E450" s="948"/>
      <c r="F450" s="948">
        <f ca="1">+SUM(F442:F449)</f>
        <v>-89534045.099883363</v>
      </c>
      <c r="G450" s="948">
        <f t="shared" ref="G450:Z450" ca="1" si="212">+SUM(G442:G449)</f>
        <v>-145211873.67262015</v>
      </c>
      <c r="H450" s="948">
        <f t="shared" ca="1" si="212"/>
        <v>-23074498.748574615</v>
      </c>
      <c r="I450" s="948">
        <f t="shared" ca="1" si="212"/>
        <v>36853664.78119722</v>
      </c>
      <c r="J450" s="948" t="e">
        <f t="shared" ca="1" si="212"/>
        <v>#DIV/0!</v>
      </c>
      <c r="K450" s="948" t="e">
        <f t="shared" ca="1" si="212"/>
        <v>#DIV/0!</v>
      </c>
      <c r="L450" s="948" t="e">
        <f t="shared" ca="1" si="212"/>
        <v>#DIV/0!</v>
      </c>
      <c r="M450" s="948" t="e">
        <f t="shared" ca="1" si="212"/>
        <v>#DIV/0!</v>
      </c>
      <c r="N450" s="948">
        <f t="shared" ca="1" si="212"/>
        <v>0</v>
      </c>
      <c r="O450" s="948">
        <f t="shared" ca="1" si="212"/>
        <v>0</v>
      </c>
      <c r="P450" s="948">
        <f t="shared" ca="1" si="212"/>
        <v>0</v>
      </c>
      <c r="Q450" s="948">
        <f t="shared" ca="1" si="212"/>
        <v>0</v>
      </c>
      <c r="R450" s="948">
        <f t="shared" ca="1" si="212"/>
        <v>0</v>
      </c>
      <c r="S450" s="948">
        <f t="shared" ca="1" si="212"/>
        <v>0</v>
      </c>
      <c r="T450" s="948">
        <f t="shared" ca="1" si="212"/>
        <v>0</v>
      </c>
      <c r="U450" s="948">
        <f t="shared" ca="1" si="212"/>
        <v>0</v>
      </c>
      <c r="V450" s="948">
        <f t="shared" ca="1" si="212"/>
        <v>0</v>
      </c>
      <c r="W450" s="948">
        <f t="shared" ca="1" si="212"/>
        <v>0</v>
      </c>
      <c r="X450" s="948">
        <f t="shared" ca="1" si="212"/>
        <v>0</v>
      </c>
      <c r="Y450" s="948">
        <f t="shared" ca="1" si="212"/>
        <v>0</v>
      </c>
      <c r="Z450" s="948">
        <f t="shared" ca="1" si="212"/>
        <v>0</v>
      </c>
      <c r="AA450" s="151"/>
      <c r="AB450" s="151"/>
      <c r="AC450" s="151"/>
      <c r="AD450" s="151"/>
      <c r="AE450" s="151"/>
    </row>
    <row r="451" spans="1:31">
      <c r="A451" s="699"/>
      <c r="B451" s="151"/>
      <c r="C451" s="151"/>
      <c r="D451" s="151"/>
      <c r="E451" s="151"/>
      <c r="F451" s="151"/>
      <c r="G451" s="151"/>
      <c r="H451" s="151"/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</row>
    <row r="452" spans="1:31" ht="15.75">
      <c r="A452" s="699" t="s">
        <v>511</v>
      </c>
      <c r="B452" s="718" t="s">
        <v>1222</v>
      </c>
      <c r="C452" s="718"/>
      <c r="D452" s="966" t="e">
        <f ca="1">+IRR(F450:Z450)</f>
        <v>#VALUE!</v>
      </c>
      <c r="E452" s="151"/>
      <c r="F452" s="151"/>
      <c r="G452" s="151"/>
      <c r="H452" s="151"/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</row>
    <row r="453" spans="1:31" ht="15.75">
      <c r="A453" s="699"/>
      <c r="B453" s="718" t="s">
        <v>1223</v>
      </c>
      <c r="C453" s="151"/>
      <c r="D453" s="966" t="e">
        <f ca="1">+D452/(1-Assumptions!$BT$178)</f>
        <v>#VALUE!</v>
      </c>
      <c r="E453" s="151"/>
      <c r="F453" s="151"/>
      <c r="G453" s="151"/>
      <c r="H453" s="151"/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</row>
    <row r="454" spans="1:31">
      <c r="A454" s="699"/>
      <c r="B454" s="151"/>
      <c r="C454" s="151"/>
      <c r="D454" s="151"/>
      <c r="E454" s="151"/>
      <c r="F454" s="151"/>
      <c r="G454" s="151"/>
      <c r="H454" s="151"/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</row>
    <row r="455" spans="1:31">
      <c r="A455" s="699"/>
      <c r="B455" s="151" t="s">
        <v>1224</v>
      </c>
      <c r="C455" s="151"/>
      <c r="D455" s="151"/>
      <c r="E455" s="151"/>
      <c r="F455" s="972">
        <f ca="1">IFERROR(IF(YEAR(F427)&lt;=YEAR(Assumptions!$G$35),10%*(OFFSET('Phase 2 Pro Forma'!F443,0,-5))+5%*(OFFSET('Phase 2 Pro Forma'!F443,0,-7)),0),0)</f>
        <v>0</v>
      </c>
      <c r="G455" s="972">
        <f ca="1">IFERROR(IF(YEAR(G427)&lt;=YEAR(Assumptions!$G$35),10%*(OFFSET('Phase 2 Pro Forma'!G443,0,-5))+5%*(OFFSET('Phase 2 Pro Forma'!G443,0,-7)),0),0)</f>
        <v>0</v>
      </c>
      <c r="H455" s="972">
        <f ca="1">IFERROR(IF(YEAR(H427)&lt;=YEAR(Assumptions!$G$35),10%*(OFFSET('Phase 2 Pro Forma'!H443,0,-5))+5%*(OFFSET('Phase 2 Pro Forma'!H443,0,-7)),0),0)</f>
        <v>0</v>
      </c>
      <c r="I455" s="972">
        <f ca="1">IFERROR(IF(YEAR(I427)&lt;=YEAR(Assumptions!$G$35),10%*(OFFSET('Phase 2 Pro Forma'!I443,0,-5))+5%*(OFFSET('Phase 2 Pro Forma'!I443,0,-7)),0),0)</f>
        <v>0</v>
      </c>
      <c r="J455" s="972">
        <f ca="1">IFERROR(IF(YEAR(J427)&lt;=YEAR(Assumptions!$G$35),10%*(OFFSET('Phase 2 Pro Forma'!J443,0,-5))+5%*(OFFSET('Phase 2 Pro Forma'!J443,0,-7)),0),0)</f>
        <v>0</v>
      </c>
      <c r="K455" s="972">
        <f ca="1">IFERROR(IF(YEAR(K427)&lt;=YEAR(Assumptions!$G$35),10%*(OFFSET('Phase 2 Pro Forma'!K443,0,-5))+5%*(OFFSET('Phase 2 Pro Forma'!K443,0,-7)),0),0)</f>
        <v>0</v>
      </c>
      <c r="L455" s="972">
        <f ca="1">IFERROR(IF(YEAR(L427)&lt;=YEAR(Assumptions!$G$35),10%*(OFFSET('Phase 2 Pro Forma'!L443,0,-5))+5%*(OFFSET('Phase 2 Pro Forma'!L443,0,-7)),0),0)</f>
        <v>0</v>
      </c>
      <c r="M455" s="972">
        <f ca="1">IFERROR(IF(YEAR(M427)&lt;=YEAR(Assumptions!$G$35),10%*(OFFSET('Phase 2 Pro Forma'!M443,0,-5))+5%*(OFFSET('Phase 2 Pro Forma'!M443,0,-7)),0),0)</f>
        <v>0</v>
      </c>
      <c r="N455" s="972">
        <f ca="1">IFERROR(IF(YEAR(N427)&lt;=YEAR(Assumptions!$G$35),10%*(OFFSET('Phase 2 Pro Forma'!N443,0,-5))+5%*(OFFSET('Phase 2 Pro Forma'!N443,0,-7)),0),0)</f>
        <v>0</v>
      </c>
      <c r="O455" s="972">
        <f ca="1">IFERROR(IF(YEAR(O427)&lt;=YEAR(Assumptions!$G$35),10%*(OFFSET('Phase 2 Pro Forma'!O443,0,-5))+5%*(OFFSET('Phase 2 Pro Forma'!O443,0,-7)),0),0)</f>
        <v>0</v>
      </c>
      <c r="P455" s="972">
        <f ca="1">IFERROR(IF(YEAR(P427)&lt;=YEAR(Assumptions!$G$35),10%*(OFFSET('Phase 2 Pro Forma'!P443,0,-5))+5%*(OFFSET('Phase 2 Pro Forma'!P443,0,-7)),0),0)</f>
        <v>0</v>
      </c>
      <c r="Q455" s="972">
        <f ca="1">IFERROR(IF(YEAR(Q427)&lt;=YEAR(Assumptions!$G$35),10%*(OFFSET('Phase 2 Pro Forma'!Q443,0,-5))+5%*(OFFSET('Phase 2 Pro Forma'!Q443,0,-7)),0),0)</f>
        <v>0</v>
      </c>
      <c r="R455" s="972">
        <f ca="1">IFERROR(IF(YEAR(R427)&lt;=YEAR(Assumptions!$G$35),10%*(OFFSET('Phase 2 Pro Forma'!R443,0,-5))+5%*(OFFSET('Phase 2 Pro Forma'!R443,0,-7)),0),0)</f>
        <v>0</v>
      </c>
      <c r="S455" s="972">
        <f ca="1">IFERROR(IF(YEAR(S427)&lt;=YEAR(Assumptions!$G$35),10%*(OFFSET('Phase 2 Pro Forma'!S443,0,-5))+5%*(OFFSET('Phase 2 Pro Forma'!S443,0,-7)),0),0)</f>
        <v>0</v>
      </c>
      <c r="T455" s="972">
        <f ca="1">IFERROR(IF(YEAR(T427)&lt;=YEAR(Assumptions!$G$35),10%*(OFFSET('Phase 2 Pro Forma'!T443,0,-5))+5%*(OFFSET('Phase 2 Pro Forma'!T443,0,-7)),0),0)</f>
        <v>0</v>
      </c>
      <c r="U455" s="972">
        <f ca="1">IFERROR(IF(YEAR(U427)&lt;=YEAR(Assumptions!$G$35),10%*(OFFSET('Phase 2 Pro Forma'!U443,0,-5))+5%*(OFFSET('Phase 2 Pro Forma'!U443,0,-7)),0),0)</f>
        <v>0</v>
      </c>
      <c r="V455" s="972">
        <f ca="1">IFERROR(IF(YEAR(V427)&lt;=YEAR(Assumptions!$G$35),10%*(OFFSET('Phase 2 Pro Forma'!V443,0,-5))+5%*(OFFSET('Phase 2 Pro Forma'!V443,0,-7)),0),0)</f>
        <v>0</v>
      </c>
      <c r="W455" s="972">
        <f ca="1">IFERROR(IF(YEAR(W427)&lt;=YEAR(Assumptions!$G$35),10%*(OFFSET('Phase 2 Pro Forma'!W443,0,-5))+5%*(OFFSET('Phase 2 Pro Forma'!W443,0,-7)),0),0)</f>
        <v>0</v>
      </c>
      <c r="X455" s="972">
        <f ca="1">IFERROR(IF(YEAR(X427)&lt;=YEAR(Assumptions!$G$35),10%*(OFFSET('Phase 2 Pro Forma'!X443,0,-5))+5%*(OFFSET('Phase 2 Pro Forma'!X443,0,-7)),0),0)</f>
        <v>0</v>
      </c>
      <c r="Y455" s="972">
        <f ca="1">IFERROR(IF(YEAR(Y427)&lt;=YEAR(Assumptions!$G$35),10%*(OFFSET('Phase 2 Pro Forma'!Y443,0,-5))+5%*(OFFSET('Phase 2 Pro Forma'!Y443,0,-7)),0),0)</f>
        <v>0</v>
      </c>
      <c r="Z455" s="972">
        <f ca="1">IFERROR(IF(YEAR(Z427)&lt;=YEAR(Assumptions!$G$35),10%*(OFFSET('Phase 2 Pro Forma'!Z443,0,-5))+5%*(OFFSET('Phase 2 Pro Forma'!Z443,0,-7)),0),0)</f>
        <v>0</v>
      </c>
      <c r="AA455" s="151"/>
      <c r="AB455" s="151"/>
      <c r="AC455" s="151"/>
      <c r="AD455" s="151"/>
      <c r="AE455" s="151"/>
    </row>
    <row r="456" spans="1:31">
      <c r="A456" s="699"/>
      <c r="B456" s="151"/>
      <c r="C456" s="151"/>
      <c r="D456" s="151"/>
      <c r="E456" s="151"/>
      <c r="F456" s="151"/>
      <c r="G456" s="151"/>
      <c r="H456" s="151"/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</row>
    <row r="457" spans="1:31" ht="15.75">
      <c r="A457" s="699"/>
      <c r="B457" s="718" t="s">
        <v>1225</v>
      </c>
      <c r="C457" s="151"/>
      <c r="D457" s="151"/>
      <c r="E457" s="151"/>
      <c r="F457" s="151"/>
      <c r="G457" s="151"/>
      <c r="H457" s="151"/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</row>
    <row r="458" spans="1:31" ht="15.75">
      <c r="A458" s="699"/>
      <c r="B458" s="151" t="s">
        <v>1226</v>
      </c>
      <c r="C458" s="151"/>
      <c r="D458" s="948" t="e">
        <f ca="1">+SUM(F458:Z458)</f>
        <v>#DIV/0!</v>
      </c>
      <c r="E458" s="948"/>
      <c r="F458" s="946">
        <v>0</v>
      </c>
      <c r="G458" s="946">
        <f ca="1">+F465</f>
        <v>89534045.099883363</v>
      </c>
      <c r="H458" s="946">
        <f t="shared" ref="H458:Z458" ca="1" si="213">+G465</f>
        <v>234745918.7725035</v>
      </c>
      <c r="I458" s="946">
        <f t="shared" ca="1" si="213"/>
        <v>257820417.52107811</v>
      </c>
      <c r="J458" s="946">
        <f t="shared" ca="1" si="213"/>
        <v>221235378.68950659</v>
      </c>
      <c r="K458" s="946" t="e">
        <f t="shared" ca="1" si="213"/>
        <v>#DIV/0!</v>
      </c>
      <c r="L458" s="946" t="e">
        <f t="shared" ca="1" si="213"/>
        <v>#DIV/0!</v>
      </c>
      <c r="M458" s="946" t="e">
        <f t="shared" ca="1" si="213"/>
        <v>#DIV/0!</v>
      </c>
      <c r="N458" s="946" t="e">
        <f t="shared" ca="1" si="213"/>
        <v>#DIV/0!</v>
      </c>
      <c r="O458" s="946" t="e">
        <f t="shared" ca="1" si="213"/>
        <v>#DIV/0!</v>
      </c>
      <c r="P458" s="946" t="e">
        <f t="shared" ca="1" si="213"/>
        <v>#DIV/0!</v>
      </c>
      <c r="Q458" s="946" t="e">
        <f t="shared" ca="1" si="213"/>
        <v>#DIV/0!</v>
      </c>
      <c r="R458" s="946" t="e">
        <f t="shared" ca="1" si="213"/>
        <v>#DIV/0!</v>
      </c>
      <c r="S458" s="946" t="e">
        <f t="shared" ca="1" si="213"/>
        <v>#DIV/0!</v>
      </c>
      <c r="T458" s="946" t="e">
        <f t="shared" ca="1" si="213"/>
        <v>#DIV/0!</v>
      </c>
      <c r="U458" s="946" t="e">
        <f t="shared" ca="1" si="213"/>
        <v>#DIV/0!</v>
      </c>
      <c r="V458" s="946" t="e">
        <f t="shared" ca="1" si="213"/>
        <v>#DIV/0!</v>
      </c>
      <c r="W458" s="946" t="e">
        <f t="shared" ca="1" si="213"/>
        <v>#DIV/0!</v>
      </c>
      <c r="X458" s="946" t="e">
        <f t="shared" ca="1" si="213"/>
        <v>#DIV/0!</v>
      </c>
      <c r="Y458" s="946" t="e">
        <f t="shared" ca="1" si="213"/>
        <v>#DIV/0!</v>
      </c>
      <c r="Z458" s="946" t="e">
        <f t="shared" ca="1" si="213"/>
        <v>#DIV/0!</v>
      </c>
      <c r="AA458" s="151"/>
      <c r="AB458" s="151"/>
      <c r="AC458" s="151"/>
      <c r="AD458" s="151"/>
      <c r="AE458" s="151"/>
    </row>
    <row r="459" spans="1:31" ht="15.75">
      <c r="A459" s="699"/>
      <c r="B459" s="151" t="s">
        <v>1212</v>
      </c>
      <c r="C459" s="151"/>
      <c r="D459" s="948">
        <f t="shared" ref="D459:D465" ca="1" si="214">+SUM(F459:Z459)</f>
        <v>257820417.52107811</v>
      </c>
      <c r="E459" s="948"/>
      <c r="F459" s="972">
        <f ca="1">-F430</f>
        <v>89534045.099883363</v>
      </c>
      <c r="G459" s="972">
        <f t="shared" ref="G459:Z459" ca="1" si="215">-G430</f>
        <v>145211873.67262015</v>
      </c>
      <c r="H459" s="972">
        <f t="shared" ca="1" si="215"/>
        <v>23074498.748574615</v>
      </c>
      <c r="I459" s="972">
        <f t="shared" ca="1" si="215"/>
        <v>0</v>
      </c>
      <c r="J459" s="972">
        <f t="shared" ca="1" si="215"/>
        <v>0</v>
      </c>
      <c r="K459" s="972">
        <f t="shared" ca="1" si="215"/>
        <v>0</v>
      </c>
      <c r="L459" s="972">
        <f t="shared" ca="1" si="215"/>
        <v>0</v>
      </c>
      <c r="M459" s="972">
        <f t="shared" ca="1" si="215"/>
        <v>0</v>
      </c>
      <c r="N459" s="972">
        <f t="shared" ca="1" si="215"/>
        <v>0</v>
      </c>
      <c r="O459" s="972">
        <f t="shared" ca="1" si="215"/>
        <v>0</v>
      </c>
      <c r="P459" s="972">
        <f t="shared" ca="1" si="215"/>
        <v>0</v>
      </c>
      <c r="Q459" s="972">
        <f t="shared" ca="1" si="215"/>
        <v>0</v>
      </c>
      <c r="R459" s="972">
        <f t="shared" ca="1" si="215"/>
        <v>0</v>
      </c>
      <c r="S459" s="972">
        <f t="shared" ca="1" si="215"/>
        <v>0</v>
      </c>
      <c r="T459" s="972">
        <f t="shared" ca="1" si="215"/>
        <v>0</v>
      </c>
      <c r="U459" s="972">
        <f t="shared" ca="1" si="215"/>
        <v>0</v>
      </c>
      <c r="V459" s="972">
        <f t="shared" ca="1" si="215"/>
        <v>0</v>
      </c>
      <c r="W459" s="972">
        <f t="shared" ca="1" si="215"/>
        <v>0</v>
      </c>
      <c r="X459" s="972">
        <f t="shared" ca="1" si="215"/>
        <v>0</v>
      </c>
      <c r="Y459" s="972">
        <f t="shared" ca="1" si="215"/>
        <v>0</v>
      </c>
      <c r="Z459" s="972">
        <f t="shared" ca="1" si="215"/>
        <v>0</v>
      </c>
      <c r="AA459" s="151"/>
      <c r="AB459" s="151"/>
      <c r="AC459" s="151"/>
      <c r="AD459" s="151"/>
      <c r="AE459" s="151"/>
    </row>
    <row r="460" spans="1:31" ht="15.75">
      <c r="A460" s="699"/>
      <c r="B460" s="151" t="s">
        <v>1135</v>
      </c>
      <c r="C460" s="151"/>
      <c r="D460" s="948">
        <f t="shared" ca="1" si="214"/>
        <v>71743748.84863545</v>
      </c>
      <c r="E460" s="948"/>
      <c r="F460" s="972">
        <f ca="1">+IF(F427&lt;=Assumptions!$G$35,'Phase 2 Pro Forma'!F391,0)</f>
        <v>0</v>
      </c>
      <c r="G460" s="972">
        <f ca="1">+IF(G427&lt;=Assumptions!$G$35,'Phase 2 Pro Forma'!G391,0)</f>
        <v>0</v>
      </c>
      <c r="H460" s="972">
        <f ca="1">+IF(H427&lt;=Assumptions!$G$35,'Phase 2 Pro Forma'!H391,0)</f>
        <v>0</v>
      </c>
      <c r="I460" s="972">
        <f ca="1">+IF(I427&lt;=Assumptions!$G$35,'Phase 2 Pro Forma'!I391,0)</f>
        <v>268625.94962569512</v>
      </c>
      <c r="J460" s="972">
        <f ca="1">+IF(J427&lt;=Assumptions!$G$35,'Phase 2 Pro Forma'!J391,0)</f>
        <v>10516611.628902998</v>
      </c>
      <c r="K460" s="972">
        <f ca="1">+IF(K427&lt;=Assumptions!$G$35,'Phase 2 Pro Forma'!K391,0)</f>
        <v>19157271.850348722</v>
      </c>
      <c r="L460" s="972">
        <f ca="1">+IF(L427&lt;=Assumptions!$G$35,'Phase 2 Pro Forma'!L391,0)</f>
        <v>20729625.218689654</v>
      </c>
      <c r="M460" s="972">
        <f ca="1">+IF(M427&lt;=Assumptions!$G$35,'Phase 2 Pro Forma'!M391,0)</f>
        <v>21071614.201068375</v>
      </c>
      <c r="N460" s="972">
        <f>+IF(N427&lt;=Assumptions!$G$35,'Phase 2 Pro Forma'!N391,0)</f>
        <v>0</v>
      </c>
      <c r="O460" s="972">
        <f>+IF(O427&lt;=Assumptions!$G$35,'Phase 2 Pro Forma'!O391,0)</f>
        <v>0</v>
      </c>
      <c r="P460" s="972">
        <f>+IF(P427&lt;=Assumptions!$G$35,'Phase 2 Pro Forma'!P391,0)</f>
        <v>0</v>
      </c>
      <c r="Q460" s="972">
        <f>+IF(Q427&lt;=Assumptions!$G$35,'Phase 2 Pro Forma'!Q391,0)</f>
        <v>0</v>
      </c>
      <c r="R460" s="972">
        <f>+IF(R427&lt;=Assumptions!$G$35,'Phase 2 Pro Forma'!R391,0)</f>
        <v>0</v>
      </c>
      <c r="S460" s="972">
        <f>+IF(S427&lt;=Assumptions!$G$35,'Phase 2 Pro Forma'!S391,0)</f>
        <v>0</v>
      </c>
      <c r="T460" s="972">
        <f>+IF(T427&lt;=Assumptions!$G$35,'Phase 2 Pro Forma'!T391,0)</f>
        <v>0</v>
      </c>
      <c r="U460" s="972">
        <f>+IF(U427&lt;=Assumptions!$G$35,'Phase 2 Pro Forma'!U391,0)</f>
        <v>0</v>
      </c>
      <c r="V460" s="972">
        <f>+IF(V427&lt;=Assumptions!$G$35,'Phase 2 Pro Forma'!V391,0)</f>
        <v>0</v>
      </c>
      <c r="W460" s="972">
        <f>+IF(W427&lt;=Assumptions!$G$35,'Phase 2 Pro Forma'!W391,0)</f>
        <v>0</v>
      </c>
      <c r="X460" s="972">
        <f>+IF(X427&lt;=Assumptions!$G$35,'Phase 2 Pro Forma'!X391,0)</f>
        <v>0</v>
      </c>
      <c r="Y460" s="972">
        <f>+IF(Y427&lt;=Assumptions!$G$35,'Phase 2 Pro Forma'!Y391,0)</f>
        <v>0</v>
      </c>
      <c r="Z460" s="972">
        <f>+IF(Z427&lt;=Assumptions!$G$35,'Phase 2 Pro Forma'!Z391,0)</f>
        <v>0</v>
      </c>
      <c r="AA460" s="151"/>
      <c r="AB460" s="151"/>
      <c r="AC460" s="151"/>
      <c r="AD460" s="151"/>
      <c r="AE460" s="151"/>
    </row>
    <row r="461" spans="1:31" ht="15.75">
      <c r="A461" s="699"/>
      <c r="B461" s="151" t="s">
        <v>1227</v>
      </c>
      <c r="C461" s="151"/>
      <c r="D461" s="948" t="e">
        <f t="shared" ca="1" si="214"/>
        <v>#DIV/0!</v>
      </c>
      <c r="E461" s="948"/>
      <c r="F461" s="972">
        <f>-IF(AND(F427&gt;Assumptions!$G$31,F427&lt;=Assumptions!$G$35),Budget!$H$110*Assumptions!$BT$180/Assumptions!$BT$179,0)</f>
        <v>0</v>
      </c>
      <c r="G461" s="972">
        <f>-IF(AND(G427&gt;Assumptions!$G$31,G427&lt;=Assumptions!$G$35),Budget!$H$110*Assumptions!$BT$180/Assumptions!$BT$179,0)</f>
        <v>0</v>
      </c>
      <c r="H461" s="972">
        <f>-IF(AND(H427&gt;Assumptions!$G$31,H427&lt;=Assumptions!$G$35),Budget!$H$110*Assumptions!$BT$180/Assumptions!$BT$179,0)</f>
        <v>0</v>
      </c>
      <c r="I461" s="972">
        <f>-IF(AND(I427&gt;Assumptions!$G$31,I427&lt;=Assumptions!$G$35),Budget!$H$110*Assumptions!$BT$180/Assumptions!$BT$179,0)</f>
        <v>0</v>
      </c>
      <c r="J461" s="972" t="e">
        <f ca="1">-IF(AND(J427&gt;Assumptions!$G$31,J427&lt;=Assumptions!$G$35),Budget!$H$110*Assumptions!$BT$180/Assumptions!$BT$179,0)</f>
        <v>#DIV/0!</v>
      </c>
      <c r="K461" s="972" t="e">
        <f ca="1">-IF(AND(K427&gt;Assumptions!$G$31,K427&lt;=Assumptions!$G$35),Budget!$H$110*Assumptions!$BT$180/Assumptions!$BT$179,0)</f>
        <v>#DIV/0!</v>
      </c>
      <c r="L461" s="972" t="e">
        <f ca="1">-IF(AND(L427&gt;Assumptions!$G$31,L427&lt;=Assumptions!$G$35),Budget!$H$110*Assumptions!$BT$180/Assumptions!$BT$179,0)</f>
        <v>#DIV/0!</v>
      </c>
      <c r="M461" s="972" t="e">
        <f ca="1">-IF(AND(M427&gt;Assumptions!$G$31,M427&lt;=Assumptions!$G$35),Budget!$H$110*Assumptions!$BT$180/Assumptions!$BT$179,0)</f>
        <v>#DIV/0!</v>
      </c>
      <c r="N461" s="972">
        <f>-IF(AND(N427&gt;Assumptions!$G$31,N427&lt;=Assumptions!$G$35),Budget!$H$110*Assumptions!$BT$180/Assumptions!$BT$179,0)</f>
        <v>0</v>
      </c>
      <c r="O461" s="972">
        <f>-IF(AND(O427&gt;Assumptions!$G$31,O427&lt;=Assumptions!$G$35),Budget!$H$110*Assumptions!$BT$180/Assumptions!$BT$179,0)</f>
        <v>0</v>
      </c>
      <c r="P461" s="972">
        <f>-IF(AND(P427&gt;Assumptions!$G$31,P427&lt;=Assumptions!$G$35),Budget!$H$110*Assumptions!$BT$180/Assumptions!$BT$179,0)</f>
        <v>0</v>
      </c>
      <c r="Q461" s="972">
        <f>-IF(AND(Q427&gt;Assumptions!$G$31,Q427&lt;=Assumptions!$G$35),Budget!$H$110*Assumptions!$BT$180/Assumptions!$BT$179,0)</f>
        <v>0</v>
      </c>
      <c r="R461" s="972">
        <f>-IF(AND(R427&gt;Assumptions!$G$31,R427&lt;=Assumptions!$G$35),Budget!$H$110*Assumptions!$BT$180/Assumptions!$BT$179,0)</f>
        <v>0</v>
      </c>
      <c r="S461" s="972">
        <f>-IF(AND(S427&gt;Assumptions!$G$31,S427&lt;=Assumptions!$G$35),Budget!$H$110*Assumptions!$BT$180/Assumptions!$BT$179,0)</f>
        <v>0</v>
      </c>
      <c r="T461" s="972">
        <f>-IF(AND(T427&gt;Assumptions!$G$31,T427&lt;=Assumptions!$G$35),Budget!$H$110*Assumptions!$BT$180/Assumptions!$BT$179,0)</f>
        <v>0</v>
      </c>
      <c r="U461" s="972">
        <f>-IF(AND(U427&gt;Assumptions!$G$31,U427&lt;=Assumptions!$G$35),Budget!$H$110*Assumptions!$BT$180/Assumptions!$BT$179,0)</f>
        <v>0</v>
      </c>
      <c r="V461" s="972">
        <f>-IF(AND(V427&gt;Assumptions!$G$31,V427&lt;=Assumptions!$G$35),Budget!$H$110*Assumptions!$BT$180/Assumptions!$BT$179,0)</f>
        <v>0</v>
      </c>
      <c r="W461" s="972">
        <f>-IF(AND(W427&gt;Assumptions!$G$31,W427&lt;=Assumptions!$G$35),Budget!$H$110*Assumptions!$BT$180/Assumptions!$BT$179,0)</f>
        <v>0</v>
      </c>
      <c r="X461" s="972">
        <f>-IF(AND(X427&gt;Assumptions!$G$31,X427&lt;=Assumptions!$G$35),Budget!$H$110*Assumptions!$BT$180/Assumptions!$BT$179,0)</f>
        <v>0</v>
      </c>
      <c r="Y461" s="972">
        <f>-IF(AND(Y427&gt;Assumptions!$G$31,Y427&lt;=Assumptions!$G$35),Budget!$H$110*Assumptions!$BT$180/Assumptions!$BT$179,0)</f>
        <v>0</v>
      </c>
      <c r="Z461" s="972">
        <f>-IF(AND(Z427&gt;Assumptions!$G$31,Z427&lt;=Assumptions!$G$35),Budget!$H$110*Assumptions!$BT$180/Assumptions!$BT$179,0)</f>
        <v>0</v>
      </c>
      <c r="AA461" s="151"/>
      <c r="AB461" s="151"/>
      <c r="AC461" s="151"/>
      <c r="AD461" s="151"/>
      <c r="AE461" s="151"/>
    </row>
    <row r="462" spans="1:31" ht="15.75">
      <c r="A462" s="699"/>
      <c r="B462" s="151" t="s">
        <v>1228</v>
      </c>
      <c r="C462" s="151"/>
      <c r="D462" s="948">
        <f t="shared" ca="1" si="214"/>
        <v>-71743748.84863545</v>
      </c>
      <c r="E462" s="948"/>
      <c r="F462" s="972">
        <f ca="1">-F434</f>
        <v>0</v>
      </c>
      <c r="G462" s="972">
        <f t="shared" ref="G462:Z463" ca="1" si="216">-G434</f>
        <v>0</v>
      </c>
      <c r="H462" s="972">
        <f t="shared" ca="1" si="216"/>
        <v>0</v>
      </c>
      <c r="I462" s="972">
        <f t="shared" ca="1" si="216"/>
        <v>-268625.94962569512</v>
      </c>
      <c r="J462" s="972">
        <f t="shared" ca="1" si="216"/>
        <v>-10516611.628902998</v>
      </c>
      <c r="K462" s="972">
        <f t="shared" ca="1" si="216"/>
        <v>-19157271.850348722</v>
      </c>
      <c r="L462" s="972">
        <f t="shared" ca="1" si="216"/>
        <v>-20729625.218689654</v>
      </c>
      <c r="M462" s="972">
        <f t="shared" ca="1" si="216"/>
        <v>-21071614.201068375</v>
      </c>
      <c r="N462" s="972">
        <f t="shared" si="216"/>
        <v>0</v>
      </c>
      <c r="O462" s="972">
        <f t="shared" si="216"/>
        <v>0</v>
      </c>
      <c r="P462" s="972">
        <f t="shared" si="216"/>
        <v>0</v>
      </c>
      <c r="Q462" s="972">
        <f t="shared" si="216"/>
        <v>0</v>
      </c>
      <c r="R462" s="972">
        <f t="shared" si="216"/>
        <v>0</v>
      </c>
      <c r="S462" s="972">
        <f t="shared" si="216"/>
        <v>0</v>
      </c>
      <c r="T462" s="972">
        <f t="shared" si="216"/>
        <v>0</v>
      </c>
      <c r="U462" s="972">
        <f t="shared" si="216"/>
        <v>0</v>
      </c>
      <c r="V462" s="972">
        <f t="shared" si="216"/>
        <v>0</v>
      </c>
      <c r="W462" s="972">
        <f t="shared" si="216"/>
        <v>0</v>
      </c>
      <c r="X462" s="972">
        <f t="shared" si="216"/>
        <v>0</v>
      </c>
      <c r="Y462" s="972">
        <f t="shared" si="216"/>
        <v>0</v>
      </c>
      <c r="Z462" s="972">
        <f t="shared" si="216"/>
        <v>0</v>
      </c>
      <c r="AA462" s="151"/>
      <c r="AB462" s="151"/>
      <c r="AC462" s="151"/>
      <c r="AD462" s="151"/>
      <c r="AE462" s="151"/>
    </row>
    <row r="463" spans="1:31" ht="15.75">
      <c r="A463" s="699"/>
      <c r="B463" s="151" t="s">
        <v>1217</v>
      </c>
      <c r="C463" s="151"/>
      <c r="D463" s="948">
        <f t="shared" ca="1" si="214"/>
        <v>-482713627.72420686</v>
      </c>
      <c r="E463" s="948"/>
      <c r="F463" s="972">
        <f>-F435</f>
        <v>0</v>
      </c>
      <c r="G463" s="972">
        <f t="shared" si="216"/>
        <v>0</v>
      </c>
      <c r="H463" s="972">
        <f t="shared" si="216"/>
        <v>0</v>
      </c>
      <c r="I463" s="972">
        <f t="shared" si="216"/>
        <v>-36585038.831571527</v>
      </c>
      <c r="J463" s="972">
        <f t="shared" si="216"/>
        <v>0</v>
      </c>
      <c r="K463" s="972">
        <f t="shared" si="216"/>
        <v>0</v>
      </c>
      <c r="L463" s="972">
        <f t="shared" si="216"/>
        <v>0</v>
      </c>
      <c r="M463" s="972">
        <f t="shared" ca="1" si="216"/>
        <v>-446128588.89263535</v>
      </c>
      <c r="N463" s="972">
        <f t="shared" si="216"/>
        <v>0</v>
      </c>
      <c r="O463" s="972">
        <f t="shared" si="216"/>
        <v>0</v>
      </c>
      <c r="P463" s="972">
        <f t="shared" si="216"/>
        <v>0</v>
      </c>
      <c r="Q463" s="972">
        <f t="shared" si="216"/>
        <v>0</v>
      </c>
      <c r="R463" s="972">
        <f t="shared" si="216"/>
        <v>0</v>
      </c>
      <c r="S463" s="972">
        <f t="shared" si="216"/>
        <v>0</v>
      </c>
      <c r="T463" s="972">
        <f t="shared" si="216"/>
        <v>0</v>
      </c>
      <c r="U463" s="972">
        <f t="shared" si="216"/>
        <v>0</v>
      </c>
      <c r="V463" s="972">
        <f t="shared" si="216"/>
        <v>0</v>
      </c>
      <c r="W463" s="972">
        <f t="shared" si="216"/>
        <v>0</v>
      </c>
      <c r="X463" s="972">
        <f t="shared" si="216"/>
        <v>0</v>
      </c>
      <c r="Y463" s="972">
        <f t="shared" si="216"/>
        <v>0</v>
      </c>
      <c r="Z463" s="972">
        <f t="shared" si="216"/>
        <v>0</v>
      </c>
      <c r="AA463" s="151"/>
      <c r="AB463" s="151"/>
      <c r="AC463" s="151"/>
      <c r="AD463" s="151"/>
      <c r="AE463" s="151"/>
    </row>
    <row r="464" spans="1:31" ht="15.75">
      <c r="A464" s="699"/>
      <c r="B464" s="151" t="s">
        <v>1229</v>
      </c>
      <c r="C464" s="151"/>
      <c r="D464" s="948" t="e">
        <f t="shared" ca="1" si="214"/>
        <v>#DIV/0!</v>
      </c>
      <c r="E464" s="948"/>
      <c r="F464" s="972">
        <f>-IF(YEAR(F427)=YEAR(Assumptions!$G$35),SUM('Phase 2 Pro Forma'!F458:F463),0)</f>
        <v>0</v>
      </c>
      <c r="G464" s="972">
        <f>-IF(YEAR(G427)=YEAR(Assumptions!$G$35),SUM('Phase 2 Pro Forma'!G458:G463),0)</f>
        <v>0</v>
      </c>
      <c r="H464" s="972">
        <f>-IF(YEAR(H427)=YEAR(Assumptions!$G$35),SUM('Phase 2 Pro Forma'!H458:H463),0)</f>
        <v>0</v>
      </c>
      <c r="I464" s="972">
        <f>-IF(YEAR(I427)=YEAR(Assumptions!$G$35),SUM('Phase 2 Pro Forma'!I458:I463),0)</f>
        <v>0</v>
      </c>
      <c r="J464" s="972">
        <f>-IF(YEAR(J427)=YEAR(Assumptions!$G$35),SUM('Phase 2 Pro Forma'!J458:J463),0)</f>
        <v>0</v>
      </c>
      <c r="K464" s="972">
        <f>-IF(YEAR(K427)=YEAR(Assumptions!$G$35),SUM('Phase 2 Pro Forma'!K458:K463),0)</f>
        <v>0</v>
      </c>
      <c r="L464" s="972">
        <f>-IF(YEAR(L427)=YEAR(Assumptions!$G$35),SUM('Phase 2 Pro Forma'!L458:L463),0)</f>
        <v>0</v>
      </c>
      <c r="M464" s="972" t="e">
        <f ca="1">-IF(YEAR(M427)=YEAR(Assumptions!$G$35),SUM('Phase 2 Pro Forma'!M458:M463),0)</f>
        <v>#DIV/0!</v>
      </c>
      <c r="N464" s="972">
        <f>-IF(YEAR(N427)=YEAR(Assumptions!$G$35),SUM('Phase 2 Pro Forma'!N458:N463),0)</f>
        <v>0</v>
      </c>
      <c r="O464" s="972">
        <f>-IF(YEAR(O427)=YEAR(Assumptions!$G$35),SUM('Phase 2 Pro Forma'!O458:O463),0)</f>
        <v>0</v>
      </c>
      <c r="P464" s="972">
        <f>-IF(YEAR(P427)=YEAR(Assumptions!$G$35),SUM('Phase 2 Pro Forma'!P458:P463),0)</f>
        <v>0</v>
      </c>
      <c r="Q464" s="972">
        <f>-IF(YEAR(Q427)=YEAR(Assumptions!$G$35),SUM('Phase 2 Pro Forma'!Q458:Q463),0)</f>
        <v>0</v>
      </c>
      <c r="R464" s="972">
        <f>-IF(YEAR(R427)=YEAR(Assumptions!$G$35),SUM('Phase 2 Pro Forma'!R458:R463),0)</f>
        <v>0</v>
      </c>
      <c r="S464" s="972">
        <f>-IF(YEAR(S427)=YEAR(Assumptions!$G$35),SUM('Phase 2 Pro Forma'!S458:S463),0)</f>
        <v>0</v>
      </c>
      <c r="T464" s="972">
        <f>-IF(YEAR(T427)=YEAR(Assumptions!$G$35),SUM('Phase 2 Pro Forma'!T458:T463),0)</f>
        <v>0</v>
      </c>
      <c r="U464" s="972">
        <f>-IF(YEAR(U427)=YEAR(Assumptions!$G$35),SUM('Phase 2 Pro Forma'!U458:U463),0)</f>
        <v>0</v>
      </c>
      <c r="V464" s="972">
        <f>-IF(YEAR(V427)=YEAR(Assumptions!$G$35),SUM('Phase 2 Pro Forma'!V458:V463),0)</f>
        <v>0</v>
      </c>
      <c r="W464" s="972">
        <f>-IF(YEAR(W427)=YEAR(Assumptions!$G$35),SUM('Phase 2 Pro Forma'!W458:W463),0)</f>
        <v>0</v>
      </c>
      <c r="X464" s="972">
        <f>-IF(YEAR(X427)=YEAR(Assumptions!$G$35),SUM('Phase 2 Pro Forma'!X458:X463),0)</f>
        <v>0</v>
      </c>
      <c r="Y464" s="972">
        <f>-IF(YEAR(Y427)=YEAR(Assumptions!$G$35),SUM('Phase 2 Pro Forma'!Y458:Y463),0)</f>
        <v>0</v>
      </c>
      <c r="Z464" s="972">
        <f>-IF(YEAR(Z427)=YEAR(Assumptions!$G$35),SUM('Phase 2 Pro Forma'!Z458:Z463),0)</f>
        <v>0</v>
      </c>
      <c r="AA464" s="151"/>
      <c r="AB464" s="151"/>
      <c r="AC464" s="151"/>
      <c r="AD464" s="151"/>
      <c r="AE464" s="151"/>
    </row>
    <row r="465" spans="1:31" ht="15.75">
      <c r="A465" s="699"/>
      <c r="B465" s="718" t="s">
        <v>1230</v>
      </c>
      <c r="C465" s="718"/>
      <c r="D465" s="948" t="e">
        <f t="shared" ca="1" si="214"/>
        <v>#DIV/0!</v>
      </c>
      <c r="E465" s="948"/>
      <c r="F465" s="948">
        <f ca="1">+SUM(F458:F464)</f>
        <v>89534045.099883363</v>
      </c>
      <c r="G465" s="948">
        <f t="shared" ref="G465:Z465" ca="1" si="217">+SUM(G458:G464)</f>
        <v>234745918.7725035</v>
      </c>
      <c r="H465" s="948">
        <f t="shared" ca="1" si="217"/>
        <v>257820417.52107811</v>
      </c>
      <c r="I465" s="948">
        <f t="shared" ca="1" si="217"/>
        <v>221235378.68950659</v>
      </c>
      <c r="J465" s="948" t="e">
        <f t="shared" ca="1" si="217"/>
        <v>#DIV/0!</v>
      </c>
      <c r="K465" s="948" t="e">
        <f t="shared" ca="1" si="217"/>
        <v>#DIV/0!</v>
      </c>
      <c r="L465" s="948" t="e">
        <f t="shared" ca="1" si="217"/>
        <v>#DIV/0!</v>
      </c>
      <c r="M465" s="948" t="e">
        <f t="shared" ca="1" si="217"/>
        <v>#DIV/0!</v>
      </c>
      <c r="N465" s="948" t="e">
        <f t="shared" ca="1" si="217"/>
        <v>#DIV/0!</v>
      </c>
      <c r="O465" s="948" t="e">
        <f t="shared" ca="1" si="217"/>
        <v>#DIV/0!</v>
      </c>
      <c r="P465" s="948" t="e">
        <f t="shared" ca="1" si="217"/>
        <v>#DIV/0!</v>
      </c>
      <c r="Q465" s="948" t="e">
        <f t="shared" ca="1" si="217"/>
        <v>#DIV/0!</v>
      </c>
      <c r="R465" s="948" t="e">
        <f t="shared" ca="1" si="217"/>
        <v>#DIV/0!</v>
      </c>
      <c r="S465" s="948" t="e">
        <f t="shared" ca="1" si="217"/>
        <v>#DIV/0!</v>
      </c>
      <c r="T465" s="948" t="e">
        <f t="shared" ca="1" si="217"/>
        <v>#DIV/0!</v>
      </c>
      <c r="U465" s="948" t="e">
        <f t="shared" ca="1" si="217"/>
        <v>#DIV/0!</v>
      </c>
      <c r="V465" s="948" t="e">
        <f t="shared" ca="1" si="217"/>
        <v>#DIV/0!</v>
      </c>
      <c r="W465" s="948" t="e">
        <f t="shared" ca="1" si="217"/>
        <v>#DIV/0!</v>
      </c>
      <c r="X465" s="948" t="e">
        <f t="shared" ca="1" si="217"/>
        <v>#DIV/0!</v>
      </c>
      <c r="Y465" s="948" t="e">
        <f t="shared" ca="1" si="217"/>
        <v>#DIV/0!</v>
      </c>
      <c r="Z465" s="948" t="e">
        <f t="shared" ca="1" si="217"/>
        <v>#DIV/0!</v>
      </c>
      <c r="AA465" s="151"/>
      <c r="AB465" s="151"/>
      <c r="AC465" s="151"/>
      <c r="AD465" s="151"/>
      <c r="AE465" s="151"/>
    </row>
    <row r="466" spans="1:31">
      <c r="A466" s="699"/>
      <c r="B466" s="151"/>
      <c r="C466" s="151"/>
      <c r="D466" s="151"/>
      <c r="E466" s="151"/>
      <c r="F466" s="151"/>
      <c r="G466" s="151"/>
      <c r="H466" s="151"/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</row>
    <row r="467" spans="1:31" ht="15.75">
      <c r="A467" s="699"/>
      <c r="B467" s="718" t="s">
        <v>1231</v>
      </c>
      <c r="C467" s="151"/>
      <c r="D467" s="151"/>
      <c r="E467" s="151"/>
      <c r="F467" s="971">
        <f>+F427</f>
        <v>46387</v>
      </c>
      <c r="G467" s="971">
        <f t="shared" ref="G467:Z467" si="218">+G427</f>
        <v>46752</v>
      </c>
      <c r="H467" s="971">
        <f t="shared" si="218"/>
        <v>47118</v>
      </c>
      <c r="I467" s="971">
        <f t="shared" si="218"/>
        <v>47483</v>
      </c>
      <c r="J467" s="971">
        <f t="shared" si="218"/>
        <v>47848</v>
      </c>
      <c r="K467" s="971">
        <f t="shared" si="218"/>
        <v>48213</v>
      </c>
      <c r="L467" s="971">
        <f t="shared" si="218"/>
        <v>48579</v>
      </c>
      <c r="M467" s="971">
        <f t="shared" si="218"/>
        <v>48944</v>
      </c>
      <c r="N467" s="971">
        <f t="shared" si="218"/>
        <v>49309</v>
      </c>
      <c r="O467" s="971">
        <f t="shared" si="218"/>
        <v>49674</v>
      </c>
      <c r="P467" s="971">
        <f t="shared" si="218"/>
        <v>50040</v>
      </c>
      <c r="Q467" s="971">
        <f t="shared" si="218"/>
        <v>50405</v>
      </c>
      <c r="R467" s="971">
        <f t="shared" si="218"/>
        <v>50770</v>
      </c>
      <c r="S467" s="971">
        <f t="shared" si="218"/>
        <v>51135</v>
      </c>
      <c r="T467" s="971">
        <f t="shared" si="218"/>
        <v>51501</v>
      </c>
      <c r="U467" s="971">
        <f t="shared" si="218"/>
        <v>51866</v>
      </c>
      <c r="V467" s="971">
        <f t="shared" si="218"/>
        <v>52231</v>
      </c>
      <c r="W467" s="971">
        <f t="shared" si="218"/>
        <v>52596</v>
      </c>
      <c r="X467" s="971">
        <f t="shared" si="218"/>
        <v>52962</v>
      </c>
      <c r="Y467" s="971">
        <f t="shared" si="218"/>
        <v>53327</v>
      </c>
      <c r="Z467" s="971">
        <f t="shared" si="218"/>
        <v>53692</v>
      </c>
      <c r="AA467" s="151"/>
      <c r="AB467" s="151"/>
      <c r="AC467" s="151"/>
      <c r="AD467" s="151"/>
      <c r="AE467" s="151"/>
    </row>
    <row r="468" spans="1:31" ht="15.75">
      <c r="A468" s="699"/>
      <c r="B468" s="718"/>
      <c r="C468" s="151"/>
      <c r="D468" s="151"/>
      <c r="E468" s="151"/>
      <c r="F468" s="151"/>
      <c r="G468" s="151"/>
      <c r="H468" s="151"/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</row>
    <row r="469" spans="1:31" ht="15.75">
      <c r="A469" s="699"/>
      <c r="B469" s="718" t="s">
        <v>1232</v>
      </c>
      <c r="C469" s="151"/>
      <c r="D469" s="151"/>
      <c r="E469" s="151"/>
      <c r="F469" s="718">
        <v>0</v>
      </c>
      <c r="G469" s="718">
        <f>+F469+1</f>
        <v>1</v>
      </c>
      <c r="H469" s="718">
        <f t="shared" ref="H469:Z469" si="219">+G469+1</f>
        <v>2</v>
      </c>
      <c r="I469" s="718">
        <f t="shared" si="219"/>
        <v>3</v>
      </c>
      <c r="J469" s="718">
        <f t="shared" si="219"/>
        <v>4</v>
      </c>
      <c r="K469" s="718">
        <f t="shared" si="219"/>
        <v>5</v>
      </c>
      <c r="L469" s="718">
        <f t="shared" si="219"/>
        <v>6</v>
      </c>
      <c r="M469" s="718">
        <f t="shared" si="219"/>
        <v>7</v>
      </c>
      <c r="N469" s="718">
        <f t="shared" si="219"/>
        <v>8</v>
      </c>
      <c r="O469" s="718">
        <f t="shared" si="219"/>
        <v>9</v>
      </c>
      <c r="P469" s="718">
        <f t="shared" si="219"/>
        <v>10</v>
      </c>
      <c r="Q469" s="718">
        <f t="shared" si="219"/>
        <v>11</v>
      </c>
      <c r="R469" s="718">
        <f t="shared" si="219"/>
        <v>12</v>
      </c>
      <c r="S469" s="718">
        <f t="shared" si="219"/>
        <v>13</v>
      </c>
      <c r="T469" s="718">
        <f t="shared" si="219"/>
        <v>14</v>
      </c>
      <c r="U469" s="718">
        <f t="shared" si="219"/>
        <v>15</v>
      </c>
      <c r="V469" s="718">
        <f t="shared" si="219"/>
        <v>16</v>
      </c>
      <c r="W469" s="718">
        <f t="shared" si="219"/>
        <v>17</v>
      </c>
      <c r="X469" s="718">
        <f t="shared" si="219"/>
        <v>18</v>
      </c>
      <c r="Y469" s="718">
        <f t="shared" si="219"/>
        <v>19</v>
      </c>
      <c r="Z469" s="718">
        <f t="shared" si="219"/>
        <v>20</v>
      </c>
      <c r="AA469" s="151"/>
      <c r="AB469" s="151"/>
      <c r="AC469" s="151"/>
      <c r="AD469" s="151"/>
      <c r="AE469" s="151"/>
    </row>
    <row r="470" spans="1:31" ht="15.75">
      <c r="A470" s="699"/>
      <c r="B470" s="151" t="s">
        <v>1212</v>
      </c>
      <c r="C470" s="151"/>
      <c r="D470" s="948"/>
      <c r="E470" s="948"/>
      <c r="F470" s="946">
        <f ca="1">+F$377</f>
        <v>-29640547.373204827</v>
      </c>
      <c r="G470" s="946">
        <f t="shared" ref="G470:Z470" ca="1" si="220">+G$377</f>
        <v>0</v>
      </c>
      <c r="H470" s="946">
        <f t="shared" ca="1" si="220"/>
        <v>0</v>
      </c>
      <c r="I470" s="946">
        <f t="shared" ca="1" si="220"/>
        <v>0</v>
      </c>
      <c r="J470" s="946">
        <f t="shared" ca="1" si="220"/>
        <v>0</v>
      </c>
      <c r="K470" s="946">
        <f t="shared" ca="1" si="220"/>
        <v>0</v>
      </c>
      <c r="L470" s="946">
        <f t="shared" ca="1" si="220"/>
        <v>0</v>
      </c>
      <c r="M470" s="946">
        <f t="shared" ca="1" si="220"/>
        <v>0</v>
      </c>
      <c r="N470" s="946">
        <f t="shared" ca="1" si="220"/>
        <v>0</v>
      </c>
      <c r="O470" s="946">
        <f t="shared" ca="1" si="220"/>
        <v>0</v>
      </c>
      <c r="P470" s="946">
        <f t="shared" ca="1" si="220"/>
        <v>0</v>
      </c>
      <c r="Q470" s="946">
        <f t="shared" ca="1" si="220"/>
        <v>0</v>
      </c>
      <c r="R470" s="946">
        <f t="shared" ca="1" si="220"/>
        <v>0</v>
      </c>
      <c r="S470" s="946">
        <f t="shared" ca="1" si="220"/>
        <v>0</v>
      </c>
      <c r="T470" s="946">
        <f t="shared" ca="1" si="220"/>
        <v>0</v>
      </c>
      <c r="U470" s="946">
        <f t="shared" ca="1" si="220"/>
        <v>0</v>
      </c>
      <c r="V470" s="946">
        <f t="shared" ca="1" si="220"/>
        <v>0</v>
      </c>
      <c r="W470" s="946">
        <f t="shared" ca="1" si="220"/>
        <v>0</v>
      </c>
      <c r="X470" s="946">
        <f t="shared" ca="1" si="220"/>
        <v>0</v>
      </c>
      <c r="Y470" s="946">
        <f t="shared" ca="1" si="220"/>
        <v>0</v>
      </c>
      <c r="Z470" s="946">
        <f t="shared" ca="1" si="220"/>
        <v>0</v>
      </c>
      <c r="AA470" s="151"/>
      <c r="AB470" s="151"/>
      <c r="AC470" s="151"/>
      <c r="AD470" s="151"/>
      <c r="AE470" s="151"/>
    </row>
    <row r="471" spans="1:31" ht="15.75">
      <c r="A471" s="699"/>
      <c r="B471" s="151" t="s">
        <v>1213</v>
      </c>
      <c r="C471" s="151"/>
      <c r="D471" s="948"/>
      <c r="E471" s="948"/>
      <c r="F471" s="972">
        <v>0</v>
      </c>
      <c r="G471" s="972">
        <v>0</v>
      </c>
      <c r="H471" s="972">
        <v>0</v>
      </c>
      <c r="I471" s="972">
        <v>0</v>
      </c>
      <c r="J471" s="972">
        <v>0</v>
      </c>
      <c r="K471" s="972">
        <v>0</v>
      </c>
      <c r="L471" s="972">
        <v>0</v>
      </c>
      <c r="M471" s="972">
        <v>0</v>
      </c>
      <c r="N471" s="972">
        <v>0</v>
      </c>
      <c r="O471" s="972">
        <v>0</v>
      </c>
      <c r="P471" s="972">
        <v>0</v>
      </c>
      <c r="Q471" s="972">
        <v>0</v>
      </c>
      <c r="R471" s="972">
        <v>0</v>
      </c>
      <c r="S471" s="972">
        <v>0</v>
      </c>
      <c r="T471" s="972">
        <v>0</v>
      </c>
      <c r="U471" s="972">
        <v>0</v>
      </c>
      <c r="V471" s="972">
        <v>0</v>
      </c>
      <c r="W471" s="972">
        <v>0</v>
      </c>
      <c r="X471" s="972">
        <v>0</v>
      </c>
      <c r="Y471" s="972">
        <v>0</v>
      </c>
      <c r="Z471" s="972">
        <v>0</v>
      </c>
      <c r="AA471" s="151"/>
      <c r="AB471" s="151"/>
      <c r="AC471" s="151"/>
      <c r="AD471" s="151"/>
      <c r="AE471" s="151"/>
    </row>
    <row r="472" spans="1:31" ht="15.75">
      <c r="A472" s="699"/>
      <c r="B472" s="151" t="s">
        <v>1214</v>
      </c>
      <c r="C472" s="151"/>
      <c r="D472" s="948"/>
      <c r="E472" s="948"/>
      <c r="F472" s="972">
        <v>0</v>
      </c>
      <c r="G472" s="972">
        <v>0</v>
      </c>
      <c r="H472" s="972">
        <v>0</v>
      </c>
      <c r="I472" s="972">
        <v>0</v>
      </c>
      <c r="J472" s="972">
        <v>0</v>
      </c>
      <c r="K472" s="972">
        <v>0</v>
      </c>
      <c r="L472" s="972">
        <v>0</v>
      </c>
      <c r="M472" s="972">
        <v>0</v>
      </c>
      <c r="N472" s="972">
        <v>0</v>
      </c>
      <c r="O472" s="972">
        <v>0</v>
      </c>
      <c r="P472" s="972">
        <v>0</v>
      </c>
      <c r="Q472" s="972">
        <v>0</v>
      </c>
      <c r="R472" s="972">
        <v>0</v>
      </c>
      <c r="S472" s="972">
        <v>0</v>
      </c>
      <c r="T472" s="972">
        <v>0</v>
      </c>
      <c r="U472" s="972">
        <v>0</v>
      </c>
      <c r="V472" s="972">
        <v>0</v>
      </c>
      <c r="W472" s="972">
        <v>0</v>
      </c>
      <c r="X472" s="972">
        <v>0</v>
      </c>
      <c r="Y472" s="972">
        <v>0</v>
      </c>
      <c r="Z472" s="972">
        <v>0</v>
      </c>
      <c r="AA472" s="151"/>
      <c r="AB472" s="151"/>
      <c r="AC472" s="151"/>
      <c r="AD472" s="151"/>
      <c r="AE472" s="151"/>
    </row>
    <row r="473" spans="1:31" ht="15.75">
      <c r="A473" s="699"/>
      <c r="B473" s="151" t="s">
        <v>1233</v>
      </c>
      <c r="C473" s="151"/>
      <c r="D473" s="948"/>
      <c r="E473" s="948"/>
      <c r="F473" s="972">
        <f ca="1">-SUM(F500:F501)*Assumptions!$BT$178</f>
        <v>0</v>
      </c>
      <c r="G473" s="972">
        <f ca="1">-SUM(G500:G501)*Assumptions!$BT$178</f>
        <v>0</v>
      </c>
      <c r="H473" s="972">
        <f ca="1">-SUM(H500:H501)*Assumptions!$BT$178</f>
        <v>0</v>
      </c>
      <c r="I473" s="972">
        <f ca="1">-SUM(I500:I501)*Assumptions!$BT$178</f>
        <v>0</v>
      </c>
      <c r="J473" s="972" t="e">
        <f ca="1">-SUM(J500:J501)*Assumptions!$BT$178</f>
        <v>#DIV/0!</v>
      </c>
      <c r="K473" s="972" t="e">
        <f ca="1">-SUM(K500:K501)*Assumptions!$BT$178</f>
        <v>#DIV/0!</v>
      </c>
      <c r="L473" s="972" t="e">
        <f ca="1">-SUM(L500:L501)*Assumptions!$BT$178</f>
        <v>#DIV/0!</v>
      </c>
      <c r="M473" s="972" t="e">
        <f ca="1">-SUM(M500:M501)*Assumptions!$BT$178</f>
        <v>#DIV/0!</v>
      </c>
      <c r="N473" s="972">
        <f>-SUM(N500:N501)*Assumptions!$BT$178</f>
        <v>0</v>
      </c>
      <c r="O473" s="972">
        <f>-SUM(O500:O501)*Assumptions!$BT$178</f>
        <v>0</v>
      </c>
      <c r="P473" s="972">
        <f>-SUM(P500:P501)*Assumptions!$BT$178</f>
        <v>0</v>
      </c>
      <c r="Q473" s="972">
        <f>-SUM(Q500:Q501)*Assumptions!$BT$178</f>
        <v>0</v>
      </c>
      <c r="R473" s="972">
        <f>-SUM(R500:R501)*Assumptions!$BT$178</f>
        <v>0</v>
      </c>
      <c r="S473" s="972">
        <f>-SUM(S500:S501)*Assumptions!$BT$178</f>
        <v>0</v>
      </c>
      <c r="T473" s="972">
        <f>-SUM(T500:T501)*Assumptions!$BT$178</f>
        <v>0</v>
      </c>
      <c r="U473" s="972">
        <f>-SUM(U500:U501)*Assumptions!$BT$178</f>
        <v>0</v>
      </c>
      <c r="V473" s="972">
        <f>-SUM(V500:V501)*Assumptions!$BT$178</f>
        <v>0</v>
      </c>
      <c r="W473" s="972">
        <f>-SUM(W500:W501)*Assumptions!$BT$178</f>
        <v>0</v>
      </c>
      <c r="X473" s="972">
        <f>-SUM(X500:X501)*Assumptions!$BT$178</f>
        <v>0</v>
      </c>
      <c r="Y473" s="972">
        <f>-SUM(Y500:Y501)*Assumptions!$BT$178</f>
        <v>0</v>
      </c>
      <c r="Z473" s="972">
        <f>-SUM(Z500:Z501)*Assumptions!$BT$178</f>
        <v>0</v>
      </c>
      <c r="AA473" s="151"/>
      <c r="AB473" s="151"/>
      <c r="AC473" s="151"/>
      <c r="AD473" s="151"/>
      <c r="AE473" s="151"/>
    </row>
    <row r="474" spans="1:31" ht="15.75">
      <c r="A474" s="699"/>
      <c r="B474" s="151" t="s">
        <v>1234</v>
      </c>
      <c r="C474" s="151"/>
      <c r="D474" s="948"/>
      <c r="E474" s="948"/>
      <c r="F474" s="972">
        <f ca="1">+IF(YEAR(F$427)&lt;=YEAR(Assumptions!$G$35),F337+F265+F219+F149,0)</f>
        <v>0</v>
      </c>
      <c r="G474" s="972">
        <f ca="1">+IF(YEAR(G$427)&lt;=YEAR(Assumptions!$G$35),G337+G265+G219+G149,0)</f>
        <v>0</v>
      </c>
      <c r="H474" s="972">
        <f ca="1">+IF(YEAR(H$427)&lt;=YEAR(Assumptions!$G$35),H337+H265+H219+H149,0)</f>
        <v>0</v>
      </c>
      <c r="I474" s="972">
        <f ca="1">+IF(YEAR(I$427)&lt;=YEAR(Assumptions!$G$35),I337+I265+I219+I149,0)</f>
        <v>-17553596.858517036</v>
      </c>
      <c r="J474" s="972">
        <f ca="1">+IF(YEAR(J$427)&lt;=YEAR(Assumptions!$G$35),J337+J265+J219+J149,0)</f>
        <v>-4809205.851375958</v>
      </c>
      <c r="K474" s="972">
        <f ca="1">+IF(YEAR(K$427)&lt;=YEAR(Assumptions!$G$35),K337+K265+K219+K149,0)</f>
        <v>3831454.3700697683</v>
      </c>
      <c r="L474" s="972">
        <f ca="1">+IF(YEAR(L$427)&lt;=YEAR(Assumptions!$G$35),L337+L265+L219+L149,0)</f>
        <v>5403807.7384106982</v>
      </c>
      <c r="M474" s="972">
        <f ca="1">+IF(YEAR(M$427)&lt;=YEAR(Assumptions!$G$35),M337+M265+M219+M149,0)</f>
        <v>5745796.7207894195</v>
      </c>
      <c r="N474" s="972">
        <f>+IF(YEAR(N$427)&lt;=YEAR(Assumptions!$G$35),N337+N265+N219+N149,0)</f>
        <v>0</v>
      </c>
      <c r="O474" s="972">
        <f>+IF(YEAR(O$427)&lt;=YEAR(Assumptions!$G$35),O337+O265+O219+O149,0)</f>
        <v>0</v>
      </c>
      <c r="P474" s="972">
        <f>+IF(YEAR(P$427)&lt;=YEAR(Assumptions!$G$35),P337+P265+P219+P149,0)</f>
        <v>0</v>
      </c>
      <c r="Q474" s="972">
        <f>+IF(YEAR(Q$427)&lt;=YEAR(Assumptions!$G$35),Q337+Q265+Q219+Q149,0)</f>
        <v>0</v>
      </c>
      <c r="R474" s="972">
        <f>+IF(YEAR(R$427)&lt;=YEAR(Assumptions!$G$35),R337+R265+R219+R149,0)</f>
        <v>0</v>
      </c>
      <c r="S474" s="972">
        <f>+IF(YEAR(S$427)&lt;=YEAR(Assumptions!$G$35),S337+S265+S219+S149,0)</f>
        <v>0</v>
      </c>
      <c r="T474" s="972">
        <f>+IF(YEAR(T$427)&lt;=YEAR(Assumptions!$G$35),T337+T265+T219+T149,0)</f>
        <v>0</v>
      </c>
      <c r="U474" s="972">
        <f>+IF(YEAR(U$427)&lt;=YEAR(Assumptions!$G$35),U337+U265+U219+U149,0)</f>
        <v>0</v>
      </c>
      <c r="V474" s="972">
        <f>+IF(YEAR(V$427)&lt;=YEAR(Assumptions!$G$35),V337+V265+V219+V149,0)</f>
        <v>0</v>
      </c>
      <c r="W474" s="972">
        <f>+IF(YEAR(W$427)&lt;=YEAR(Assumptions!$G$35),W337+W265+W219+W149,0)</f>
        <v>0</v>
      </c>
      <c r="X474" s="972">
        <f>+IF(YEAR(X$427)&lt;=YEAR(Assumptions!$G$35),X337+X265+X219+X149,0)</f>
        <v>0</v>
      </c>
      <c r="Y474" s="972">
        <f>+IF(YEAR(Y$427)&lt;=YEAR(Assumptions!$G$35),Y337+Y265+Y219+Y149,0)</f>
        <v>0</v>
      </c>
      <c r="Z474" s="972">
        <f>+IF(YEAR(Z$427)&lt;=YEAR(Assumptions!$G$35),Z337+Z265+Z219+Z149,0)</f>
        <v>0</v>
      </c>
      <c r="AA474" s="151"/>
      <c r="AB474" s="151"/>
      <c r="AC474" s="151"/>
      <c r="AD474" s="151"/>
      <c r="AE474" s="151"/>
    </row>
    <row r="475" spans="1:31" ht="15.75">
      <c r="A475" s="699"/>
      <c r="B475" s="151" t="s">
        <v>1235</v>
      </c>
      <c r="C475" s="151"/>
      <c r="D475" s="948"/>
      <c r="E475" s="948"/>
      <c r="F475" s="972">
        <f>-IF(YEAR(F$427)&lt;=YEAR(Assumptions!$G$35),F503,0)</f>
        <v>0</v>
      </c>
      <c r="G475" s="972">
        <f>-IF(YEAR(G$427)&lt;=YEAR(Assumptions!$G$35),G503,0)</f>
        <v>0</v>
      </c>
      <c r="H475" s="972">
        <f>-IF(YEAR(H$427)&lt;=YEAR(Assumptions!$G$35),H503,0)</f>
        <v>0</v>
      </c>
      <c r="I475" s="972">
        <f ca="1">-IF(YEAR(I$427)&lt;=YEAR(Assumptions!$G$35),I503,0)</f>
        <v>0</v>
      </c>
      <c r="J475" s="972">
        <f>-IF(YEAR(J$427)&lt;=YEAR(Assumptions!$G$35),J503,0)</f>
        <v>0</v>
      </c>
      <c r="K475" s="972">
        <f>-IF(YEAR(K$427)&lt;=YEAR(Assumptions!$G$35),K503,0)</f>
        <v>0</v>
      </c>
      <c r="L475" s="972">
        <f>-IF(YEAR(L$427)&lt;=YEAR(Assumptions!$G$35),L503,0)</f>
        <v>0</v>
      </c>
      <c r="M475" s="972">
        <f ca="1">-IF(YEAR(M$427)&lt;=YEAR(Assumptions!$G$35),M503,0)</f>
        <v>218874164.77066448</v>
      </c>
      <c r="N475" s="972">
        <f>-IF(YEAR(N$427)&lt;=YEAR(Assumptions!$G$35),N503,0)</f>
        <v>0</v>
      </c>
      <c r="O475" s="972">
        <f>-IF(YEAR(O$427)&lt;=YEAR(Assumptions!$G$35),O503,0)</f>
        <v>0</v>
      </c>
      <c r="P475" s="972">
        <f>-IF(YEAR(P$427)&lt;=YEAR(Assumptions!$G$35),P503,0)</f>
        <v>0</v>
      </c>
      <c r="Q475" s="972">
        <f>+IF(YEAR(Q$427)&lt;=YEAR(Assumptions!$G$35),Q503,0)</f>
        <v>0</v>
      </c>
      <c r="R475" s="972">
        <f>+IF(YEAR(R$427)&lt;=YEAR(Assumptions!$G$35),R503,0)</f>
        <v>0</v>
      </c>
      <c r="S475" s="972">
        <f>+IF(YEAR(S$427)&lt;=YEAR(Assumptions!$G$35),S503,0)</f>
        <v>0</v>
      </c>
      <c r="T475" s="972">
        <f>+IF(YEAR(T$427)&lt;=YEAR(Assumptions!$G$35),T503,0)</f>
        <v>0</v>
      </c>
      <c r="U475" s="972">
        <f>+IF(YEAR(U$427)&lt;=YEAR(Assumptions!$G$35),U503,0)</f>
        <v>0</v>
      </c>
      <c r="V475" s="972">
        <f>+IF(YEAR(V$427)&lt;=YEAR(Assumptions!$G$35),V503,0)</f>
        <v>0</v>
      </c>
      <c r="W475" s="972">
        <f>+IF(YEAR(W$427)&lt;=YEAR(Assumptions!$G$35),W503,0)</f>
        <v>0</v>
      </c>
      <c r="X475" s="972">
        <f>+IF(YEAR(X$427)&lt;=YEAR(Assumptions!$G$35),X503,0)</f>
        <v>0</v>
      </c>
      <c r="Y475" s="972">
        <f>+IF(YEAR(Y$427)&lt;=YEAR(Assumptions!$G$35),Y503,0)</f>
        <v>0</v>
      </c>
      <c r="Z475" s="972">
        <f>+IF(YEAR(Z$427)&lt;=YEAR(Assumptions!$G$35),Z503,0)</f>
        <v>0</v>
      </c>
      <c r="AA475" s="151"/>
      <c r="AB475" s="151"/>
      <c r="AC475" s="151"/>
      <c r="AD475" s="151"/>
      <c r="AE475" s="151"/>
    </row>
    <row r="476" spans="1:31" ht="15.75">
      <c r="A476" s="699" t="s">
        <v>511</v>
      </c>
      <c r="B476" s="151" t="s">
        <v>1218</v>
      </c>
      <c r="C476" s="151"/>
      <c r="D476" s="948"/>
      <c r="E476" s="948"/>
      <c r="F476" s="972">
        <f>-F504*Assumptions!$BT$178</f>
        <v>0</v>
      </c>
      <c r="G476" s="972">
        <f>-G504*Assumptions!$BT$178</f>
        <v>0</v>
      </c>
      <c r="H476" s="972">
        <f>-H504*Assumptions!$BT$178</f>
        <v>0</v>
      </c>
      <c r="I476" s="972">
        <f>-I504*Assumptions!$BT$178</f>
        <v>0</v>
      </c>
      <c r="J476" s="972">
        <f>-J504*Assumptions!$BT$178</f>
        <v>0</v>
      </c>
      <c r="K476" s="972">
        <f>-K504*Assumptions!$BT$178</f>
        <v>0</v>
      </c>
      <c r="L476" s="972">
        <f>-L504*Assumptions!$BT$178</f>
        <v>0</v>
      </c>
      <c r="M476" s="972" t="e">
        <f ca="1">-M504*Assumptions!$BT$178</f>
        <v>#DIV/0!</v>
      </c>
      <c r="N476" s="972">
        <f>-N504*Assumptions!$BT$178</f>
        <v>0</v>
      </c>
      <c r="O476" s="972">
        <f>-O504*Assumptions!$BT$178</f>
        <v>0</v>
      </c>
      <c r="P476" s="972">
        <f>-P504*Assumptions!$BT$178</f>
        <v>0</v>
      </c>
      <c r="Q476" s="972">
        <f>-Q504*Assumptions!$BT$178</f>
        <v>0</v>
      </c>
      <c r="R476" s="972">
        <f>-R504*Assumptions!$BT$178</f>
        <v>0</v>
      </c>
      <c r="S476" s="972">
        <f>-S504*Assumptions!$BT$178</f>
        <v>0</v>
      </c>
      <c r="T476" s="972">
        <f>-T504*Assumptions!$BT$178</f>
        <v>0</v>
      </c>
      <c r="U476" s="972">
        <f>-U504*Assumptions!$BT$178</f>
        <v>0</v>
      </c>
      <c r="V476" s="972">
        <f>-V504*Assumptions!$BT$178</f>
        <v>0</v>
      </c>
      <c r="W476" s="972">
        <f>-W504*Assumptions!$BT$178</f>
        <v>0</v>
      </c>
      <c r="X476" s="972">
        <f>-X504*Assumptions!$BT$178</f>
        <v>0</v>
      </c>
      <c r="Y476" s="972">
        <f>-Y504*Assumptions!$BT$178</f>
        <v>0</v>
      </c>
      <c r="Z476" s="972">
        <f>-Z504*Assumptions!$BT$178</f>
        <v>0</v>
      </c>
      <c r="AA476" s="151"/>
      <c r="AB476" s="151"/>
      <c r="AC476" s="151"/>
      <c r="AD476" s="151"/>
      <c r="AE476" s="151"/>
    </row>
    <row r="477" spans="1:31" ht="15.75">
      <c r="A477" s="699"/>
      <c r="B477" s="718" t="s">
        <v>1211</v>
      </c>
      <c r="C477" s="718"/>
      <c r="D477" s="948" t="e">
        <f ca="1">+SUM(F477:Z477)</f>
        <v>#DIV/0!</v>
      </c>
      <c r="E477" s="948"/>
      <c r="F477" s="948">
        <f ca="1">+SUM(F470:F476)</f>
        <v>-29640547.373204827</v>
      </c>
      <c r="G477" s="948">
        <f t="shared" ref="G477:Z477" ca="1" si="221">+SUM(G470:G476)</f>
        <v>0</v>
      </c>
      <c r="H477" s="948">
        <f t="shared" ca="1" si="221"/>
        <v>0</v>
      </c>
      <c r="I477" s="948">
        <f t="shared" ca="1" si="221"/>
        <v>-17553596.858517036</v>
      </c>
      <c r="J477" s="948" t="e">
        <f t="shared" ca="1" si="221"/>
        <v>#DIV/0!</v>
      </c>
      <c r="K477" s="948" t="e">
        <f t="shared" ca="1" si="221"/>
        <v>#DIV/0!</v>
      </c>
      <c r="L477" s="948" t="e">
        <f t="shared" ca="1" si="221"/>
        <v>#DIV/0!</v>
      </c>
      <c r="M477" s="948" t="e">
        <f t="shared" ca="1" si="221"/>
        <v>#DIV/0!</v>
      </c>
      <c r="N477" s="948">
        <f t="shared" ca="1" si="221"/>
        <v>0</v>
      </c>
      <c r="O477" s="948">
        <f t="shared" ca="1" si="221"/>
        <v>0</v>
      </c>
      <c r="P477" s="948">
        <f t="shared" ca="1" si="221"/>
        <v>0</v>
      </c>
      <c r="Q477" s="948">
        <f t="shared" ca="1" si="221"/>
        <v>0</v>
      </c>
      <c r="R477" s="948">
        <f t="shared" ca="1" si="221"/>
        <v>0</v>
      </c>
      <c r="S477" s="948">
        <f t="shared" ca="1" si="221"/>
        <v>0</v>
      </c>
      <c r="T477" s="948">
        <f t="shared" ca="1" si="221"/>
        <v>0</v>
      </c>
      <c r="U477" s="948">
        <f t="shared" ca="1" si="221"/>
        <v>0</v>
      </c>
      <c r="V477" s="948">
        <f t="shared" ca="1" si="221"/>
        <v>0</v>
      </c>
      <c r="W477" s="948">
        <f t="shared" ca="1" si="221"/>
        <v>0</v>
      </c>
      <c r="X477" s="948">
        <f t="shared" ca="1" si="221"/>
        <v>0</v>
      </c>
      <c r="Y477" s="948">
        <f t="shared" ca="1" si="221"/>
        <v>0</v>
      </c>
      <c r="Z477" s="948">
        <f t="shared" ca="1" si="221"/>
        <v>0</v>
      </c>
      <c r="AA477" s="151"/>
      <c r="AB477" s="151"/>
      <c r="AC477" s="151"/>
      <c r="AD477" s="151"/>
      <c r="AE477" s="151"/>
    </row>
    <row r="478" spans="1:31" ht="15.75">
      <c r="A478" s="699"/>
      <c r="B478" s="718"/>
      <c r="C478" s="151"/>
      <c r="D478" s="151"/>
      <c r="E478" s="151"/>
      <c r="F478" s="151"/>
      <c r="G478" s="151"/>
      <c r="H478" s="151"/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</row>
    <row r="479" spans="1:31" ht="15.75">
      <c r="A479" s="699"/>
      <c r="B479" s="718" t="s">
        <v>1236</v>
      </c>
      <c r="C479" s="718"/>
      <c r="D479" s="966" t="e">
        <f ca="1">+IRR(F477:Z477)</f>
        <v>#VALUE!</v>
      </c>
      <c r="E479" s="151"/>
      <c r="F479" s="151"/>
      <c r="G479" s="946"/>
      <c r="H479" s="151"/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</row>
    <row r="480" spans="1:31" ht="15.75">
      <c r="A480" s="699"/>
      <c r="B480" s="718"/>
      <c r="C480" s="151"/>
      <c r="D480" s="748"/>
      <c r="E480" s="151"/>
      <c r="F480" s="151"/>
      <c r="G480" s="151"/>
      <c r="H480" s="151"/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</row>
    <row r="481" spans="2:31" ht="15.75">
      <c r="B481" s="718" t="s">
        <v>1237</v>
      </c>
      <c r="C481" s="151"/>
      <c r="D481" s="151"/>
      <c r="E481" s="151"/>
      <c r="F481" s="718">
        <f>+F469</f>
        <v>0</v>
      </c>
      <c r="G481" s="718">
        <f t="shared" ref="G481:Z482" si="222">+G469</f>
        <v>1</v>
      </c>
      <c r="H481" s="718">
        <f t="shared" si="222"/>
        <v>2</v>
      </c>
      <c r="I481" s="718">
        <f t="shared" si="222"/>
        <v>3</v>
      </c>
      <c r="J481" s="718">
        <f t="shared" si="222"/>
        <v>4</v>
      </c>
      <c r="K481" s="718">
        <f t="shared" si="222"/>
        <v>5</v>
      </c>
      <c r="L481" s="718">
        <f t="shared" si="222"/>
        <v>6</v>
      </c>
      <c r="M481" s="718">
        <f t="shared" si="222"/>
        <v>7</v>
      </c>
      <c r="N481" s="718">
        <f t="shared" si="222"/>
        <v>8</v>
      </c>
      <c r="O481" s="718">
        <f t="shared" si="222"/>
        <v>9</v>
      </c>
      <c r="P481" s="718">
        <f t="shared" si="222"/>
        <v>10</v>
      </c>
      <c r="Q481" s="718">
        <f t="shared" si="222"/>
        <v>11</v>
      </c>
      <c r="R481" s="718">
        <f t="shared" si="222"/>
        <v>12</v>
      </c>
      <c r="S481" s="718">
        <f t="shared" si="222"/>
        <v>13</v>
      </c>
      <c r="T481" s="718">
        <f t="shared" si="222"/>
        <v>14</v>
      </c>
      <c r="U481" s="718">
        <f t="shared" si="222"/>
        <v>15</v>
      </c>
      <c r="V481" s="718">
        <f t="shared" si="222"/>
        <v>16</v>
      </c>
      <c r="W481" s="718">
        <f t="shared" si="222"/>
        <v>17</v>
      </c>
      <c r="X481" s="718">
        <f t="shared" si="222"/>
        <v>18</v>
      </c>
      <c r="Y481" s="718">
        <f t="shared" si="222"/>
        <v>19</v>
      </c>
      <c r="Z481" s="718">
        <f t="shared" si="222"/>
        <v>20</v>
      </c>
      <c r="AA481" s="151"/>
      <c r="AB481" s="151"/>
      <c r="AC481" s="151"/>
      <c r="AD481" s="151"/>
      <c r="AE481" s="151"/>
    </row>
    <row r="482" spans="2:31" ht="15.75">
      <c r="B482" s="151" t="s">
        <v>1212</v>
      </c>
      <c r="C482" s="151"/>
      <c r="D482" s="948"/>
      <c r="E482" s="948"/>
      <c r="F482" s="946">
        <f ca="1">+F470</f>
        <v>-29640547.373204827</v>
      </c>
      <c r="G482" s="946">
        <f t="shared" ca="1" si="222"/>
        <v>0</v>
      </c>
      <c r="H482" s="946">
        <f t="shared" ca="1" si="222"/>
        <v>0</v>
      </c>
      <c r="I482" s="946">
        <f t="shared" ca="1" si="222"/>
        <v>0</v>
      </c>
      <c r="J482" s="946">
        <f t="shared" ca="1" si="222"/>
        <v>0</v>
      </c>
      <c r="K482" s="946">
        <f t="shared" ca="1" si="222"/>
        <v>0</v>
      </c>
      <c r="L482" s="946">
        <f t="shared" ca="1" si="222"/>
        <v>0</v>
      </c>
      <c r="M482" s="946">
        <f t="shared" ca="1" si="222"/>
        <v>0</v>
      </c>
      <c r="N482" s="946">
        <f t="shared" ca="1" si="222"/>
        <v>0</v>
      </c>
      <c r="O482" s="946">
        <f t="shared" ca="1" si="222"/>
        <v>0</v>
      </c>
      <c r="P482" s="946">
        <f t="shared" ca="1" si="222"/>
        <v>0</v>
      </c>
      <c r="Q482" s="946">
        <f t="shared" ca="1" si="222"/>
        <v>0</v>
      </c>
      <c r="R482" s="946">
        <f t="shared" ca="1" si="222"/>
        <v>0</v>
      </c>
      <c r="S482" s="946">
        <f t="shared" ca="1" si="222"/>
        <v>0</v>
      </c>
      <c r="T482" s="946">
        <f t="shared" ca="1" si="222"/>
        <v>0</v>
      </c>
      <c r="U482" s="946">
        <f t="shared" ca="1" si="222"/>
        <v>0</v>
      </c>
      <c r="V482" s="946">
        <f t="shared" ca="1" si="222"/>
        <v>0</v>
      </c>
      <c r="W482" s="946">
        <f t="shared" ca="1" si="222"/>
        <v>0</v>
      </c>
      <c r="X482" s="946">
        <f t="shared" ca="1" si="222"/>
        <v>0</v>
      </c>
      <c r="Y482" s="946">
        <f t="shared" ca="1" si="222"/>
        <v>0</v>
      </c>
      <c r="Z482" s="946">
        <f t="shared" ca="1" si="222"/>
        <v>0</v>
      </c>
      <c r="AA482" s="151"/>
      <c r="AB482" s="151"/>
      <c r="AC482" s="151"/>
      <c r="AD482" s="151"/>
      <c r="AE482" s="151"/>
    </row>
    <row r="483" spans="2:31" ht="15.75">
      <c r="B483" s="151" t="s">
        <v>1213</v>
      </c>
      <c r="C483" s="151"/>
      <c r="D483" s="948"/>
      <c r="E483" s="948"/>
      <c r="F483" s="972">
        <f ca="1">-F482*Assumptions!$BT$178</f>
        <v>0</v>
      </c>
      <c r="G483" s="972">
        <f ca="1">-G482*Assumptions!$BT$178</f>
        <v>0</v>
      </c>
      <c r="H483" s="972">
        <f ca="1">-H482*Assumptions!$BT$178</f>
        <v>0</v>
      </c>
      <c r="I483" s="972">
        <f ca="1">-I482*Assumptions!$BT$178</f>
        <v>0</v>
      </c>
      <c r="J483" s="972">
        <f ca="1">-J482*Assumptions!$BT$178</f>
        <v>0</v>
      </c>
      <c r="K483" s="972">
        <f ca="1">-K482*Assumptions!$BT$178</f>
        <v>0</v>
      </c>
      <c r="L483" s="972">
        <f ca="1">-L482*Assumptions!$BT$178</f>
        <v>0</v>
      </c>
      <c r="M483" s="972">
        <f ca="1">-M482*Assumptions!$BT$178</f>
        <v>0</v>
      </c>
      <c r="N483" s="972">
        <f ca="1">-N482*Assumptions!$BT$178</f>
        <v>0</v>
      </c>
      <c r="O483" s="972">
        <f ca="1">-O482*Assumptions!$BT$178</f>
        <v>0</v>
      </c>
      <c r="P483" s="972">
        <f ca="1">-P482*Assumptions!$BT$178</f>
        <v>0</v>
      </c>
      <c r="Q483" s="972">
        <f ca="1">-Q482*Assumptions!$BT$178</f>
        <v>0</v>
      </c>
      <c r="R483" s="972">
        <f ca="1">-R482*Assumptions!$BT$178</f>
        <v>0</v>
      </c>
      <c r="S483" s="972">
        <f ca="1">-S482*Assumptions!$BT$178</f>
        <v>0</v>
      </c>
      <c r="T483" s="972">
        <f ca="1">-T482*Assumptions!$BT$178</f>
        <v>0</v>
      </c>
      <c r="U483" s="972">
        <f ca="1">-U482*Assumptions!$BT$178</f>
        <v>0</v>
      </c>
      <c r="V483" s="972">
        <f ca="1">-V482*Assumptions!$BT$178</f>
        <v>0</v>
      </c>
      <c r="W483" s="972">
        <f ca="1">-W482*Assumptions!$BT$178</f>
        <v>0</v>
      </c>
      <c r="X483" s="972">
        <f ca="1">-X482*Assumptions!$BT$178</f>
        <v>0</v>
      </c>
      <c r="Y483" s="972">
        <f ca="1">-Y482*Assumptions!$BT$178</f>
        <v>0</v>
      </c>
      <c r="Z483" s="972">
        <f ca="1">-Z482*Assumptions!$BT$178</f>
        <v>0</v>
      </c>
      <c r="AA483" s="151"/>
      <c r="AB483" s="151"/>
      <c r="AC483" s="151"/>
      <c r="AD483" s="151"/>
      <c r="AE483" s="151"/>
    </row>
    <row r="484" spans="2:31" ht="15.75">
      <c r="B484" s="151" t="s">
        <v>1214</v>
      </c>
      <c r="C484" s="151"/>
      <c r="D484" s="948"/>
      <c r="E484" s="948"/>
      <c r="F484" s="972">
        <f ca="1">IFERROR(-IF(YEAR(F467)&lt;MIN(YEAR(Assumptions!$G$35),2026),(OFFSET('Phase 2 Pro Forma'!F483,0,-10)),IF(YEAR('Phase 2 Pro Forma'!F467)=MIN(YEAR(Assumptions!$G$35),2026),SUM('Phase 2 Pro Forma'!$E$483:F$483)-SUM($E$484:E$484),0)),0)</f>
        <v>0</v>
      </c>
      <c r="G484" s="972">
        <f ca="1">IFERROR(-IF(YEAR(G467)&lt;MIN(YEAR(Assumptions!$G$35),2026),(OFFSET('Phase 2 Pro Forma'!G483,0,-10)),IF(YEAR('Phase 2 Pro Forma'!G467)=MIN(YEAR(Assumptions!$G$35),2026),SUM('Phase 2 Pro Forma'!$E$483:G$483)-SUM($E$484:F$484),0)),0)</f>
        <v>0</v>
      </c>
      <c r="H484" s="972">
        <f ca="1">IFERROR(-IF(YEAR(H467)&lt;MIN(YEAR(Assumptions!$G$35),2026),(OFFSET('Phase 2 Pro Forma'!H483,0,-10)),IF(YEAR('Phase 2 Pro Forma'!H467)=MIN(YEAR(Assumptions!$G$35),2026),SUM('Phase 2 Pro Forma'!$E$483:H$483)-SUM($E$484:G$484),0)),0)</f>
        <v>0</v>
      </c>
      <c r="I484" s="972">
        <f ca="1">IFERROR(-IF(YEAR(I467)&lt;MIN(YEAR(Assumptions!$G$35),2026),(OFFSET('Phase 2 Pro Forma'!I483,0,-10)),IF(YEAR('Phase 2 Pro Forma'!I467)=MIN(YEAR(Assumptions!$G$35),2026),SUM('Phase 2 Pro Forma'!$E$483:I$483)-SUM($E$484:H$484),0)),0)</f>
        <v>0</v>
      </c>
      <c r="J484" s="972">
        <f ca="1">IFERROR(-IF(YEAR(J467)&lt;MIN(YEAR(Assumptions!$G$35),2026),(OFFSET('Phase 2 Pro Forma'!J483,0,-10)),IF(YEAR('Phase 2 Pro Forma'!J467)=MIN(YEAR(Assumptions!$G$35),2026),SUM('Phase 2 Pro Forma'!$E$483:J$483)-SUM($E$484:I$484),0)),0)</f>
        <v>0</v>
      </c>
      <c r="K484" s="972">
        <f ca="1">IFERROR(-IF(YEAR(K467)&lt;MIN(YEAR(Assumptions!$G$35),2026),(OFFSET('Phase 2 Pro Forma'!K483,0,-10)),IF(YEAR('Phase 2 Pro Forma'!K467)=MIN(YEAR(Assumptions!$G$35),2026),SUM('Phase 2 Pro Forma'!$E$483:K$483)-SUM($E$484:J$484),0)),0)</f>
        <v>0</v>
      </c>
      <c r="L484" s="972">
        <f ca="1">IFERROR(-IF(YEAR(L467)&lt;MIN(YEAR(Assumptions!$G$35),2026),(OFFSET('Phase 2 Pro Forma'!L483,0,-10)),IF(YEAR('Phase 2 Pro Forma'!L467)=MIN(YEAR(Assumptions!$G$35),2026),SUM('Phase 2 Pro Forma'!$E$483:L$483)-SUM($E$484:K$484),0)),0)</f>
        <v>0</v>
      </c>
      <c r="M484" s="972">
        <f ca="1">IFERROR(-IF(YEAR(M467)&lt;MIN(YEAR(Assumptions!$G$35),2026),(OFFSET('Phase 2 Pro Forma'!M483,0,-10)),IF(YEAR('Phase 2 Pro Forma'!M467)=MIN(YEAR(Assumptions!$G$35),2026),SUM('Phase 2 Pro Forma'!$E$483:M$483)-SUM($E$484:L$484),0)),0)</f>
        <v>0</v>
      </c>
      <c r="N484" s="972">
        <f ca="1">IFERROR(-IF(YEAR(N467)&lt;MIN(YEAR(Assumptions!$G$35),2026),(OFFSET('Phase 2 Pro Forma'!N483,0,-10)),IF(YEAR('Phase 2 Pro Forma'!N467)=MIN(YEAR(Assumptions!$G$35),2026),SUM('Phase 2 Pro Forma'!$E$483:N$483)-SUM($E$484:M$484),0)),0)</f>
        <v>0</v>
      </c>
      <c r="O484" s="972">
        <f ca="1">IFERROR(-IF(YEAR(O467)&lt;MIN(YEAR(Assumptions!$G$35),2026),(OFFSET('Phase 2 Pro Forma'!O483,0,-10)),IF(YEAR('Phase 2 Pro Forma'!O467)=MIN(YEAR(Assumptions!$G$35),2026),SUM('Phase 2 Pro Forma'!$E$483:O$483)-SUM($E$484:N$484),0)),0)</f>
        <v>0</v>
      </c>
      <c r="P484" s="972">
        <f ca="1">IFERROR(-IF(YEAR(P467)&lt;MIN(YEAR(Assumptions!$G$35),2026),(OFFSET('Phase 2 Pro Forma'!P483,0,-10)),IF(YEAR('Phase 2 Pro Forma'!P467)=MIN(YEAR(Assumptions!$G$35),2026),SUM('Phase 2 Pro Forma'!$E$483:P$483)-SUM($E$484:O$484),0)),0)</f>
        <v>0</v>
      </c>
      <c r="Q484" s="972">
        <f ca="1">IFERROR(-IF(YEAR(Q467)&lt;MIN(YEAR(Assumptions!$G$35),2026),(OFFSET('Phase 2 Pro Forma'!Q483,0,-10)),IF(YEAR('Phase 2 Pro Forma'!Q467)=MIN(YEAR(Assumptions!$G$35),2026),SUM('Phase 2 Pro Forma'!$E$483:Q$483)-SUM($E$484:P$484),0)),0)</f>
        <v>0</v>
      </c>
      <c r="R484" s="972">
        <f ca="1">IFERROR(-IF(YEAR(R467)&lt;MIN(YEAR(Assumptions!$G$35),2026),(OFFSET('Phase 2 Pro Forma'!R483,0,-10)),IF(YEAR('Phase 2 Pro Forma'!R467)=MIN(YEAR(Assumptions!$G$35),2026),SUM('Phase 2 Pro Forma'!$E$483:R$483)-SUM($E$484:Q$484),0)),0)</f>
        <v>0</v>
      </c>
      <c r="S484" s="972">
        <f ca="1">IFERROR(-IF(YEAR(S467)&lt;MIN(YEAR(Assumptions!$G$35),2026),(OFFSET('Phase 2 Pro Forma'!S483,0,-10)),IF(YEAR('Phase 2 Pro Forma'!S467)=MIN(YEAR(Assumptions!$G$35),2026),SUM('Phase 2 Pro Forma'!$E$483:S$483)-SUM($E$484:R$484),0)),0)</f>
        <v>0</v>
      </c>
      <c r="T484" s="972">
        <f ca="1">IFERROR(-IF(YEAR(T467)&lt;MIN(YEAR(Assumptions!$G$35),2026),(OFFSET('Phase 2 Pro Forma'!T483,0,-10)),IF(YEAR('Phase 2 Pro Forma'!T467)=MIN(YEAR(Assumptions!$G$35),2026),SUM('Phase 2 Pro Forma'!$E$483:T$483)-SUM($E$484:S$484),0)),0)</f>
        <v>0</v>
      </c>
      <c r="U484" s="972">
        <f ca="1">IFERROR(-IF(YEAR(U467)&lt;MIN(YEAR(Assumptions!$G$35),2026),(OFFSET('Phase 2 Pro Forma'!U483,0,-10)),IF(YEAR('Phase 2 Pro Forma'!U467)=MIN(YEAR(Assumptions!$G$35),2026),SUM('Phase 2 Pro Forma'!$E$483:U$483)-SUM($E$484:T$484),0)),0)</f>
        <v>0</v>
      </c>
      <c r="V484" s="972">
        <f ca="1">IFERROR(-IF(YEAR(V467)&lt;MIN(YEAR(Assumptions!$G$35),2026),(OFFSET('Phase 2 Pro Forma'!V483,0,-10)),IF(YEAR('Phase 2 Pro Forma'!V467)=MIN(YEAR(Assumptions!$G$35),2026),SUM('Phase 2 Pro Forma'!$E$483:V$483)-SUM($E$484:U$484),0)),0)</f>
        <v>0</v>
      </c>
      <c r="W484" s="972">
        <f ca="1">IFERROR(-IF(YEAR(W467)&lt;MIN(YEAR(Assumptions!$G$35),2026),(OFFSET('Phase 2 Pro Forma'!W483,0,-10)),IF(YEAR('Phase 2 Pro Forma'!W467)=MIN(YEAR(Assumptions!$G$35),2026),SUM('Phase 2 Pro Forma'!$E$483:W$483)-SUM($E$484:V$484),0)),0)</f>
        <v>0</v>
      </c>
      <c r="X484" s="972">
        <f ca="1">IFERROR(-IF(YEAR(X467)&lt;MIN(YEAR(Assumptions!$G$35),2026),(OFFSET('Phase 2 Pro Forma'!X483,0,-10)),IF(YEAR('Phase 2 Pro Forma'!X467)=MIN(YEAR(Assumptions!$G$35),2026),SUM('Phase 2 Pro Forma'!$E$483:X$483)-SUM($E$484:W$484),0)),0)</f>
        <v>0</v>
      </c>
      <c r="Y484" s="972">
        <f ca="1">IFERROR(-IF(YEAR(Y467)&lt;MIN(YEAR(Assumptions!$G$35),2026),(OFFSET('Phase 2 Pro Forma'!Y483,0,-10)),IF(YEAR('Phase 2 Pro Forma'!Y467)=MIN(YEAR(Assumptions!$G$35),2026),SUM('Phase 2 Pro Forma'!$E$483:Y$483)-SUM($E$484:X$484),0)),0)</f>
        <v>0</v>
      </c>
      <c r="Z484" s="972">
        <f ca="1">IFERROR(-IF(YEAR(Z467)&lt;MIN(YEAR(Assumptions!$G$35),2026),(OFFSET('Phase 2 Pro Forma'!Z483,0,-10)),IF(YEAR('Phase 2 Pro Forma'!Z467)=MIN(YEAR(Assumptions!$G$35),2026),SUM('Phase 2 Pro Forma'!$E$483:Z$483)-SUM($E$484:Y$484),0)),0)</f>
        <v>0</v>
      </c>
      <c r="AA484" s="151"/>
      <c r="AB484" s="151"/>
      <c r="AC484" s="151"/>
      <c r="AD484" s="151"/>
      <c r="AE484" s="151"/>
    </row>
    <row r="485" spans="2:31" ht="15.75">
      <c r="B485" s="151" t="s">
        <v>1221</v>
      </c>
      <c r="C485" s="151"/>
      <c r="D485" s="948"/>
      <c r="E485" s="948"/>
      <c r="F485" s="972">
        <f ca="1">+IF(YEAR(F467)=MIN(YEAR(Assumptions!$G$35),2026),SUM('Phase 2 Pro Forma'!$F$495:$Z$495),0)</f>
        <v>0</v>
      </c>
      <c r="G485" s="972">
        <f>+IF(YEAR(G467)=MIN(YEAR(Assumptions!$G$35),2026),SUM('Phase 2 Pro Forma'!$F$495:$Z$495),0)</f>
        <v>0</v>
      </c>
      <c r="H485" s="972">
        <f>+IF(YEAR(H467)=MIN(YEAR(Assumptions!$G$35),2026),SUM('Phase 2 Pro Forma'!$F$495:$Z$495),0)</f>
        <v>0</v>
      </c>
      <c r="I485" s="972">
        <f>+IF(YEAR(I467)=MIN(YEAR(Assumptions!$G$35),2026),SUM('Phase 2 Pro Forma'!$F$495:$Z$495),0)</f>
        <v>0</v>
      </c>
      <c r="J485" s="972">
        <f>+IF(YEAR(J467)=MIN(YEAR(Assumptions!$G$35),2026),SUM('Phase 2 Pro Forma'!$F$495:$Z$495),0)</f>
        <v>0</v>
      </c>
      <c r="K485" s="972">
        <f>+IF(YEAR(K467)=MIN(YEAR(Assumptions!$G$35),2026),SUM('Phase 2 Pro Forma'!$F$495:$Z$495),0)</f>
        <v>0</v>
      </c>
      <c r="L485" s="972">
        <f>+IF(YEAR(L467)=MIN(YEAR(Assumptions!$G$35),2026),SUM('Phase 2 Pro Forma'!$F$495:$Z$495),0)</f>
        <v>0</v>
      </c>
      <c r="M485" s="972">
        <f>+IF(YEAR(M467)=MIN(YEAR(Assumptions!$G$35),2026),SUM('Phase 2 Pro Forma'!$F$495:$Z$495),0)</f>
        <v>0</v>
      </c>
      <c r="N485" s="972">
        <f>+IF(YEAR(N467)=MIN(YEAR(Assumptions!$G$35),2026),SUM('Phase 2 Pro Forma'!$F$495:$Z$495),0)</f>
        <v>0</v>
      </c>
      <c r="O485" s="972">
        <f>+IF(YEAR(O467)=MIN(YEAR(Assumptions!$G$35),2026),SUM('Phase 2 Pro Forma'!$F$495:$Z$495),0)</f>
        <v>0</v>
      </c>
      <c r="P485" s="972">
        <f>+IF(YEAR(P467)=MIN(YEAR(Assumptions!$G$35),2026),SUM('Phase 2 Pro Forma'!$F$495:$Z$495),0)</f>
        <v>0</v>
      </c>
      <c r="Q485" s="972">
        <f>+IF(YEAR(Q467)=MIN(YEAR(Assumptions!$G$35),2026),SUM('Phase 2 Pro Forma'!$F$495:$Z$495),0)</f>
        <v>0</v>
      </c>
      <c r="R485" s="972">
        <f>+IF(YEAR(R467)=MIN(YEAR(Assumptions!$G$35),2026),SUM('Phase 2 Pro Forma'!$F$495:$Z$495),0)</f>
        <v>0</v>
      </c>
      <c r="S485" s="972">
        <f>+IF(YEAR(S467)=MIN(YEAR(Assumptions!$G$35),2026),SUM('Phase 2 Pro Forma'!$F$495:$Z$495),0)</f>
        <v>0</v>
      </c>
      <c r="T485" s="972">
        <f>+IF(YEAR(T467)=MIN(YEAR(Assumptions!$G$35),2026),SUM('Phase 2 Pro Forma'!$F$495:$Z$495),0)</f>
        <v>0</v>
      </c>
      <c r="U485" s="972">
        <f>+IF(YEAR(U467)=MIN(YEAR(Assumptions!$G$35),2026),SUM('Phase 2 Pro Forma'!$F$495:$Z$495),0)</f>
        <v>0</v>
      </c>
      <c r="V485" s="972">
        <f>+IF(YEAR(V467)=MIN(YEAR(Assumptions!$G$35),2026),SUM('Phase 2 Pro Forma'!$F$495:$Z$495),0)</f>
        <v>0</v>
      </c>
      <c r="W485" s="972">
        <f>+IF(YEAR(W467)=MIN(YEAR(Assumptions!$G$35),2026),SUM('Phase 2 Pro Forma'!$F$495:$Z$495),0)</f>
        <v>0</v>
      </c>
      <c r="X485" s="972">
        <f>+IF(YEAR(X467)=MIN(YEAR(Assumptions!$G$35),2026),SUM('Phase 2 Pro Forma'!$F$495:$Z$495),0)</f>
        <v>0</v>
      </c>
      <c r="Y485" s="972">
        <f>+IF(YEAR(Y467)=MIN(YEAR(Assumptions!$G$35),2026),SUM('Phase 2 Pro Forma'!$F$495:$Z$495),0)</f>
        <v>0</v>
      </c>
      <c r="Z485" s="972">
        <f>+IF(YEAR(Z467)=MIN(YEAR(Assumptions!$G$35),2026),SUM('Phase 2 Pro Forma'!$F$495:$Z$495),0)</f>
        <v>0</v>
      </c>
      <c r="AA485" s="151"/>
      <c r="AB485" s="151"/>
      <c r="AC485" s="151"/>
      <c r="AD485" s="151"/>
      <c r="AE485" s="151"/>
    </row>
    <row r="486" spans="2:31" ht="15.75">
      <c r="B486" s="151" t="s">
        <v>1233</v>
      </c>
      <c r="C486" s="151"/>
      <c r="D486" s="948"/>
      <c r="E486" s="948"/>
      <c r="F486" s="972">
        <f ca="1">+F473</f>
        <v>0</v>
      </c>
      <c r="G486" s="972">
        <f t="shared" ref="G486:Z488" ca="1" si="223">+G473</f>
        <v>0</v>
      </c>
      <c r="H486" s="972">
        <f t="shared" ca="1" si="223"/>
        <v>0</v>
      </c>
      <c r="I486" s="972">
        <f t="shared" ca="1" si="223"/>
        <v>0</v>
      </c>
      <c r="J486" s="972" t="e">
        <f t="shared" ca="1" si="223"/>
        <v>#DIV/0!</v>
      </c>
      <c r="K486" s="972" t="e">
        <f t="shared" ca="1" si="223"/>
        <v>#DIV/0!</v>
      </c>
      <c r="L486" s="972" t="e">
        <f t="shared" ca="1" si="223"/>
        <v>#DIV/0!</v>
      </c>
      <c r="M486" s="972" t="e">
        <f t="shared" ca="1" si="223"/>
        <v>#DIV/0!</v>
      </c>
      <c r="N486" s="972">
        <f t="shared" si="223"/>
        <v>0</v>
      </c>
      <c r="O486" s="972">
        <f t="shared" si="223"/>
        <v>0</v>
      </c>
      <c r="P486" s="972">
        <f t="shared" si="223"/>
        <v>0</v>
      </c>
      <c r="Q486" s="972">
        <f t="shared" si="223"/>
        <v>0</v>
      </c>
      <c r="R486" s="972">
        <f t="shared" si="223"/>
        <v>0</v>
      </c>
      <c r="S486" s="972">
        <f t="shared" si="223"/>
        <v>0</v>
      </c>
      <c r="T486" s="972">
        <f t="shared" si="223"/>
        <v>0</v>
      </c>
      <c r="U486" s="972">
        <f t="shared" si="223"/>
        <v>0</v>
      </c>
      <c r="V486" s="972">
        <f t="shared" si="223"/>
        <v>0</v>
      </c>
      <c r="W486" s="972">
        <f t="shared" si="223"/>
        <v>0</v>
      </c>
      <c r="X486" s="972">
        <f t="shared" si="223"/>
        <v>0</v>
      </c>
      <c r="Y486" s="972">
        <f t="shared" si="223"/>
        <v>0</v>
      </c>
      <c r="Z486" s="972">
        <f t="shared" si="223"/>
        <v>0</v>
      </c>
      <c r="AA486" s="151"/>
      <c r="AB486" s="151"/>
      <c r="AC486" s="151"/>
      <c r="AD486" s="151"/>
      <c r="AE486" s="151"/>
    </row>
    <row r="487" spans="2:31" ht="15.75">
      <c r="B487" s="151" t="s">
        <v>1234</v>
      </c>
      <c r="C487" s="151"/>
      <c r="D487" s="948"/>
      <c r="E487" s="948"/>
      <c r="F487" s="972">
        <f ca="1">+F474</f>
        <v>0</v>
      </c>
      <c r="G487" s="972">
        <f t="shared" ca="1" si="223"/>
        <v>0</v>
      </c>
      <c r="H487" s="972">
        <f t="shared" ca="1" si="223"/>
        <v>0</v>
      </c>
      <c r="I487" s="972">
        <f t="shared" ca="1" si="223"/>
        <v>-17553596.858517036</v>
      </c>
      <c r="J487" s="972">
        <f t="shared" ca="1" si="223"/>
        <v>-4809205.851375958</v>
      </c>
      <c r="K487" s="972">
        <f t="shared" ca="1" si="223"/>
        <v>3831454.3700697683</v>
      </c>
      <c r="L487" s="972">
        <f t="shared" ca="1" si="223"/>
        <v>5403807.7384106982</v>
      </c>
      <c r="M487" s="972">
        <f t="shared" ca="1" si="223"/>
        <v>5745796.7207894195</v>
      </c>
      <c r="N487" s="972">
        <f t="shared" si="223"/>
        <v>0</v>
      </c>
      <c r="O487" s="972">
        <f t="shared" si="223"/>
        <v>0</v>
      </c>
      <c r="P487" s="972">
        <f t="shared" si="223"/>
        <v>0</v>
      </c>
      <c r="Q487" s="972">
        <f t="shared" si="223"/>
        <v>0</v>
      </c>
      <c r="R487" s="972">
        <f t="shared" si="223"/>
        <v>0</v>
      </c>
      <c r="S487" s="972">
        <f t="shared" si="223"/>
        <v>0</v>
      </c>
      <c r="T487" s="972">
        <f t="shared" si="223"/>
        <v>0</v>
      </c>
      <c r="U487" s="972">
        <f t="shared" si="223"/>
        <v>0</v>
      </c>
      <c r="V487" s="972">
        <f t="shared" si="223"/>
        <v>0</v>
      </c>
      <c r="W487" s="972">
        <f t="shared" si="223"/>
        <v>0</v>
      </c>
      <c r="X487" s="972">
        <f t="shared" si="223"/>
        <v>0</v>
      </c>
      <c r="Y487" s="972">
        <f t="shared" si="223"/>
        <v>0</v>
      </c>
      <c r="Z487" s="972">
        <f t="shared" si="223"/>
        <v>0</v>
      </c>
      <c r="AA487" s="151"/>
      <c r="AB487" s="151"/>
      <c r="AC487" s="151"/>
      <c r="AD487" s="151"/>
      <c r="AE487" s="151"/>
    </row>
    <row r="488" spans="2:31" ht="15.75">
      <c r="B488" s="151" t="s">
        <v>1235</v>
      </c>
      <c r="C488" s="151"/>
      <c r="D488" s="948"/>
      <c r="E488" s="948"/>
      <c r="F488" s="972">
        <f>+F475</f>
        <v>0</v>
      </c>
      <c r="G488" s="972">
        <f t="shared" si="223"/>
        <v>0</v>
      </c>
      <c r="H488" s="972">
        <f t="shared" si="223"/>
        <v>0</v>
      </c>
      <c r="I488" s="972">
        <f t="shared" ca="1" si="223"/>
        <v>0</v>
      </c>
      <c r="J488" s="972">
        <f t="shared" si="223"/>
        <v>0</v>
      </c>
      <c r="K488" s="972">
        <f t="shared" si="223"/>
        <v>0</v>
      </c>
      <c r="L488" s="972">
        <f t="shared" si="223"/>
        <v>0</v>
      </c>
      <c r="M488" s="972">
        <f t="shared" ca="1" si="223"/>
        <v>218874164.77066448</v>
      </c>
      <c r="N488" s="972">
        <f t="shared" si="223"/>
        <v>0</v>
      </c>
      <c r="O488" s="972">
        <f t="shared" si="223"/>
        <v>0</v>
      </c>
      <c r="P488" s="972">
        <f t="shared" si="223"/>
        <v>0</v>
      </c>
      <c r="Q488" s="972">
        <f t="shared" si="223"/>
        <v>0</v>
      </c>
      <c r="R488" s="972">
        <f t="shared" si="223"/>
        <v>0</v>
      </c>
      <c r="S488" s="972">
        <f t="shared" si="223"/>
        <v>0</v>
      </c>
      <c r="T488" s="972">
        <f t="shared" si="223"/>
        <v>0</v>
      </c>
      <c r="U488" s="972">
        <f t="shared" si="223"/>
        <v>0</v>
      </c>
      <c r="V488" s="972">
        <f t="shared" si="223"/>
        <v>0</v>
      </c>
      <c r="W488" s="972">
        <f t="shared" si="223"/>
        <v>0</v>
      </c>
      <c r="X488" s="972">
        <f t="shared" si="223"/>
        <v>0</v>
      </c>
      <c r="Y488" s="972">
        <f t="shared" si="223"/>
        <v>0</v>
      </c>
      <c r="Z488" s="972">
        <f t="shared" si="223"/>
        <v>0</v>
      </c>
      <c r="AA488" s="151"/>
      <c r="AB488" s="151"/>
      <c r="AC488" s="151"/>
      <c r="AD488" s="151"/>
      <c r="AE488" s="151"/>
    </row>
    <row r="489" spans="2:31" ht="15.75">
      <c r="B489" s="151" t="s">
        <v>1218</v>
      </c>
      <c r="C489" s="151"/>
      <c r="D489" s="948"/>
      <c r="E489" s="948"/>
      <c r="F489" s="972">
        <f>+IF(F469&gt;=10,0,F476)</f>
        <v>0</v>
      </c>
      <c r="G489" s="972">
        <f t="shared" ref="G489:Z489" si="224">+IF(G469&gt;=10,0,G476)</f>
        <v>0</v>
      </c>
      <c r="H489" s="972">
        <f t="shared" si="224"/>
        <v>0</v>
      </c>
      <c r="I489" s="972">
        <f t="shared" si="224"/>
        <v>0</v>
      </c>
      <c r="J489" s="972">
        <f t="shared" si="224"/>
        <v>0</v>
      </c>
      <c r="K489" s="972">
        <f t="shared" si="224"/>
        <v>0</v>
      </c>
      <c r="L489" s="972">
        <f t="shared" si="224"/>
        <v>0</v>
      </c>
      <c r="M489" s="972" t="e">
        <f t="shared" ca="1" si="224"/>
        <v>#DIV/0!</v>
      </c>
      <c r="N489" s="972">
        <f t="shared" si="224"/>
        <v>0</v>
      </c>
      <c r="O489" s="972">
        <f t="shared" si="224"/>
        <v>0</v>
      </c>
      <c r="P489" s="972">
        <f t="shared" si="224"/>
        <v>0</v>
      </c>
      <c r="Q489" s="972">
        <f t="shared" si="224"/>
        <v>0</v>
      </c>
      <c r="R489" s="972">
        <f t="shared" si="224"/>
        <v>0</v>
      </c>
      <c r="S489" s="972">
        <f t="shared" si="224"/>
        <v>0</v>
      </c>
      <c r="T489" s="972">
        <f t="shared" si="224"/>
        <v>0</v>
      </c>
      <c r="U489" s="972">
        <f t="shared" si="224"/>
        <v>0</v>
      </c>
      <c r="V489" s="972">
        <f t="shared" si="224"/>
        <v>0</v>
      </c>
      <c r="W489" s="972">
        <f t="shared" si="224"/>
        <v>0</v>
      </c>
      <c r="X489" s="972">
        <f t="shared" si="224"/>
        <v>0</v>
      </c>
      <c r="Y489" s="972">
        <f t="shared" si="224"/>
        <v>0</v>
      </c>
      <c r="Z489" s="972">
        <f t="shared" si="224"/>
        <v>0</v>
      </c>
      <c r="AA489" s="151"/>
      <c r="AB489" s="151"/>
      <c r="AC489" s="151"/>
      <c r="AD489" s="151"/>
      <c r="AE489" s="151"/>
    </row>
    <row r="490" spans="2:31" ht="15.75">
      <c r="B490" s="718" t="s">
        <v>1220</v>
      </c>
      <c r="C490" s="718"/>
      <c r="D490" s="948" t="e">
        <f ca="1">+SUM(F490:Z490)</f>
        <v>#DIV/0!</v>
      </c>
      <c r="E490" s="948"/>
      <c r="F490" s="948">
        <f ca="1">+SUM(F482:F489)</f>
        <v>-29640547.373204827</v>
      </c>
      <c r="G490" s="948">
        <f t="shared" ref="G490:Z490" ca="1" si="225">+SUM(G482:G489)</f>
        <v>0</v>
      </c>
      <c r="H490" s="948">
        <f t="shared" ca="1" si="225"/>
        <v>0</v>
      </c>
      <c r="I490" s="948">
        <f t="shared" ca="1" si="225"/>
        <v>-17553596.858517036</v>
      </c>
      <c r="J490" s="948" t="e">
        <f t="shared" ca="1" si="225"/>
        <v>#DIV/0!</v>
      </c>
      <c r="K490" s="948" t="e">
        <f t="shared" ca="1" si="225"/>
        <v>#DIV/0!</v>
      </c>
      <c r="L490" s="948" t="e">
        <f t="shared" ca="1" si="225"/>
        <v>#DIV/0!</v>
      </c>
      <c r="M490" s="948" t="e">
        <f t="shared" ca="1" si="225"/>
        <v>#DIV/0!</v>
      </c>
      <c r="N490" s="948">
        <f t="shared" ca="1" si="225"/>
        <v>0</v>
      </c>
      <c r="O490" s="948">
        <f t="shared" ca="1" si="225"/>
        <v>0</v>
      </c>
      <c r="P490" s="948">
        <f t="shared" ca="1" si="225"/>
        <v>0</v>
      </c>
      <c r="Q490" s="948">
        <f t="shared" ca="1" si="225"/>
        <v>0</v>
      </c>
      <c r="R490" s="948">
        <f t="shared" ca="1" si="225"/>
        <v>0</v>
      </c>
      <c r="S490" s="948">
        <f t="shared" ca="1" si="225"/>
        <v>0</v>
      </c>
      <c r="T490" s="948">
        <f t="shared" ca="1" si="225"/>
        <v>0</v>
      </c>
      <c r="U490" s="948">
        <f t="shared" ca="1" si="225"/>
        <v>0</v>
      </c>
      <c r="V490" s="948">
        <f t="shared" ca="1" si="225"/>
        <v>0</v>
      </c>
      <c r="W490" s="948">
        <f t="shared" ca="1" si="225"/>
        <v>0</v>
      </c>
      <c r="X490" s="948">
        <f t="shared" ca="1" si="225"/>
        <v>0</v>
      </c>
      <c r="Y490" s="948">
        <f t="shared" ca="1" si="225"/>
        <v>0</v>
      </c>
      <c r="Z490" s="948">
        <f t="shared" ca="1" si="225"/>
        <v>0</v>
      </c>
      <c r="AA490" s="151"/>
      <c r="AB490" s="151"/>
      <c r="AC490" s="151"/>
      <c r="AD490" s="151"/>
      <c r="AE490" s="151"/>
    </row>
    <row r="491" spans="2:31" hidden="1">
      <c r="B491" s="151"/>
      <c r="C491" s="151"/>
      <c r="D491" s="151"/>
      <c r="E491" s="151"/>
      <c r="F491" s="151"/>
      <c r="G491" s="151"/>
      <c r="H491" s="151"/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</row>
    <row r="492" spans="2:31" ht="15.75">
      <c r="B492" s="718" t="s">
        <v>1238</v>
      </c>
      <c r="C492" s="718"/>
      <c r="D492" s="966" t="e">
        <f ca="1">+IRR(F490:Z490)</f>
        <v>#VALUE!</v>
      </c>
      <c r="E492" s="151"/>
      <c r="F492" s="151"/>
      <c r="G492" s="151"/>
      <c r="H492" s="151"/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</row>
    <row r="493" spans="2:31" ht="15.75">
      <c r="B493" s="718" t="s">
        <v>1239</v>
      </c>
      <c r="C493" s="151"/>
      <c r="D493" s="966" t="e">
        <f ca="1">+D492/(1-Assumptions!$BT$178)</f>
        <v>#VALUE!</v>
      </c>
      <c r="E493" s="151"/>
      <c r="F493" s="151"/>
      <c r="G493" s="151"/>
      <c r="H493" s="151"/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</row>
    <row r="494" spans="2:31">
      <c r="B494" s="151"/>
      <c r="C494" s="151"/>
      <c r="D494" s="151"/>
      <c r="E494" s="151"/>
      <c r="F494" s="151"/>
      <c r="G494" s="151"/>
      <c r="H494" s="151"/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</row>
    <row r="495" spans="2:31">
      <c r="B495" s="151" t="s">
        <v>1224</v>
      </c>
      <c r="C495" s="151"/>
      <c r="D495" s="151"/>
      <c r="E495" s="151"/>
      <c r="F495" s="972">
        <f ca="1">IFERROR(IF(YEAR(F467)&lt;=YEAR(Assumptions!$G$35),10%*(OFFSET('Phase 2 Pro Forma'!F483,0,-5))+5%*(OFFSET('Phase 2 Pro Forma'!F483,0,-7)),0),0)</f>
        <v>0</v>
      </c>
      <c r="G495" s="972">
        <f ca="1">IFERROR(IF(YEAR(G467)&lt;=YEAR(Assumptions!$G$35),10%*(OFFSET('Phase 2 Pro Forma'!G483,0,-5))+5%*(OFFSET('Phase 2 Pro Forma'!G483,0,-7)),0),0)</f>
        <v>0</v>
      </c>
      <c r="H495" s="972">
        <f ca="1">IFERROR(IF(YEAR(H467)&lt;=YEAR(Assumptions!$G$35),10%*(OFFSET('Phase 2 Pro Forma'!H483,0,-5))+5%*(OFFSET('Phase 2 Pro Forma'!H483,0,-7)),0),0)</f>
        <v>0</v>
      </c>
      <c r="I495" s="972">
        <f ca="1">IFERROR(IF(YEAR(I467)&lt;=YEAR(Assumptions!$G$35),10%*(OFFSET('Phase 2 Pro Forma'!I483,0,-5))+5%*(OFFSET('Phase 2 Pro Forma'!I483,0,-7)),0),0)</f>
        <v>0</v>
      </c>
      <c r="J495" s="972">
        <f ca="1">IFERROR(IF(YEAR(J467)&lt;=YEAR(Assumptions!$G$35),10%*(OFFSET('Phase 2 Pro Forma'!J483,0,-5))+5%*(OFFSET('Phase 2 Pro Forma'!J483,0,-7)),0),0)</f>
        <v>0</v>
      </c>
      <c r="K495" s="972">
        <f ca="1">IFERROR(IF(YEAR(K467)&lt;=YEAR(Assumptions!$G$35),10%*(OFFSET('Phase 2 Pro Forma'!K483,0,-5))+5%*(OFFSET('Phase 2 Pro Forma'!K483,0,-7)),0),0)</f>
        <v>0</v>
      </c>
      <c r="L495" s="972">
        <f ca="1">IFERROR(IF(YEAR(L467)&lt;=YEAR(Assumptions!$G$35),10%*(OFFSET('Phase 2 Pro Forma'!L483,0,-5))+5%*(OFFSET('Phase 2 Pro Forma'!L483,0,-7)),0),0)</f>
        <v>0</v>
      </c>
      <c r="M495" s="972">
        <f ca="1">IFERROR(IF(YEAR(M467)&lt;=YEAR(Assumptions!$G$35),10%*(OFFSET('Phase 2 Pro Forma'!M483,0,-5))+5%*(OFFSET('Phase 2 Pro Forma'!M483,0,-7)),0),0)</f>
        <v>0</v>
      </c>
      <c r="N495" s="972">
        <f ca="1">IFERROR(IF(YEAR(N467)&lt;=YEAR(Assumptions!$G$35),10%*(OFFSET('Phase 2 Pro Forma'!N483,0,-5))+5%*(OFFSET('Phase 2 Pro Forma'!N483,0,-7)),0),0)</f>
        <v>0</v>
      </c>
      <c r="O495" s="972">
        <f ca="1">IFERROR(IF(YEAR(O467)&lt;=YEAR(Assumptions!$G$35),10%*(OFFSET('Phase 2 Pro Forma'!O483,0,-5))+5%*(OFFSET('Phase 2 Pro Forma'!O483,0,-7)),0),0)</f>
        <v>0</v>
      </c>
      <c r="P495" s="972">
        <f ca="1">IFERROR(IF(YEAR(P467)&lt;=YEAR(Assumptions!$G$35),10%*(OFFSET('Phase 2 Pro Forma'!P483,0,-5))+5%*(OFFSET('Phase 2 Pro Forma'!P483,0,-7)),0),0)</f>
        <v>0</v>
      </c>
      <c r="Q495" s="972">
        <f ca="1">IFERROR(IF(YEAR(Q467)&lt;=YEAR(Assumptions!$G$35),10%*(OFFSET('Phase 2 Pro Forma'!Q483,0,-5))+5%*(OFFSET('Phase 2 Pro Forma'!Q483,0,-7)),0),0)</f>
        <v>0</v>
      </c>
      <c r="R495" s="972">
        <f ca="1">IFERROR(IF(YEAR(R467)&lt;=YEAR(Assumptions!$G$35),10%*(OFFSET('Phase 2 Pro Forma'!R483,0,-5))+5%*(OFFSET('Phase 2 Pro Forma'!R483,0,-7)),0),0)</f>
        <v>0</v>
      </c>
      <c r="S495" s="972">
        <f ca="1">IFERROR(IF(YEAR(S467)&lt;=YEAR(Assumptions!$G$35),10%*(OFFSET('Phase 2 Pro Forma'!S483,0,-5))+5%*(OFFSET('Phase 2 Pro Forma'!S483,0,-7)),0),0)</f>
        <v>0</v>
      </c>
      <c r="T495" s="972">
        <f ca="1">IFERROR(IF(YEAR(T467)&lt;=YEAR(Assumptions!$G$35),10%*(OFFSET('Phase 2 Pro Forma'!T483,0,-5))+5%*(OFFSET('Phase 2 Pro Forma'!T483,0,-7)),0),0)</f>
        <v>0</v>
      </c>
      <c r="U495" s="972">
        <f ca="1">IFERROR(IF(YEAR(U467)&lt;=YEAR(Assumptions!$G$35),10%*(OFFSET('Phase 2 Pro Forma'!U483,0,-5))+5%*(OFFSET('Phase 2 Pro Forma'!U483,0,-7)),0),0)</f>
        <v>0</v>
      </c>
      <c r="V495" s="972">
        <f ca="1">IFERROR(IF(YEAR(V467)&lt;=YEAR(Assumptions!$G$35),10%*(OFFSET('Phase 2 Pro Forma'!V483,0,-5))+5%*(OFFSET('Phase 2 Pro Forma'!V483,0,-7)),0),0)</f>
        <v>0</v>
      </c>
      <c r="W495" s="972">
        <f ca="1">IFERROR(IF(YEAR(W467)&lt;=YEAR(Assumptions!$G$35),10%*(OFFSET('Phase 2 Pro Forma'!W483,0,-5))+5%*(OFFSET('Phase 2 Pro Forma'!W483,0,-7)),0),0)</f>
        <v>0</v>
      </c>
      <c r="X495" s="972">
        <f ca="1">IFERROR(IF(YEAR(X467)&lt;=YEAR(Assumptions!$G$35),10%*(OFFSET('Phase 2 Pro Forma'!X483,0,-5))+5%*(OFFSET('Phase 2 Pro Forma'!X483,0,-7)),0),0)</f>
        <v>0</v>
      </c>
      <c r="Y495" s="972">
        <f ca="1">IFERROR(IF(YEAR(Y467)&lt;=YEAR(Assumptions!$G$35),10%*(OFFSET('Phase 2 Pro Forma'!Y483,0,-5))+5%*(OFFSET('Phase 2 Pro Forma'!Y483,0,-7)),0),0)</f>
        <v>0</v>
      </c>
      <c r="Z495" s="972">
        <f ca="1">IFERROR(IF(YEAR(Z467)&lt;=YEAR(Assumptions!$G$35),10%*(OFFSET('Phase 2 Pro Forma'!Z483,0,-5))+5%*(OFFSET('Phase 2 Pro Forma'!Z483,0,-7)),0),0)</f>
        <v>0</v>
      </c>
      <c r="AA495" s="151"/>
      <c r="AB495" s="151"/>
      <c r="AC495" s="151"/>
      <c r="AD495" s="151"/>
      <c r="AE495" s="151"/>
    </row>
    <row r="496" spans="2:31">
      <c r="B496" s="151"/>
      <c r="C496" s="151"/>
      <c r="D496" s="151"/>
      <c r="E496" s="151"/>
      <c r="F496" s="151"/>
      <c r="G496" s="151"/>
      <c r="H496" s="151"/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</row>
    <row r="497" spans="2:31" ht="15.75">
      <c r="B497" s="718" t="s">
        <v>1225</v>
      </c>
      <c r="C497" s="151"/>
      <c r="D497" s="151"/>
      <c r="E497" s="151"/>
      <c r="F497" s="151"/>
      <c r="G497" s="151"/>
      <c r="H497" s="151"/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</row>
    <row r="498" spans="2:31" ht="15.75">
      <c r="B498" s="151" t="s">
        <v>1226</v>
      </c>
      <c r="C498" s="151"/>
      <c r="D498" s="948" t="e">
        <f ca="1">+SUM(F498:Z498)</f>
        <v>#DIV/0!</v>
      </c>
      <c r="E498" s="948"/>
      <c r="F498" s="946">
        <v>0</v>
      </c>
      <c r="G498" s="946">
        <f ca="1">+F505</f>
        <v>29640547.373204827</v>
      </c>
      <c r="H498" s="946">
        <f t="shared" ref="H498:Z498" ca="1" si="226">+G505</f>
        <v>29640547.373204827</v>
      </c>
      <c r="I498" s="946">
        <f t="shared" ca="1" si="226"/>
        <v>29640547.373204827</v>
      </c>
      <c r="J498" s="946">
        <f t="shared" ca="1" si="226"/>
        <v>36228946.205960564</v>
      </c>
      <c r="K498" s="946" t="e">
        <f t="shared" ca="1" si="226"/>
        <v>#DIV/0!</v>
      </c>
      <c r="L498" s="946" t="e">
        <f t="shared" ca="1" si="226"/>
        <v>#DIV/0!</v>
      </c>
      <c r="M498" s="946" t="e">
        <f t="shared" ca="1" si="226"/>
        <v>#DIV/0!</v>
      </c>
      <c r="N498" s="946" t="e">
        <f t="shared" ca="1" si="226"/>
        <v>#DIV/0!</v>
      </c>
      <c r="O498" s="946" t="e">
        <f t="shared" ca="1" si="226"/>
        <v>#DIV/0!</v>
      </c>
      <c r="P498" s="946" t="e">
        <f t="shared" ca="1" si="226"/>
        <v>#DIV/0!</v>
      </c>
      <c r="Q498" s="946" t="e">
        <f t="shared" ca="1" si="226"/>
        <v>#DIV/0!</v>
      </c>
      <c r="R498" s="946" t="e">
        <f t="shared" ca="1" si="226"/>
        <v>#DIV/0!</v>
      </c>
      <c r="S498" s="946" t="e">
        <f t="shared" ca="1" si="226"/>
        <v>#DIV/0!</v>
      </c>
      <c r="T498" s="946" t="e">
        <f t="shared" ca="1" si="226"/>
        <v>#DIV/0!</v>
      </c>
      <c r="U498" s="946" t="e">
        <f t="shared" ca="1" si="226"/>
        <v>#DIV/0!</v>
      </c>
      <c r="V498" s="946" t="e">
        <f t="shared" ca="1" si="226"/>
        <v>#DIV/0!</v>
      </c>
      <c r="W498" s="946" t="e">
        <f t="shared" ca="1" si="226"/>
        <v>#DIV/0!</v>
      </c>
      <c r="X498" s="946" t="e">
        <f t="shared" ca="1" si="226"/>
        <v>#DIV/0!</v>
      </c>
      <c r="Y498" s="946" t="e">
        <f t="shared" ca="1" si="226"/>
        <v>#DIV/0!</v>
      </c>
      <c r="Z498" s="946" t="e">
        <f t="shared" ca="1" si="226"/>
        <v>#DIV/0!</v>
      </c>
      <c r="AA498" s="151"/>
      <c r="AB498" s="151"/>
      <c r="AC498" s="151"/>
      <c r="AD498" s="151"/>
      <c r="AE498" s="151"/>
    </row>
    <row r="499" spans="2:31" ht="15.75">
      <c r="B499" s="151" t="s">
        <v>1212</v>
      </c>
      <c r="C499" s="151"/>
      <c r="D499" s="948">
        <f t="shared" ref="D499:D505" ca="1" si="227">+SUM(F499:Z499)</f>
        <v>29640547.373204827</v>
      </c>
      <c r="E499" s="948"/>
      <c r="F499" s="972">
        <f ca="1">-F470</f>
        <v>29640547.373204827</v>
      </c>
      <c r="G499" s="972">
        <f t="shared" ref="G499:Z499" ca="1" si="228">-G470</f>
        <v>0</v>
      </c>
      <c r="H499" s="972">
        <f t="shared" ca="1" si="228"/>
        <v>0</v>
      </c>
      <c r="I499" s="972">
        <f t="shared" ca="1" si="228"/>
        <v>0</v>
      </c>
      <c r="J499" s="972">
        <f t="shared" ca="1" si="228"/>
        <v>0</v>
      </c>
      <c r="K499" s="972">
        <f t="shared" ca="1" si="228"/>
        <v>0</v>
      </c>
      <c r="L499" s="972">
        <f t="shared" ca="1" si="228"/>
        <v>0</v>
      </c>
      <c r="M499" s="972">
        <f t="shared" ca="1" si="228"/>
        <v>0</v>
      </c>
      <c r="N499" s="972">
        <f t="shared" ca="1" si="228"/>
        <v>0</v>
      </c>
      <c r="O499" s="972">
        <f t="shared" ca="1" si="228"/>
        <v>0</v>
      </c>
      <c r="P499" s="972">
        <f t="shared" ca="1" si="228"/>
        <v>0</v>
      </c>
      <c r="Q499" s="972">
        <f t="shared" ca="1" si="228"/>
        <v>0</v>
      </c>
      <c r="R499" s="972">
        <f t="shared" ca="1" si="228"/>
        <v>0</v>
      </c>
      <c r="S499" s="972">
        <f t="shared" ca="1" si="228"/>
        <v>0</v>
      </c>
      <c r="T499" s="972">
        <f t="shared" ca="1" si="228"/>
        <v>0</v>
      </c>
      <c r="U499" s="972">
        <f t="shared" ca="1" si="228"/>
        <v>0</v>
      </c>
      <c r="V499" s="972">
        <f t="shared" ca="1" si="228"/>
        <v>0</v>
      </c>
      <c r="W499" s="972">
        <f t="shared" ca="1" si="228"/>
        <v>0</v>
      </c>
      <c r="X499" s="972">
        <f t="shared" ca="1" si="228"/>
        <v>0</v>
      </c>
      <c r="Y499" s="972">
        <f t="shared" ca="1" si="228"/>
        <v>0</v>
      </c>
      <c r="Z499" s="972">
        <f t="shared" ca="1" si="228"/>
        <v>0</v>
      </c>
      <c r="AA499" s="151"/>
      <c r="AB499" s="151"/>
      <c r="AC499" s="151"/>
      <c r="AD499" s="151"/>
      <c r="AE499" s="151"/>
    </row>
    <row r="500" spans="2:31" ht="15.75">
      <c r="B500" s="151" t="s">
        <v>1240</v>
      </c>
      <c r="C500" s="151"/>
      <c r="D500" s="948">
        <f t="shared" ca="1" si="227"/>
        <v>17500770.111647457</v>
      </c>
      <c r="E500" s="948"/>
      <c r="F500" s="972">
        <f ca="1">+IF(F467&lt;=Assumptions!$G$35,'Phase 2 Pro Forma'!F460-F259-F213-F143,0)</f>
        <v>0</v>
      </c>
      <c r="G500" s="972">
        <f ca="1">+IF(G467&lt;=Assumptions!$G$35,'Phase 2 Pro Forma'!G460-G259-G213-G143,0)</f>
        <v>0</v>
      </c>
      <c r="H500" s="972">
        <f ca="1">+IF(H467&lt;=Assumptions!$G$35,'Phase 2 Pro Forma'!H460-H259-H213-H143,0)</f>
        <v>0</v>
      </c>
      <c r="I500" s="972">
        <f ca="1">+IF(I467&lt;=Assumptions!$G$35,'Phase 2 Pro Forma'!I460-I259-I213-I143,0)</f>
        <v>-10965198.025761297</v>
      </c>
      <c r="J500" s="972">
        <f ca="1">+IF(J467&lt;=Assumptions!$G$35,'Phase 2 Pro Forma'!J460-J259-J213-J143,0)</f>
        <v>-533072.63876385614</v>
      </c>
      <c r="K500" s="972">
        <f ca="1">+IF(K467&lt;=Assumptions!$G$35,'Phase 2 Pro Forma'!K460-K259-K213-K143,0)</f>
        <v>8300013.5772494152</v>
      </c>
      <c r="L500" s="972">
        <f ca="1">+IF(L467&lt;=Assumptions!$G$35,'Phase 2 Pro Forma'!L460-L259-L213-L143,0)</f>
        <v>10073452.109913429</v>
      </c>
      <c r="M500" s="972">
        <f ca="1">+IF(M467&lt;=Assumptions!$G$35,'Phase 2 Pro Forma'!M460-M259-M213-M143,0)</f>
        <v>10625575.089009773</v>
      </c>
      <c r="N500" s="972">
        <f>+IF(N467&lt;=Assumptions!$G$35,'Phase 2 Pro Forma'!N460-N259-N213-N143,0)</f>
        <v>0</v>
      </c>
      <c r="O500" s="972">
        <f>+IF(O467&lt;=Assumptions!$G$35,'Phase 2 Pro Forma'!O460-O259-O213-O143,0)</f>
        <v>0</v>
      </c>
      <c r="P500" s="972">
        <f>+IF(P467&lt;=Assumptions!$G$35,'Phase 2 Pro Forma'!P460-P259-P213-P143,0)</f>
        <v>0</v>
      </c>
      <c r="Q500" s="972">
        <f>+IF(Q467&lt;=Assumptions!$G$35,'Phase 2 Pro Forma'!Q460-Q259-Q213-Q143,0)</f>
        <v>0</v>
      </c>
      <c r="R500" s="972">
        <f>+IF(R467&lt;=Assumptions!$G$35,'Phase 2 Pro Forma'!R460-R259-R213-R143,0)</f>
        <v>0</v>
      </c>
      <c r="S500" s="972">
        <f>+IF(S467&lt;=Assumptions!$G$35,'Phase 2 Pro Forma'!S460-S259-S213-S143,0)</f>
        <v>0</v>
      </c>
      <c r="T500" s="972">
        <f>+IF(T467&lt;=Assumptions!$G$35,'Phase 2 Pro Forma'!T460-T259-T213-T143,0)</f>
        <v>0</v>
      </c>
      <c r="U500" s="972">
        <f>+IF(U467&lt;=Assumptions!$G$35,'Phase 2 Pro Forma'!U460-U259-U213-U143,0)</f>
        <v>0</v>
      </c>
      <c r="V500" s="972">
        <f>+IF(V467&lt;=Assumptions!$G$35,'Phase 2 Pro Forma'!V460-V259-V213-V143,0)</f>
        <v>0</v>
      </c>
      <c r="W500" s="972">
        <f>+IF(W467&lt;=Assumptions!$G$35,'Phase 2 Pro Forma'!W460-W259-W213-W143,0)</f>
        <v>0</v>
      </c>
      <c r="X500" s="972">
        <f>+IF(X467&lt;=Assumptions!$G$35,'Phase 2 Pro Forma'!X460-X259-X213-X143,0)</f>
        <v>0</v>
      </c>
      <c r="Y500" s="972">
        <f>+IF(Y467&lt;=Assumptions!$G$35,'Phase 2 Pro Forma'!Y460-Y259-Y213-Y143,0)</f>
        <v>0</v>
      </c>
      <c r="Z500" s="972">
        <f>+IF(Z467&lt;=Assumptions!$G$35,'Phase 2 Pro Forma'!Z460-Z259-Z213-Z143,0)</f>
        <v>0</v>
      </c>
      <c r="AA500" s="151"/>
      <c r="AB500" s="151"/>
      <c r="AC500" s="151"/>
      <c r="AD500" s="151"/>
      <c r="AE500" s="151"/>
    </row>
    <row r="501" spans="2:31" ht="15.75">
      <c r="B501" s="151" t="s">
        <v>1227</v>
      </c>
      <c r="C501" s="151"/>
      <c r="D501" s="948" t="e">
        <f t="shared" ca="1" si="227"/>
        <v>#DIV/0!</v>
      </c>
      <c r="E501" s="948"/>
      <c r="F501" s="972">
        <f>+F461</f>
        <v>0</v>
      </c>
      <c r="G501" s="972">
        <f t="shared" ref="G501:Z501" si="229">+G461</f>
        <v>0</v>
      </c>
      <c r="H501" s="972">
        <f t="shared" si="229"/>
        <v>0</v>
      </c>
      <c r="I501" s="972">
        <f t="shared" si="229"/>
        <v>0</v>
      </c>
      <c r="J501" s="972" t="e">
        <f t="shared" ca="1" si="229"/>
        <v>#DIV/0!</v>
      </c>
      <c r="K501" s="972" t="e">
        <f t="shared" ca="1" si="229"/>
        <v>#DIV/0!</v>
      </c>
      <c r="L501" s="972" t="e">
        <f t="shared" ca="1" si="229"/>
        <v>#DIV/0!</v>
      </c>
      <c r="M501" s="972" t="e">
        <f t="shared" ca="1" si="229"/>
        <v>#DIV/0!</v>
      </c>
      <c r="N501" s="972">
        <f t="shared" si="229"/>
        <v>0</v>
      </c>
      <c r="O501" s="972">
        <f t="shared" si="229"/>
        <v>0</v>
      </c>
      <c r="P501" s="972">
        <f t="shared" si="229"/>
        <v>0</v>
      </c>
      <c r="Q501" s="972">
        <f t="shared" si="229"/>
        <v>0</v>
      </c>
      <c r="R501" s="972">
        <f t="shared" si="229"/>
        <v>0</v>
      </c>
      <c r="S501" s="972">
        <f t="shared" si="229"/>
        <v>0</v>
      </c>
      <c r="T501" s="972">
        <f t="shared" si="229"/>
        <v>0</v>
      </c>
      <c r="U501" s="972">
        <f t="shared" si="229"/>
        <v>0</v>
      </c>
      <c r="V501" s="972">
        <f t="shared" si="229"/>
        <v>0</v>
      </c>
      <c r="W501" s="972">
        <f t="shared" si="229"/>
        <v>0</v>
      </c>
      <c r="X501" s="972">
        <f t="shared" si="229"/>
        <v>0</v>
      </c>
      <c r="Y501" s="972">
        <f t="shared" si="229"/>
        <v>0</v>
      </c>
      <c r="Z501" s="972">
        <f t="shared" si="229"/>
        <v>0</v>
      </c>
      <c r="AA501" s="151"/>
      <c r="AB501" s="151"/>
      <c r="AC501" s="151"/>
      <c r="AD501" s="151"/>
      <c r="AE501" s="151"/>
    </row>
    <row r="502" spans="2:31" ht="15.75">
      <c r="B502" s="151" t="s">
        <v>1234</v>
      </c>
      <c r="C502" s="151"/>
      <c r="D502" s="948">
        <f t="shared" ca="1" si="227"/>
        <v>7381743.8806231134</v>
      </c>
      <c r="E502" s="948"/>
      <c r="F502" s="972">
        <f ca="1">-F474</f>
        <v>0</v>
      </c>
      <c r="G502" s="972">
        <f t="shared" ref="G502:Z502" ca="1" si="230">-G474</f>
        <v>0</v>
      </c>
      <c r="H502" s="972">
        <f t="shared" ca="1" si="230"/>
        <v>0</v>
      </c>
      <c r="I502" s="972">
        <f t="shared" ca="1" si="230"/>
        <v>17553596.858517036</v>
      </c>
      <c r="J502" s="972">
        <f t="shared" ca="1" si="230"/>
        <v>4809205.851375958</v>
      </c>
      <c r="K502" s="972">
        <f t="shared" ca="1" si="230"/>
        <v>-3831454.3700697683</v>
      </c>
      <c r="L502" s="972">
        <f t="shared" ca="1" si="230"/>
        <v>-5403807.7384106982</v>
      </c>
      <c r="M502" s="972">
        <f t="shared" ca="1" si="230"/>
        <v>-5745796.7207894195</v>
      </c>
      <c r="N502" s="972">
        <f t="shared" si="230"/>
        <v>0</v>
      </c>
      <c r="O502" s="972">
        <f t="shared" si="230"/>
        <v>0</v>
      </c>
      <c r="P502" s="972">
        <f t="shared" si="230"/>
        <v>0</v>
      </c>
      <c r="Q502" s="972">
        <f t="shared" si="230"/>
        <v>0</v>
      </c>
      <c r="R502" s="972">
        <f t="shared" si="230"/>
        <v>0</v>
      </c>
      <c r="S502" s="972">
        <f t="shared" si="230"/>
        <v>0</v>
      </c>
      <c r="T502" s="972">
        <f t="shared" si="230"/>
        <v>0</v>
      </c>
      <c r="U502" s="972">
        <f t="shared" si="230"/>
        <v>0</v>
      </c>
      <c r="V502" s="972">
        <f t="shared" si="230"/>
        <v>0</v>
      </c>
      <c r="W502" s="972">
        <f t="shared" si="230"/>
        <v>0</v>
      </c>
      <c r="X502" s="972">
        <f t="shared" si="230"/>
        <v>0</v>
      </c>
      <c r="Y502" s="972">
        <f t="shared" si="230"/>
        <v>0</v>
      </c>
      <c r="Z502" s="972">
        <f t="shared" si="230"/>
        <v>0</v>
      </c>
      <c r="AA502" s="151"/>
      <c r="AB502" s="151"/>
      <c r="AC502" s="151"/>
      <c r="AD502" s="151"/>
      <c r="AE502" s="151"/>
    </row>
    <row r="503" spans="2:31" ht="15.75">
      <c r="B503" s="151" t="s">
        <v>1241</v>
      </c>
      <c r="C503" s="151"/>
      <c r="D503" s="948">
        <f t="shared" ca="1" si="227"/>
        <v>-218874164.77066448</v>
      </c>
      <c r="E503" s="948"/>
      <c r="F503" s="972">
        <f t="shared" ref="F503:Z503" si="231">-F271-F225-F156</f>
        <v>0</v>
      </c>
      <c r="G503" s="972">
        <f t="shared" si="231"/>
        <v>0</v>
      </c>
      <c r="H503" s="972">
        <f t="shared" si="231"/>
        <v>0</v>
      </c>
      <c r="I503" s="972">
        <f t="shared" ca="1" si="231"/>
        <v>0</v>
      </c>
      <c r="J503" s="972">
        <f t="shared" si="231"/>
        <v>0</v>
      </c>
      <c r="K503" s="972">
        <f t="shared" si="231"/>
        <v>0</v>
      </c>
      <c r="L503" s="972">
        <f t="shared" si="231"/>
        <v>0</v>
      </c>
      <c r="M503" s="972">
        <f t="shared" ca="1" si="231"/>
        <v>-218874164.77066451</v>
      </c>
      <c r="N503" s="972">
        <f t="shared" si="231"/>
        <v>0</v>
      </c>
      <c r="O503" s="972">
        <f t="shared" si="231"/>
        <v>0</v>
      </c>
      <c r="P503" s="972">
        <f t="shared" si="231"/>
        <v>0</v>
      </c>
      <c r="Q503" s="972">
        <f t="shared" si="231"/>
        <v>0</v>
      </c>
      <c r="R503" s="972">
        <f t="shared" si="231"/>
        <v>0</v>
      </c>
      <c r="S503" s="972">
        <f t="shared" si="231"/>
        <v>0</v>
      </c>
      <c r="T503" s="972">
        <f t="shared" si="231"/>
        <v>0</v>
      </c>
      <c r="U503" s="972">
        <f t="shared" si="231"/>
        <v>0</v>
      </c>
      <c r="V503" s="972">
        <f t="shared" si="231"/>
        <v>0</v>
      </c>
      <c r="W503" s="972">
        <f t="shared" si="231"/>
        <v>0</v>
      </c>
      <c r="X503" s="972">
        <f t="shared" si="231"/>
        <v>0</v>
      </c>
      <c r="Y503" s="972">
        <f t="shared" si="231"/>
        <v>0</v>
      </c>
      <c r="Z503" s="972">
        <f t="shared" si="231"/>
        <v>0</v>
      </c>
      <c r="AA503" s="151"/>
      <c r="AB503" s="151"/>
      <c r="AC503" s="151"/>
      <c r="AD503" s="151"/>
      <c r="AE503" s="151"/>
    </row>
    <row r="504" spans="2:31" ht="15.75">
      <c r="B504" s="151" t="s">
        <v>1229</v>
      </c>
      <c r="C504" s="151"/>
      <c r="D504" s="948" t="e">
        <f t="shared" ca="1" si="227"/>
        <v>#DIV/0!</v>
      </c>
      <c r="E504" s="948"/>
      <c r="F504" s="972">
        <f>-IF(YEAR(F467)=YEAR(Assumptions!$G$35),SUM('Phase 2 Pro Forma'!F498:F503),0)</f>
        <v>0</v>
      </c>
      <c r="G504" s="972">
        <f>-IF(YEAR(G467)=YEAR(Assumptions!$G$35),SUM('Phase 2 Pro Forma'!G498:G503),0)</f>
        <v>0</v>
      </c>
      <c r="H504" s="972">
        <f>-IF(YEAR(H467)=YEAR(Assumptions!$G$35),SUM('Phase 2 Pro Forma'!H498:H503),0)</f>
        <v>0</v>
      </c>
      <c r="I504" s="972">
        <f>-IF(YEAR(I467)=YEAR(Assumptions!$G$35),SUM('Phase 2 Pro Forma'!I498:I503),0)</f>
        <v>0</v>
      </c>
      <c r="J504" s="972">
        <f>-IF(YEAR(J467)=YEAR(Assumptions!$G$35),SUM('Phase 2 Pro Forma'!J498:J503),0)</f>
        <v>0</v>
      </c>
      <c r="K504" s="972">
        <f>-IF(YEAR(K467)=YEAR(Assumptions!$G$35),SUM('Phase 2 Pro Forma'!K498:K503),0)</f>
        <v>0</v>
      </c>
      <c r="L504" s="972">
        <f>-IF(YEAR(L467)=YEAR(Assumptions!$G$35),SUM('Phase 2 Pro Forma'!L498:L503),0)</f>
        <v>0</v>
      </c>
      <c r="M504" s="972" t="e">
        <f ca="1">-IF(YEAR(M467)=YEAR(Assumptions!$G$35),SUM('Phase 2 Pro Forma'!M498:M503),0)</f>
        <v>#DIV/0!</v>
      </c>
      <c r="N504" s="972">
        <f>-IF(YEAR(N467)=YEAR(Assumptions!$G$35),SUM('Phase 2 Pro Forma'!N498:N503),0)</f>
        <v>0</v>
      </c>
      <c r="O504" s="972">
        <f>-IF(YEAR(O467)=YEAR(Assumptions!$G$35),SUM('Phase 2 Pro Forma'!O498:O503),0)</f>
        <v>0</v>
      </c>
      <c r="P504" s="972">
        <f>-IF(YEAR(P467)=YEAR(Assumptions!$G$35),SUM('Phase 2 Pro Forma'!P498:P503),0)</f>
        <v>0</v>
      </c>
      <c r="Q504" s="972">
        <f>-IF(YEAR(Q467)=YEAR(Assumptions!$G$35),SUM('Phase 2 Pro Forma'!Q498:Q503),0)</f>
        <v>0</v>
      </c>
      <c r="R504" s="972">
        <f>-IF(YEAR(R467)=YEAR(Assumptions!$G$35),SUM('Phase 2 Pro Forma'!R498:R503),0)</f>
        <v>0</v>
      </c>
      <c r="S504" s="972">
        <f>-IF(YEAR(S467)=YEAR(Assumptions!$G$35),SUM('Phase 2 Pro Forma'!S498:S503),0)</f>
        <v>0</v>
      </c>
      <c r="T504" s="972">
        <f>-IF(YEAR(T467)=YEAR(Assumptions!$G$35),SUM('Phase 2 Pro Forma'!T498:T503),0)</f>
        <v>0</v>
      </c>
      <c r="U504" s="972">
        <f>-IF(YEAR(U467)=YEAR(Assumptions!$G$35),SUM('Phase 2 Pro Forma'!U498:U503),0)</f>
        <v>0</v>
      </c>
      <c r="V504" s="972">
        <f>-IF(YEAR(V467)=YEAR(Assumptions!$G$35),SUM('Phase 2 Pro Forma'!V498:V503),0)</f>
        <v>0</v>
      </c>
      <c r="W504" s="972">
        <f>-IF(YEAR(W467)=YEAR(Assumptions!$G$35),SUM('Phase 2 Pro Forma'!W498:W503),0)</f>
        <v>0</v>
      </c>
      <c r="X504" s="972">
        <f>-IF(YEAR(X467)=YEAR(Assumptions!$G$35),SUM('Phase 2 Pro Forma'!X498:X503),0)</f>
        <v>0</v>
      </c>
      <c r="Y504" s="972">
        <f>-IF(YEAR(Y467)=YEAR(Assumptions!$G$35),SUM('Phase 2 Pro Forma'!Y498:Y503),0)</f>
        <v>0</v>
      </c>
      <c r="Z504" s="972">
        <f>-IF(YEAR(Z467)=YEAR(Assumptions!$G$35),SUM('Phase 2 Pro Forma'!Z498:Z503),0)</f>
        <v>0</v>
      </c>
      <c r="AA504" s="151"/>
      <c r="AB504" s="151"/>
      <c r="AC504" s="151"/>
      <c r="AD504" s="151"/>
      <c r="AE504" s="151"/>
    </row>
    <row r="505" spans="2:31" ht="15.75">
      <c r="B505" s="718" t="s">
        <v>1230</v>
      </c>
      <c r="C505" s="718"/>
      <c r="D505" s="948" t="e">
        <f t="shared" ca="1" si="227"/>
        <v>#DIV/0!</v>
      </c>
      <c r="E505" s="948"/>
      <c r="F505" s="948">
        <f ca="1">+SUM(F498:F504)</f>
        <v>29640547.373204827</v>
      </c>
      <c r="G505" s="948">
        <f t="shared" ref="G505:Z505" ca="1" si="232">+SUM(G498:G504)</f>
        <v>29640547.373204827</v>
      </c>
      <c r="H505" s="948">
        <f t="shared" ca="1" si="232"/>
        <v>29640547.373204827</v>
      </c>
      <c r="I505" s="948">
        <f t="shared" ca="1" si="232"/>
        <v>36228946.205960564</v>
      </c>
      <c r="J505" s="948" t="e">
        <f t="shared" ca="1" si="232"/>
        <v>#DIV/0!</v>
      </c>
      <c r="K505" s="948" t="e">
        <f t="shared" ca="1" si="232"/>
        <v>#DIV/0!</v>
      </c>
      <c r="L505" s="948" t="e">
        <f t="shared" ca="1" si="232"/>
        <v>#DIV/0!</v>
      </c>
      <c r="M505" s="948" t="e">
        <f t="shared" ca="1" si="232"/>
        <v>#DIV/0!</v>
      </c>
      <c r="N505" s="948" t="e">
        <f t="shared" ca="1" si="232"/>
        <v>#DIV/0!</v>
      </c>
      <c r="O505" s="948" t="e">
        <f t="shared" ca="1" si="232"/>
        <v>#DIV/0!</v>
      </c>
      <c r="P505" s="948" t="e">
        <f t="shared" ca="1" si="232"/>
        <v>#DIV/0!</v>
      </c>
      <c r="Q505" s="948" t="e">
        <f t="shared" ca="1" si="232"/>
        <v>#DIV/0!</v>
      </c>
      <c r="R505" s="948" t="e">
        <f t="shared" ca="1" si="232"/>
        <v>#DIV/0!</v>
      </c>
      <c r="S505" s="948" t="e">
        <f t="shared" ca="1" si="232"/>
        <v>#DIV/0!</v>
      </c>
      <c r="T505" s="948" t="e">
        <f t="shared" ca="1" si="232"/>
        <v>#DIV/0!</v>
      </c>
      <c r="U505" s="948" t="e">
        <f t="shared" ca="1" si="232"/>
        <v>#DIV/0!</v>
      </c>
      <c r="V505" s="948" t="e">
        <f t="shared" ca="1" si="232"/>
        <v>#DIV/0!</v>
      </c>
      <c r="W505" s="948" t="e">
        <f t="shared" ca="1" si="232"/>
        <v>#DIV/0!</v>
      </c>
      <c r="X505" s="948" t="e">
        <f t="shared" ca="1" si="232"/>
        <v>#DIV/0!</v>
      </c>
      <c r="Y505" s="948" t="e">
        <f t="shared" ca="1" si="232"/>
        <v>#DIV/0!</v>
      </c>
      <c r="Z505" s="948" t="e">
        <f t="shared" ca="1" si="232"/>
        <v>#DIV/0!</v>
      </c>
      <c r="AA505" s="151"/>
      <c r="AB505" s="151"/>
      <c r="AC505" s="151"/>
      <c r="AD505" s="151"/>
      <c r="AE505" s="151"/>
    </row>
    <row r="506" spans="2:31">
      <c r="B506" s="151"/>
      <c r="C506" s="151"/>
      <c r="D506" s="151"/>
      <c r="E506" s="151"/>
      <c r="F506" s="151"/>
      <c r="G506" s="151"/>
      <c r="H506" s="151"/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</row>
    <row r="507" spans="2:31">
      <c r="B507" s="151"/>
      <c r="C507" s="151"/>
      <c r="D507" s="151"/>
      <c r="E507" s="151"/>
      <c r="F507" s="151"/>
      <c r="G507" s="151"/>
      <c r="H507" s="151"/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</row>
    <row r="508" spans="2:31">
      <c r="B508" s="151"/>
      <c r="C508" s="151"/>
      <c r="D508" s="151"/>
      <c r="E508" s="151"/>
      <c r="F508" s="151"/>
      <c r="G508" s="151"/>
      <c r="H508" s="151"/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</row>
    <row r="509" spans="2:31">
      <c r="B509" s="151"/>
      <c r="C509" s="151"/>
      <c r="D509" s="151"/>
      <c r="E509" s="151"/>
      <c r="F509" s="151"/>
      <c r="G509" s="151"/>
      <c r="H509" s="151"/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</row>
    <row r="510" spans="2:31">
      <c r="B510" s="151"/>
      <c r="C510" s="151"/>
      <c r="D510" s="151"/>
      <c r="E510" s="151"/>
      <c r="F510" s="151"/>
      <c r="G510" s="151"/>
      <c r="H510" s="151"/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</row>
    <row r="511" spans="2:31">
      <c r="B511" s="151"/>
      <c r="C511" s="151"/>
      <c r="D511" s="151"/>
      <c r="E511" s="151"/>
      <c r="F511" s="151"/>
      <c r="G511" s="151"/>
      <c r="H511" s="151"/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</row>
    <row r="512" spans="2:31">
      <c r="B512" s="151"/>
      <c r="C512" s="151"/>
      <c r="D512" s="151"/>
      <c r="E512" s="151"/>
      <c r="F512" s="151"/>
      <c r="G512" s="151"/>
      <c r="H512" s="151"/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</row>
    <row r="513" spans="1:31">
      <c r="A513" s="699"/>
      <c r="B513" s="151"/>
      <c r="C513" s="151"/>
      <c r="D513" s="151"/>
      <c r="E513" s="151"/>
      <c r="F513" s="151"/>
      <c r="G513" s="151"/>
      <c r="H513" s="151"/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</row>
    <row r="514" spans="1:31">
      <c r="A514" s="699" t="s">
        <v>511</v>
      </c>
      <c r="B514" s="151"/>
      <c r="C514" s="151"/>
      <c r="D514" s="151"/>
      <c r="E514" s="151"/>
      <c r="F514" s="151"/>
      <c r="G514" s="151"/>
      <c r="H514" s="151"/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</row>
    <row r="515" spans="1:31" hidden="1">
      <c r="A515" s="699"/>
      <c r="B515" s="151"/>
      <c r="C515" s="151"/>
      <c r="D515" s="151"/>
      <c r="E515" s="151"/>
      <c r="F515" s="151"/>
      <c r="G515" s="151"/>
      <c r="H515" s="151"/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</row>
    <row r="516" spans="1:31">
      <c r="A516" s="699"/>
      <c r="B516" s="151"/>
      <c r="C516" s="151"/>
      <c r="D516" s="151"/>
      <c r="E516" s="151"/>
      <c r="F516" s="151"/>
      <c r="G516" s="151"/>
      <c r="H516" s="151"/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</row>
    <row r="517" spans="1:31">
      <c r="A517" s="699"/>
      <c r="B517" s="151"/>
      <c r="C517" s="151"/>
      <c r="D517" s="151"/>
      <c r="E517" s="151"/>
      <c r="F517" s="151"/>
      <c r="G517" s="151"/>
      <c r="H517" s="151"/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</row>
    <row r="518" spans="1:31">
      <c r="A518" s="699"/>
      <c r="B518" s="151"/>
      <c r="C518" s="151"/>
      <c r="D518" s="151"/>
      <c r="E518" s="151"/>
      <c r="F518" s="151"/>
      <c r="G518" s="151"/>
      <c r="H518" s="151"/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</row>
    <row r="519" spans="1:31">
      <c r="A519" s="699"/>
      <c r="B519" s="151"/>
      <c r="C519" s="151"/>
      <c r="D519" s="151"/>
      <c r="E519" s="151"/>
      <c r="F519" s="151"/>
      <c r="G519" s="151"/>
      <c r="H519" s="151"/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</row>
    <row r="520" spans="1:31">
      <c r="A520" s="699"/>
      <c r="B520" s="151"/>
      <c r="C520" s="151"/>
      <c r="D520" s="151"/>
      <c r="E520" s="151"/>
      <c r="F520" s="151"/>
      <c r="G520" s="151"/>
      <c r="H520" s="151"/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</row>
    <row r="521" spans="1:31">
      <c r="A521" s="699"/>
      <c r="B521" s="151"/>
      <c r="C521" s="151"/>
      <c r="D521" s="151"/>
      <c r="E521" s="151"/>
      <c r="F521" s="151"/>
      <c r="G521" s="151"/>
      <c r="H521" s="151"/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</row>
    <row r="522" spans="1:31">
      <c r="A522" s="699"/>
      <c r="B522" s="151"/>
      <c r="C522" s="151"/>
      <c r="D522" s="151"/>
      <c r="E522" s="151"/>
      <c r="F522" s="151"/>
      <c r="G522" s="151"/>
      <c r="H522" s="151"/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</row>
    <row r="523" spans="1:31">
      <c r="A523" s="699"/>
      <c r="B523" s="151"/>
      <c r="C523" s="151"/>
      <c r="D523" s="151"/>
      <c r="E523" s="151"/>
      <c r="F523" s="151"/>
      <c r="G523" s="151"/>
      <c r="H523" s="151"/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</row>
    <row r="524" spans="1:31">
      <c r="A524" s="699"/>
      <c r="B524" s="151"/>
      <c r="C524" s="151"/>
      <c r="D524" s="151"/>
      <c r="E524" s="151"/>
      <c r="F524" s="151"/>
      <c r="G524" s="151"/>
      <c r="H524" s="151"/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</row>
    <row r="525" spans="1:31">
      <c r="A525" s="699"/>
      <c r="B525" s="151"/>
      <c r="C525" s="151"/>
      <c r="D525" s="151"/>
      <c r="E525" s="151"/>
      <c r="F525" s="151"/>
      <c r="G525" s="151"/>
      <c r="H525" s="151"/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</row>
    <row r="526" spans="1:31">
      <c r="A526" s="699"/>
      <c r="B526" s="151"/>
      <c r="C526" s="151"/>
      <c r="D526" s="151"/>
      <c r="E526" s="151"/>
      <c r="F526" s="151"/>
      <c r="G526" s="151"/>
      <c r="H526" s="151"/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</row>
    <row r="527" spans="1:31">
      <c r="A527" s="699"/>
      <c r="B527" s="151"/>
      <c r="C527" s="151"/>
      <c r="D527" s="151"/>
      <c r="E527" s="151"/>
      <c r="F527" s="151"/>
      <c r="G527" s="151"/>
      <c r="H527" s="151"/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</row>
    <row r="528" spans="1:31">
      <c r="A528" s="699"/>
      <c r="B528" s="151"/>
      <c r="C528" s="151"/>
      <c r="D528" s="151"/>
      <c r="E528" s="151"/>
      <c r="F528" s="151"/>
      <c r="G528" s="151"/>
      <c r="H528" s="151"/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</row>
    <row r="529" spans="2:31">
      <c r="B529" s="151"/>
      <c r="C529" s="151"/>
      <c r="D529" s="151"/>
      <c r="E529" s="151"/>
      <c r="F529" s="151"/>
      <c r="G529" s="151"/>
      <c r="H529" s="151"/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</row>
    <row r="530" spans="2:31">
      <c r="B530" s="151"/>
      <c r="C530" s="151"/>
      <c r="D530" s="151"/>
      <c r="E530" s="151"/>
      <c r="F530" s="151"/>
      <c r="G530" s="151"/>
      <c r="H530" s="151"/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</row>
    <row r="531" spans="2:31">
      <c r="B531" s="151"/>
      <c r="C531" s="151"/>
      <c r="D531" s="151"/>
      <c r="E531" s="151"/>
      <c r="F531" s="151"/>
      <c r="G531" s="151"/>
      <c r="H531" s="151"/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</row>
    <row r="532" spans="2:31">
      <c r="B532" s="151"/>
      <c r="C532" s="151"/>
      <c r="D532" s="151"/>
      <c r="E532" s="151"/>
      <c r="F532" s="151"/>
      <c r="G532" s="151"/>
      <c r="H532" s="151"/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</row>
    <row r="533" spans="2:31">
      <c r="B533" s="151"/>
      <c r="C533" s="151"/>
      <c r="D533" s="151"/>
      <c r="E533" s="151"/>
      <c r="F533" s="151"/>
      <c r="G533" s="151"/>
      <c r="H533" s="151"/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</row>
    <row r="534" spans="2:31">
      <c r="B534" s="151"/>
      <c r="C534" s="151"/>
      <c r="D534" s="151"/>
      <c r="E534" s="151"/>
      <c r="F534" s="151"/>
      <c r="G534" s="151"/>
      <c r="H534" s="151"/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</row>
    <row r="535" spans="2:31">
      <c r="B535" s="151"/>
      <c r="C535" s="151"/>
      <c r="D535" s="151"/>
      <c r="E535" s="151"/>
      <c r="F535" s="151"/>
      <c r="G535" s="151"/>
      <c r="H535" s="151"/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</row>
    <row r="536" spans="2:31">
      <c r="B536" s="151"/>
      <c r="C536" s="151"/>
      <c r="D536" s="151"/>
      <c r="E536" s="151"/>
      <c r="F536" s="151"/>
      <c r="G536" s="151"/>
      <c r="H536" s="151"/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</row>
    <row r="537" spans="2:31">
      <c r="B537" s="151"/>
      <c r="C537" s="151"/>
      <c r="D537" s="151"/>
      <c r="E537" s="151"/>
      <c r="F537" s="151"/>
      <c r="G537" s="151"/>
      <c r="H537" s="151"/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</row>
    <row r="538" spans="2:31">
      <c r="B538" s="151"/>
      <c r="C538" s="151"/>
      <c r="D538" s="151"/>
      <c r="E538" s="151"/>
      <c r="F538" s="151"/>
      <c r="G538" s="151"/>
      <c r="H538" s="151"/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</row>
    <row r="539" spans="2:31">
      <c r="B539" s="151"/>
      <c r="C539" s="151"/>
      <c r="D539" s="151"/>
      <c r="E539" s="151"/>
      <c r="F539" s="151"/>
      <c r="G539" s="151"/>
      <c r="H539" s="151"/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</row>
    <row r="540" spans="2:31">
      <c r="B540" s="151"/>
      <c r="C540" s="151"/>
      <c r="D540" s="151"/>
      <c r="E540" s="151"/>
      <c r="F540" s="151"/>
      <c r="G540" s="151"/>
      <c r="H540" s="151"/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</row>
    <row r="541" spans="2:31">
      <c r="B541" s="151"/>
      <c r="C541" s="151"/>
      <c r="D541" s="151"/>
      <c r="E541" s="151"/>
      <c r="F541" s="151"/>
      <c r="G541" s="151"/>
      <c r="H541" s="151"/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</row>
    <row r="542" spans="2:31">
      <c r="B542" s="151"/>
      <c r="C542" s="151"/>
      <c r="D542" s="151"/>
      <c r="E542" s="151"/>
      <c r="F542" s="151"/>
      <c r="G542" s="151"/>
      <c r="H542" s="151"/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</row>
    <row r="543" spans="2:31">
      <c r="B543" s="151"/>
      <c r="C543" s="151"/>
      <c r="D543" s="151"/>
      <c r="E543" s="151"/>
      <c r="F543" s="151"/>
      <c r="G543" s="151"/>
      <c r="H543" s="151"/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</row>
    <row r="544" spans="2:31">
      <c r="B544" s="151"/>
      <c r="C544" s="151"/>
      <c r="D544" s="151"/>
      <c r="E544" s="151"/>
      <c r="F544" s="151"/>
      <c r="G544" s="151"/>
      <c r="H544" s="151"/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</row>
    <row r="545" spans="1:31">
      <c r="A545" s="699"/>
      <c r="B545" s="151"/>
      <c r="C545" s="151"/>
      <c r="D545" s="151"/>
      <c r="E545" s="151"/>
      <c r="F545" s="151"/>
      <c r="G545" s="151"/>
      <c r="H545" s="151"/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</row>
    <row r="546" spans="1:31">
      <c r="A546" s="699"/>
      <c r="B546" s="151"/>
      <c r="C546" s="151"/>
      <c r="D546" s="151"/>
      <c r="E546" s="151"/>
      <c r="F546" s="151"/>
      <c r="G546" s="151"/>
      <c r="H546" s="151"/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</row>
    <row r="547" spans="1:31">
      <c r="A547" s="699"/>
      <c r="B547" s="151"/>
      <c r="C547" s="151"/>
      <c r="D547" s="151"/>
      <c r="E547" s="151"/>
      <c r="F547" s="151"/>
      <c r="G547" s="151"/>
      <c r="H547" s="151"/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</row>
    <row r="548" spans="1:31">
      <c r="A548" s="699"/>
      <c r="B548" s="151"/>
      <c r="C548" s="151"/>
      <c r="D548" s="151"/>
      <c r="E548" s="151"/>
      <c r="F548" s="151"/>
      <c r="G548" s="151"/>
      <c r="H548" s="151"/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</row>
    <row r="556" spans="1:31">
      <c r="A556" s="699" t="s">
        <v>511</v>
      </c>
      <c r="B556" s="699"/>
      <c r="C556" s="699"/>
      <c r="D556" s="699"/>
      <c r="E556" s="699"/>
      <c r="F556" s="699"/>
      <c r="G556" s="699"/>
      <c r="H556" s="699"/>
      <c r="I556" s="699"/>
      <c r="J556" s="699"/>
      <c r="K556" s="699"/>
      <c r="L556" s="699"/>
      <c r="M556" s="699"/>
      <c r="N556" s="699"/>
      <c r="O556" s="699"/>
      <c r="P556" s="699"/>
      <c r="Q556" s="699"/>
      <c r="R556" s="699"/>
      <c r="S556" s="699"/>
      <c r="T556" s="699"/>
      <c r="U556" s="699"/>
      <c r="V556" s="699"/>
      <c r="W556" s="699"/>
      <c r="X556" s="699"/>
      <c r="Y556" s="699"/>
      <c r="Z556" s="699"/>
      <c r="AA556" s="699"/>
      <c r="AB556" s="699"/>
      <c r="AC556" s="699"/>
      <c r="AD556" s="699"/>
      <c r="AE556" s="699"/>
    </row>
    <row r="564" hidden="1"/>
    <row r="596" spans="1:1">
      <c r="A596" s="699" t="s">
        <v>511</v>
      </c>
    </row>
    <row r="608" spans="1:1" hidden="1">
      <c r="A608" s="699"/>
    </row>
    <row r="634" spans="1:1">
      <c r="A634" s="699" t="s">
        <v>511</v>
      </c>
    </row>
  </sheetData>
  <pageMargins left="0.7" right="0.7" top="0.75" bottom="0.75" header="0.3" footer="0.3"/>
  <pageSetup orientation="portrait" r:id="rId1"/>
  <ignoredErrors>
    <ignoredError sqref="F193:Z193" formula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D8B1A-8929-433E-BFB2-82EAA8572E8D}">
  <sheetPr>
    <tabColor rgb="FF00B050"/>
  </sheetPr>
  <dimension ref="A1:AC722"/>
  <sheetViews>
    <sheetView topLeftCell="A574" zoomScale="30" zoomScaleNormal="30" workbookViewId="0">
      <selection activeCell="G623" sqref="G623"/>
    </sheetView>
  </sheetViews>
  <sheetFormatPr defaultColWidth="8.85546875" defaultRowHeight="15"/>
  <cols>
    <col min="1" max="1" width="8.85546875" style="33"/>
    <col min="2" max="2" width="20.85546875" style="33" customWidth="1"/>
    <col min="3" max="3" width="22.85546875" style="33" customWidth="1"/>
    <col min="4" max="4" width="22" style="33" customWidth="1"/>
    <col min="5" max="5" width="8.85546875" style="33"/>
    <col min="6" max="6" width="20.7109375" style="33" customWidth="1"/>
    <col min="7" max="7" width="22.140625" style="33" customWidth="1"/>
    <col min="8" max="8" width="20.140625" style="33" customWidth="1"/>
    <col min="9" max="9" width="18.28515625" style="33" bestFit="1" customWidth="1"/>
    <col min="10" max="10" width="18.85546875" style="33" bestFit="1" customWidth="1"/>
    <col min="11" max="11" width="19.28515625" style="33" customWidth="1"/>
    <col min="12" max="12" width="20" style="33" bestFit="1" customWidth="1"/>
    <col min="13" max="13" width="18.85546875" style="33" bestFit="1" customWidth="1"/>
    <col min="14" max="15" width="20" style="33" bestFit="1" customWidth="1"/>
    <col min="16" max="16" width="19.42578125" style="33" customWidth="1"/>
    <col min="17" max="17" width="19.28515625" style="33" bestFit="1" customWidth="1"/>
    <col min="18" max="20" width="20" style="33" bestFit="1" customWidth="1"/>
    <col min="21" max="22" width="18.85546875" style="33" bestFit="1" customWidth="1"/>
    <col min="23" max="25" width="19.28515625" style="33" bestFit="1" customWidth="1"/>
    <col min="26" max="26" width="18.42578125" style="33" bestFit="1" customWidth="1"/>
    <col min="27" max="28" width="8.85546875" style="33"/>
    <col min="29" max="29" width="21.42578125" style="33" customWidth="1"/>
    <col min="30" max="16384" width="8.85546875" style="33"/>
  </cols>
  <sheetData>
    <row r="1" spans="1:26" ht="15.75">
      <c r="A1" s="132" t="s">
        <v>250</v>
      </c>
      <c r="B1" s="699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</row>
    <row r="2" spans="1:26">
      <c r="A2" s="699" t="s">
        <v>511</v>
      </c>
      <c r="B2" s="699" t="s">
        <v>1118</v>
      </c>
      <c r="C2" s="699"/>
      <c r="D2" s="699"/>
      <c r="E2" s="699">
        <v>0</v>
      </c>
      <c r="F2" s="699">
        <f>+IF(F7&gt;=Assumptions!$H$31,E2+1,E2)</f>
        <v>0</v>
      </c>
      <c r="G2" s="699">
        <f>+IF(G7&gt;=Assumptions!$H$31,F2+1,F2)</f>
        <v>0</v>
      </c>
      <c r="H2" s="699">
        <f>+IF(H7&gt;=Assumptions!$H$31,G2+1,G2)</f>
        <v>0</v>
      </c>
      <c r="I2" s="699">
        <f>+IF(I7&gt;=Assumptions!$H$31,H2+1,H2)</f>
        <v>1</v>
      </c>
      <c r="J2" s="699">
        <f>+IF(J7&gt;=Assumptions!$H$31,I2+1,I2)</f>
        <v>2</v>
      </c>
      <c r="K2" s="699">
        <f>+IF(K7&gt;=Assumptions!$H$31,J2+1,J2)</f>
        <v>3</v>
      </c>
      <c r="L2" s="699">
        <f>+IF(L7&gt;=Assumptions!$H$31,K2+1,K2)</f>
        <v>4</v>
      </c>
      <c r="M2" s="699">
        <f>+IF(M7&gt;=Assumptions!$H$31,L2+1,L2)</f>
        <v>5</v>
      </c>
      <c r="N2" s="699">
        <f>+IF(N7&gt;=Assumptions!$H$31,M2+1,M2)</f>
        <v>6</v>
      </c>
      <c r="O2" s="699">
        <f>+IF(O7&gt;=Assumptions!$H$31,N2+1,N2)</f>
        <v>7</v>
      </c>
      <c r="P2" s="699">
        <f>+IF(P7&gt;=Assumptions!$H$31,O2+1,O2)</f>
        <v>8</v>
      </c>
      <c r="Q2" s="699">
        <f>+IF(Q7&gt;=Assumptions!$H$31,P2+1,P2)</f>
        <v>9</v>
      </c>
      <c r="R2" s="699">
        <f>+IF(R7&gt;=Assumptions!$H$31,Q2+1,Q2)</f>
        <v>10</v>
      </c>
      <c r="S2" s="699">
        <f>+IF(S7&gt;=Assumptions!$H$31,R2+1,R2)</f>
        <v>11</v>
      </c>
      <c r="T2" s="699">
        <f>+IF(T7&gt;=Assumptions!$H$31,S2+1,S2)</f>
        <v>12</v>
      </c>
      <c r="U2" s="699">
        <f>+IF(U7&gt;=Assumptions!$H$31,T2+1,T2)</f>
        <v>13</v>
      </c>
      <c r="V2" s="699">
        <f>+IF(V7&gt;=Assumptions!$H$31,U2+1,U2)</f>
        <v>14</v>
      </c>
      <c r="W2" s="699">
        <f>+IF(W7&gt;=Assumptions!$H$31,V2+1,V2)</f>
        <v>15</v>
      </c>
      <c r="X2" s="699">
        <f>+IF(X7&gt;=Assumptions!$H$31,W2+1,W2)</f>
        <v>16</v>
      </c>
      <c r="Y2" s="699">
        <f>+IF(Y7&gt;=Assumptions!$H$31,X2+1,X2)</f>
        <v>17</v>
      </c>
      <c r="Z2" s="699">
        <f>+IF(Z7&gt;=Assumptions!$H$31,Y2+1,Y2)</f>
        <v>18</v>
      </c>
    </row>
    <row r="3" spans="1:26">
      <c r="A3" s="699"/>
      <c r="B3" s="699" t="s">
        <v>1119</v>
      </c>
      <c r="C3" s="699"/>
      <c r="D3" s="699"/>
      <c r="E3" s="699">
        <v>0</v>
      </c>
      <c r="F3" s="699">
        <f>+IF(F7&gt;=Assumptions!$H$33,E3+1,E3)</f>
        <v>0</v>
      </c>
      <c r="G3" s="699">
        <f>+IF(G7&gt;=Assumptions!$H$33,F3+1,F3)</f>
        <v>0</v>
      </c>
      <c r="H3" s="699">
        <f>+IF(H7&gt;=Assumptions!$H$33,G3+1,G3)</f>
        <v>0</v>
      </c>
      <c r="I3" s="699">
        <f>+IF(I7&gt;=Assumptions!$H$33,H3+1,H3)</f>
        <v>0</v>
      </c>
      <c r="J3" s="699">
        <f>+IF(J7&gt;=Assumptions!$H$33,I3+1,I3)</f>
        <v>0</v>
      </c>
      <c r="K3" s="699">
        <f>+IF(K7&gt;=Assumptions!$H$33,J3+1,J3)</f>
        <v>1</v>
      </c>
      <c r="L3" s="699">
        <f>+IF(L7&gt;=Assumptions!$H$33,K3+1,K3)</f>
        <v>2</v>
      </c>
      <c r="M3" s="699">
        <f>+IF(M7&gt;=Assumptions!$H$33,L3+1,L3)</f>
        <v>3</v>
      </c>
      <c r="N3" s="699">
        <f>+IF(N7&gt;=Assumptions!$H$33,M3+1,M3)</f>
        <v>4</v>
      </c>
      <c r="O3" s="699">
        <f>+IF(O7&gt;=Assumptions!$H$33,N3+1,N3)</f>
        <v>5</v>
      </c>
      <c r="P3" s="699">
        <f>+IF(P7&gt;=Assumptions!$H$33,O3+1,O3)</f>
        <v>6</v>
      </c>
      <c r="Q3" s="699">
        <f>+IF(Q7&gt;=Assumptions!$H$33,P3+1,P3)</f>
        <v>7</v>
      </c>
      <c r="R3" s="699">
        <f>+IF(R7&gt;=Assumptions!$H$33,Q3+1,Q3)</f>
        <v>8</v>
      </c>
      <c r="S3" s="699">
        <f>+IF(S7&gt;=Assumptions!$H$33,R3+1,R3)</f>
        <v>9</v>
      </c>
      <c r="T3" s="699">
        <f>+IF(T7&gt;=Assumptions!$H$33,S3+1,S3)</f>
        <v>10</v>
      </c>
      <c r="U3" s="699">
        <f>+IF(U7&gt;=Assumptions!$H$33,T3+1,T3)</f>
        <v>11</v>
      </c>
      <c r="V3" s="699">
        <f>+IF(V7&gt;=Assumptions!$H$33,U3+1,U3)</f>
        <v>12</v>
      </c>
      <c r="W3" s="699">
        <f>+IF(W7&gt;=Assumptions!$H$33,V3+1,V3)</f>
        <v>13</v>
      </c>
      <c r="X3" s="699">
        <f>+IF(X7&gt;=Assumptions!$H$33,W3+1,W3)</f>
        <v>14</v>
      </c>
      <c r="Y3" s="699">
        <f>+IF(Y7&gt;=Assumptions!$H$33,X3+1,X3)</f>
        <v>15</v>
      </c>
      <c r="Z3" s="699">
        <f>+IF(Z7&gt;=Assumptions!$H$33,Y3+1,Y3)</f>
        <v>16</v>
      </c>
    </row>
    <row r="5" spans="1:26" ht="15.75">
      <c r="A5" s="699"/>
      <c r="B5" s="468" t="s">
        <v>1122</v>
      </c>
      <c r="C5" s="468"/>
      <c r="D5" s="468"/>
      <c r="E5" s="468"/>
      <c r="F5" s="468"/>
      <c r="G5" s="468"/>
      <c r="H5" s="468"/>
      <c r="I5" s="468"/>
      <c r="J5" s="468"/>
      <c r="K5" s="468"/>
      <c r="L5" s="468"/>
      <c r="M5" s="468"/>
      <c r="N5" s="468"/>
      <c r="O5" s="468"/>
      <c r="P5" s="468"/>
      <c r="Q5" s="468"/>
      <c r="R5" s="468"/>
      <c r="S5" s="468"/>
      <c r="T5" s="468"/>
      <c r="U5" s="468"/>
      <c r="V5" s="468"/>
      <c r="W5" s="468"/>
      <c r="X5" s="468"/>
      <c r="Y5" s="468"/>
      <c r="Z5" s="468"/>
    </row>
    <row r="6" spans="1:26">
      <c r="A6" s="699"/>
      <c r="B6" s="699"/>
      <c r="C6" s="699"/>
      <c r="D6" s="699"/>
      <c r="E6" s="699"/>
      <c r="F6" s="782">
        <f>+YEAR(F7)</f>
        <v>2028</v>
      </c>
      <c r="G6" s="782">
        <f t="shared" ref="G6:Z6" si="0">+YEAR(G7)</f>
        <v>2029</v>
      </c>
      <c r="H6" s="782">
        <f t="shared" si="0"/>
        <v>2030</v>
      </c>
      <c r="I6" s="782">
        <f t="shared" si="0"/>
        <v>2031</v>
      </c>
      <c r="J6" s="782">
        <f t="shared" si="0"/>
        <v>2032</v>
      </c>
      <c r="K6" s="782">
        <f t="shared" si="0"/>
        <v>2033</v>
      </c>
      <c r="L6" s="782">
        <f t="shared" si="0"/>
        <v>2034</v>
      </c>
      <c r="M6" s="782">
        <f t="shared" si="0"/>
        <v>2035</v>
      </c>
      <c r="N6" s="782">
        <f t="shared" si="0"/>
        <v>2036</v>
      </c>
      <c r="O6" s="782">
        <f t="shared" si="0"/>
        <v>2037</v>
      </c>
      <c r="P6" s="782">
        <f t="shared" si="0"/>
        <v>2038</v>
      </c>
      <c r="Q6" s="782">
        <f t="shared" si="0"/>
        <v>2039</v>
      </c>
      <c r="R6" s="782">
        <f t="shared" si="0"/>
        <v>2040</v>
      </c>
      <c r="S6" s="782">
        <f t="shared" si="0"/>
        <v>2041</v>
      </c>
      <c r="T6" s="782">
        <f t="shared" si="0"/>
        <v>2042</v>
      </c>
      <c r="U6" s="782">
        <f t="shared" si="0"/>
        <v>2043</v>
      </c>
      <c r="V6" s="782">
        <f t="shared" si="0"/>
        <v>2044</v>
      </c>
      <c r="W6" s="782">
        <f t="shared" si="0"/>
        <v>2045</v>
      </c>
      <c r="X6" s="782">
        <f t="shared" si="0"/>
        <v>2046</v>
      </c>
      <c r="Y6" s="782">
        <f t="shared" si="0"/>
        <v>2047</v>
      </c>
      <c r="Z6" s="782">
        <f t="shared" si="0"/>
        <v>2048</v>
      </c>
    </row>
    <row r="7" spans="1:26" ht="15.75">
      <c r="A7" s="699" t="s">
        <v>511</v>
      </c>
      <c r="B7" s="53" t="s">
        <v>1245</v>
      </c>
      <c r="C7" s="53"/>
      <c r="D7" s="53"/>
      <c r="E7" s="53"/>
      <c r="F7" s="54">
        <f>+Assumptions!$H$27</f>
        <v>47118</v>
      </c>
      <c r="G7" s="54">
        <f>+EOMONTH(F7,12)</f>
        <v>47483</v>
      </c>
      <c r="H7" s="54">
        <f t="shared" ref="H7:Z7" si="1">+EOMONTH(G7,12)</f>
        <v>47848</v>
      </c>
      <c r="I7" s="54">
        <f t="shared" si="1"/>
        <v>48213</v>
      </c>
      <c r="J7" s="54">
        <f t="shared" si="1"/>
        <v>48579</v>
      </c>
      <c r="K7" s="54">
        <f t="shared" si="1"/>
        <v>48944</v>
      </c>
      <c r="L7" s="54">
        <f t="shared" si="1"/>
        <v>49309</v>
      </c>
      <c r="M7" s="54">
        <f t="shared" si="1"/>
        <v>49674</v>
      </c>
      <c r="N7" s="54">
        <f t="shared" si="1"/>
        <v>50040</v>
      </c>
      <c r="O7" s="54">
        <f t="shared" si="1"/>
        <v>50405</v>
      </c>
      <c r="P7" s="54">
        <f t="shared" si="1"/>
        <v>50770</v>
      </c>
      <c r="Q7" s="54">
        <f t="shared" si="1"/>
        <v>51135</v>
      </c>
      <c r="R7" s="54">
        <f t="shared" si="1"/>
        <v>51501</v>
      </c>
      <c r="S7" s="54">
        <f t="shared" si="1"/>
        <v>51866</v>
      </c>
      <c r="T7" s="54">
        <f t="shared" si="1"/>
        <v>52231</v>
      </c>
      <c r="U7" s="54">
        <f t="shared" si="1"/>
        <v>52596</v>
      </c>
      <c r="V7" s="54">
        <f t="shared" si="1"/>
        <v>52962</v>
      </c>
      <c r="W7" s="54">
        <f t="shared" si="1"/>
        <v>53327</v>
      </c>
      <c r="X7" s="54">
        <f t="shared" si="1"/>
        <v>53692</v>
      </c>
      <c r="Y7" s="54">
        <f t="shared" si="1"/>
        <v>54057</v>
      </c>
      <c r="Z7" s="54">
        <f t="shared" si="1"/>
        <v>54423</v>
      </c>
    </row>
    <row r="8" spans="1:26">
      <c r="A8" s="699"/>
      <c r="B8" s="699" t="s">
        <v>1120</v>
      </c>
      <c r="C8" s="699"/>
      <c r="D8" s="699"/>
      <c r="E8" s="1050"/>
      <c r="F8" s="1050">
        <f>+IF(F7=Assumptions!$H$31,Assumptions!$H$70/ROUNDUP((12/12),0),)</f>
        <v>0</v>
      </c>
      <c r="G8" s="1050">
        <f>+IF(G7=Assumptions!$H$31,Assumptions!$H$70/ROUNDUP((12/12),0),)</f>
        <v>0</v>
      </c>
      <c r="H8" s="1050">
        <f>+IF(H7=Assumptions!$H$31,Assumptions!$H$70/ROUNDUP((12/12),0),)</f>
        <v>0</v>
      </c>
      <c r="I8" s="1050">
        <f>+IF(I7=Assumptions!$H$31,Assumptions!$H$70/ROUNDUP((12/12),0),)</f>
        <v>67019.90400000001</v>
      </c>
      <c r="J8" s="1050">
        <f>+IF(J7=Assumptions!$H$31,Assumptions!$H$70/ROUNDUP((12/12),0),)</f>
        <v>0</v>
      </c>
      <c r="K8" s="1050">
        <f>+IF(K7=Assumptions!$H$31,Assumptions!$H$70/ROUNDUP((12/12),0),)</f>
        <v>0</v>
      </c>
      <c r="L8" s="1050">
        <f>+IF(L7=Assumptions!$H$31,Assumptions!$H$70/ROUNDUP((12/12),0),)</f>
        <v>0</v>
      </c>
      <c r="M8" s="1050">
        <f>+IF(M7=Assumptions!$H$31,Assumptions!$H$70/ROUNDUP((12/12),0),)</f>
        <v>0</v>
      </c>
      <c r="N8" s="1050">
        <f>+IF(N7=Assumptions!$H$31,Assumptions!$H$70/ROUNDUP((12/12),0),)</f>
        <v>0</v>
      </c>
      <c r="O8" s="1050">
        <f>+IF(O7=Assumptions!$H$31,Assumptions!$H$70/ROUNDUP((12/12),0),)</f>
        <v>0</v>
      </c>
      <c r="P8" s="1050">
        <f>+IF(P7=Assumptions!$H$31,Assumptions!$H$70/ROUNDUP((12/12),0),)</f>
        <v>0</v>
      </c>
      <c r="Q8" s="1050">
        <f>+IF(Q7=Assumptions!$H$31,Assumptions!$H$70/ROUNDUP((12/12),0),)</f>
        <v>0</v>
      </c>
      <c r="R8" s="1050">
        <f>+IF(R7=Assumptions!$H$31,Assumptions!$H$70/ROUNDUP((12/12),0),)</f>
        <v>0</v>
      </c>
      <c r="S8" s="1050">
        <f>+IF(S7=Assumptions!$H$31,Assumptions!$H$70/ROUNDUP((12/12),0),)</f>
        <v>0</v>
      </c>
      <c r="T8" s="1050">
        <f>+IF(T7=Assumptions!$H$31,Assumptions!$H$70/ROUNDUP((12/12),0),)</f>
        <v>0</v>
      </c>
      <c r="U8" s="1050">
        <f>+IF(U7=Assumptions!$H$31,Assumptions!$H$70/ROUNDUP((12/12),0),)</f>
        <v>0</v>
      </c>
      <c r="V8" s="1050">
        <f>+IF(V7=Assumptions!$H$31,Assumptions!$H$70/ROUNDUP((12/12),0),)</f>
        <v>0</v>
      </c>
      <c r="W8" s="1050">
        <f>+IF(W7=Assumptions!$H$31,Assumptions!$H$70/ROUNDUP((12/12),0),)</f>
        <v>0</v>
      </c>
      <c r="X8" s="1050">
        <f>+IF(X7=Assumptions!$H$31,Assumptions!$H$70/ROUNDUP((12/12),0),)</f>
        <v>0</v>
      </c>
      <c r="Y8" s="1050">
        <f>+IF(Y7=Assumptions!$H$31,Assumptions!$H$70/ROUNDUP((12/12),0),)</f>
        <v>0</v>
      </c>
      <c r="Z8" s="1050">
        <f>+IF(Z7=Assumptions!$H$31,Assumptions!$H$70/ROUNDUP((12/12),0),)</f>
        <v>0</v>
      </c>
    </row>
    <row r="9" spans="1:26">
      <c r="A9" s="699"/>
      <c r="B9" s="699" t="s">
        <v>1121</v>
      </c>
      <c r="C9" s="699"/>
      <c r="D9" s="699"/>
      <c r="E9" s="1050">
        <v>0</v>
      </c>
      <c r="F9" s="1050">
        <f>+E9+F8</f>
        <v>0</v>
      </c>
      <c r="G9" s="1050">
        <f t="shared" ref="G9:Z9" si="2">+F9+G8</f>
        <v>0</v>
      </c>
      <c r="H9" s="1050">
        <f t="shared" si="2"/>
        <v>0</v>
      </c>
      <c r="I9" s="1050">
        <f t="shared" si="2"/>
        <v>67019.90400000001</v>
      </c>
      <c r="J9" s="1050">
        <f t="shared" si="2"/>
        <v>67019.90400000001</v>
      </c>
      <c r="K9" s="1050">
        <f t="shared" si="2"/>
        <v>67019.90400000001</v>
      </c>
      <c r="L9" s="1050">
        <f t="shared" si="2"/>
        <v>67019.90400000001</v>
      </c>
      <c r="M9" s="1050">
        <f t="shared" si="2"/>
        <v>67019.90400000001</v>
      </c>
      <c r="N9" s="1050">
        <f t="shared" si="2"/>
        <v>67019.90400000001</v>
      </c>
      <c r="O9" s="1050">
        <f t="shared" si="2"/>
        <v>67019.90400000001</v>
      </c>
      <c r="P9" s="1050">
        <f t="shared" si="2"/>
        <v>67019.90400000001</v>
      </c>
      <c r="Q9" s="1050">
        <f t="shared" si="2"/>
        <v>67019.90400000001</v>
      </c>
      <c r="R9" s="1050">
        <f t="shared" si="2"/>
        <v>67019.90400000001</v>
      </c>
      <c r="S9" s="1050">
        <f t="shared" si="2"/>
        <v>67019.90400000001</v>
      </c>
      <c r="T9" s="1050">
        <f t="shared" si="2"/>
        <v>67019.90400000001</v>
      </c>
      <c r="U9" s="1050">
        <f t="shared" si="2"/>
        <v>67019.90400000001</v>
      </c>
      <c r="V9" s="1050">
        <f t="shared" si="2"/>
        <v>67019.90400000001</v>
      </c>
      <c r="W9" s="1050">
        <f t="shared" si="2"/>
        <v>67019.90400000001</v>
      </c>
      <c r="X9" s="1050">
        <f t="shared" si="2"/>
        <v>67019.90400000001</v>
      </c>
      <c r="Y9" s="1050">
        <f t="shared" si="2"/>
        <v>67019.90400000001</v>
      </c>
      <c r="Z9" s="1050">
        <f t="shared" si="2"/>
        <v>67019.90400000001</v>
      </c>
    </row>
    <row r="10" spans="1:26">
      <c r="A10" s="699"/>
      <c r="B10" s="699" t="s">
        <v>1123</v>
      </c>
      <c r="C10" s="699"/>
      <c r="D10" s="699"/>
      <c r="E10" s="699"/>
      <c r="F10" s="1084">
        <f>+F11-E11</f>
        <v>0</v>
      </c>
      <c r="G10" s="1084">
        <f t="shared" ref="G10:Z10" si="3">+G11-F11</f>
        <v>0</v>
      </c>
      <c r="H10" s="1084">
        <f t="shared" si="3"/>
        <v>0</v>
      </c>
      <c r="I10" s="1084">
        <f t="shared" si="3"/>
        <v>60.278130852633616</v>
      </c>
      <c r="J10" s="1084">
        <f t="shared" si="3"/>
        <v>0</v>
      </c>
      <c r="K10" s="1084">
        <f t="shared" si="3"/>
        <v>0</v>
      </c>
      <c r="L10" s="1084">
        <f t="shared" si="3"/>
        <v>0</v>
      </c>
      <c r="M10" s="1084">
        <f t="shared" si="3"/>
        <v>0</v>
      </c>
      <c r="N10" s="1084">
        <f t="shared" si="3"/>
        <v>0</v>
      </c>
      <c r="O10" s="1084">
        <f t="shared" si="3"/>
        <v>0</v>
      </c>
      <c r="P10" s="1084">
        <f t="shared" si="3"/>
        <v>0</v>
      </c>
      <c r="Q10" s="1084">
        <f t="shared" si="3"/>
        <v>0</v>
      </c>
      <c r="R10" s="1084">
        <f t="shared" si="3"/>
        <v>0</v>
      </c>
      <c r="S10" s="1084">
        <f t="shared" si="3"/>
        <v>0</v>
      </c>
      <c r="T10" s="1084">
        <f t="shared" si="3"/>
        <v>0</v>
      </c>
      <c r="U10" s="1084">
        <f t="shared" si="3"/>
        <v>0</v>
      </c>
      <c r="V10" s="1084">
        <f t="shared" si="3"/>
        <v>0</v>
      </c>
      <c r="W10" s="1084">
        <f t="shared" si="3"/>
        <v>0</v>
      </c>
      <c r="X10" s="1084">
        <f t="shared" si="3"/>
        <v>0</v>
      </c>
      <c r="Y10" s="1084">
        <f t="shared" si="3"/>
        <v>0</v>
      </c>
      <c r="Z10" s="1084">
        <f t="shared" si="3"/>
        <v>0</v>
      </c>
    </row>
    <row r="11" spans="1:26">
      <c r="A11" s="699"/>
      <c r="B11" s="699" t="s">
        <v>1124</v>
      </c>
      <c r="C11" s="699"/>
      <c r="D11" s="699"/>
      <c r="E11" s="699"/>
      <c r="F11" s="1084">
        <f>+F12*Assumptions!$H$71</f>
        <v>0</v>
      </c>
      <c r="G11" s="1084">
        <f>+G12*Assumptions!$H$71</f>
        <v>0</v>
      </c>
      <c r="H11" s="1084">
        <f>+H12*Assumptions!$H$71</f>
        <v>0</v>
      </c>
      <c r="I11" s="1084">
        <f>+I12*Assumptions!$H$71</f>
        <v>60.278130852633616</v>
      </c>
      <c r="J11" s="1084">
        <f>+J12*Assumptions!$H$71</f>
        <v>60.278130852633616</v>
      </c>
      <c r="K11" s="1084">
        <f>+K12*Assumptions!$H$71</f>
        <v>60.278130852633616</v>
      </c>
      <c r="L11" s="1084">
        <f>+L12*Assumptions!$H$71</f>
        <v>60.278130852633616</v>
      </c>
      <c r="M11" s="1084">
        <f>+M12*Assumptions!$H$71</f>
        <v>60.278130852633616</v>
      </c>
      <c r="N11" s="1084">
        <f>+N12*Assumptions!$H$71</f>
        <v>60.278130852633616</v>
      </c>
      <c r="O11" s="1084">
        <f>+O12*Assumptions!$H$71</f>
        <v>60.278130852633616</v>
      </c>
      <c r="P11" s="1084">
        <f>+P12*Assumptions!$H$71</f>
        <v>60.278130852633616</v>
      </c>
      <c r="Q11" s="1084">
        <f>+Q12*Assumptions!$H$71</f>
        <v>60.278130852633616</v>
      </c>
      <c r="R11" s="1084">
        <f>+R12*Assumptions!$H$71</f>
        <v>60.278130852633616</v>
      </c>
      <c r="S11" s="1084">
        <f>+S12*Assumptions!$H$71</f>
        <v>60.278130852633616</v>
      </c>
      <c r="T11" s="1084">
        <f>+T12*Assumptions!$H$71</f>
        <v>60.278130852633616</v>
      </c>
      <c r="U11" s="1084">
        <f>+U12*Assumptions!$H$71</f>
        <v>60.278130852633616</v>
      </c>
      <c r="V11" s="1084">
        <f>+V12*Assumptions!$H$71</f>
        <v>60.278130852633616</v>
      </c>
      <c r="W11" s="1084">
        <f>+W12*Assumptions!$H$71</f>
        <v>60.278130852633616</v>
      </c>
      <c r="X11" s="1084">
        <f>+X12*Assumptions!$H$71</f>
        <v>60.278130852633616</v>
      </c>
      <c r="Y11" s="1084">
        <f>+Y12*Assumptions!$H$71</f>
        <v>60.278130852633616</v>
      </c>
      <c r="Z11" s="1084">
        <f>+Z12*Assumptions!$H$71</f>
        <v>60.278130852633616</v>
      </c>
    </row>
    <row r="12" spans="1:26">
      <c r="A12" s="699"/>
      <c r="B12" s="699" t="s">
        <v>1125</v>
      </c>
      <c r="C12" s="699"/>
      <c r="D12" s="699"/>
      <c r="E12" s="699"/>
      <c r="F12" s="1074">
        <f>+IFERROR(F9/SUM($F$8:$Z$8),0)</f>
        <v>0</v>
      </c>
      <c r="G12" s="1074">
        <f t="shared" ref="G12:Z12" si="4">+IFERROR(G9/SUM($F$8:$Z$8),0)</f>
        <v>0</v>
      </c>
      <c r="H12" s="1074">
        <f t="shared" si="4"/>
        <v>0</v>
      </c>
      <c r="I12" s="1074">
        <f t="shared" si="4"/>
        <v>1</v>
      </c>
      <c r="J12" s="1074">
        <f t="shared" si="4"/>
        <v>1</v>
      </c>
      <c r="K12" s="1074">
        <f t="shared" si="4"/>
        <v>1</v>
      </c>
      <c r="L12" s="1074">
        <f t="shared" si="4"/>
        <v>1</v>
      </c>
      <c r="M12" s="1074">
        <f t="shared" si="4"/>
        <v>1</v>
      </c>
      <c r="N12" s="1074">
        <f t="shared" si="4"/>
        <v>1</v>
      </c>
      <c r="O12" s="1074">
        <f t="shared" si="4"/>
        <v>1</v>
      </c>
      <c r="P12" s="1074">
        <f t="shared" si="4"/>
        <v>1</v>
      </c>
      <c r="Q12" s="1074">
        <f t="shared" si="4"/>
        <v>1</v>
      </c>
      <c r="R12" s="1074">
        <f t="shared" si="4"/>
        <v>1</v>
      </c>
      <c r="S12" s="1074">
        <f t="shared" si="4"/>
        <v>1</v>
      </c>
      <c r="T12" s="1074">
        <f t="shared" si="4"/>
        <v>1</v>
      </c>
      <c r="U12" s="1074">
        <f t="shared" si="4"/>
        <v>1</v>
      </c>
      <c r="V12" s="1074">
        <f t="shared" si="4"/>
        <v>1</v>
      </c>
      <c r="W12" s="1074">
        <f t="shared" si="4"/>
        <v>1</v>
      </c>
      <c r="X12" s="1074">
        <f t="shared" si="4"/>
        <v>1</v>
      </c>
      <c r="Y12" s="1074">
        <f t="shared" si="4"/>
        <v>1</v>
      </c>
      <c r="Z12" s="1074">
        <f t="shared" si="4"/>
        <v>1</v>
      </c>
    </row>
    <row r="14" spans="1:26">
      <c r="A14" s="699"/>
      <c r="B14" s="699" t="s">
        <v>1126</v>
      </c>
      <c r="C14" s="699"/>
      <c r="D14" s="699"/>
      <c r="E14" s="699"/>
      <c r="F14" s="1074">
        <v>1</v>
      </c>
      <c r="G14" s="1074">
        <f>+F14*(1+Assumptions!$P$68)</f>
        <v>1.03</v>
      </c>
      <c r="H14" s="1074">
        <f>+G14*(1+Assumptions!$P$68)</f>
        <v>1.0609</v>
      </c>
      <c r="I14" s="1074">
        <f>+H14*(1+Assumptions!$P$68)</f>
        <v>1.092727</v>
      </c>
      <c r="J14" s="1074">
        <f>+I14*(1+Assumptions!$P$68)</f>
        <v>1.1255088100000001</v>
      </c>
      <c r="K14" s="1074">
        <f>+J14*(1+Assumptions!$P$68)</f>
        <v>1.1592740743000001</v>
      </c>
      <c r="L14" s="1074">
        <f>+K14*(1+Assumptions!$P$68)</f>
        <v>1.1940522965290001</v>
      </c>
      <c r="M14" s="1074">
        <f>+L14*(1+Assumptions!$P$68)</f>
        <v>1.2298738654248702</v>
      </c>
      <c r="N14" s="1074">
        <f>+M14*(1+Assumptions!$P$68)</f>
        <v>1.2667700813876164</v>
      </c>
      <c r="O14" s="1074">
        <f>+N14*(1+Assumptions!$P$68)</f>
        <v>1.3047731838292449</v>
      </c>
      <c r="P14" s="1074">
        <f>+O14*(1+Assumptions!$P$68)</f>
        <v>1.3439163793441222</v>
      </c>
      <c r="Q14" s="1074">
        <f>+P14*(1+Assumptions!$P$68)</f>
        <v>1.3842338707244459</v>
      </c>
      <c r="R14" s="1074">
        <f>+Q14*(1+Assumptions!$P$68)</f>
        <v>1.4257608868461793</v>
      </c>
      <c r="S14" s="1074">
        <f>+R14*(1+Assumptions!$P$68)</f>
        <v>1.4685337134515648</v>
      </c>
      <c r="T14" s="1074">
        <f>+S14*(1+Assumptions!$P$68)</f>
        <v>1.5125897248551119</v>
      </c>
      <c r="U14" s="1074">
        <f>+T14*(1+Assumptions!$P$68)</f>
        <v>1.5579674166007653</v>
      </c>
      <c r="V14" s="1074">
        <f>+U14*(1+Assumptions!$P$68)</f>
        <v>1.6047064390987884</v>
      </c>
      <c r="W14" s="1074">
        <f>+V14*(1+Assumptions!$P$68)</f>
        <v>1.652847632271752</v>
      </c>
      <c r="X14" s="1074">
        <f>+W14*(1+Assumptions!$P$68)</f>
        <v>1.7024330612399046</v>
      </c>
      <c r="Y14" s="1074">
        <f>+X14*(1+Assumptions!$P$68)</f>
        <v>1.7535060530771018</v>
      </c>
      <c r="Z14" s="1074">
        <f>+Y14*(1+Assumptions!$P$68)</f>
        <v>1.806111234669415</v>
      </c>
    </row>
    <row r="15" spans="1:26">
      <c r="A15" s="699"/>
      <c r="B15" s="699" t="s">
        <v>1127</v>
      </c>
      <c r="C15" s="699"/>
      <c r="D15" s="699"/>
      <c r="E15" s="699"/>
      <c r="F15" s="1074">
        <v>1</v>
      </c>
      <c r="G15" s="1074">
        <f>+F15*(1+Assumptions!$P$79)</f>
        <v>1.03</v>
      </c>
      <c r="H15" s="1074">
        <f>+G15*(1+Assumptions!$P$79)</f>
        <v>1.0609</v>
      </c>
      <c r="I15" s="1074">
        <f>+H15*(1+Assumptions!$P$79)</f>
        <v>1.092727</v>
      </c>
      <c r="J15" s="1074">
        <f>+I15*(1+Assumptions!$P$79)</f>
        <v>1.1255088100000001</v>
      </c>
      <c r="K15" s="1074">
        <f>+J15*(1+Assumptions!$P$79)</f>
        <v>1.1592740743000001</v>
      </c>
      <c r="L15" s="1074">
        <f>+K15*(1+Assumptions!$P$79)</f>
        <v>1.1940522965290001</v>
      </c>
      <c r="M15" s="1074">
        <f>+L15*(1+Assumptions!$P$79)</f>
        <v>1.2298738654248702</v>
      </c>
      <c r="N15" s="1074">
        <f>+M15*(1+Assumptions!$P$79)</f>
        <v>1.2667700813876164</v>
      </c>
      <c r="O15" s="1074">
        <f>+N15*(1+Assumptions!$P$79)</f>
        <v>1.3047731838292449</v>
      </c>
      <c r="P15" s="1074">
        <f>+O15*(1+Assumptions!$P$79)</f>
        <v>1.3439163793441222</v>
      </c>
      <c r="Q15" s="1074">
        <f>+P15*(1+Assumptions!$P$79)</f>
        <v>1.3842338707244459</v>
      </c>
      <c r="R15" s="1074">
        <f>+Q15*(1+Assumptions!$P$79)</f>
        <v>1.4257608868461793</v>
      </c>
      <c r="S15" s="1074">
        <f>+R15*(1+Assumptions!$P$79)</f>
        <v>1.4685337134515648</v>
      </c>
      <c r="T15" s="1074">
        <f>+S15*(1+Assumptions!$P$79)</f>
        <v>1.5125897248551119</v>
      </c>
      <c r="U15" s="1074">
        <f>+T15*(1+Assumptions!$P$79)</f>
        <v>1.5579674166007653</v>
      </c>
      <c r="V15" s="1074">
        <f>+U15*(1+Assumptions!$P$79)</f>
        <v>1.6047064390987884</v>
      </c>
      <c r="W15" s="1074">
        <f>+V15*(1+Assumptions!$P$79)</f>
        <v>1.652847632271752</v>
      </c>
      <c r="X15" s="1074">
        <f>+W15*(1+Assumptions!$P$79)</f>
        <v>1.7024330612399046</v>
      </c>
      <c r="Y15" s="1074">
        <f>+X15*(1+Assumptions!$P$79)</f>
        <v>1.7535060530771018</v>
      </c>
      <c r="Z15" s="1074">
        <f>+Y15*(1+Assumptions!$P$79)</f>
        <v>1.806111234669415</v>
      </c>
    </row>
    <row r="17" spans="1:26">
      <c r="A17" s="699"/>
      <c r="B17" s="699" t="s">
        <v>1128</v>
      </c>
      <c r="C17" s="699"/>
      <c r="D17" s="699"/>
      <c r="E17" s="699"/>
      <c r="F17" s="1028">
        <f>+F12*Assumptions!$H$69*F14</f>
        <v>0</v>
      </c>
      <c r="G17" s="1028">
        <f>+G12*Assumptions!$H$69*G14</f>
        <v>0</v>
      </c>
      <c r="H17" s="1028">
        <f>+H12*Assumptions!$H$69*H14</f>
        <v>0</v>
      </c>
      <c r="I17" s="1028">
        <f>+I12*Assumptions!$H$69*I14</f>
        <v>1611518.4082157093</v>
      </c>
      <c r="J17" s="1028">
        <f>+J12*Assumptions!$H$69*J14</f>
        <v>1659863.9604621809</v>
      </c>
      <c r="K17" s="1028">
        <f>+K12*Assumptions!$H$69*K14</f>
        <v>1709659.8792760461</v>
      </c>
      <c r="L17" s="1028">
        <f>+L12*Assumptions!$H$69*L14</f>
        <v>1760949.6756543277</v>
      </c>
      <c r="M17" s="1028">
        <f>+M12*Assumptions!$H$69*M14</f>
        <v>1813778.1659239575</v>
      </c>
      <c r="N17" s="1028">
        <f>+N12*Assumptions!$H$69*N14</f>
        <v>1868191.5109016765</v>
      </c>
      <c r="O17" s="1028">
        <f>+O12*Assumptions!$H$69*O14</f>
        <v>1924237.2562287268</v>
      </c>
      <c r="P17" s="1028">
        <f>+P12*Assumptions!$H$69*P14</f>
        <v>1981964.3739155885</v>
      </c>
      <c r="Q17" s="1028">
        <f>+Q12*Assumptions!$H$69*Q14</f>
        <v>2041423.3051330561</v>
      </c>
      <c r="R17" s="1028">
        <f>+R12*Assumptions!$H$69*R14</f>
        <v>2102666.0042870478</v>
      </c>
      <c r="S17" s="1028">
        <f>+S12*Assumptions!$H$69*S14</f>
        <v>2165745.9844156597</v>
      </c>
      <c r="T17" s="1028">
        <f>+T12*Assumptions!$H$69*T14</f>
        <v>2230718.3639481296</v>
      </c>
      <c r="U17" s="1028">
        <f>+U12*Assumptions!$H$69*U14</f>
        <v>2297639.9148665736</v>
      </c>
      <c r="V17" s="1028">
        <f>+V12*Assumptions!$H$69*V14</f>
        <v>2366569.1123125707</v>
      </c>
      <c r="W17" s="1028">
        <f>+W12*Assumptions!$H$69*W14</f>
        <v>2437566.185681948</v>
      </c>
      <c r="X17" s="1028">
        <f>+X12*Assumptions!$H$69*X14</f>
        <v>2510693.1712524062</v>
      </c>
      <c r="Y17" s="1028">
        <f>+Y12*Assumptions!$H$69*Y14</f>
        <v>2586013.9663899788</v>
      </c>
      <c r="Z17" s="1028">
        <f>+Z12*Assumptions!$H$69*Z14</f>
        <v>2663594.3853816781</v>
      </c>
    </row>
    <row r="18" spans="1:26">
      <c r="A18" s="699"/>
      <c r="B18" s="699" t="s">
        <v>1129</v>
      </c>
      <c r="C18" s="699"/>
      <c r="D18" s="699"/>
      <c r="E18" s="699"/>
      <c r="F18" s="1085">
        <f>-Assumptions!$E$99*'Phase 3 Pro Forma'!F17</f>
        <v>0</v>
      </c>
      <c r="G18" s="1085">
        <f>-Assumptions!$E$99*'Phase 3 Pro Forma'!G17</f>
        <v>0</v>
      </c>
      <c r="H18" s="1085">
        <f>-Assumptions!$E$99*'Phase 3 Pro Forma'!H17</f>
        <v>0</v>
      </c>
      <c r="I18" s="1085">
        <f>-Assumptions!$E$99*'Phase 3 Pro Forma'!I17</f>
        <v>-16115.184082157093</v>
      </c>
      <c r="J18" s="1085">
        <f>-Assumptions!$E$99*'Phase 3 Pro Forma'!J17</f>
        <v>-16598.639604621811</v>
      </c>
      <c r="K18" s="1085">
        <f>-Assumptions!$E$99*'Phase 3 Pro Forma'!K17</f>
        <v>-17096.598792760462</v>
      </c>
      <c r="L18" s="1085">
        <f>-Assumptions!$E$99*'Phase 3 Pro Forma'!L17</f>
        <v>-17609.496756543278</v>
      </c>
      <c r="M18" s="1085">
        <f>-Assumptions!$E$99*'Phase 3 Pro Forma'!M17</f>
        <v>-18137.781659239576</v>
      </c>
      <c r="N18" s="1085">
        <f>-Assumptions!$E$99*'Phase 3 Pro Forma'!N17</f>
        <v>-18681.915109016765</v>
      </c>
      <c r="O18" s="1085">
        <f>-Assumptions!$E$99*'Phase 3 Pro Forma'!O17</f>
        <v>-19242.37256228727</v>
      </c>
      <c r="P18" s="1085">
        <f>-Assumptions!$E$99*'Phase 3 Pro Forma'!P17</f>
        <v>-19819.643739155887</v>
      </c>
      <c r="Q18" s="1085">
        <f>-Assumptions!$E$99*'Phase 3 Pro Forma'!Q17</f>
        <v>-20414.233051330561</v>
      </c>
      <c r="R18" s="1085">
        <f>-Assumptions!$E$99*'Phase 3 Pro Forma'!R17</f>
        <v>-21026.660042870477</v>
      </c>
      <c r="S18" s="1085">
        <f>-Assumptions!$E$99*'Phase 3 Pro Forma'!S17</f>
        <v>-21657.459844156598</v>
      </c>
      <c r="T18" s="1085">
        <f>-Assumptions!$E$99*'Phase 3 Pro Forma'!T17</f>
        <v>-22307.183639481296</v>
      </c>
      <c r="U18" s="1085">
        <f>-Assumptions!$E$99*'Phase 3 Pro Forma'!U17</f>
        <v>-22976.399148665736</v>
      </c>
      <c r="V18" s="1085">
        <f>-Assumptions!$E$99*'Phase 3 Pro Forma'!V17</f>
        <v>-23665.691123125707</v>
      </c>
      <c r="W18" s="1085">
        <f>-Assumptions!$E$99*'Phase 3 Pro Forma'!W17</f>
        <v>-24375.661856819479</v>
      </c>
      <c r="X18" s="1085">
        <f>-Assumptions!$E$99*'Phase 3 Pro Forma'!X17</f>
        <v>-25106.931712524063</v>
      </c>
      <c r="Y18" s="1085">
        <f>-Assumptions!$E$99*'Phase 3 Pro Forma'!Y17</f>
        <v>-25860.139663899787</v>
      </c>
      <c r="Z18" s="1085">
        <f>-Assumptions!$E$99*'Phase 3 Pro Forma'!Z17</f>
        <v>-26635.943853816781</v>
      </c>
    </row>
    <row r="19" spans="1:26">
      <c r="A19" s="699"/>
      <c r="B19" s="699" t="s">
        <v>1130</v>
      </c>
      <c r="C19" s="699"/>
      <c r="D19" s="699"/>
      <c r="E19" s="699"/>
      <c r="F19" s="1085">
        <f>-F17*Assumptions!$P$59</f>
        <v>0</v>
      </c>
      <c r="G19" s="1085">
        <f>-G17*Assumptions!$P$59</f>
        <v>0</v>
      </c>
      <c r="H19" s="1085">
        <f>-H17*Assumptions!$P$59</f>
        <v>0</v>
      </c>
      <c r="I19" s="1085">
        <f>-I17*Assumptions!$P$59</f>
        <v>-64460.736328628373</v>
      </c>
      <c r="J19" s="1085">
        <f>-J17*Assumptions!$P$59</f>
        <v>-66394.558418487242</v>
      </c>
      <c r="K19" s="1085">
        <f>-K17*Assumptions!$P$59</f>
        <v>-68386.395171041848</v>
      </c>
      <c r="L19" s="1085">
        <f>-L17*Assumptions!$P$59</f>
        <v>-70437.987026173112</v>
      </c>
      <c r="M19" s="1085">
        <f>-M17*Assumptions!$P$59</f>
        <v>-72551.126636958303</v>
      </c>
      <c r="N19" s="1085">
        <f>-N17*Assumptions!$P$59</f>
        <v>-74727.660436067061</v>
      </c>
      <c r="O19" s="1085">
        <f>-O17*Assumptions!$P$59</f>
        <v>-76969.490249149079</v>
      </c>
      <c r="P19" s="1085">
        <f>-P17*Assumptions!$P$59</f>
        <v>-79278.574956623546</v>
      </c>
      <c r="Q19" s="1085">
        <f>-Q17*Assumptions!$P$59</f>
        <v>-81656.932205322242</v>
      </c>
      <c r="R19" s="1085">
        <f>-R17*Assumptions!$P$59</f>
        <v>-84106.640171481908</v>
      </c>
      <c r="S19" s="1085">
        <f>-S17*Assumptions!$P$59</f>
        <v>-86629.839376626391</v>
      </c>
      <c r="T19" s="1085">
        <f>-T17*Assumptions!$P$59</f>
        <v>-89228.734557925185</v>
      </c>
      <c r="U19" s="1085">
        <f>-U17*Assumptions!$P$59</f>
        <v>-91905.596594662944</v>
      </c>
      <c r="V19" s="1085">
        <f>-V17*Assumptions!$P$59</f>
        <v>-94662.764492502829</v>
      </c>
      <c r="W19" s="1085">
        <f>-W17*Assumptions!$P$59</f>
        <v>-97502.647427277916</v>
      </c>
      <c r="X19" s="1085">
        <f>-X17*Assumptions!$P$59</f>
        <v>-100427.72685009625</v>
      </c>
      <c r="Y19" s="1085">
        <f>-Y17*Assumptions!$P$59</f>
        <v>-103440.55865559915</v>
      </c>
      <c r="Z19" s="1085">
        <f>-Z17*Assumptions!$P$59</f>
        <v>-106543.77541526713</v>
      </c>
    </row>
    <row r="20" spans="1:26">
      <c r="A20" s="699"/>
      <c r="B20" s="699" t="s">
        <v>1184</v>
      </c>
      <c r="C20" s="699"/>
      <c r="D20" s="699"/>
      <c r="E20" s="699"/>
      <c r="F20" s="1085">
        <f>+F11*Assumptions!$AG$158*(1-Assumptions!$P$59)*12</f>
        <v>0</v>
      </c>
      <c r="G20" s="1085">
        <f>+G11*Assumptions!$AG$158*(1-Assumptions!$P$59)*12</f>
        <v>0</v>
      </c>
      <c r="H20" s="1085">
        <f>+H11*Assumptions!$AG$158*(1-Assumptions!$P$59)*12</f>
        <v>0</v>
      </c>
      <c r="I20" s="1085">
        <f>+I11*Assumptions!$AG$158*(1-Assumptions!$P$59)*12</f>
        <v>5555.2325393787141</v>
      </c>
      <c r="J20" s="1085">
        <f>+J11*Assumptions!$AG$158*(1-Assumptions!$P$59)*12</f>
        <v>5555.2325393787141</v>
      </c>
      <c r="K20" s="1085">
        <f>+K11*Assumptions!$AG$158*(1-Assumptions!$P$59)*12</f>
        <v>5555.2325393787141</v>
      </c>
      <c r="L20" s="1085">
        <f>+L11*Assumptions!$AG$158*(1-Assumptions!$P$59)*12</f>
        <v>5555.2325393787141</v>
      </c>
      <c r="M20" s="1085">
        <f>+M11*Assumptions!$AG$158*(1-Assumptions!$P$59)*12</f>
        <v>5555.2325393787141</v>
      </c>
      <c r="N20" s="1085">
        <f>+N11*Assumptions!$AG$158*(1-Assumptions!$P$59)*12</f>
        <v>5555.2325393787141</v>
      </c>
      <c r="O20" s="1085">
        <f>+O11*Assumptions!$AG$158*(1-Assumptions!$P$59)*12</f>
        <v>5555.2325393787141</v>
      </c>
      <c r="P20" s="1085">
        <f>+P11*Assumptions!$AG$158*(1-Assumptions!$P$59)*12</f>
        <v>5555.2325393787141</v>
      </c>
      <c r="Q20" s="1085">
        <f>+Q11*Assumptions!$AG$158*(1-Assumptions!$P$59)*12</f>
        <v>5555.2325393787141</v>
      </c>
      <c r="R20" s="1085">
        <f>+R11*Assumptions!$AG$158*(1-Assumptions!$P$59)*12</f>
        <v>5555.2325393787141</v>
      </c>
      <c r="S20" s="1085">
        <f>+S11*Assumptions!$AG$158*(1-Assumptions!$P$59)*12</f>
        <v>5555.2325393787141</v>
      </c>
      <c r="T20" s="1085">
        <f>+T11*Assumptions!$AG$158*(1-Assumptions!$P$59)*12</f>
        <v>5555.2325393787141</v>
      </c>
      <c r="U20" s="1085">
        <f>+U11*Assumptions!$AG$158*(1-Assumptions!$P$59)*12</f>
        <v>5555.2325393787141</v>
      </c>
      <c r="V20" s="1085">
        <f>+V11*Assumptions!$AG$158*(1-Assumptions!$P$59)*12</f>
        <v>5555.2325393787141</v>
      </c>
      <c r="W20" s="1085">
        <f>+W11*Assumptions!$AG$158*(1-Assumptions!$P$59)*12</f>
        <v>5555.2325393787141</v>
      </c>
      <c r="X20" s="1085">
        <f>+X11*Assumptions!$AG$158*(1-Assumptions!$P$59)*12</f>
        <v>5555.2325393787141</v>
      </c>
      <c r="Y20" s="1085">
        <f>+Y11*Assumptions!$AG$158*(1-Assumptions!$P$59)*12</f>
        <v>5555.2325393787141</v>
      </c>
      <c r="Z20" s="1085">
        <f>+Z11*Assumptions!$AG$158*(1-Assumptions!$P$59)*12</f>
        <v>5555.2325393787141</v>
      </c>
    </row>
    <row r="21" spans="1:26">
      <c r="A21" s="699"/>
      <c r="B21" s="699" t="s">
        <v>48</v>
      </c>
      <c r="C21" s="699"/>
      <c r="D21" s="699"/>
      <c r="E21" s="699"/>
      <c r="F21" s="1085">
        <f>+(F11*Assumptions!$AD$160*Assumptions!$AD$161)*12</f>
        <v>0</v>
      </c>
      <c r="G21" s="1085">
        <f>+(G11*Assumptions!$AD$160*Assumptions!$AD$161)*12</f>
        <v>0</v>
      </c>
      <c r="H21" s="1085">
        <f>+(H11*Assumptions!$AD$160*Assumptions!$AD$161)*12</f>
        <v>0</v>
      </c>
      <c r="I21" s="1085">
        <f>+(I11*Assumptions!$AD$160*Assumptions!$AD$161)*12</f>
        <v>4150.1493092038245</v>
      </c>
      <c r="J21" s="1085">
        <f>+(J11*Assumptions!$AD$160*Assumptions!$AD$161)*12</f>
        <v>4150.1493092038245</v>
      </c>
      <c r="K21" s="1085">
        <f>+(K11*Assumptions!$AD$160*Assumptions!$AD$161)*12</f>
        <v>4150.1493092038245</v>
      </c>
      <c r="L21" s="1085">
        <f>+(L11*Assumptions!$AD$160*Assumptions!$AD$161)*12</f>
        <v>4150.1493092038245</v>
      </c>
      <c r="M21" s="1085">
        <f>+(M11*Assumptions!$AD$160*Assumptions!$AD$161)*12</f>
        <v>4150.1493092038245</v>
      </c>
      <c r="N21" s="1085">
        <f>+(N11*Assumptions!$AD$160*Assumptions!$AD$161)*12</f>
        <v>4150.1493092038245</v>
      </c>
      <c r="O21" s="1085">
        <f>+(O11*Assumptions!$AD$160*Assumptions!$AD$161)*12</f>
        <v>4150.1493092038245</v>
      </c>
      <c r="P21" s="1085">
        <f>+(P11*Assumptions!$AD$160*Assumptions!$AD$161)*12</f>
        <v>4150.1493092038245</v>
      </c>
      <c r="Q21" s="1085">
        <f>+(Q11*Assumptions!$AD$160*Assumptions!$AD$161)*12</f>
        <v>4150.1493092038245</v>
      </c>
      <c r="R21" s="1085">
        <f>+(R11*Assumptions!$AD$160*Assumptions!$AD$161)*12</f>
        <v>4150.1493092038245</v>
      </c>
      <c r="S21" s="1085">
        <f>+(S11*Assumptions!$AD$160*Assumptions!$AD$161)*12</f>
        <v>4150.1493092038245</v>
      </c>
      <c r="T21" s="1085">
        <f>+(T11*Assumptions!$AD$160*Assumptions!$AD$161)*12</f>
        <v>4150.1493092038245</v>
      </c>
      <c r="U21" s="1085">
        <f>+(U11*Assumptions!$AD$160*Assumptions!$AD$161)*12</f>
        <v>4150.1493092038245</v>
      </c>
      <c r="V21" s="1085">
        <f>+(V11*Assumptions!$AD$160*Assumptions!$AD$161)*12</f>
        <v>4150.1493092038245</v>
      </c>
      <c r="W21" s="1085">
        <f>+(W11*Assumptions!$AD$160*Assumptions!$AD$161)*12</f>
        <v>4150.1493092038245</v>
      </c>
      <c r="X21" s="1085">
        <f>+(X11*Assumptions!$AD$160*Assumptions!$AD$161)*12</f>
        <v>4150.1493092038245</v>
      </c>
      <c r="Y21" s="1085">
        <f>+(Y11*Assumptions!$AD$160*Assumptions!$AD$161)*12</f>
        <v>4150.1493092038245</v>
      </c>
      <c r="Z21" s="1085">
        <f>+(Z11*Assumptions!$AD$160*Assumptions!$AD$161)*12</f>
        <v>4150.1493092038245</v>
      </c>
    </row>
    <row r="22" spans="1:26">
      <c r="A22" s="699"/>
      <c r="B22" s="699" t="s">
        <v>50</v>
      </c>
      <c r="C22" s="699"/>
      <c r="D22" s="699"/>
      <c r="E22" s="699"/>
      <c r="F22" s="1085">
        <f>+F11*Assumptions!$AD$162*Assumptions!$AD$163*12</f>
        <v>0</v>
      </c>
      <c r="G22" s="1085">
        <f>+G11*Assumptions!$AD$162*Assumptions!$AD$163*12</f>
        <v>0</v>
      </c>
      <c r="H22" s="1085">
        <f>+H11*Assumptions!$AD$162*Assumptions!$AD$163*12</f>
        <v>0</v>
      </c>
      <c r="I22" s="1085">
        <f>+I11*Assumptions!$AD$162*Assumptions!$AD$163*12</f>
        <v>20398.119480531215</v>
      </c>
      <c r="J22" s="1085">
        <f>+J11*Assumptions!$AD$162*Assumptions!$AD$163*12</f>
        <v>20398.119480531215</v>
      </c>
      <c r="K22" s="1085">
        <f>+K11*Assumptions!$AD$162*Assumptions!$AD$163*12</f>
        <v>20398.119480531215</v>
      </c>
      <c r="L22" s="1085">
        <f>+L11*Assumptions!$AD$162*Assumptions!$AD$163*12</f>
        <v>20398.119480531215</v>
      </c>
      <c r="M22" s="1085">
        <f>+M11*Assumptions!$AD$162*Assumptions!$AD$163*12</f>
        <v>20398.119480531215</v>
      </c>
      <c r="N22" s="1085">
        <f>+N11*Assumptions!$AD$162*Assumptions!$AD$163*12</f>
        <v>20398.119480531215</v>
      </c>
      <c r="O22" s="1085">
        <f>+O11*Assumptions!$AD$162*Assumptions!$AD$163*12</f>
        <v>20398.119480531215</v>
      </c>
      <c r="P22" s="1085">
        <f>+P11*Assumptions!$AD$162*Assumptions!$AD$163*12</f>
        <v>20398.119480531215</v>
      </c>
      <c r="Q22" s="1085">
        <f>+Q11*Assumptions!$AD$162*Assumptions!$AD$163*12</f>
        <v>20398.119480531215</v>
      </c>
      <c r="R22" s="1085">
        <f>+R11*Assumptions!$AD$162*Assumptions!$AD$163*12</f>
        <v>20398.119480531215</v>
      </c>
      <c r="S22" s="1085">
        <f>+S11*Assumptions!$AD$162*Assumptions!$AD$163*12</f>
        <v>20398.119480531215</v>
      </c>
      <c r="T22" s="1085">
        <f>+T11*Assumptions!$AD$162*Assumptions!$AD$163*12</f>
        <v>20398.119480531215</v>
      </c>
      <c r="U22" s="1085">
        <f>+U11*Assumptions!$AD$162*Assumptions!$AD$163*12</f>
        <v>20398.119480531215</v>
      </c>
      <c r="V22" s="1085">
        <f>+V11*Assumptions!$AD$162*Assumptions!$AD$163*12</f>
        <v>20398.119480531215</v>
      </c>
      <c r="W22" s="1085">
        <f>+W11*Assumptions!$AD$162*Assumptions!$AD$163*12</f>
        <v>20398.119480531215</v>
      </c>
      <c r="X22" s="1085">
        <f>+X11*Assumptions!$AD$162*Assumptions!$AD$163*12</f>
        <v>20398.119480531215</v>
      </c>
      <c r="Y22" s="1085">
        <f>+Y11*Assumptions!$AD$162*Assumptions!$AD$163*12</f>
        <v>20398.119480531215</v>
      </c>
      <c r="Z22" s="1085">
        <f>+Z11*Assumptions!$AD$162*Assumptions!$AD$163*12</f>
        <v>20398.119480531215</v>
      </c>
    </row>
    <row r="23" spans="1:26">
      <c r="A23" s="699"/>
      <c r="B23" s="699" t="s">
        <v>52</v>
      </c>
      <c r="C23" s="699"/>
      <c r="D23" s="699"/>
      <c r="E23" s="699"/>
      <c r="F23" s="1085">
        <f>+F11*Assumptions!$AD$164*Assumptions!$AD$165*12</f>
        <v>0</v>
      </c>
      <c r="G23" s="1085">
        <f>+G11*Assumptions!$AD$164*Assumptions!$AD$165*12</f>
        <v>0</v>
      </c>
      <c r="H23" s="1085">
        <f>+H11*Assumptions!$AD$164*Assumptions!$AD$165*12</f>
        <v>0</v>
      </c>
      <c r="I23" s="1085">
        <f>+I11*Assumptions!$AD$164*Assumptions!$AD$165*12</f>
        <v>16094.260937653175</v>
      </c>
      <c r="J23" s="1085">
        <f>+J11*Assumptions!$AD$164*Assumptions!$AD$165*12</f>
        <v>16094.260937653175</v>
      </c>
      <c r="K23" s="1085">
        <f>+K11*Assumptions!$AD$164*Assumptions!$AD$165*12</f>
        <v>16094.260937653175</v>
      </c>
      <c r="L23" s="1085">
        <f>+L11*Assumptions!$AD$164*Assumptions!$AD$165*12</f>
        <v>16094.260937653175</v>
      </c>
      <c r="M23" s="1085">
        <f>+M11*Assumptions!$AD$164*Assumptions!$AD$165*12</f>
        <v>16094.260937653175</v>
      </c>
      <c r="N23" s="1085">
        <f>+N11*Assumptions!$AD$164*Assumptions!$AD$165*12</f>
        <v>16094.260937653175</v>
      </c>
      <c r="O23" s="1085">
        <f>+O11*Assumptions!$AD$164*Assumptions!$AD$165*12</f>
        <v>16094.260937653175</v>
      </c>
      <c r="P23" s="1085">
        <f>+P11*Assumptions!$AD$164*Assumptions!$AD$165*12</f>
        <v>16094.260937653175</v>
      </c>
      <c r="Q23" s="1085">
        <f>+Q11*Assumptions!$AD$164*Assumptions!$AD$165*12</f>
        <v>16094.260937653175</v>
      </c>
      <c r="R23" s="1085">
        <f>+R11*Assumptions!$AD$164*Assumptions!$AD$165*12</f>
        <v>16094.260937653175</v>
      </c>
      <c r="S23" s="1085">
        <f>+S11*Assumptions!$AD$164*Assumptions!$AD$165*12</f>
        <v>16094.260937653175</v>
      </c>
      <c r="T23" s="1085">
        <f>+T11*Assumptions!$AD$164*Assumptions!$AD$165*12</f>
        <v>16094.260937653175</v>
      </c>
      <c r="U23" s="1085">
        <f>+U11*Assumptions!$AD$164*Assumptions!$AD$165*12</f>
        <v>16094.260937653175</v>
      </c>
      <c r="V23" s="1085">
        <f>+V11*Assumptions!$AD$164*Assumptions!$AD$165*12</f>
        <v>16094.260937653175</v>
      </c>
      <c r="W23" s="1085">
        <f>+W11*Assumptions!$AD$164*Assumptions!$AD$165*12</f>
        <v>16094.260937653175</v>
      </c>
      <c r="X23" s="1085">
        <f>+X11*Assumptions!$AD$164*Assumptions!$AD$165*12</f>
        <v>16094.260937653175</v>
      </c>
      <c r="Y23" s="1085">
        <f>+Y11*Assumptions!$AD$164*Assumptions!$AD$165*12</f>
        <v>16094.260937653175</v>
      </c>
      <c r="Z23" s="1085">
        <f>+Z11*Assumptions!$AD$164*Assumptions!$AD$165*12</f>
        <v>16094.260937653175</v>
      </c>
    </row>
    <row r="24" spans="1:26">
      <c r="A24" s="699"/>
      <c r="B24" s="52" t="s">
        <v>1131</v>
      </c>
      <c r="C24" s="1052"/>
      <c r="D24" s="1052"/>
      <c r="E24" s="1052"/>
      <c r="F24" s="1086">
        <f t="shared" ref="F24:Z24" si="5">SUM(F17:F23)</f>
        <v>0</v>
      </c>
      <c r="G24" s="1086">
        <f t="shared" si="5"/>
        <v>0</v>
      </c>
      <c r="H24" s="1086">
        <f t="shared" si="5"/>
        <v>0</v>
      </c>
      <c r="I24" s="1086">
        <f t="shared" si="5"/>
        <v>1577140.2500716909</v>
      </c>
      <c r="J24" s="1086">
        <f t="shared" si="5"/>
        <v>1623068.5247058389</v>
      </c>
      <c r="K24" s="1086">
        <f t="shared" si="5"/>
        <v>1670374.6475790108</v>
      </c>
      <c r="L24" s="1086">
        <f t="shared" si="5"/>
        <v>1719099.9541383784</v>
      </c>
      <c r="M24" s="1086">
        <f t="shared" si="5"/>
        <v>1769287.0198945266</v>
      </c>
      <c r="N24" s="1086">
        <f t="shared" si="5"/>
        <v>1820979.6976233597</v>
      </c>
      <c r="O24" s="1086">
        <f t="shared" si="5"/>
        <v>1874223.1556840574</v>
      </c>
      <c r="P24" s="1086">
        <f t="shared" si="5"/>
        <v>1929063.9174865759</v>
      </c>
      <c r="Q24" s="1086">
        <f t="shared" si="5"/>
        <v>1985549.9021431704</v>
      </c>
      <c r="R24" s="1086">
        <f t="shared" si="5"/>
        <v>2043730.4663394622</v>
      </c>
      <c r="S24" s="1086">
        <f t="shared" si="5"/>
        <v>2103656.4474616437</v>
      </c>
      <c r="T24" s="1086">
        <f t="shared" si="5"/>
        <v>2165380.2080174899</v>
      </c>
      <c r="U24" s="1086">
        <f t="shared" si="5"/>
        <v>2228955.6813900117</v>
      </c>
      <c r="V24" s="1086">
        <f t="shared" si="5"/>
        <v>2294438.4189637089</v>
      </c>
      <c r="W24" s="1086">
        <f t="shared" si="5"/>
        <v>2361885.6386646172</v>
      </c>
      <c r="X24" s="1086">
        <f t="shared" si="5"/>
        <v>2431356.2749565528</v>
      </c>
      <c r="Y24" s="1086">
        <f t="shared" si="5"/>
        <v>2502911.0303372466</v>
      </c>
      <c r="Z24" s="1086">
        <f t="shared" si="5"/>
        <v>2576612.4283793606</v>
      </c>
    </row>
    <row r="25" spans="1:26">
      <c r="A25" s="699"/>
      <c r="B25" s="49"/>
      <c r="C25" s="699"/>
      <c r="D25" s="699"/>
      <c r="E25" s="699"/>
      <c r="F25" s="699"/>
      <c r="G25" s="699"/>
      <c r="H25" s="699"/>
      <c r="I25" s="699"/>
      <c r="J25" s="699"/>
      <c r="K25" s="699"/>
      <c r="L25" s="699"/>
      <c r="M25" s="699"/>
      <c r="N25" s="699"/>
      <c r="O25" s="699"/>
      <c r="P25" s="699"/>
      <c r="Q25" s="699"/>
      <c r="R25" s="699"/>
      <c r="S25" s="699"/>
      <c r="T25" s="699"/>
      <c r="U25" s="699"/>
      <c r="V25" s="699"/>
      <c r="W25" s="699"/>
      <c r="X25" s="699"/>
      <c r="Y25" s="699"/>
      <c r="Z25" s="699"/>
    </row>
    <row r="26" spans="1:26">
      <c r="A26" s="699"/>
      <c r="B26" s="699" t="s">
        <v>1132</v>
      </c>
      <c r="C26" s="699"/>
      <c r="D26" s="699"/>
      <c r="E26" s="699"/>
      <c r="F26" s="1087">
        <f>+F11*Assumptions!$P$96*F15</f>
        <v>0</v>
      </c>
      <c r="G26" s="1087">
        <f>+G11*Assumptions!$P$96*G15</f>
        <v>0</v>
      </c>
      <c r="H26" s="1087">
        <f>+H11*Assumptions!$P$96*H15</f>
        <v>0</v>
      </c>
      <c r="I26" s="1087">
        <f>+I11*Assumptions!$P$96*I15</f>
        <v>741344.97792314622</v>
      </c>
      <c r="J26" s="1087">
        <f>+J11*Assumptions!$P$96*J15</f>
        <v>763585.32726084068</v>
      </c>
      <c r="K26" s="1087">
        <f>+K11*Assumptions!$P$96*K15</f>
        <v>786492.88707866578</v>
      </c>
      <c r="L26" s="1087">
        <f>+L11*Assumptions!$P$96*L15</f>
        <v>810087.67369102582</v>
      </c>
      <c r="M26" s="1087">
        <f>+M11*Assumptions!$P$96*M15</f>
        <v>834390.30390175665</v>
      </c>
      <c r="N26" s="1087">
        <f>+N11*Assumptions!$P$96*N15</f>
        <v>859422.01301880938</v>
      </c>
      <c r="O26" s="1087">
        <f>+O11*Assumptions!$P$96*O15</f>
        <v>885204.67340937373</v>
      </c>
      <c r="P26" s="1087">
        <f>+P11*Assumptions!$P$96*P15</f>
        <v>911760.81361165491</v>
      </c>
      <c r="Q26" s="1087">
        <f>+Q11*Assumptions!$P$96*Q15</f>
        <v>939113.63802000461</v>
      </c>
      <c r="R26" s="1087">
        <f>+R11*Assumptions!$P$96*R15</f>
        <v>967287.04716060474</v>
      </c>
      <c r="S26" s="1087">
        <f>+S11*Assumptions!$P$96*S15</f>
        <v>996305.65857542295</v>
      </c>
      <c r="T26" s="1087">
        <f>+T11*Assumptions!$P$96*T15</f>
        <v>1026194.8283326857</v>
      </c>
      <c r="U26" s="1087">
        <f>+U11*Assumptions!$P$96*U15</f>
        <v>1056980.6731826663</v>
      </c>
      <c r="V26" s="1087">
        <f>+V11*Assumptions!$P$96*V15</f>
        <v>1088690.0933781464</v>
      </c>
      <c r="W26" s="1087">
        <f>+W11*Assumptions!$P$96*W15</f>
        <v>1121350.7961794909</v>
      </c>
      <c r="X26" s="1087">
        <f>+X11*Assumptions!$P$96*X15</f>
        <v>1154991.3200648755</v>
      </c>
      <c r="Y26" s="1087">
        <f>+Y11*Assumptions!$P$96*Y15</f>
        <v>1189641.0596668217</v>
      </c>
      <c r="Z26" s="1087">
        <f>+Z11*Assumptions!$P$96*Z15</f>
        <v>1225330.2914568265</v>
      </c>
    </row>
    <row r="27" spans="1:26">
      <c r="A27" s="699"/>
      <c r="B27" s="699" t="s">
        <v>1133</v>
      </c>
      <c r="C27" s="699"/>
      <c r="D27" s="699"/>
      <c r="E27" s="699"/>
      <c r="F27" s="1050">
        <f ca="1">+IFERROR(INDEX('Taxes and TIF'!$AS$11:$AS$45,MATCH('Phase 3 Pro Forma'!F$7,'Taxes and TIF'!$AH$11:$AH$45,0)),0)*'Loan Sizing'!$M$22*'Phase 3 Pro Forma'!F12</f>
        <v>0</v>
      </c>
      <c r="G27" s="1050">
        <f ca="1">+IFERROR(INDEX('Taxes and TIF'!$AS$11:$AS$45,MATCH('Phase 3 Pro Forma'!G$7,'Taxes and TIF'!$AH$11:$AH$45,0)),0)*'Loan Sizing'!$M$22*'Phase 3 Pro Forma'!G12</f>
        <v>0</v>
      </c>
      <c r="H27" s="1050">
        <f ca="1">+IFERROR(INDEX('Taxes and TIF'!$AS$11:$AS$45,MATCH('Phase 3 Pro Forma'!H$7,'Taxes and TIF'!$AH$11:$AH$45,0)),0)*'Loan Sizing'!$M$22*'Phase 3 Pro Forma'!H12</f>
        <v>0</v>
      </c>
      <c r="I27" s="1050">
        <f ca="1">+IFERROR(INDEX('Taxes and TIF'!$AS$11:$AS$45,MATCH('Phase 3 Pro Forma'!I$7,'Taxes and TIF'!$AH$11:$AH$45,0)),0)*'Loan Sizing'!$M$22*'Phase 3 Pro Forma'!I12</f>
        <v>150215.63481180952</v>
      </c>
      <c r="J27" s="1050">
        <f ca="1">+IFERROR(INDEX('Taxes and TIF'!$AS$11:$AS$45,MATCH('Phase 3 Pro Forma'!J$7,'Taxes and TIF'!$AH$11:$AH$45,0)),0)*'Loan Sizing'!$M$22*'Phase 3 Pro Forma'!J12</f>
        <v>154722.1038561638</v>
      </c>
      <c r="K27" s="1050">
        <f ca="1">+IFERROR(INDEX('Taxes and TIF'!$AS$11:$AS$45,MATCH('Phase 3 Pro Forma'!K$7,'Taxes and TIF'!$AH$11:$AH$45,0)),0)*'Loan Sizing'!$M$22*'Phase 3 Pro Forma'!K12</f>
        <v>154722.1038561638</v>
      </c>
      <c r="L27" s="1050">
        <f ca="1">+IFERROR(INDEX('Taxes and TIF'!$AS$11:$AS$45,MATCH('Phase 3 Pro Forma'!L$7,'Taxes and TIF'!$AH$11:$AH$45,0)),0)*'Loan Sizing'!$M$22*'Phase 3 Pro Forma'!L12</f>
        <v>154722.1038561638</v>
      </c>
      <c r="M27" s="1050">
        <f ca="1">+IFERROR(INDEX('Taxes and TIF'!$AS$11:$AS$45,MATCH('Phase 3 Pro Forma'!M$7,'Taxes and TIF'!$AH$11:$AH$45,0)),0)*'Loan Sizing'!$M$22*'Phase 3 Pro Forma'!M12</f>
        <v>159363.7669718487</v>
      </c>
      <c r="N27" s="1050">
        <f ca="1">+IFERROR(INDEX('Taxes and TIF'!$AS$11:$AS$45,MATCH('Phase 3 Pro Forma'!N$7,'Taxes and TIF'!$AH$11:$AH$45,0)),0)*'Loan Sizing'!$M$22*'Phase 3 Pro Forma'!N12</f>
        <v>159363.7669718487</v>
      </c>
      <c r="O27" s="1050">
        <f ca="1">+IFERROR(INDEX('Taxes and TIF'!$AS$11:$AS$45,MATCH('Phase 3 Pro Forma'!O$7,'Taxes and TIF'!$AH$11:$AH$45,0)),0)*'Loan Sizing'!$M$22*'Phase 3 Pro Forma'!O12</f>
        <v>159363.7669718487</v>
      </c>
      <c r="P27" s="1050">
        <f ca="1">+IFERROR(INDEX('Taxes and TIF'!$AS$11:$AS$45,MATCH('Phase 3 Pro Forma'!P$7,'Taxes and TIF'!$AH$11:$AH$45,0)),0)*'Loan Sizing'!$M$22*'Phase 3 Pro Forma'!P12</f>
        <v>164144.67998100418</v>
      </c>
      <c r="Q27" s="1050">
        <f ca="1">+IFERROR(INDEX('Taxes and TIF'!$AS$11:$AS$45,MATCH('Phase 3 Pro Forma'!Q$7,'Taxes and TIF'!$AH$11:$AH$45,0)),0)*'Loan Sizing'!$M$22*'Phase 3 Pro Forma'!Q12</f>
        <v>164144.67998100418</v>
      </c>
      <c r="R27" s="1050">
        <f ca="1">+IFERROR(INDEX('Taxes and TIF'!$AS$11:$AS$45,MATCH('Phase 3 Pro Forma'!R$7,'Taxes and TIF'!$AH$11:$AH$45,0)),0)*'Loan Sizing'!$M$22*'Phase 3 Pro Forma'!R12</f>
        <v>164144.67998100418</v>
      </c>
      <c r="S27" s="1050">
        <f ca="1">+IFERROR(INDEX('Taxes and TIF'!$AS$11:$AS$45,MATCH('Phase 3 Pro Forma'!S$7,'Taxes and TIF'!$AH$11:$AH$45,0)),0)*'Loan Sizing'!$M$22*'Phase 3 Pro Forma'!S12</f>
        <v>169069.02038043432</v>
      </c>
      <c r="T27" s="1050">
        <f ca="1">+IFERROR(INDEX('Taxes and TIF'!$AS$11:$AS$45,MATCH('Phase 3 Pro Forma'!T$7,'Taxes and TIF'!$AH$11:$AH$45,0)),0)*'Loan Sizing'!$M$22*'Phase 3 Pro Forma'!T12</f>
        <v>169069.02038043432</v>
      </c>
      <c r="U27" s="1050">
        <f ca="1">+IFERROR(INDEX('Taxes and TIF'!$AS$11:$AS$45,MATCH('Phase 3 Pro Forma'!U$7,'Taxes and TIF'!$AH$11:$AH$45,0)),0)*'Loan Sizing'!$M$22*'Phase 3 Pro Forma'!U12</f>
        <v>169069.02038043432</v>
      </c>
      <c r="V27" s="1050">
        <f ca="1">+IFERROR(INDEX('Taxes and TIF'!$AS$11:$AS$45,MATCH('Phase 3 Pro Forma'!V$7,'Taxes and TIF'!$AH$11:$AH$45,0)),0)*'Loan Sizing'!$M$22*'Phase 3 Pro Forma'!V12</f>
        <v>174141.09099184733</v>
      </c>
      <c r="W27" s="1050">
        <f ca="1">+IFERROR(INDEX('Taxes and TIF'!$AS$11:$AS$45,MATCH('Phase 3 Pro Forma'!W$7,'Taxes and TIF'!$AH$11:$AH$45,0)),0)*'Loan Sizing'!$M$22*'Phase 3 Pro Forma'!W12</f>
        <v>174141.09099184733</v>
      </c>
      <c r="X27" s="1050">
        <f ca="1">+IFERROR(INDEX('Taxes and TIF'!$AS$11:$AS$45,MATCH('Phase 3 Pro Forma'!X$7,'Taxes and TIF'!$AH$11:$AH$45,0)),0)*'Loan Sizing'!$M$22*'Phase 3 Pro Forma'!X12</f>
        <v>174141.09099184733</v>
      </c>
      <c r="Y27" s="1050">
        <f ca="1">+IFERROR(INDEX('Taxes and TIF'!$AS$11:$AS$45,MATCH('Phase 3 Pro Forma'!Y$7,'Taxes and TIF'!$AH$11:$AH$45,0)),0)*'Loan Sizing'!$M$22*'Phase 3 Pro Forma'!Y12</f>
        <v>179365.32372160276</v>
      </c>
      <c r="Z27" s="1050">
        <f ca="1">+IFERROR(INDEX('Taxes and TIF'!$AS$11:$AS$45,MATCH('Phase 3 Pro Forma'!Z$7,'Taxes and TIF'!$AH$11:$AH$45,0)),0)*'Loan Sizing'!$M$22*'Phase 3 Pro Forma'!Z12</f>
        <v>179365.32372160276</v>
      </c>
    </row>
    <row r="28" spans="1:26">
      <c r="A28" s="699"/>
      <c r="B28" s="52" t="s">
        <v>1134</v>
      </c>
      <c r="C28" s="1052"/>
      <c r="D28" s="1052"/>
      <c r="E28" s="1052"/>
      <c r="F28" s="1088">
        <f ca="1">+SUM(F26:F27)</f>
        <v>0</v>
      </c>
      <c r="G28" s="1088">
        <f t="shared" ref="G28:Z28" ca="1" si="6">+SUM(G26:G27)</f>
        <v>0</v>
      </c>
      <c r="H28" s="1088">
        <f t="shared" ca="1" si="6"/>
        <v>0</v>
      </c>
      <c r="I28" s="1088">
        <f t="shared" ca="1" si="6"/>
        <v>891560.61273495574</v>
      </c>
      <c r="J28" s="1088">
        <f t="shared" ca="1" si="6"/>
        <v>918307.43111700448</v>
      </c>
      <c r="K28" s="1088">
        <f t="shared" ca="1" si="6"/>
        <v>941214.99093482958</v>
      </c>
      <c r="L28" s="1088">
        <f t="shared" ca="1" si="6"/>
        <v>964809.77754718962</v>
      </c>
      <c r="M28" s="1088">
        <f t="shared" ca="1" si="6"/>
        <v>993754.07087360532</v>
      </c>
      <c r="N28" s="1088">
        <f t="shared" ca="1" si="6"/>
        <v>1018785.779990658</v>
      </c>
      <c r="O28" s="1088">
        <f t="shared" ca="1" si="6"/>
        <v>1044568.4403812224</v>
      </c>
      <c r="P28" s="1088">
        <f t="shared" ca="1" si="6"/>
        <v>1075905.493592659</v>
      </c>
      <c r="Q28" s="1088">
        <f t="shared" ca="1" si="6"/>
        <v>1103258.3180010088</v>
      </c>
      <c r="R28" s="1088">
        <f t="shared" ca="1" si="6"/>
        <v>1131431.7271416089</v>
      </c>
      <c r="S28" s="1088">
        <f t="shared" ca="1" si="6"/>
        <v>1165374.6789558572</v>
      </c>
      <c r="T28" s="1088">
        <f t="shared" ca="1" si="6"/>
        <v>1195263.84871312</v>
      </c>
      <c r="U28" s="1088">
        <f t="shared" ca="1" si="6"/>
        <v>1226049.6935631006</v>
      </c>
      <c r="V28" s="1088">
        <f t="shared" ca="1" si="6"/>
        <v>1262831.1843699939</v>
      </c>
      <c r="W28" s="1088">
        <f t="shared" ca="1" si="6"/>
        <v>1295491.8871713383</v>
      </c>
      <c r="X28" s="1088">
        <f t="shared" ca="1" si="6"/>
        <v>1329132.411056723</v>
      </c>
      <c r="Y28" s="1088">
        <f t="shared" ca="1" si="6"/>
        <v>1369006.3833884245</v>
      </c>
      <c r="Z28" s="1088">
        <f t="shared" ca="1" si="6"/>
        <v>1404695.6151784293</v>
      </c>
    </row>
    <row r="30" spans="1:26" ht="15.75">
      <c r="A30" s="699" t="s">
        <v>511</v>
      </c>
      <c r="B30" s="50" t="s">
        <v>1135</v>
      </c>
      <c r="C30" s="50"/>
      <c r="D30" s="50"/>
      <c r="E30" s="50"/>
      <c r="F30" s="55">
        <f ca="1">+F24-F28</f>
        <v>0</v>
      </c>
      <c r="G30" s="55">
        <f t="shared" ref="G30:Z30" ca="1" si="7">+G24-G28</f>
        <v>0</v>
      </c>
      <c r="H30" s="55">
        <f t="shared" ca="1" si="7"/>
        <v>0</v>
      </c>
      <c r="I30" s="55">
        <f t="shared" ca="1" si="7"/>
        <v>685579.63733673515</v>
      </c>
      <c r="J30" s="55">
        <f t="shared" ca="1" si="7"/>
        <v>704761.0935888344</v>
      </c>
      <c r="K30" s="55">
        <f t="shared" ca="1" si="7"/>
        <v>729159.65664418123</v>
      </c>
      <c r="L30" s="55">
        <f t="shared" ca="1" si="7"/>
        <v>754290.17659118876</v>
      </c>
      <c r="M30" s="55">
        <f t="shared" ca="1" si="7"/>
        <v>775532.94902092125</v>
      </c>
      <c r="N30" s="55">
        <f t="shared" ca="1" si="7"/>
        <v>802193.91763270169</v>
      </c>
      <c r="O30" s="55">
        <f t="shared" ca="1" si="7"/>
        <v>829654.71530283499</v>
      </c>
      <c r="P30" s="55">
        <f t="shared" ca="1" si="7"/>
        <v>853158.42389391689</v>
      </c>
      <c r="Q30" s="55">
        <f t="shared" ca="1" si="7"/>
        <v>882291.58414216153</v>
      </c>
      <c r="R30" s="55">
        <f t="shared" ca="1" si="7"/>
        <v>912298.73919785325</v>
      </c>
      <c r="S30" s="55">
        <f t="shared" ca="1" si="7"/>
        <v>938281.76850578655</v>
      </c>
      <c r="T30" s="55">
        <f t="shared" ca="1" si="7"/>
        <v>970116.35930436989</v>
      </c>
      <c r="U30" s="55">
        <f t="shared" ca="1" si="7"/>
        <v>1002905.987826911</v>
      </c>
      <c r="V30" s="55">
        <f t="shared" ca="1" si="7"/>
        <v>1031607.2345937151</v>
      </c>
      <c r="W30" s="55">
        <f t="shared" ca="1" si="7"/>
        <v>1066393.7514932789</v>
      </c>
      <c r="X30" s="55">
        <f t="shared" ca="1" si="7"/>
        <v>1102223.8638998298</v>
      </c>
      <c r="Y30" s="55">
        <f t="shared" ca="1" si="7"/>
        <v>1133904.6469488221</v>
      </c>
      <c r="Z30" s="55">
        <f t="shared" ca="1" si="7"/>
        <v>1171916.8132009313</v>
      </c>
    </row>
    <row r="31" spans="1:26">
      <c r="A31" s="699"/>
      <c r="B31" s="51" t="s">
        <v>1136</v>
      </c>
      <c r="C31" s="51"/>
      <c r="D31" s="51"/>
      <c r="E31" s="51"/>
      <c r="F31" s="56" t="str">
        <f ca="1">+IFERROR(F30/F24,"")</f>
        <v/>
      </c>
      <c r="G31" s="56" t="str">
        <f t="shared" ref="G31:Z31" ca="1" si="8">+IFERROR(G30/G24,"")</f>
        <v/>
      </c>
      <c r="H31" s="56" t="str">
        <f t="shared" ca="1" si="8"/>
        <v/>
      </c>
      <c r="I31" s="56">
        <f t="shared" ca="1" si="8"/>
        <v>0.43469795238918751</v>
      </c>
      <c r="J31" s="56">
        <f t="shared" ca="1" si="8"/>
        <v>0.43421524283243901</v>
      </c>
      <c r="K31" s="56">
        <f t="shared" ca="1" si="8"/>
        <v>0.43652461901346662</v>
      </c>
      <c r="L31" s="56">
        <f t="shared" ca="1" si="8"/>
        <v>0.43877040120639338</v>
      </c>
      <c r="M31" s="56">
        <f t="shared" ca="1" si="8"/>
        <v>0.43833077409178839</v>
      </c>
      <c r="N31" s="56">
        <f t="shared" ca="1" si="8"/>
        <v>0.44052875420834187</v>
      </c>
      <c r="O31" s="56">
        <f t="shared" ca="1" si="8"/>
        <v>0.44266591882972767</v>
      </c>
      <c r="P31" s="56">
        <f t="shared" ca="1" si="8"/>
        <v>0.44226550305576068</v>
      </c>
      <c r="Q31" s="56">
        <f t="shared" ca="1" si="8"/>
        <v>0.44435628799348248</v>
      </c>
      <c r="R31" s="56">
        <f t="shared" ca="1" si="8"/>
        <v>0.44638897067081307</v>
      </c>
      <c r="S31" s="56">
        <f t="shared" ca="1" si="8"/>
        <v>0.4460242401452742</v>
      </c>
      <c r="T31" s="56">
        <f t="shared" ca="1" si="8"/>
        <v>0.44801201918833378</v>
      </c>
      <c r="U31" s="56">
        <f t="shared" ca="1" si="8"/>
        <v>0.44994433770055181</v>
      </c>
      <c r="V31" s="56">
        <f t="shared" ca="1" si="8"/>
        <v>0.44961208200987329</v>
      </c>
      <c r="W31" s="56">
        <f t="shared" ca="1" si="8"/>
        <v>0.45150101005576443</v>
      </c>
      <c r="X31" s="56">
        <f t="shared" ca="1" si="8"/>
        <v>0.45333704288958065</v>
      </c>
      <c r="Y31" s="56">
        <f t="shared" ca="1" si="8"/>
        <v>0.45303434009639482</v>
      </c>
      <c r="Z31" s="56">
        <f t="shared" ca="1" si="8"/>
        <v>0.45482851836511723</v>
      </c>
    </row>
    <row r="32" spans="1:26">
      <c r="A32" s="699"/>
      <c r="B32" s="51" t="s">
        <v>1064</v>
      </c>
      <c r="C32" s="51"/>
      <c r="D32" s="51"/>
      <c r="E32" s="51"/>
      <c r="F32" s="57">
        <f ca="1">+F30/Assumptions!$H$45</f>
        <v>0</v>
      </c>
      <c r="G32" s="57">
        <f ca="1">+G30/Assumptions!$H$45</f>
        <v>0</v>
      </c>
      <c r="H32" s="57">
        <f ca="1">+H30/Assumptions!$H$45</f>
        <v>0</v>
      </c>
      <c r="I32" s="57">
        <f ca="1">+I30/Assumptions!$H$45</f>
        <v>16131285.584393768</v>
      </c>
      <c r="J32" s="57">
        <f ca="1">+J30/Assumptions!$H$45</f>
        <v>16582613.966796102</v>
      </c>
      <c r="K32" s="57">
        <f ca="1">+K30/Assumptions!$H$45</f>
        <v>17156697.8033925</v>
      </c>
      <c r="L32" s="57">
        <f ca="1">+L30/Assumptions!$H$45</f>
        <v>17748004.155086793</v>
      </c>
      <c r="M32" s="57">
        <f ca="1">+M30/Assumptions!$H$45</f>
        <v>18247834.094609909</v>
      </c>
      <c r="N32" s="57">
        <f ca="1">+N30/Assumptions!$H$45</f>
        <v>18875151.003122393</v>
      </c>
      <c r="O32" s="57">
        <f ca="1">+O30/Assumptions!$H$45</f>
        <v>19521287.418890234</v>
      </c>
      <c r="P32" s="57">
        <f ca="1">+P30/Assumptions!$H$45</f>
        <v>20074315.856327455</v>
      </c>
      <c r="Q32" s="57">
        <f ca="1">+Q30/Assumptions!$H$45</f>
        <v>20759801.979815565</v>
      </c>
      <c r="R32" s="57">
        <f ca="1">+R30/Assumptions!$H$45</f>
        <v>21465852.68700831</v>
      </c>
      <c r="S32" s="57">
        <f ca="1">+S30/Assumptions!$H$45</f>
        <v>22077218.082489092</v>
      </c>
      <c r="T32" s="57">
        <f ca="1">+T30/Assumptions!$H$45</f>
        <v>22826267.277749877</v>
      </c>
      <c r="U32" s="57">
        <f ca="1">+U30/Assumptions!$H$45</f>
        <v>23597787.948868494</v>
      </c>
      <c r="V32" s="57">
        <f ca="1">+V30/Assumptions!$H$45</f>
        <v>24273111.402205057</v>
      </c>
      <c r="W32" s="57">
        <f ca="1">+W30/Assumptions!$H$45</f>
        <v>25091617.682194795</v>
      </c>
      <c r="X32" s="57">
        <f ca="1">+X30/Assumptions!$H$45</f>
        <v>25934679.150584228</v>
      </c>
      <c r="Y32" s="57">
        <f ca="1">+Y30/Assumptions!$H$45</f>
        <v>26680109.339972284</v>
      </c>
      <c r="Z32" s="57">
        <f ca="1">+Z30/Assumptions!$H$45</f>
        <v>27574513.251786616</v>
      </c>
    </row>
    <row r="34" spans="2:26" ht="15.75">
      <c r="B34" s="53" t="s">
        <v>355</v>
      </c>
      <c r="C34" s="699"/>
      <c r="D34" s="699"/>
      <c r="E34" s="699"/>
      <c r="F34" s="54">
        <f>+Assumptions!$H$27</f>
        <v>47118</v>
      </c>
      <c r="G34" s="54">
        <f>+EOMONTH(F34,12)</f>
        <v>47483</v>
      </c>
      <c r="H34" s="54">
        <f t="shared" ref="H34:Z34" si="9">+EOMONTH(G34,12)</f>
        <v>47848</v>
      </c>
      <c r="I34" s="54">
        <f t="shared" si="9"/>
        <v>48213</v>
      </c>
      <c r="J34" s="54">
        <f t="shared" si="9"/>
        <v>48579</v>
      </c>
      <c r="K34" s="54">
        <f t="shared" si="9"/>
        <v>48944</v>
      </c>
      <c r="L34" s="54">
        <f t="shared" si="9"/>
        <v>49309</v>
      </c>
      <c r="M34" s="54">
        <f t="shared" si="9"/>
        <v>49674</v>
      </c>
      <c r="N34" s="54">
        <f t="shared" si="9"/>
        <v>50040</v>
      </c>
      <c r="O34" s="54">
        <f t="shared" si="9"/>
        <v>50405</v>
      </c>
      <c r="P34" s="54">
        <f t="shared" si="9"/>
        <v>50770</v>
      </c>
      <c r="Q34" s="54">
        <f t="shared" si="9"/>
        <v>51135</v>
      </c>
      <c r="R34" s="54">
        <f t="shared" si="9"/>
        <v>51501</v>
      </c>
      <c r="S34" s="54">
        <f t="shared" si="9"/>
        <v>51866</v>
      </c>
      <c r="T34" s="54">
        <f t="shared" si="9"/>
        <v>52231</v>
      </c>
      <c r="U34" s="54">
        <f t="shared" si="9"/>
        <v>52596</v>
      </c>
      <c r="V34" s="54">
        <f t="shared" si="9"/>
        <v>52962</v>
      </c>
      <c r="W34" s="54">
        <f t="shared" si="9"/>
        <v>53327</v>
      </c>
      <c r="X34" s="54">
        <f t="shared" si="9"/>
        <v>53692</v>
      </c>
      <c r="Y34" s="54">
        <f t="shared" si="9"/>
        <v>54057</v>
      </c>
      <c r="Z34" s="54">
        <f t="shared" si="9"/>
        <v>54423</v>
      </c>
    </row>
    <row r="35" spans="2:26">
      <c r="B35" s="699" t="s">
        <v>1120</v>
      </c>
      <c r="C35" s="699"/>
      <c r="D35" s="699"/>
      <c r="E35" s="1050"/>
      <c r="F35" s="1050">
        <f>+IF(F34=Assumptions!$H$31,Assumptions!$H$93/ROUNDUP((12/12),0),)</f>
        <v>0</v>
      </c>
      <c r="G35" s="1050">
        <f>+IF(G34=Assumptions!$H$31,Assumptions!$H$93/ROUNDUP((12/12),0),)</f>
        <v>0</v>
      </c>
      <c r="H35" s="1050">
        <f>+IF(H34=Assumptions!$H$31,Assumptions!$H$93/ROUNDUP((12/12),0),)</f>
        <v>0</v>
      </c>
      <c r="I35" s="1050">
        <f>+IF(I34=Assumptions!$H$31,Assumptions!$H$93/ROUNDUP((12/12),0),)</f>
        <v>100529.856</v>
      </c>
      <c r="J35" s="1050">
        <f>+IF(J34=Assumptions!$H$31,Assumptions!$H$93/ROUNDUP((12/12),0),)</f>
        <v>0</v>
      </c>
      <c r="K35" s="1050">
        <f>+IF(K34=Assumptions!$H$31,Assumptions!$H$93/ROUNDUP((12/12),0),)</f>
        <v>0</v>
      </c>
      <c r="L35" s="1050">
        <f>+IF(L34=Assumptions!$H$31,Assumptions!$H$93/ROUNDUP((12/12),0),)</f>
        <v>0</v>
      </c>
      <c r="M35" s="1050">
        <f>+IF(M34=Assumptions!$H$31,Assumptions!$H$93/ROUNDUP((12/12),0),)</f>
        <v>0</v>
      </c>
      <c r="N35" s="1050">
        <f>+IF(N34=Assumptions!$H$31,Assumptions!$H$93/ROUNDUP((12/12),0),)</f>
        <v>0</v>
      </c>
      <c r="O35" s="1050">
        <f>+IF(O34=Assumptions!$H$31,Assumptions!$H$93/ROUNDUP((12/12),0),)</f>
        <v>0</v>
      </c>
      <c r="P35" s="1050">
        <f>+IF(P34=Assumptions!$H$31,Assumptions!$H$93/ROUNDUP((12/12),0),)</f>
        <v>0</v>
      </c>
      <c r="Q35" s="1050">
        <f>+IF(Q34=Assumptions!$H$31,Assumptions!$H$93/ROUNDUP((12/12),0),)</f>
        <v>0</v>
      </c>
      <c r="R35" s="1050">
        <f>+IF(R34=Assumptions!$H$31,Assumptions!$H$93/ROUNDUP((12/12),0),)</f>
        <v>0</v>
      </c>
      <c r="S35" s="1050">
        <f>+IF(S34=Assumptions!$H$31,Assumptions!$H$93/ROUNDUP((12/12),0),)</f>
        <v>0</v>
      </c>
      <c r="T35" s="1050">
        <f>+IF(T34=Assumptions!$H$31,Assumptions!$H$93/ROUNDUP((12/12),0),)</f>
        <v>0</v>
      </c>
      <c r="U35" s="1050">
        <f>+IF(U34=Assumptions!$H$31,Assumptions!$H$93/ROUNDUP((12/12),0),)</f>
        <v>0</v>
      </c>
      <c r="V35" s="1050">
        <f>+IF(V34=Assumptions!$H$31,Assumptions!$H$93/ROUNDUP((12/12),0),)</f>
        <v>0</v>
      </c>
      <c r="W35" s="1050">
        <f>+IF(W34=Assumptions!$H$31,Assumptions!$H$93/ROUNDUP((12/12),0),)</f>
        <v>0</v>
      </c>
      <c r="X35" s="1050">
        <f>+IF(X34=Assumptions!$H$31,Assumptions!$H$93/ROUNDUP((12/12),0),)</f>
        <v>0</v>
      </c>
      <c r="Y35" s="1050">
        <f>+IF(Y34=Assumptions!$H$31,Assumptions!$H$93/ROUNDUP((12/12),0),)</f>
        <v>0</v>
      </c>
      <c r="Z35" s="1050">
        <f>+IF(Z34=Assumptions!$H$31,Assumptions!$H$93/ROUNDUP((12/12),0),)</f>
        <v>0</v>
      </c>
    </row>
    <row r="36" spans="2:26">
      <c r="B36" s="699" t="s">
        <v>1121</v>
      </c>
      <c r="C36" s="699"/>
      <c r="D36" s="699"/>
      <c r="E36" s="1050">
        <v>0</v>
      </c>
      <c r="F36" s="1050">
        <f>+E36+F35</f>
        <v>0</v>
      </c>
      <c r="G36" s="1050">
        <f t="shared" ref="G36:Z36" si="10">+F36+G35</f>
        <v>0</v>
      </c>
      <c r="H36" s="1050">
        <f t="shared" si="10"/>
        <v>0</v>
      </c>
      <c r="I36" s="1050">
        <f t="shared" si="10"/>
        <v>100529.856</v>
      </c>
      <c r="J36" s="1050">
        <f t="shared" si="10"/>
        <v>100529.856</v>
      </c>
      <c r="K36" s="1050">
        <f t="shared" si="10"/>
        <v>100529.856</v>
      </c>
      <c r="L36" s="1050">
        <f t="shared" si="10"/>
        <v>100529.856</v>
      </c>
      <c r="M36" s="1050">
        <f t="shared" si="10"/>
        <v>100529.856</v>
      </c>
      <c r="N36" s="1050">
        <f t="shared" si="10"/>
        <v>100529.856</v>
      </c>
      <c r="O36" s="1050">
        <f t="shared" si="10"/>
        <v>100529.856</v>
      </c>
      <c r="P36" s="1050">
        <f t="shared" si="10"/>
        <v>100529.856</v>
      </c>
      <c r="Q36" s="1050">
        <f t="shared" si="10"/>
        <v>100529.856</v>
      </c>
      <c r="R36" s="1050">
        <f t="shared" si="10"/>
        <v>100529.856</v>
      </c>
      <c r="S36" s="1050">
        <f t="shared" si="10"/>
        <v>100529.856</v>
      </c>
      <c r="T36" s="1050">
        <f t="shared" si="10"/>
        <v>100529.856</v>
      </c>
      <c r="U36" s="1050">
        <f t="shared" si="10"/>
        <v>100529.856</v>
      </c>
      <c r="V36" s="1050">
        <f t="shared" si="10"/>
        <v>100529.856</v>
      </c>
      <c r="W36" s="1050">
        <f t="shared" si="10"/>
        <v>100529.856</v>
      </c>
      <c r="X36" s="1050">
        <f t="shared" si="10"/>
        <v>100529.856</v>
      </c>
      <c r="Y36" s="1050">
        <f t="shared" si="10"/>
        <v>100529.856</v>
      </c>
      <c r="Z36" s="1050">
        <f t="shared" si="10"/>
        <v>100529.856</v>
      </c>
    </row>
    <row r="37" spans="2:26">
      <c r="B37" s="699" t="s">
        <v>1123</v>
      </c>
      <c r="C37" s="699"/>
      <c r="D37" s="699"/>
      <c r="E37" s="699"/>
      <c r="F37" s="1084">
        <f>+F38-E38</f>
        <v>0</v>
      </c>
      <c r="G37" s="1084">
        <f t="shared" ref="G37:Z37" si="11">+G38-F38</f>
        <v>0</v>
      </c>
      <c r="H37" s="1084">
        <f t="shared" si="11"/>
        <v>0</v>
      </c>
      <c r="I37" s="1084">
        <f t="shared" si="11"/>
        <v>139.92769205335503</v>
      </c>
      <c r="J37" s="1084">
        <f t="shared" si="11"/>
        <v>0</v>
      </c>
      <c r="K37" s="1084">
        <f t="shared" si="11"/>
        <v>0</v>
      </c>
      <c r="L37" s="1084">
        <f t="shared" si="11"/>
        <v>0</v>
      </c>
      <c r="M37" s="1084">
        <f t="shared" si="11"/>
        <v>0</v>
      </c>
      <c r="N37" s="1084">
        <f t="shared" si="11"/>
        <v>0</v>
      </c>
      <c r="O37" s="1084">
        <f t="shared" si="11"/>
        <v>0</v>
      </c>
      <c r="P37" s="1084">
        <f t="shared" si="11"/>
        <v>0</v>
      </c>
      <c r="Q37" s="1084">
        <f t="shared" si="11"/>
        <v>0</v>
      </c>
      <c r="R37" s="1084">
        <f t="shared" si="11"/>
        <v>0</v>
      </c>
      <c r="S37" s="1084">
        <f t="shared" si="11"/>
        <v>0</v>
      </c>
      <c r="T37" s="1084">
        <f t="shared" si="11"/>
        <v>0</v>
      </c>
      <c r="U37" s="1084">
        <f t="shared" si="11"/>
        <v>0</v>
      </c>
      <c r="V37" s="1084">
        <f t="shared" si="11"/>
        <v>0</v>
      </c>
      <c r="W37" s="1084">
        <f t="shared" si="11"/>
        <v>0</v>
      </c>
      <c r="X37" s="1084">
        <f t="shared" si="11"/>
        <v>0</v>
      </c>
      <c r="Y37" s="1084">
        <f t="shared" si="11"/>
        <v>0</v>
      </c>
      <c r="Z37" s="1084">
        <f t="shared" si="11"/>
        <v>0</v>
      </c>
    </row>
    <row r="38" spans="2:26">
      <c r="B38" s="699" t="s">
        <v>1124</v>
      </c>
      <c r="C38" s="699"/>
      <c r="D38" s="699"/>
      <c r="E38" s="699"/>
      <c r="F38" s="1084">
        <f>+F39*Assumptions!$H$94</f>
        <v>0</v>
      </c>
      <c r="G38" s="1084">
        <f>+G39*Assumptions!$H$94</f>
        <v>0</v>
      </c>
      <c r="H38" s="1084">
        <f>+H39*Assumptions!$H$94</f>
        <v>0</v>
      </c>
      <c r="I38" s="1084">
        <f>+I39*Assumptions!$H$94</f>
        <v>139.92769205335503</v>
      </c>
      <c r="J38" s="1084">
        <f>+J39*Assumptions!$H$94</f>
        <v>139.92769205335503</v>
      </c>
      <c r="K38" s="1084">
        <f>+K39*Assumptions!$H$94</f>
        <v>139.92769205335503</v>
      </c>
      <c r="L38" s="1084">
        <f>+L39*Assumptions!$H$94</f>
        <v>139.92769205335503</v>
      </c>
      <c r="M38" s="1084">
        <f>+M39*Assumptions!$H$94</f>
        <v>139.92769205335503</v>
      </c>
      <c r="N38" s="1084">
        <f>+N39*Assumptions!$H$94</f>
        <v>139.92769205335503</v>
      </c>
      <c r="O38" s="1084">
        <f>+O39*Assumptions!$H$94</f>
        <v>139.92769205335503</v>
      </c>
      <c r="P38" s="1084">
        <f>+P39*Assumptions!$H$94</f>
        <v>139.92769205335503</v>
      </c>
      <c r="Q38" s="1084">
        <f>+Q39*Assumptions!$H$94</f>
        <v>139.92769205335503</v>
      </c>
      <c r="R38" s="1084">
        <f>+R39*Assumptions!$H$94</f>
        <v>139.92769205335503</v>
      </c>
      <c r="S38" s="1084">
        <f>+S39*Assumptions!$H$94</f>
        <v>139.92769205335503</v>
      </c>
      <c r="T38" s="1084">
        <f>+T39*Assumptions!$H$94</f>
        <v>139.92769205335503</v>
      </c>
      <c r="U38" s="1084">
        <f>+U39*Assumptions!$H$94</f>
        <v>139.92769205335503</v>
      </c>
      <c r="V38" s="1084">
        <f>+V39*Assumptions!$H$94</f>
        <v>139.92769205335503</v>
      </c>
      <c r="W38" s="1084">
        <f>+W39*Assumptions!$H$94</f>
        <v>139.92769205335503</v>
      </c>
      <c r="X38" s="1084">
        <f>+X39*Assumptions!$H$94</f>
        <v>139.92769205335503</v>
      </c>
      <c r="Y38" s="1084">
        <f>+Y39*Assumptions!$H$94</f>
        <v>139.92769205335503</v>
      </c>
      <c r="Z38" s="1084">
        <f>+Z39*Assumptions!$H$94</f>
        <v>139.92769205335503</v>
      </c>
    </row>
    <row r="39" spans="2:26">
      <c r="B39" s="699" t="s">
        <v>1125</v>
      </c>
      <c r="C39" s="699"/>
      <c r="D39" s="699"/>
      <c r="E39" s="699"/>
      <c r="F39" s="1074">
        <f>+IFERROR(F36/SUM($F$35:$Z$35),0)</f>
        <v>0</v>
      </c>
      <c r="G39" s="1074">
        <f t="shared" ref="G39:Z39" si="12">+IFERROR(G36/SUM($F$35:$Z$35),0)</f>
        <v>0</v>
      </c>
      <c r="H39" s="1074">
        <f t="shared" si="12"/>
        <v>0</v>
      </c>
      <c r="I39" s="1074">
        <f t="shared" si="12"/>
        <v>1</v>
      </c>
      <c r="J39" s="1074">
        <f t="shared" si="12"/>
        <v>1</v>
      </c>
      <c r="K39" s="1074">
        <f t="shared" si="12"/>
        <v>1</v>
      </c>
      <c r="L39" s="1074">
        <f t="shared" si="12"/>
        <v>1</v>
      </c>
      <c r="M39" s="1074">
        <f t="shared" si="12"/>
        <v>1</v>
      </c>
      <c r="N39" s="1074">
        <f t="shared" si="12"/>
        <v>1</v>
      </c>
      <c r="O39" s="1074">
        <f t="shared" si="12"/>
        <v>1</v>
      </c>
      <c r="P39" s="1074">
        <f t="shared" si="12"/>
        <v>1</v>
      </c>
      <c r="Q39" s="1074">
        <f t="shared" si="12"/>
        <v>1</v>
      </c>
      <c r="R39" s="1074">
        <f t="shared" si="12"/>
        <v>1</v>
      </c>
      <c r="S39" s="1074">
        <f t="shared" si="12"/>
        <v>1</v>
      </c>
      <c r="T39" s="1074">
        <f t="shared" si="12"/>
        <v>1</v>
      </c>
      <c r="U39" s="1074">
        <f t="shared" si="12"/>
        <v>1</v>
      </c>
      <c r="V39" s="1074">
        <f t="shared" si="12"/>
        <v>1</v>
      </c>
      <c r="W39" s="1074">
        <f t="shared" si="12"/>
        <v>1</v>
      </c>
      <c r="X39" s="1074">
        <f t="shared" si="12"/>
        <v>1</v>
      </c>
      <c r="Y39" s="1074">
        <f t="shared" si="12"/>
        <v>1</v>
      </c>
      <c r="Z39" s="1074">
        <f t="shared" si="12"/>
        <v>1</v>
      </c>
    </row>
    <row r="41" spans="2:26">
      <c r="B41" s="699" t="s">
        <v>1126</v>
      </c>
      <c r="C41" s="699"/>
      <c r="D41" s="699"/>
      <c r="E41" s="699"/>
      <c r="F41" s="1074">
        <v>1</v>
      </c>
      <c r="G41" s="1074">
        <f>+F41*(1+Assumptions!$P$69)</f>
        <v>1.03</v>
      </c>
      <c r="H41" s="1074">
        <f>+G41*(1+Assumptions!$P$69)</f>
        <v>1.0609</v>
      </c>
      <c r="I41" s="1074">
        <f>+H41*(1+Assumptions!$P$69)</f>
        <v>1.092727</v>
      </c>
      <c r="J41" s="1074">
        <f>+I41*(1+Assumptions!$P$69)</f>
        <v>1.1255088100000001</v>
      </c>
      <c r="K41" s="1074">
        <f>+J41*(1+Assumptions!$P$69)</f>
        <v>1.1592740743000001</v>
      </c>
      <c r="L41" s="1074">
        <f>+K41*(1+Assumptions!$P$69)</f>
        <v>1.1940522965290001</v>
      </c>
      <c r="M41" s="1074">
        <f>+L41*(1+Assumptions!$P$69)</f>
        <v>1.2298738654248702</v>
      </c>
      <c r="N41" s="1074">
        <f>+M41*(1+Assumptions!$P$69)</f>
        <v>1.2667700813876164</v>
      </c>
      <c r="O41" s="1074">
        <f>+N41*(1+Assumptions!$P$69)</f>
        <v>1.3047731838292449</v>
      </c>
      <c r="P41" s="1074">
        <f>+O41*(1+Assumptions!$P$69)</f>
        <v>1.3439163793441222</v>
      </c>
      <c r="Q41" s="1074">
        <f>+P41*(1+Assumptions!$P$69)</f>
        <v>1.3842338707244459</v>
      </c>
      <c r="R41" s="1074">
        <f>+Q41*(1+Assumptions!$P$69)</f>
        <v>1.4257608868461793</v>
      </c>
      <c r="S41" s="1074">
        <f>+R41*(1+Assumptions!$P$69)</f>
        <v>1.4685337134515648</v>
      </c>
      <c r="T41" s="1074">
        <f>+S41*(1+Assumptions!$P$69)</f>
        <v>1.5125897248551119</v>
      </c>
      <c r="U41" s="1074">
        <f>+T41*(1+Assumptions!$P$69)</f>
        <v>1.5579674166007653</v>
      </c>
      <c r="V41" s="1074">
        <f>+U41*(1+Assumptions!$P$69)</f>
        <v>1.6047064390987884</v>
      </c>
      <c r="W41" s="1074">
        <f>+V41*(1+Assumptions!$P$69)</f>
        <v>1.652847632271752</v>
      </c>
      <c r="X41" s="1074">
        <f>+W41*(1+Assumptions!$P$69)</f>
        <v>1.7024330612399046</v>
      </c>
      <c r="Y41" s="1074">
        <f>+X41*(1+Assumptions!$P$69)</f>
        <v>1.7535060530771018</v>
      </c>
      <c r="Z41" s="1074">
        <f>+Y41*(1+Assumptions!$P$69)</f>
        <v>1.806111234669415</v>
      </c>
    </row>
    <row r="42" spans="2:26">
      <c r="B42" s="699" t="s">
        <v>1127</v>
      </c>
      <c r="C42" s="699"/>
      <c r="D42" s="699"/>
      <c r="E42" s="699"/>
      <c r="F42" s="1074">
        <v>1</v>
      </c>
      <c r="G42" s="1074">
        <f>+F42*(1+Assumptions!$P$80)</f>
        <v>1.03</v>
      </c>
      <c r="H42" s="1074">
        <f>+G42*(1+Assumptions!$P$80)</f>
        <v>1.0609</v>
      </c>
      <c r="I42" s="1074">
        <f>+H42*(1+Assumptions!$P$80)</f>
        <v>1.092727</v>
      </c>
      <c r="J42" s="1074">
        <f>+I42*(1+Assumptions!$P$80)</f>
        <v>1.1255088100000001</v>
      </c>
      <c r="K42" s="1074">
        <f>+J42*(1+Assumptions!$P$80)</f>
        <v>1.1592740743000001</v>
      </c>
      <c r="L42" s="1074">
        <f>+K42*(1+Assumptions!$P$80)</f>
        <v>1.1940522965290001</v>
      </c>
      <c r="M42" s="1074">
        <f>+L42*(1+Assumptions!$P$80)</f>
        <v>1.2298738654248702</v>
      </c>
      <c r="N42" s="1074">
        <f>+M42*(1+Assumptions!$P$80)</f>
        <v>1.2667700813876164</v>
      </c>
      <c r="O42" s="1074">
        <f>+N42*(1+Assumptions!$P$80)</f>
        <v>1.3047731838292449</v>
      </c>
      <c r="P42" s="1074">
        <f>+O42*(1+Assumptions!$P$80)</f>
        <v>1.3439163793441222</v>
      </c>
      <c r="Q42" s="1074">
        <f>+P42*(1+Assumptions!$P$80)</f>
        <v>1.3842338707244459</v>
      </c>
      <c r="R42" s="1074">
        <f>+Q42*(1+Assumptions!$P$80)</f>
        <v>1.4257608868461793</v>
      </c>
      <c r="S42" s="1074">
        <f>+R42*(1+Assumptions!$P$80)</f>
        <v>1.4685337134515648</v>
      </c>
      <c r="T42" s="1074">
        <f>+S42*(1+Assumptions!$P$80)</f>
        <v>1.5125897248551119</v>
      </c>
      <c r="U42" s="1074">
        <f>+T42*(1+Assumptions!$P$80)</f>
        <v>1.5579674166007653</v>
      </c>
      <c r="V42" s="1074">
        <f>+U42*(1+Assumptions!$P$80)</f>
        <v>1.6047064390987884</v>
      </c>
      <c r="W42" s="1074">
        <f>+V42*(1+Assumptions!$P$80)</f>
        <v>1.652847632271752</v>
      </c>
      <c r="X42" s="1074">
        <f>+W42*(1+Assumptions!$P$80)</f>
        <v>1.7024330612399046</v>
      </c>
      <c r="Y42" s="1074">
        <f>+X42*(1+Assumptions!$P$80)</f>
        <v>1.7535060530771018</v>
      </c>
      <c r="Z42" s="1074">
        <f>+Y42*(1+Assumptions!$P$80)</f>
        <v>1.806111234669415</v>
      </c>
    </row>
    <row r="44" spans="2:26">
      <c r="B44" s="699" t="s">
        <v>1128</v>
      </c>
      <c r="C44" s="699"/>
      <c r="D44" s="699"/>
      <c r="E44" s="699"/>
      <c r="F44" s="1028">
        <f>+F39*Assumptions!$H$92*F41</f>
        <v>0</v>
      </c>
      <c r="G44" s="1028">
        <f>+G39*Assumptions!$H$92*G41</f>
        <v>0</v>
      </c>
      <c r="H44" s="1028">
        <f>+H39*Assumptions!$H$92*H41</f>
        <v>0</v>
      </c>
      <c r="I44" s="1028">
        <f>+I39*Assumptions!$H$92*I41</f>
        <v>8215565.6683949903</v>
      </c>
      <c r="J44" s="1028">
        <f>+J39*Assumptions!$H$92*J41</f>
        <v>8462032.6384468414</v>
      </c>
      <c r="K44" s="1028">
        <f>+K39*Assumptions!$H$92*K41</f>
        <v>8715893.6176002454</v>
      </c>
      <c r="L44" s="1028">
        <f>+L39*Assumptions!$H$92*L41</f>
        <v>8977370.4261282533</v>
      </c>
      <c r="M44" s="1028">
        <f>+M39*Assumptions!$H$92*M41</f>
        <v>9246691.5389121026</v>
      </c>
      <c r="N44" s="1028">
        <f>+N39*Assumptions!$H$92*N41</f>
        <v>9524092.2850794662</v>
      </c>
      <c r="O44" s="1028">
        <f>+O39*Assumptions!$H$92*O41</f>
        <v>9809815.0536318496</v>
      </c>
      <c r="P44" s="1028">
        <f>+P39*Assumptions!$H$92*P41</f>
        <v>10104109.505240805</v>
      </c>
      <c r="Q44" s="1028">
        <f>+Q39*Assumptions!$H$92*Q41</f>
        <v>10407232.79039803</v>
      </c>
      <c r="R44" s="1028">
        <f>+R39*Assumptions!$H$92*R41</f>
        <v>10719449.774109971</v>
      </c>
      <c r="S44" s="1028">
        <f>+S39*Assumptions!$H$92*S41</f>
        <v>11041033.267333271</v>
      </c>
      <c r="T44" s="1028">
        <f>+T39*Assumptions!$H$92*T41</f>
        <v>11372264.26535327</v>
      </c>
      <c r="U44" s="1028">
        <f>+U39*Assumptions!$H$92*U41</f>
        <v>11713432.193313869</v>
      </c>
      <c r="V44" s="1028">
        <f>+V39*Assumptions!$H$92*V41</f>
        <v>12064835.159113286</v>
      </c>
      <c r="W44" s="1028">
        <f>+W39*Assumptions!$H$92*W41</f>
        <v>12426780.213886684</v>
      </c>
      <c r="X44" s="1028">
        <f>+X39*Assumptions!$H$92*X41</f>
        <v>12799583.620303284</v>
      </c>
      <c r="Y44" s="1028">
        <f>+Y39*Assumptions!$H$92*Y41</f>
        <v>13183571.128912384</v>
      </c>
      <c r="Z44" s="1028">
        <f>+Z39*Assumptions!$H$92*Z41</f>
        <v>13579078.262779756</v>
      </c>
    </row>
    <row r="45" spans="2:26">
      <c r="B45" s="699" t="s">
        <v>1129</v>
      </c>
      <c r="C45" s="699"/>
      <c r="D45" s="699"/>
      <c r="E45" s="699"/>
      <c r="F45" s="1085">
        <f>-Assumptions!$E$99*'Phase 3 Pro Forma'!F44</f>
        <v>0</v>
      </c>
      <c r="G45" s="1085">
        <f>-Assumptions!$E$99*'Phase 3 Pro Forma'!G44</f>
        <v>0</v>
      </c>
      <c r="H45" s="1085">
        <f>-Assumptions!$E$99*'Phase 3 Pro Forma'!H44</f>
        <v>0</v>
      </c>
      <c r="I45" s="1085">
        <f>-Assumptions!$E$99*'Phase 3 Pro Forma'!I44</f>
        <v>-82155.656683949899</v>
      </c>
      <c r="J45" s="1085">
        <f>-Assumptions!$E$99*'Phase 3 Pro Forma'!J44</f>
        <v>-84620.326384468412</v>
      </c>
      <c r="K45" s="1085">
        <f>-Assumptions!$E$99*'Phase 3 Pro Forma'!K44</f>
        <v>-87158.936176002462</v>
      </c>
      <c r="L45" s="1085">
        <f>-Assumptions!$E$99*'Phase 3 Pro Forma'!L44</f>
        <v>-89773.704261282532</v>
      </c>
      <c r="M45" s="1085">
        <f>-Assumptions!$E$99*'Phase 3 Pro Forma'!M44</f>
        <v>-92466.91538912103</v>
      </c>
      <c r="N45" s="1085">
        <f>-Assumptions!$E$99*'Phase 3 Pro Forma'!N44</f>
        <v>-95240.922850794668</v>
      </c>
      <c r="O45" s="1085">
        <f>-Assumptions!$E$99*'Phase 3 Pro Forma'!O44</f>
        <v>-98098.150536318499</v>
      </c>
      <c r="P45" s="1085">
        <f>-Assumptions!$E$99*'Phase 3 Pro Forma'!P44</f>
        <v>-101041.09505240805</v>
      </c>
      <c r="Q45" s="1085">
        <f>-Assumptions!$E$99*'Phase 3 Pro Forma'!Q44</f>
        <v>-104072.3279039803</v>
      </c>
      <c r="R45" s="1085">
        <f>-Assumptions!$E$99*'Phase 3 Pro Forma'!R44</f>
        <v>-107194.49774109971</v>
      </c>
      <c r="S45" s="1085">
        <f>-Assumptions!$E$99*'Phase 3 Pro Forma'!S44</f>
        <v>-110410.33267333271</v>
      </c>
      <c r="T45" s="1085">
        <f>-Assumptions!$E$99*'Phase 3 Pro Forma'!T44</f>
        <v>-113722.6426535327</v>
      </c>
      <c r="U45" s="1085">
        <f>-Assumptions!$E$99*'Phase 3 Pro Forma'!U44</f>
        <v>-117134.32193313869</v>
      </c>
      <c r="V45" s="1085">
        <f>-Assumptions!$E$99*'Phase 3 Pro Forma'!V44</f>
        <v>-120648.35159113286</v>
      </c>
      <c r="W45" s="1085">
        <f>-Assumptions!$E$99*'Phase 3 Pro Forma'!W44</f>
        <v>-124267.80213886684</v>
      </c>
      <c r="X45" s="1085">
        <f>-Assumptions!$E$99*'Phase 3 Pro Forma'!X44</f>
        <v>-127995.83620303284</v>
      </c>
      <c r="Y45" s="1085">
        <f>-Assumptions!$E$99*'Phase 3 Pro Forma'!Y44</f>
        <v>-131835.71128912384</v>
      </c>
      <c r="Z45" s="1085">
        <f>-Assumptions!$E$99*'Phase 3 Pro Forma'!Z44</f>
        <v>-135790.78262779757</v>
      </c>
    </row>
    <row r="46" spans="2:26">
      <c r="B46" s="699" t="s">
        <v>1130</v>
      </c>
      <c r="C46" s="699"/>
      <c r="D46" s="699"/>
      <c r="E46" s="699"/>
      <c r="F46" s="1085">
        <f>-F44*Assumptions!$P$60</f>
        <v>0</v>
      </c>
      <c r="G46" s="1085">
        <f>-G44*Assumptions!$P$60</f>
        <v>0</v>
      </c>
      <c r="H46" s="1085">
        <f>-H44*Assumptions!$P$60</f>
        <v>0</v>
      </c>
      <c r="I46" s="1085">
        <f>-I44*Assumptions!$P$60</f>
        <v>-575089.59678764932</v>
      </c>
      <c r="J46" s="1085">
        <f>-J44*Assumptions!$P$60</f>
        <v>-592342.28469127894</v>
      </c>
      <c r="K46" s="1085">
        <f>-K44*Assumptions!$P$60</f>
        <v>-610112.55323201721</v>
      </c>
      <c r="L46" s="1085">
        <f>-L44*Assumptions!$P$60</f>
        <v>-628415.92982897779</v>
      </c>
      <c r="M46" s="1085">
        <f>-M44*Assumptions!$P$60</f>
        <v>-647268.40772384719</v>
      </c>
      <c r="N46" s="1085">
        <f>-N44*Assumptions!$P$60</f>
        <v>-666686.45995556272</v>
      </c>
      <c r="O46" s="1085">
        <f>-O44*Assumptions!$P$60</f>
        <v>-686687.05375422956</v>
      </c>
      <c r="P46" s="1085">
        <f>-P44*Assumptions!$P$60</f>
        <v>-707287.6653668565</v>
      </c>
      <c r="Q46" s="1085">
        <f>-Q44*Assumptions!$P$60</f>
        <v>-728506.29532786214</v>
      </c>
      <c r="R46" s="1085">
        <f>-R44*Assumptions!$P$60</f>
        <v>-750361.48418769799</v>
      </c>
      <c r="S46" s="1085">
        <f>-S44*Assumptions!$P$60</f>
        <v>-772872.32871332904</v>
      </c>
      <c r="T46" s="1085">
        <f>-T44*Assumptions!$P$60</f>
        <v>-796058.49857472896</v>
      </c>
      <c r="U46" s="1085">
        <f>-U44*Assumptions!$P$60</f>
        <v>-819940.2535319709</v>
      </c>
      <c r="V46" s="1085">
        <f>-V44*Assumptions!$P$60</f>
        <v>-844538.46113793005</v>
      </c>
      <c r="W46" s="1085">
        <f>-W44*Assumptions!$P$60</f>
        <v>-869874.614972068</v>
      </c>
      <c r="X46" s="1085">
        <f>-X44*Assumptions!$P$60</f>
        <v>-895970.85342122999</v>
      </c>
      <c r="Y46" s="1085">
        <f>-Y44*Assumptions!$P$60</f>
        <v>-922849.97902386694</v>
      </c>
      <c r="Z46" s="1085">
        <f>-Z44*Assumptions!$P$60</f>
        <v>-950535.47839458298</v>
      </c>
    </row>
    <row r="47" spans="2:26">
      <c r="B47" s="699" t="s">
        <v>1184</v>
      </c>
      <c r="C47" s="699"/>
      <c r="D47" s="699"/>
      <c r="E47" s="699"/>
      <c r="F47" s="1085">
        <f>+F38*Assumptions!$AG$159*(1-Assumptions!$P$60)*12</f>
        <v>0</v>
      </c>
      <c r="G47" s="1085">
        <f>+G38*Assumptions!$AG$159*(1-Assumptions!$P$60)*12</f>
        <v>0</v>
      </c>
      <c r="H47" s="1085">
        <f>+H38*Assumptions!$AG$159*(1-Assumptions!$P$60)*12</f>
        <v>0</v>
      </c>
      <c r="I47" s="1085">
        <f>+I38*Assumptions!$AG$159*(1-Assumptions!$P$60)*12</f>
        <v>85887.617382349315</v>
      </c>
      <c r="J47" s="1085">
        <f>+J38*Assumptions!$AG$159*(1-Assumptions!$P$60)*12</f>
        <v>85887.617382349315</v>
      </c>
      <c r="K47" s="1085">
        <f>+K38*Assumptions!$AG$159*(1-Assumptions!$P$60)*12</f>
        <v>85887.617382349315</v>
      </c>
      <c r="L47" s="1085">
        <f>+L38*Assumptions!$AG$159*(1-Assumptions!$P$60)*12</f>
        <v>85887.617382349315</v>
      </c>
      <c r="M47" s="1085">
        <f>+M38*Assumptions!$AG$159*(1-Assumptions!$P$60)*12</f>
        <v>85887.617382349315</v>
      </c>
      <c r="N47" s="1085">
        <f>+N38*Assumptions!$AG$159*(1-Assumptions!$P$60)*12</f>
        <v>85887.617382349315</v>
      </c>
      <c r="O47" s="1085">
        <f>+O38*Assumptions!$AG$159*(1-Assumptions!$P$60)*12</f>
        <v>85887.617382349315</v>
      </c>
      <c r="P47" s="1085">
        <f>+P38*Assumptions!$AG$159*(1-Assumptions!$P$60)*12</f>
        <v>85887.617382349315</v>
      </c>
      <c r="Q47" s="1085">
        <f>+Q38*Assumptions!$AG$159*(1-Assumptions!$P$60)*12</f>
        <v>85887.617382349315</v>
      </c>
      <c r="R47" s="1085">
        <f>+R38*Assumptions!$AG$159*(1-Assumptions!$P$60)*12</f>
        <v>85887.617382349315</v>
      </c>
      <c r="S47" s="1085">
        <f>+S38*Assumptions!$AG$159*(1-Assumptions!$P$60)*12</f>
        <v>85887.617382349315</v>
      </c>
      <c r="T47" s="1085">
        <f>+T38*Assumptions!$AG$159*(1-Assumptions!$P$60)*12</f>
        <v>85887.617382349315</v>
      </c>
      <c r="U47" s="1085">
        <f>+U38*Assumptions!$AG$159*(1-Assumptions!$P$60)*12</f>
        <v>85887.617382349315</v>
      </c>
      <c r="V47" s="1085">
        <f>+V38*Assumptions!$AG$159*(1-Assumptions!$P$60)*12</f>
        <v>85887.617382349315</v>
      </c>
      <c r="W47" s="1085">
        <f>+W38*Assumptions!$AG$159*(1-Assumptions!$P$60)*12</f>
        <v>85887.617382349315</v>
      </c>
      <c r="X47" s="1085">
        <f>+X38*Assumptions!$AG$159*(1-Assumptions!$P$60)*12</f>
        <v>85887.617382349315</v>
      </c>
      <c r="Y47" s="1085">
        <f>+Y38*Assumptions!$AG$159*(1-Assumptions!$P$60)*12</f>
        <v>85887.617382349315</v>
      </c>
      <c r="Z47" s="1085">
        <f>+Z38*Assumptions!$AG$159*(1-Assumptions!$P$60)*12</f>
        <v>85887.617382349315</v>
      </c>
    </row>
    <row r="48" spans="2:26">
      <c r="B48" s="699" t="s">
        <v>48</v>
      </c>
      <c r="C48" s="699"/>
      <c r="D48" s="699"/>
      <c r="E48" s="699"/>
      <c r="F48" s="1085">
        <f>+(F38*Assumptions!$AD$160*Assumptions!$AD$161)*12</f>
        <v>0</v>
      </c>
      <c r="G48" s="1085">
        <f>+(G38*Assumptions!$AD$160*Assumptions!$AD$161)*12</f>
        <v>0</v>
      </c>
      <c r="H48" s="1085">
        <f>+(H38*Assumptions!$AD$160*Assumptions!$AD$161)*12</f>
        <v>0</v>
      </c>
      <c r="I48" s="1085">
        <f>+(I38*Assumptions!$AD$160*Assumptions!$AD$161)*12</f>
        <v>9634.0215978734941</v>
      </c>
      <c r="J48" s="1085">
        <f>+(J38*Assumptions!$AD$160*Assumptions!$AD$161)*12</f>
        <v>9634.0215978734941</v>
      </c>
      <c r="K48" s="1085">
        <f>+(K38*Assumptions!$AD$160*Assumptions!$AD$161)*12</f>
        <v>9634.0215978734941</v>
      </c>
      <c r="L48" s="1085">
        <f>+(L38*Assumptions!$AD$160*Assumptions!$AD$161)*12</f>
        <v>9634.0215978734941</v>
      </c>
      <c r="M48" s="1085">
        <f>+(M38*Assumptions!$AD$160*Assumptions!$AD$161)*12</f>
        <v>9634.0215978734941</v>
      </c>
      <c r="N48" s="1085">
        <f>+(N38*Assumptions!$AD$160*Assumptions!$AD$161)*12</f>
        <v>9634.0215978734941</v>
      </c>
      <c r="O48" s="1085">
        <f>+(O38*Assumptions!$AD$160*Assumptions!$AD$161)*12</f>
        <v>9634.0215978734941</v>
      </c>
      <c r="P48" s="1085">
        <f>+(P38*Assumptions!$AD$160*Assumptions!$AD$161)*12</f>
        <v>9634.0215978734941</v>
      </c>
      <c r="Q48" s="1085">
        <f>+(Q38*Assumptions!$AD$160*Assumptions!$AD$161)*12</f>
        <v>9634.0215978734941</v>
      </c>
      <c r="R48" s="1085">
        <f>+(R38*Assumptions!$AD$160*Assumptions!$AD$161)*12</f>
        <v>9634.0215978734941</v>
      </c>
      <c r="S48" s="1085">
        <f>+(S38*Assumptions!$AD$160*Assumptions!$AD$161)*12</f>
        <v>9634.0215978734941</v>
      </c>
      <c r="T48" s="1085">
        <f>+(T38*Assumptions!$AD$160*Assumptions!$AD$161)*12</f>
        <v>9634.0215978734941</v>
      </c>
      <c r="U48" s="1085">
        <f>+(U38*Assumptions!$AD$160*Assumptions!$AD$161)*12</f>
        <v>9634.0215978734941</v>
      </c>
      <c r="V48" s="1085">
        <f>+(V38*Assumptions!$AD$160*Assumptions!$AD$161)*12</f>
        <v>9634.0215978734941</v>
      </c>
      <c r="W48" s="1085">
        <f>+(W38*Assumptions!$AD$160*Assumptions!$AD$161)*12</f>
        <v>9634.0215978734941</v>
      </c>
      <c r="X48" s="1085">
        <f>+(X38*Assumptions!$AD$160*Assumptions!$AD$161)*12</f>
        <v>9634.0215978734941</v>
      </c>
      <c r="Y48" s="1085">
        <f>+(Y38*Assumptions!$AD$160*Assumptions!$AD$161)*12</f>
        <v>9634.0215978734941</v>
      </c>
      <c r="Z48" s="1085">
        <f>+(Z38*Assumptions!$AD$160*Assumptions!$AD$161)*12</f>
        <v>9634.0215978734941</v>
      </c>
    </row>
    <row r="49" spans="1:26">
      <c r="A49" s="699"/>
      <c r="B49" s="699" t="s">
        <v>50</v>
      </c>
      <c r="C49" s="699"/>
      <c r="D49" s="699"/>
      <c r="E49" s="699"/>
      <c r="F49" s="1085">
        <f>+F38*Assumptions!$AD$162*Assumptions!$AD$163*12</f>
        <v>0</v>
      </c>
      <c r="G49" s="1085">
        <f>+G38*Assumptions!$AD$162*Assumptions!$AD$163*12</f>
        <v>0</v>
      </c>
      <c r="H49" s="1085">
        <f>+H38*Assumptions!$AD$162*Assumptions!$AD$163*12</f>
        <v>0</v>
      </c>
      <c r="I49" s="1085">
        <f>+I38*Assumptions!$AD$162*Assumptions!$AD$163*12</f>
        <v>47351.530990855346</v>
      </c>
      <c r="J49" s="1085">
        <f>+J38*Assumptions!$AD$162*Assumptions!$AD$163*12</f>
        <v>47351.530990855346</v>
      </c>
      <c r="K49" s="1085">
        <f>+K38*Assumptions!$AD$162*Assumptions!$AD$163*12</f>
        <v>47351.530990855346</v>
      </c>
      <c r="L49" s="1085">
        <f>+L38*Assumptions!$AD$162*Assumptions!$AD$163*12</f>
        <v>47351.530990855346</v>
      </c>
      <c r="M49" s="1085">
        <f>+M38*Assumptions!$AD$162*Assumptions!$AD$163*12</f>
        <v>47351.530990855346</v>
      </c>
      <c r="N49" s="1085">
        <f>+N38*Assumptions!$AD$162*Assumptions!$AD$163*12</f>
        <v>47351.530990855346</v>
      </c>
      <c r="O49" s="1085">
        <f>+O38*Assumptions!$AD$162*Assumptions!$AD$163*12</f>
        <v>47351.530990855346</v>
      </c>
      <c r="P49" s="1085">
        <f>+P38*Assumptions!$AD$162*Assumptions!$AD$163*12</f>
        <v>47351.530990855346</v>
      </c>
      <c r="Q49" s="1085">
        <f>+Q38*Assumptions!$AD$162*Assumptions!$AD$163*12</f>
        <v>47351.530990855346</v>
      </c>
      <c r="R49" s="1085">
        <f>+R38*Assumptions!$AD$162*Assumptions!$AD$163*12</f>
        <v>47351.530990855346</v>
      </c>
      <c r="S49" s="1085">
        <f>+S38*Assumptions!$AD$162*Assumptions!$AD$163*12</f>
        <v>47351.530990855346</v>
      </c>
      <c r="T49" s="1085">
        <f>+T38*Assumptions!$AD$162*Assumptions!$AD$163*12</f>
        <v>47351.530990855346</v>
      </c>
      <c r="U49" s="1085">
        <f>+U38*Assumptions!$AD$162*Assumptions!$AD$163*12</f>
        <v>47351.530990855346</v>
      </c>
      <c r="V49" s="1085">
        <f>+V38*Assumptions!$AD$162*Assumptions!$AD$163*12</f>
        <v>47351.530990855346</v>
      </c>
      <c r="W49" s="1085">
        <f>+W38*Assumptions!$AD$162*Assumptions!$AD$163*12</f>
        <v>47351.530990855346</v>
      </c>
      <c r="X49" s="1085">
        <f>+X38*Assumptions!$AD$162*Assumptions!$AD$163*12</f>
        <v>47351.530990855346</v>
      </c>
      <c r="Y49" s="1085">
        <f>+Y38*Assumptions!$AD$162*Assumptions!$AD$163*12</f>
        <v>47351.530990855346</v>
      </c>
      <c r="Z49" s="1085">
        <f>+Z38*Assumptions!$AD$162*Assumptions!$AD$163*12</f>
        <v>47351.530990855346</v>
      </c>
    </row>
    <row r="50" spans="1:26">
      <c r="A50" s="699"/>
      <c r="B50" s="699" t="s">
        <v>52</v>
      </c>
      <c r="C50" s="699"/>
      <c r="D50" s="699"/>
      <c r="E50" s="699"/>
      <c r="F50" s="1085">
        <f>+F38*Assumptions!$AD$164*Assumptions!$AD$165*12</f>
        <v>0</v>
      </c>
      <c r="G50" s="1085">
        <f>+G38*Assumptions!$AD$164*Assumptions!$AD$165*12</f>
        <v>0</v>
      </c>
      <c r="H50" s="1085">
        <f>+H38*Assumptions!$AD$164*Assumptions!$AD$165*12</f>
        <v>0</v>
      </c>
      <c r="I50" s="1085">
        <f>+I38*Assumptions!$AD$164*Assumptions!$AD$165*12</f>
        <v>37360.69377824579</v>
      </c>
      <c r="J50" s="1085">
        <f>+J38*Assumptions!$AD$164*Assumptions!$AD$165*12</f>
        <v>37360.69377824579</v>
      </c>
      <c r="K50" s="1085">
        <f>+K38*Assumptions!$AD$164*Assumptions!$AD$165*12</f>
        <v>37360.69377824579</v>
      </c>
      <c r="L50" s="1085">
        <f>+L38*Assumptions!$AD$164*Assumptions!$AD$165*12</f>
        <v>37360.69377824579</v>
      </c>
      <c r="M50" s="1085">
        <f>+M38*Assumptions!$AD$164*Assumptions!$AD$165*12</f>
        <v>37360.69377824579</v>
      </c>
      <c r="N50" s="1085">
        <f>+N38*Assumptions!$AD$164*Assumptions!$AD$165*12</f>
        <v>37360.69377824579</v>
      </c>
      <c r="O50" s="1085">
        <f>+O38*Assumptions!$AD$164*Assumptions!$AD$165*12</f>
        <v>37360.69377824579</v>
      </c>
      <c r="P50" s="1085">
        <f>+P38*Assumptions!$AD$164*Assumptions!$AD$165*12</f>
        <v>37360.69377824579</v>
      </c>
      <c r="Q50" s="1085">
        <f>+Q38*Assumptions!$AD$164*Assumptions!$AD$165*12</f>
        <v>37360.69377824579</v>
      </c>
      <c r="R50" s="1085">
        <f>+R38*Assumptions!$AD$164*Assumptions!$AD$165*12</f>
        <v>37360.69377824579</v>
      </c>
      <c r="S50" s="1085">
        <f>+S38*Assumptions!$AD$164*Assumptions!$AD$165*12</f>
        <v>37360.69377824579</v>
      </c>
      <c r="T50" s="1085">
        <f>+T38*Assumptions!$AD$164*Assumptions!$AD$165*12</f>
        <v>37360.69377824579</v>
      </c>
      <c r="U50" s="1085">
        <f>+U38*Assumptions!$AD$164*Assumptions!$AD$165*12</f>
        <v>37360.69377824579</v>
      </c>
      <c r="V50" s="1085">
        <f>+V38*Assumptions!$AD$164*Assumptions!$AD$165*12</f>
        <v>37360.69377824579</v>
      </c>
      <c r="W50" s="1085">
        <f>+W38*Assumptions!$AD$164*Assumptions!$AD$165*12</f>
        <v>37360.69377824579</v>
      </c>
      <c r="X50" s="1085">
        <f>+X38*Assumptions!$AD$164*Assumptions!$AD$165*12</f>
        <v>37360.69377824579</v>
      </c>
      <c r="Y50" s="1085">
        <f>+Y38*Assumptions!$AD$164*Assumptions!$AD$165*12</f>
        <v>37360.69377824579</v>
      </c>
      <c r="Z50" s="1085">
        <f>+Z38*Assumptions!$AD$164*Assumptions!$AD$165*12</f>
        <v>37360.69377824579</v>
      </c>
    </row>
    <row r="51" spans="1:26">
      <c r="A51" s="699"/>
      <c r="B51" s="52" t="s">
        <v>1131</v>
      </c>
      <c r="C51" s="1052"/>
      <c r="D51" s="1052"/>
      <c r="E51" s="1052"/>
      <c r="F51" s="1086">
        <f t="shared" ref="F51:Z51" si="13">SUM(F44:F50)</f>
        <v>0</v>
      </c>
      <c r="G51" s="1086">
        <f t="shared" si="13"/>
        <v>0</v>
      </c>
      <c r="H51" s="1086">
        <f t="shared" si="13"/>
        <v>0</v>
      </c>
      <c r="I51" s="1086">
        <f t="shared" si="13"/>
        <v>7738554.2786727156</v>
      </c>
      <c r="J51" s="1086">
        <f t="shared" si="13"/>
        <v>7965303.8911204189</v>
      </c>
      <c r="K51" s="1086">
        <f t="shared" si="13"/>
        <v>8198855.9919415507</v>
      </c>
      <c r="L51" s="1086">
        <f t="shared" si="13"/>
        <v>8439414.6557873171</v>
      </c>
      <c r="M51" s="1086">
        <f t="shared" si="13"/>
        <v>8687190.0795484595</v>
      </c>
      <c r="N51" s="1086">
        <f t="shared" si="13"/>
        <v>8942398.7660224345</v>
      </c>
      <c r="O51" s="1086">
        <f t="shared" si="13"/>
        <v>9205263.7130906265</v>
      </c>
      <c r="P51" s="1086">
        <f t="shared" si="13"/>
        <v>9476014.6085708663</v>
      </c>
      <c r="Q51" s="1086">
        <f t="shared" si="13"/>
        <v>9754888.0309155118</v>
      </c>
      <c r="R51" s="1086">
        <f t="shared" si="13"/>
        <v>10042127.655930499</v>
      </c>
      <c r="S51" s="1086">
        <f t="shared" si="13"/>
        <v>10337984.469695933</v>
      </c>
      <c r="T51" s="1086">
        <f t="shared" si="13"/>
        <v>10642716.987874335</v>
      </c>
      <c r="U51" s="1086">
        <f t="shared" si="13"/>
        <v>10956591.481598085</v>
      </c>
      <c r="V51" s="1086">
        <f t="shared" si="13"/>
        <v>11279882.210133549</v>
      </c>
      <c r="W51" s="1086">
        <f t="shared" si="13"/>
        <v>11612871.660525074</v>
      </c>
      <c r="X51" s="1086">
        <f t="shared" si="13"/>
        <v>11955850.794428347</v>
      </c>
      <c r="Y51" s="1086">
        <f t="shared" si="13"/>
        <v>12309119.302348718</v>
      </c>
      <c r="Z51" s="1086">
        <f t="shared" si="13"/>
        <v>12672985.865506701</v>
      </c>
    </row>
    <row r="52" spans="1:26">
      <c r="A52" s="699"/>
      <c r="B52" s="49"/>
      <c r="C52" s="699"/>
      <c r="D52" s="699"/>
      <c r="E52" s="699"/>
      <c r="F52" s="699"/>
      <c r="G52" s="699"/>
      <c r="H52" s="699"/>
      <c r="I52" s="699"/>
      <c r="J52" s="699"/>
      <c r="K52" s="699"/>
      <c r="L52" s="699"/>
      <c r="M52" s="699"/>
      <c r="N52" s="699"/>
      <c r="O52" s="699"/>
      <c r="P52" s="699"/>
      <c r="Q52" s="699"/>
      <c r="R52" s="699"/>
      <c r="S52" s="699"/>
      <c r="T52" s="699"/>
      <c r="U52" s="699"/>
      <c r="V52" s="699"/>
      <c r="W52" s="699"/>
      <c r="X52" s="699"/>
      <c r="Y52" s="699"/>
      <c r="Z52" s="699"/>
    </row>
    <row r="53" spans="1:26">
      <c r="A53" s="699" t="s">
        <v>511</v>
      </c>
      <c r="B53" s="699" t="s">
        <v>1132</v>
      </c>
      <c r="C53" s="699"/>
      <c r="D53" s="699"/>
      <c r="E53" s="699"/>
      <c r="F53" s="1087">
        <f>+F38*Assumptions!$P$97*F42</f>
        <v>0</v>
      </c>
      <c r="G53" s="1087">
        <f>+G38*Assumptions!$P$97*G42</f>
        <v>0</v>
      </c>
      <c r="H53" s="1087">
        <f>+H38*Assumptions!$P$97*H42</f>
        <v>0</v>
      </c>
      <c r="I53" s="1087">
        <f>+I38*Assumptions!$P$97*I42</f>
        <v>1720934.1150564062</v>
      </c>
      <c r="J53" s="1087">
        <f>+J38*Assumptions!$P$97*J42</f>
        <v>1772562.1385080984</v>
      </c>
      <c r="K53" s="1087">
        <f>+K38*Assumptions!$P$97*K42</f>
        <v>1825739.0026633414</v>
      </c>
      <c r="L53" s="1087">
        <f>+L38*Assumptions!$P$97*L42</f>
        <v>1880511.1727432418</v>
      </c>
      <c r="M53" s="1087">
        <f>+M38*Assumptions!$P$97*M42</f>
        <v>1936926.507925539</v>
      </c>
      <c r="N53" s="1087">
        <f>+N38*Assumptions!$P$97*N42</f>
        <v>1995034.3031633054</v>
      </c>
      <c r="O53" s="1087">
        <f>+O38*Assumptions!$P$97*O42</f>
        <v>2054885.3322582045</v>
      </c>
      <c r="P53" s="1087">
        <f>+P38*Assumptions!$P$97*P42</f>
        <v>2116531.8922259505</v>
      </c>
      <c r="Q53" s="1087">
        <f>+Q38*Assumptions!$P$97*Q42</f>
        <v>2180027.8489927291</v>
      </c>
      <c r="R53" s="1087">
        <f>+R38*Assumptions!$P$97*R42</f>
        <v>2245428.684462511</v>
      </c>
      <c r="S53" s="1087">
        <f>+S38*Assumptions!$P$97*S42</f>
        <v>2312791.5449963869</v>
      </c>
      <c r="T53" s="1087">
        <f>+T38*Assumptions!$P$97*T42</f>
        <v>2382175.2913462785</v>
      </c>
      <c r="U53" s="1087">
        <f>+U38*Assumptions!$P$97*U42</f>
        <v>2453640.5500866668</v>
      </c>
      <c r="V53" s="1087">
        <f>+V38*Assumptions!$P$97*V42</f>
        <v>2527249.7665892672</v>
      </c>
      <c r="W53" s="1087">
        <f>+W38*Assumptions!$P$97*W42</f>
        <v>2603067.2595869452</v>
      </c>
      <c r="X53" s="1087">
        <f>+X38*Assumptions!$P$97*X42</f>
        <v>2681159.2773745535</v>
      </c>
      <c r="Y53" s="1087">
        <f>+Y38*Assumptions!$P$97*Y42</f>
        <v>2761594.0556957903</v>
      </c>
      <c r="Z53" s="1087">
        <f>+Z38*Assumptions!$P$97*Z42</f>
        <v>2844441.8773666644</v>
      </c>
    </row>
    <row r="54" spans="1:26">
      <c r="A54" s="699"/>
      <c r="B54" s="699" t="s">
        <v>1133</v>
      </c>
      <c r="C54" s="699"/>
      <c r="D54" s="699"/>
      <c r="E54" s="699"/>
      <c r="F54" s="1050">
        <f ca="1">+IFERROR(INDEX('Taxes and TIF'!$AS$11:$AS$45,MATCH('Phase 3 Pro Forma'!F$7,'Taxes and TIF'!$AH$11:$AH$45,0)),0)*'Loan Sizing'!$M$23*'Phase 3 Pro Forma'!F39</f>
        <v>0</v>
      </c>
      <c r="G54" s="1050">
        <f ca="1">+IFERROR(INDEX('Taxes and TIF'!$AS$11:$AS$45,MATCH('Phase 3 Pro Forma'!G$7,'Taxes and TIF'!$AH$11:$AH$45,0)),0)*'Loan Sizing'!$M$23*'Phase 3 Pro Forma'!G39</f>
        <v>0</v>
      </c>
      <c r="H54" s="1050">
        <f ca="1">+IFERROR(INDEX('Taxes and TIF'!$AS$11:$AS$45,MATCH('Phase 3 Pro Forma'!H$7,'Taxes and TIF'!$AH$11:$AH$45,0)),0)*'Loan Sizing'!$M$23*'Phase 3 Pro Forma'!H39</f>
        <v>0</v>
      </c>
      <c r="I54" s="1050">
        <f ca="1">+IFERROR(INDEX('Taxes and TIF'!$AS$11:$AS$45,MATCH('Phase 3 Pro Forma'!I$7,'Taxes and TIF'!$AH$11:$AH$45,0)),0)*'Loan Sizing'!$M$23*'Phase 3 Pro Forma'!I39</f>
        <v>1083110.7248241273</v>
      </c>
      <c r="J54" s="1050">
        <f ca="1">+IFERROR(INDEX('Taxes and TIF'!$AS$11:$AS$45,MATCH('Phase 3 Pro Forma'!J$7,'Taxes and TIF'!$AH$11:$AH$45,0)),0)*'Loan Sizing'!$M$23*'Phase 3 Pro Forma'!J39</f>
        <v>1115604.0465688512</v>
      </c>
      <c r="K54" s="1050">
        <f ca="1">+IFERROR(INDEX('Taxes and TIF'!$AS$11:$AS$45,MATCH('Phase 3 Pro Forma'!K$7,'Taxes and TIF'!$AH$11:$AH$45,0)),0)*'Loan Sizing'!$M$23*'Phase 3 Pro Forma'!K39</f>
        <v>1115604.0465688512</v>
      </c>
      <c r="L54" s="1050">
        <f ca="1">+IFERROR(INDEX('Taxes and TIF'!$AS$11:$AS$45,MATCH('Phase 3 Pro Forma'!L$7,'Taxes and TIF'!$AH$11:$AH$45,0)),0)*'Loan Sizing'!$M$23*'Phase 3 Pro Forma'!L39</f>
        <v>1115604.0465688512</v>
      </c>
      <c r="M54" s="1050">
        <f ca="1">+IFERROR(INDEX('Taxes and TIF'!$AS$11:$AS$45,MATCH('Phase 3 Pro Forma'!M$7,'Taxes and TIF'!$AH$11:$AH$45,0)),0)*'Loan Sizing'!$M$23*'Phase 3 Pro Forma'!M39</f>
        <v>1149072.1679659165</v>
      </c>
      <c r="N54" s="1050">
        <f ca="1">+IFERROR(INDEX('Taxes and TIF'!$AS$11:$AS$45,MATCH('Phase 3 Pro Forma'!N$7,'Taxes and TIF'!$AH$11:$AH$45,0)),0)*'Loan Sizing'!$M$23*'Phase 3 Pro Forma'!N39</f>
        <v>1149072.1679659165</v>
      </c>
      <c r="O54" s="1050">
        <f ca="1">+IFERROR(INDEX('Taxes and TIF'!$AS$11:$AS$45,MATCH('Phase 3 Pro Forma'!O$7,'Taxes and TIF'!$AH$11:$AH$45,0)),0)*'Loan Sizing'!$M$23*'Phase 3 Pro Forma'!O39</f>
        <v>1149072.1679659165</v>
      </c>
      <c r="P54" s="1050">
        <f ca="1">+IFERROR(INDEX('Taxes and TIF'!$AS$11:$AS$45,MATCH('Phase 3 Pro Forma'!P$7,'Taxes and TIF'!$AH$11:$AH$45,0)),0)*'Loan Sizing'!$M$23*'Phase 3 Pro Forma'!P39</f>
        <v>1183544.3330048942</v>
      </c>
      <c r="Q54" s="1050">
        <f ca="1">+IFERROR(INDEX('Taxes and TIF'!$AS$11:$AS$45,MATCH('Phase 3 Pro Forma'!Q$7,'Taxes and TIF'!$AH$11:$AH$45,0)),0)*'Loan Sizing'!$M$23*'Phase 3 Pro Forma'!Q39</f>
        <v>1183544.3330048942</v>
      </c>
      <c r="R54" s="1050">
        <f ca="1">+IFERROR(INDEX('Taxes and TIF'!$AS$11:$AS$45,MATCH('Phase 3 Pro Forma'!R$7,'Taxes and TIF'!$AH$11:$AH$45,0)),0)*'Loan Sizing'!$M$23*'Phase 3 Pro Forma'!R39</f>
        <v>1183544.3330048942</v>
      </c>
      <c r="S54" s="1050">
        <f ca="1">+IFERROR(INDEX('Taxes and TIF'!$AS$11:$AS$45,MATCH('Phase 3 Pro Forma'!S$7,'Taxes and TIF'!$AH$11:$AH$45,0)),0)*'Loan Sizing'!$M$23*'Phase 3 Pro Forma'!S39</f>
        <v>1219050.6629950411</v>
      </c>
      <c r="T54" s="1050">
        <f ca="1">+IFERROR(INDEX('Taxes and TIF'!$AS$11:$AS$45,MATCH('Phase 3 Pro Forma'!T$7,'Taxes and TIF'!$AH$11:$AH$45,0)),0)*'Loan Sizing'!$M$23*'Phase 3 Pro Forma'!T39</f>
        <v>1219050.6629950411</v>
      </c>
      <c r="U54" s="1050">
        <f ca="1">+IFERROR(INDEX('Taxes and TIF'!$AS$11:$AS$45,MATCH('Phase 3 Pro Forma'!U$7,'Taxes and TIF'!$AH$11:$AH$45,0)),0)*'Loan Sizing'!$M$23*'Phase 3 Pro Forma'!U39</f>
        <v>1219050.6629950411</v>
      </c>
      <c r="V54" s="1050">
        <f ca="1">+IFERROR(INDEX('Taxes and TIF'!$AS$11:$AS$45,MATCH('Phase 3 Pro Forma'!V$7,'Taxes and TIF'!$AH$11:$AH$45,0)),0)*'Loan Sizing'!$M$23*'Phase 3 Pro Forma'!V39</f>
        <v>1255622.1828848922</v>
      </c>
      <c r="W54" s="1050">
        <f ca="1">+IFERROR(INDEX('Taxes and TIF'!$AS$11:$AS$45,MATCH('Phase 3 Pro Forma'!W$7,'Taxes and TIF'!$AH$11:$AH$45,0)),0)*'Loan Sizing'!$M$23*'Phase 3 Pro Forma'!W39</f>
        <v>1255622.1828848922</v>
      </c>
      <c r="X54" s="1050">
        <f ca="1">+IFERROR(INDEX('Taxes and TIF'!$AS$11:$AS$45,MATCH('Phase 3 Pro Forma'!X$7,'Taxes and TIF'!$AH$11:$AH$45,0)),0)*'Loan Sizing'!$M$23*'Phase 3 Pro Forma'!X39</f>
        <v>1255622.1828848922</v>
      </c>
      <c r="Y54" s="1050">
        <f ca="1">+IFERROR(INDEX('Taxes and TIF'!$AS$11:$AS$45,MATCH('Phase 3 Pro Forma'!Y$7,'Taxes and TIF'!$AH$11:$AH$45,0)),0)*'Loan Sizing'!$M$23*'Phase 3 Pro Forma'!Y39</f>
        <v>1293290.8483714389</v>
      </c>
      <c r="Z54" s="1050">
        <f ca="1">+IFERROR(INDEX('Taxes and TIF'!$AS$11:$AS$45,MATCH('Phase 3 Pro Forma'!Z$7,'Taxes and TIF'!$AH$11:$AH$45,0)),0)*'Loan Sizing'!$M$23*'Phase 3 Pro Forma'!Z39</f>
        <v>1293290.8483714389</v>
      </c>
    </row>
    <row r="55" spans="1:26">
      <c r="A55" s="699"/>
      <c r="B55" s="52" t="s">
        <v>1134</v>
      </c>
      <c r="C55" s="1052"/>
      <c r="D55" s="1052"/>
      <c r="E55" s="1052"/>
      <c r="F55" s="1088">
        <f ca="1">+SUM(F53:F54)</f>
        <v>0</v>
      </c>
      <c r="G55" s="1088">
        <f t="shared" ref="G55:Z55" ca="1" si="14">+SUM(G53:G54)</f>
        <v>0</v>
      </c>
      <c r="H55" s="1088">
        <f t="shared" ca="1" si="14"/>
        <v>0</v>
      </c>
      <c r="I55" s="1088">
        <f t="shared" ca="1" si="14"/>
        <v>2804044.8398805335</v>
      </c>
      <c r="J55" s="1088">
        <f t="shared" ca="1" si="14"/>
        <v>2888166.1850769497</v>
      </c>
      <c r="K55" s="1088">
        <f t="shared" ca="1" si="14"/>
        <v>2941343.0492321923</v>
      </c>
      <c r="L55" s="1088">
        <f t="shared" ca="1" si="14"/>
        <v>2996115.2193120932</v>
      </c>
      <c r="M55" s="1088">
        <f t="shared" ca="1" si="14"/>
        <v>3085998.6758914553</v>
      </c>
      <c r="N55" s="1088">
        <f t="shared" ca="1" si="14"/>
        <v>3144106.4711292218</v>
      </c>
      <c r="O55" s="1088">
        <f t="shared" ca="1" si="14"/>
        <v>3203957.5002241209</v>
      </c>
      <c r="P55" s="1088">
        <f t="shared" ca="1" si="14"/>
        <v>3300076.2252308447</v>
      </c>
      <c r="Q55" s="1088">
        <f t="shared" ca="1" si="14"/>
        <v>3363572.1819976233</v>
      </c>
      <c r="R55" s="1088">
        <f t="shared" ca="1" si="14"/>
        <v>3428973.0174674052</v>
      </c>
      <c r="S55" s="1088">
        <f t="shared" ca="1" si="14"/>
        <v>3531842.2079914277</v>
      </c>
      <c r="T55" s="1088">
        <f t="shared" ca="1" si="14"/>
        <v>3601225.9543413194</v>
      </c>
      <c r="U55" s="1088">
        <f t="shared" ca="1" si="14"/>
        <v>3672691.2130817082</v>
      </c>
      <c r="V55" s="1088">
        <f t="shared" ca="1" si="14"/>
        <v>3782871.9494741596</v>
      </c>
      <c r="W55" s="1088">
        <f t="shared" ca="1" si="14"/>
        <v>3858689.4424718376</v>
      </c>
      <c r="X55" s="1088">
        <f t="shared" ca="1" si="14"/>
        <v>3936781.4602594459</v>
      </c>
      <c r="Y55" s="1088">
        <f t="shared" ca="1" si="14"/>
        <v>4054884.9040672295</v>
      </c>
      <c r="Z55" s="1088">
        <f t="shared" ca="1" si="14"/>
        <v>4137732.7257381035</v>
      </c>
    </row>
    <row r="57" spans="1:26" ht="15.75">
      <c r="A57" s="699"/>
      <c r="B57" s="50" t="s">
        <v>1135</v>
      </c>
      <c r="C57" s="50"/>
      <c r="D57" s="50"/>
      <c r="E57" s="50"/>
      <c r="F57" s="55">
        <f ca="1">+F51-F55</f>
        <v>0</v>
      </c>
      <c r="G57" s="55">
        <f t="shared" ref="G57:Z57" ca="1" si="15">+G51-G55</f>
        <v>0</v>
      </c>
      <c r="H57" s="55">
        <f t="shared" ca="1" si="15"/>
        <v>0</v>
      </c>
      <c r="I57" s="55">
        <f t="shared" ca="1" si="15"/>
        <v>4934509.4387921821</v>
      </c>
      <c r="J57" s="55">
        <f t="shared" ca="1" si="15"/>
        <v>5077137.7060434688</v>
      </c>
      <c r="K57" s="55">
        <f t="shared" ca="1" si="15"/>
        <v>5257512.9427093584</v>
      </c>
      <c r="L57" s="55">
        <f t="shared" ca="1" si="15"/>
        <v>5443299.4364752239</v>
      </c>
      <c r="M57" s="55">
        <f t="shared" ca="1" si="15"/>
        <v>5601191.4036570042</v>
      </c>
      <c r="N57" s="55">
        <f t="shared" ca="1" si="15"/>
        <v>5798292.2948932126</v>
      </c>
      <c r="O57" s="55">
        <f t="shared" ca="1" si="15"/>
        <v>6001306.2128665056</v>
      </c>
      <c r="P57" s="55">
        <f t="shared" ca="1" si="15"/>
        <v>6175938.3833400216</v>
      </c>
      <c r="Q57" s="55">
        <f t="shared" ca="1" si="15"/>
        <v>6391315.8489178885</v>
      </c>
      <c r="R57" s="55">
        <f t="shared" ca="1" si="15"/>
        <v>6613154.638463093</v>
      </c>
      <c r="S57" s="55">
        <f t="shared" ca="1" si="15"/>
        <v>6806142.2617045054</v>
      </c>
      <c r="T57" s="55">
        <f t="shared" ca="1" si="15"/>
        <v>7041491.0335330153</v>
      </c>
      <c r="U57" s="55">
        <f t="shared" ca="1" si="15"/>
        <v>7283900.2685163766</v>
      </c>
      <c r="V57" s="55">
        <f t="shared" ca="1" si="15"/>
        <v>7497010.2606593892</v>
      </c>
      <c r="W57" s="55">
        <f t="shared" ca="1" si="15"/>
        <v>7754182.2180532366</v>
      </c>
      <c r="X57" s="55">
        <f t="shared" ca="1" si="15"/>
        <v>8019069.3341689007</v>
      </c>
      <c r="Y57" s="55">
        <f t="shared" ca="1" si="15"/>
        <v>8254234.3982814886</v>
      </c>
      <c r="Z57" s="55">
        <f t="shared" ca="1" si="15"/>
        <v>8535253.1397685967</v>
      </c>
    </row>
    <row r="58" spans="1:26">
      <c r="A58" s="699"/>
      <c r="B58" s="51" t="s">
        <v>1136</v>
      </c>
      <c r="C58" s="51"/>
      <c r="D58" s="51"/>
      <c r="E58" s="51"/>
      <c r="F58" s="56" t="str">
        <f ca="1">+IFERROR(F57/F51,"")</f>
        <v/>
      </c>
      <c r="G58" s="56" t="str">
        <f t="shared" ref="G58:Z58" ca="1" si="16">+IFERROR(G57/G51,"")</f>
        <v/>
      </c>
      <c r="H58" s="56" t="str">
        <f t="shared" ca="1" si="16"/>
        <v/>
      </c>
      <c r="I58" s="56">
        <f t="shared" ca="1" si="16"/>
        <v>0.63765262361621999</v>
      </c>
      <c r="J58" s="56">
        <f t="shared" ca="1" si="16"/>
        <v>0.63740665459146795</v>
      </c>
      <c r="K58" s="56">
        <f t="shared" ca="1" si="16"/>
        <v>0.64124957773094626</v>
      </c>
      <c r="L58" s="56">
        <f t="shared" ca="1" si="16"/>
        <v>0.64498542357348077</v>
      </c>
      <c r="M58" s="56">
        <f t="shared" ca="1" si="16"/>
        <v>0.64476445805455906</v>
      </c>
      <c r="N58" s="56">
        <f t="shared" ca="1" si="16"/>
        <v>0.64840457763127513</v>
      </c>
      <c r="O58" s="56">
        <f t="shared" ca="1" si="16"/>
        <v>0.6519428883207512</v>
      </c>
      <c r="P58" s="56">
        <f t="shared" ca="1" si="16"/>
        <v>0.65174428686021746</v>
      </c>
      <c r="Q58" s="56">
        <f t="shared" ca="1" si="16"/>
        <v>0.6551911030308416</v>
      </c>
      <c r="R58" s="56">
        <f t="shared" ca="1" si="16"/>
        <v>0.65854118420388885</v>
      </c>
      <c r="S58" s="56">
        <f t="shared" ca="1" si="16"/>
        <v>0.65836259298469346</v>
      </c>
      <c r="T58" s="56">
        <f t="shared" ca="1" si="16"/>
        <v>0.66162532007152519</v>
      </c>
      <c r="U58" s="56">
        <f t="shared" ca="1" si="16"/>
        <v>0.66479618964984688</v>
      </c>
      <c r="V58" s="56">
        <f t="shared" ca="1" si="16"/>
        <v>0.66463550957334228</v>
      </c>
      <c r="W58" s="56">
        <f t="shared" ca="1" si="16"/>
        <v>0.6677230615069617</v>
      </c>
      <c r="X58" s="56">
        <f t="shared" ca="1" si="16"/>
        <v>0.67072343675499357</v>
      </c>
      <c r="Y58" s="56">
        <f t="shared" ca="1" si="16"/>
        <v>0.67057879573126633</v>
      </c>
      <c r="Z58" s="56">
        <f t="shared" ca="1" si="16"/>
        <v>0.67349977584996967</v>
      </c>
    </row>
    <row r="59" spans="1:26">
      <c r="A59" s="699"/>
      <c r="B59" s="51" t="s">
        <v>1064</v>
      </c>
      <c r="C59" s="51"/>
      <c r="D59" s="51"/>
      <c r="E59" s="51"/>
      <c r="F59" s="57">
        <f ca="1">+F57/Assumptions!$H$45</f>
        <v>0</v>
      </c>
      <c r="G59" s="57">
        <f ca="1">+G57/Assumptions!$H$45</f>
        <v>0</v>
      </c>
      <c r="H59" s="57">
        <f ca="1">+H57/Assumptions!$H$45</f>
        <v>0</v>
      </c>
      <c r="I59" s="57">
        <f ca="1">+I57/Assumptions!$H$45</f>
        <v>116106104.44216898</v>
      </c>
      <c r="J59" s="57">
        <f ca="1">+J57/Assumptions!$H$45</f>
        <v>119462063.67161103</v>
      </c>
      <c r="K59" s="57">
        <f ca="1">+K57/Assumptions!$H$45</f>
        <v>123706186.88727902</v>
      </c>
      <c r="L59" s="57">
        <f ca="1">+L57/Assumptions!$H$45</f>
        <v>128077633.79941702</v>
      </c>
      <c r="M59" s="57">
        <f ca="1">+M57/Assumptions!$H$45</f>
        <v>131792738.90957657</v>
      </c>
      <c r="N59" s="57">
        <f ca="1">+N57/Assumptions!$H$45</f>
        <v>136430406.93866381</v>
      </c>
      <c r="O59" s="57">
        <f ca="1">+O57/Assumptions!$H$45</f>
        <v>141207205.00862366</v>
      </c>
      <c r="P59" s="57">
        <f ca="1">+P57/Assumptions!$H$45</f>
        <v>145316197.25505933</v>
      </c>
      <c r="Q59" s="57">
        <f ca="1">+Q57/Assumptions!$H$45</f>
        <v>150383902.32747972</v>
      </c>
      <c r="R59" s="57">
        <f ca="1">+R57/Assumptions!$H$45</f>
        <v>155603638.55207276</v>
      </c>
      <c r="S59" s="57">
        <f ca="1">+S57/Assumptions!$H$45</f>
        <v>160144523.80481189</v>
      </c>
      <c r="T59" s="57">
        <f ca="1">+T57/Assumptions!$H$45</f>
        <v>165682141.96548271</v>
      </c>
      <c r="U59" s="57">
        <f ca="1">+U57/Assumptions!$H$45</f>
        <v>171385888.67097357</v>
      </c>
      <c r="V59" s="57">
        <f ca="1">+V57/Assumptions!$H$45</f>
        <v>176400241.42727974</v>
      </c>
      <c r="W59" s="57">
        <f ca="1">+W57/Assumptions!$H$45</f>
        <v>182451346.30713496</v>
      </c>
      <c r="X59" s="57">
        <f ca="1">+X57/Assumptions!$H$45</f>
        <v>188683984.33338588</v>
      </c>
      <c r="Y59" s="57">
        <f ca="1">+Y57/Assumptions!$H$45</f>
        <v>194217279.95956442</v>
      </c>
      <c r="Z59" s="57">
        <f ca="1">+Z57/Assumptions!$H$45</f>
        <v>200829485.64161402</v>
      </c>
    </row>
    <row r="61" spans="1:26" ht="15.75">
      <c r="A61" s="699"/>
      <c r="B61" s="53" t="s">
        <v>328</v>
      </c>
      <c r="C61" s="699"/>
      <c r="D61" s="699"/>
      <c r="E61" s="699"/>
      <c r="F61" s="54">
        <f>+Assumptions!$H$27</f>
        <v>47118</v>
      </c>
      <c r="G61" s="54">
        <f>+EOMONTH(F61,12)</f>
        <v>47483</v>
      </c>
      <c r="H61" s="54">
        <f t="shared" ref="H61:Z61" si="17">+EOMONTH(G61,12)</f>
        <v>47848</v>
      </c>
      <c r="I61" s="54">
        <f t="shared" si="17"/>
        <v>48213</v>
      </c>
      <c r="J61" s="54">
        <f t="shared" si="17"/>
        <v>48579</v>
      </c>
      <c r="K61" s="54">
        <f t="shared" si="17"/>
        <v>48944</v>
      </c>
      <c r="L61" s="54">
        <f t="shared" si="17"/>
        <v>49309</v>
      </c>
      <c r="M61" s="54">
        <f t="shared" si="17"/>
        <v>49674</v>
      </c>
      <c r="N61" s="54">
        <f t="shared" si="17"/>
        <v>50040</v>
      </c>
      <c r="O61" s="54">
        <f t="shared" si="17"/>
        <v>50405</v>
      </c>
      <c r="P61" s="54">
        <f t="shared" si="17"/>
        <v>50770</v>
      </c>
      <c r="Q61" s="54">
        <f t="shared" si="17"/>
        <v>51135</v>
      </c>
      <c r="R61" s="54">
        <f t="shared" si="17"/>
        <v>51501</v>
      </c>
      <c r="S61" s="54">
        <f t="shared" si="17"/>
        <v>51866</v>
      </c>
      <c r="T61" s="54">
        <f t="shared" si="17"/>
        <v>52231</v>
      </c>
      <c r="U61" s="54">
        <f t="shared" si="17"/>
        <v>52596</v>
      </c>
      <c r="V61" s="54">
        <f t="shared" si="17"/>
        <v>52962</v>
      </c>
      <c r="W61" s="54">
        <f t="shared" si="17"/>
        <v>53327</v>
      </c>
      <c r="X61" s="54">
        <f t="shared" si="17"/>
        <v>53692</v>
      </c>
      <c r="Y61" s="54">
        <f t="shared" si="17"/>
        <v>54057</v>
      </c>
      <c r="Z61" s="54">
        <f t="shared" si="17"/>
        <v>54423</v>
      </c>
    </row>
    <row r="62" spans="1:26">
      <c r="A62" s="699"/>
      <c r="B62" s="699" t="s">
        <v>1120</v>
      </c>
      <c r="C62" s="699"/>
      <c r="D62" s="699"/>
      <c r="E62" s="1050"/>
      <c r="F62" s="1050">
        <f>+IF(F61=Assumptions!$H$31,Assumptions!$AG$59/ROUNDUP((12/12),0),)</f>
        <v>0</v>
      </c>
      <c r="G62" s="1050">
        <f>+IF(G61=Assumptions!$H$31,Assumptions!$AG$59/ROUNDUP((12/12),0),)</f>
        <v>0</v>
      </c>
      <c r="H62" s="1050">
        <f>+IF(H61=Assumptions!$H$31,Assumptions!$AG$59/ROUNDUP((12/12),0),)</f>
        <v>0</v>
      </c>
      <c r="I62" s="1050">
        <f>+IF(I61=Assumptions!$H$31,Assumptions!$AG$59/ROUNDUP((12/12),0),)</f>
        <v>0</v>
      </c>
      <c r="J62" s="1050">
        <f>+IF(J61=Assumptions!$H$31,Assumptions!$AG$59/ROUNDUP((12/12),0),)</f>
        <v>0</v>
      </c>
      <c r="K62" s="1050">
        <f>+IF(K61=Assumptions!$H$31,Assumptions!$AG$59/ROUNDUP((12/12),0),)</f>
        <v>0</v>
      </c>
      <c r="L62" s="1050">
        <f>+IF(L61=Assumptions!$H$31,Assumptions!$AG$59/ROUNDUP((12/12),0),)</f>
        <v>0</v>
      </c>
      <c r="M62" s="1050">
        <f>+IF(M61=Assumptions!$H$31,Assumptions!$AG$59/ROUNDUP((12/12),0),)</f>
        <v>0</v>
      </c>
      <c r="N62" s="1050">
        <f>+IF(N61=Assumptions!$H$31,Assumptions!$AG$59/ROUNDUP((12/12),0),)</f>
        <v>0</v>
      </c>
      <c r="O62" s="1050">
        <f>+IF(O61=Assumptions!$H$31,Assumptions!$AG$59/ROUNDUP((12/12),0),)</f>
        <v>0</v>
      </c>
      <c r="P62" s="1050">
        <f>+IF(P61=Assumptions!$H$31,Assumptions!$AG$59/ROUNDUP((12/12),0),)</f>
        <v>0</v>
      </c>
      <c r="Q62" s="1050">
        <f>+IF(Q61=Assumptions!$H$31,Assumptions!$AG$59/ROUNDUP((12/12),0),)</f>
        <v>0</v>
      </c>
      <c r="R62" s="1050">
        <f>+IF(R61=Assumptions!$H$31,Assumptions!$AG$59/ROUNDUP((12/12),0),)</f>
        <v>0</v>
      </c>
      <c r="S62" s="1050">
        <f>+IF(S61=Assumptions!$H$31,Assumptions!$AG$59/ROUNDUP((12/12),0),)</f>
        <v>0</v>
      </c>
      <c r="T62" s="1050">
        <f>+IF(T61=Assumptions!$H$31,Assumptions!$AG$59/ROUNDUP((12/12),0),)</f>
        <v>0</v>
      </c>
      <c r="U62" s="1050">
        <f>+IF(U61=Assumptions!$H$31,Assumptions!$AG$59/ROUNDUP((12/12),0),)</f>
        <v>0</v>
      </c>
      <c r="V62" s="1050">
        <f>+IF(V61=Assumptions!$H$31,Assumptions!$AG$59/ROUNDUP((12/12),0),)</f>
        <v>0</v>
      </c>
      <c r="W62" s="1050">
        <f>+IF(W61=Assumptions!$H$31,Assumptions!$AG$59/ROUNDUP((12/12),0),)</f>
        <v>0</v>
      </c>
      <c r="X62" s="1050">
        <f>+IF(X61=Assumptions!$H$31,Assumptions!$AG$59/ROUNDUP((12/12),0),)</f>
        <v>0</v>
      </c>
      <c r="Y62" s="1050">
        <f>+IF(Y61=Assumptions!$H$31,Assumptions!$AG$59/ROUNDUP((12/12),0),)</f>
        <v>0</v>
      </c>
      <c r="Z62" s="1050">
        <f>+IF(Z61=Assumptions!$H$31,Assumptions!$AG$59/ROUNDUP((12/12),0),)</f>
        <v>0</v>
      </c>
    </row>
    <row r="63" spans="1:26">
      <c r="A63" s="699"/>
      <c r="B63" s="699" t="s">
        <v>1121</v>
      </c>
      <c r="C63" s="699"/>
      <c r="D63" s="699"/>
      <c r="E63" s="1050">
        <v>0</v>
      </c>
      <c r="F63" s="1050">
        <f>+E63+F62</f>
        <v>0</v>
      </c>
      <c r="G63" s="1050">
        <f t="shared" ref="G63:Z63" si="18">+F63+G62</f>
        <v>0</v>
      </c>
      <c r="H63" s="1050">
        <f t="shared" si="18"/>
        <v>0</v>
      </c>
      <c r="I63" s="1050">
        <f t="shared" si="18"/>
        <v>0</v>
      </c>
      <c r="J63" s="1050">
        <f t="shared" si="18"/>
        <v>0</v>
      </c>
      <c r="K63" s="1050">
        <f t="shared" si="18"/>
        <v>0</v>
      </c>
      <c r="L63" s="1050">
        <f t="shared" si="18"/>
        <v>0</v>
      </c>
      <c r="M63" s="1050">
        <f t="shared" si="18"/>
        <v>0</v>
      </c>
      <c r="N63" s="1050">
        <f t="shared" si="18"/>
        <v>0</v>
      </c>
      <c r="O63" s="1050">
        <f t="shared" si="18"/>
        <v>0</v>
      </c>
      <c r="P63" s="1050">
        <f t="shared" si="18"/>
        <v>0</v>
      </c>
      <c r="Q63" s="1050">
        <f t="shared" si="18"/>
        <v>0</v>
      </c>
      <c r="R63" s="1050">
        <f t="shared" si="18"/>
        <v>0</v>
      </c>
      <c r="S63" s="1050">
        <f t="shared" si="18"/>
        <v>0</v>
      </c>
      <c r="T63" s="1050">
        <f t="shared" si="18"/>
        <v>0</v>
      </c>
      <c r="U63" s="1050">
        <f t="shared" si="18"/>
        <v>0</v>
      </c>
      <c r="V63" s="1050">
        <f t="shared" si="18"/>
        <v>0</v>
      </c>
      <c r="W63" s="1050">
        <f t="shared" si="18"/>
        <v>0</v>
      </c>
      <c r="X63" s="1050">
        <f t="shared" si="18"/>
        <v>0</v>
      </c>
      <c r="Y63" s="1050">
        <f t="shared" si="18"/>
        <v>0</v>
      </c>
      <c r="Z63" s="1050">
        <f t="shared" si="18"/>
        <v>0</v>
      </c>
    </row>
    <row r="64" spans="1:26">
      <c r="A64" s="699"/>
      <c r="B64" s="699" t="s">
        <v>1123</v>
      </c>
      <c r="C64" s="699"/>
      <c r="D64" s="699"/>
      <c r="E64" s="699"/>
      <c r="F64" s="1084">
        <f>+F65-E65</f>
        <v>0</v>
      </c>
      <c r="G64" s="1084">
        <f t="shared" ref="G64:Z64" si="19">+G65-F65</f>
        <v>0</v>
      </c>
      <c r="H64" s="1084">
        <f t="shared" si="19"/>
        <v>0</v>
      </c>
      <c r="I64" s="1084">
        <f t="shared" si="19"/>
        <v>0</v>
      </c>
      <c r="J64" s="1084">
        <f t="shared" si="19"/>
        <v>0</v>
      </c>
      <c r="K64" s="1084">
        <f t="shared" si="19"/>
        <v>0</v>
      </c>
      <c r="L64" s="1084">
        <f t="shared" si="19"/>
        <v>0</v>
      </c>
      <c r="M64" s="1084">
        <f t="shared" si="19"/>
        <v>0</v>
      </c>
      <c r="N64" s="1084">
        <f t="shared" si="19"/>
        <v>0</v>
      </c>
      <c r="O64" s="1084">
        <f t="shared" si="19"/>
        <v>0</v>
      </c>
      <c r="P64" s="1084">
        <f t="shared" si="19"/>
        <v>0</v>
      </c>
      <c r="Q64" s="1084">
        <f t="shared" si="19"/>
        <v>0</v>
      </c>
      <c r="R64" s="1084">
        <f t="shared" si="19"/>
        <v>0</v>
      </c>
      <c r="S64" s="1084">
        <f t="shared" si="19"/>
        <v>0</v>
      </c>
      <c r="T64" s="1084">
        <f t="shared" si="19"/>
        <v>0</v>
      </c>
      <c r="U64" s="1084">
        <f t="shared" si="19"/>
        <v>0</v>
      </c>
      <c r="V64" s="1084">
        <f t="shared" si="19"/>
        <v>0</v>
      </c>
      <c r="W64" s="1084">
        <f t="shared" si="19"/>
        <v>0</v>
      </c>
      <c r="X64" s="1084">
        <f t="shared" si="19"/>
        <v>0</v>
      </c>
      <c r="Y64" s="1084">
        <f t="shared" si="19"/>
        <v>0</v>
      </c>
      <c r="Z64" s="1084">
        <f t="shared" si="19"/>
        <v>0</v>
      </c>
    </row>
    <row r="65" spans="1:26">
      <c r="A65" s="699"/>
      <c r="B65" s="699" t="s">
        <v>1124</v>
      </c>
      <c r="C65" s="699"/>
      <c r="D65" s="699"/>
      <c r="E65" s="699"/>
      <c r="F65" s="1084">
        <f>+F66*Assumptions!$AG$60</f>
        <v>0</v>
      </c>
      <c r="G65" s="1084">
        <f>+G66*Assumptions!$AG$60</f>
        <v>0</v>
      </c>
      <c r="H65" s="1084">
        <f>+H66*Assumptions!$AG$60</f>
        <v>0</v>
      </c>
      <c r="I65" s="1084">
        <f>+I66*Assumptions!$AG$60</f>
        <v>0</v>
      </c>
      <c r="J65" s="1084">
        <f>+J66*Assumptions!$AG$60</f>
        <v>0</v>
      </c>
      <c r="K65" s="1084">
        <f>+K66*Assumptions!$AG$60</f>
        <v>0</v>
      </c>
      <c r="L65" s="1084">
        <f>+L66*Assumptions!$AG$60</f>
        <v>0</v>
      </c>
      <c r="M65" s="1084">
        <f>+M66*Assumptions!$AG$60</f>
        <v>0</v>
      </c>
      <c r="N65" s="1084">
        <f>+N66*Assumptions!$AG$60</f>
        <v>0</v>
      </c>
      <c r="O65" s="1084">
        <f>+O66*Assumptions!$AG$60</f>
        <v>0</v>
      </c>
      <c r="P65" s="1084">
        <f>+P66*Assumptions!$AG$60</f>
        <v>0</v>
      </c>
      <c r="Q65" s="1084">
        <f>+Q66*Assumptions!$AG$60</f>
        <v>0</v>
      </c>
      <c r="R65" s="1084">
        <f>+R66*Assumptions!$AG$60</f>
        <v>0</v>
      </c>
      <c r="S65" s="1084">
        <f>+S66*Assumptions!$AG$60</f>
        <v>0</v>
      </c>
      <c r="T65" s="1084">
        <f>+T66*Assumptions!$AG$60</f>
        <v>0</v>
      </c>
      <c r="U65" s="1084">
        <f>+U66*Assumptions!$AG$60</f>
        <v>0</v>
      </c>
      <c r="V65" s="1084">
        <f>+V66*Assumptions!$AG$60</f>
        <v>0</v>
      </c>
      <c r="W65" s="1084">
        <f>+W66*Assumptions!$AG$60</f>
        <v>0</v>
      </c>
      <c r="X65" s="1084">
        <f>+X66*Assumptions!$AG$60</f>
        <v>0</v>
      </c>
      <c r="Y65" s="1084">
        <f>+Y66*Assumptions!$AG$60</f>
        <v>0</v>
      </c>
      <c r="Z65" s="1084">
        <f>+Z66*Assumptions!$AG$60</f>
        <v>0</v>
      </c>
    </row>
    <row r="66" spans="1:26">
      <c r="A66" s="699"/>
      <c r="B66" s="699" t="s">
        <v>1125</v>
      </c>
      <c r="C66" s="699"/>
      <c r="D66" s="699"/>
      <c r="E66" s="699"/>
      <c r="F66" s="1074">
        <f>+IFERROR(F63/SUM($F62:$Z62),0)</f>
        <v>0</v>
      </c>
      <c r="G66" s="1074">
        <f t="shared" ref="G66:Z66" si="20">+IFERROR(G63/SUM($F62:$Z62),0)</f>
        <v>0</v>
      </c>
      <c r="H66" s="1074">
        <f t="shared" si="20"/>
        <v>0</v>
      </c>
      <c r="I66" s="1074">
        <f t="shared" si="20"/>
        <v>0</v>
      </c>
      <c r="J66" s="1074">
        <f t="shared" si="20"/>
        <v>0</v>
      </c>
      <c r="K66" s="1074">
        <f t="shared" si="20"/>
        <v>0</v>
      </c>
      <c r="L66" s="1074">
        <f t="shared" si="20"/>
        <v>0</v>
      </c>
      <c r="M66" s="1074">
        <f t="shared" si="20"/>
        <v>0</v>
      </c>
      <c r="N66" s="1074">
        <f t="shared" si="20"/>
        <v>0</v>
      </c>
      <c r="O66" s="1074">
        <f t="shared" si="20"/>
        <v>0</v>
      </c>
      <c r="P66" s="1074">
        <f t="shared" si="20"/>
        <v>0</v>
      </c>
      <c r="Q66" s="1074">
        <f t="shared" si="20"/>
        <v>0</v>
      </c>
      <c r="R66" s="1074">
        <f t="shared" si="20"/>
        <v>0</v>
      </c>
      <c r="S66" s="1074">
        <f t="shared" si="20"/>
        <v>0</v>
      </c>
      <c r="T66" s="1074">
        <f t="shared" si="20"/>
        <v>0</v>
      </c>
      <c r="U66" s="1074">
        <f t="shared" si="20"/>
        <v>0</v>
      </c>
      <c r="V66" s="1074">
        <f t="shared" si="20"/>
        <v>0</v>
      </c>
      <c r="W66" s="1074">
        <f t="shared" si="20"/>
        <v>0</v>
      </c>
      <c r="X66" s="1074">
        <f t="shared" si="20"/>
        <v>0</v>
      </c>
      <c r="Y66" s="1074">
        <f t="shared" si="20"/>
        <v>0</v>
      </c>
      <c r="Z66" s="1074">
        <f t="shared" si="20"/>
        <v>0</v>
      </c>
    </row>
    <row r="68" spans="1:26">
      <c r="A68" s="699"/>
      <c r="B68" s="699" t="s">
        <v>1126</v>
      </c>
      <c r="C68" s="699"/>
      <c r="D68" s="699"/>
      <c r="E68" s="699"/>
      <c r="F68" s="1074">
        <v>1</v>
      </c>
      <c r="G68" s="1074">
        <f>+F68*(1+Assumptions!$P$68)</f>
        <v>1.03</v>
      </c>
      <c r="H68" s="1074">
        <f>+G68*(1+Assumptions!$P$68)</f>
        <v>1.0609</v>
      </c>
      <c r="I68" s="1074">
        <f>+H68*(1+Assumptions!$P$68)</f>
        <v>1.092727</v>
      </c>
      <c r="J68" s="1074">
        <f>+I68*(1+Assumptions!$P$68)</f>
        <v>1.1255088100000001</v>
      </c>
      <c r="K68" s="1074">
        <f>+J68*(1+Assumptions!$P$68)</f>
        <v>1.1592740743000001</v>
      </c>
      <c r="L68" s="1074">
        <f>+K68*(1+Assumptions!$P$68)</f>
        <v>1.1940522965290001</v>
      </c>
      <c r="M68" s="1074">
        <f>+L68*(1+Assumptions!$P$68)</f>
        <v>1.2298738654248702</v>
      </c>
      <c r="N68" s="1074">
        <f>+M68*(1+Assumptions!$P$68)</f>
        <v>1.2667700813876164</v>
      </c>
      <c r="O68" s="1074">
        <f>+N68*(1+Assumptions!$P$68)</f>
        <v>1.3047731838292449</v>
      </c>
      <c r="P68" s="1074">
        <f>+O68*(1+Assumptions!$P$68)</f>
        <v>1.3439163793441222</v>
      </c>
      <c r="Q68" s="1074">
        <f>+P68*(1+Assumptions!$P$68)</f>
        <v>1.3842338707244459</v>
      </c>
      <c r="R68" s="1074">
        <f>+Q68*(1+Assumptions!$P$68)</f>
        <v>1.4257608868461793</v>
      </c>
      <c r="S68" s="1074">
        <f>+R68*(1+Assumptions!$P$68)</f>
        <v>1.4685337134515648</v>
      </c>
      <c r="T68" s="1074">
        <f>+S68*(1+Assumptions!$P$68)</f>
        <v>1.5125897248551119</v>
      </c>
      <c r="U68" s="1074">
        <f>+T68*(1+Assumptions!$P$68)</f>
        <v>1.5579674166007653</v>
      </c>
      <c r="V68" s="1074">
        <f>+U68*(1+Assumptions!$P$68)</f>
        <v>1.6047064390987884</v>
      </c>
      <c r="W68" s="1074">
        <f>+V68*(1+Assumptions!$P$68)</f>
        <v>1.652847632271752</v>
      </c>
      <c r="X68" s="1074">
        <f>+W68*(1+Assumptions!$P$68)</f>
        <v>1.7024330612399046</v>
      </c>
      <c r="Y68" s="1074">
        <f>+X68*(1+Assumptions!$P$68)</f>
        <v>1.7535060530771018</v>
      </c>
      <c r="Z68" s="1074">
        <f>+Y68*(1+Assumptions!$P$68)</f>
        <v>1.806111234669415</v>
      </c>
    </row>
    <row r="69" spans="1:26">
      <c r="A69" s="699"/>
      <c r="B69" s="699" t="s">
        <v>1127</v>
      </c>
      <c r="C69" s="699"/>
      <c r="D69" s="699"/>
      <c r="E69" s="699"/>
      <c r="F69" s="1074">
        <v>1</v>
      </c>
      <c r="G69" s="1074">
        <f>+F69*(1+Assumptions!$P$79)</f>
        <v>1.03</v>
      </c>
      <c r="H69" s="1074">
        <f>+G69*(1+Assumptions!$P$79)</f>
        <v>1.0609</v>
      </c>
      <c r="I69" s="1074">
        <f>+H69*(1+Assumptions!$P$79)</f>
        <v>1.092727</v>
      </c>
      <c r="J69" s="1074">
        <f>+I69*(1+Assumptions!$P$79)</f>
        <v>1.1255088100000001</v>
      </c>
      <c r="K69" s="1074">
        <f>+J69*(1+Assumptions!$P$79)</f>
        <v>1.1592740743000001</v>
      </c>
      <c r="L69" s="1074">
        <f>+K69*(1+Assumptions!$P$79)</f>
        <v>1.1940522965290001</v>
      </c>
      <c r="M69" s="1074">
        <f>+L69*(1+Assumptions!$P$79)</f>
        <v>1.2298738654248702</v>
      </c>
      <c r="N69" s="1074">
        <f>+M69*(1+Assumptions!$P$79)</f>
        <v>1.2667700813876164</v>
      </c>
      <c r="O69" s="1074">
        <f>+N69*(1+Assumptions!$P$79)</f>
        <v>1.3047731838292449</v>
      </c>
      <c r="P69" s="1074">
        <f>+O69*(1+Assumptions!$P$79)</f>
        <v>1.3439163793441222</v>
      </c>
      <c r="Q69" s="1074">
        <f>+P69*(1+Assumptions!$P$79)</f>
        <v>1.3842338707244459</v>
      </c>
      <c r="R69" s="1074">
        <f>+Q69*(1+Assumptions!$P$79)</f>
        <v>1.4257608868461793</v>
      </c>
      <c r="S69" s="1074">
        <f>+R69*(1+Assumptions!$P$79)</f>
        <v>1.4685337134515648</v>
      </c>
      <c r="T69" s="1074">
        <f>+S69*(1+Assumptions!$P$79)</f>
        <v>1.5125897248551119</v>
      </c>
      <c r="U69" s="1074">
        <f>+T69*(1+Assumptions!$P$79)</f>
        <v>1.5579674166007653</v>
      </c>
      <c r="V69" s="1074">
        <f>+U69*(1+Assumptions!$P$79)</f>
        <v>1.6047064390987884</v>
      </c>
      <c r="W69" s="1074">
        <f>+V69*(1+Assumptions!$P$79)</f>
        <v>1.652847632271752</v>
      </c>
      <c r="X69" s="1074">
        <f>+W69*(1+Assumptions!$P$79)</f>
        <v>1.7024330612399046</v>
      </c>
      <c r="Y69" s="1074">
        <f>+X69*(1+Assumptions!$P$79)</f>
        <v>1.7535060530771018</v>
      </c>
      <c r="Z69" s="1074">
        <f>+Y69*(1+Assumptions!$P$79)</f>
        <v>1.806111234669415</v>
      </c>
    </row>
    <row r="71" spans="1:26">
      <c r="A71" s="699"/>
      <c r="B71" s="699" t="s">
        <v>1128</v>
      </c>
      <c r="C71" s="699"/>
      <c r="D71" s="699"/>
      <c r="E71" s="699"/>
      <c r="F71" s="1028">
        <f>+F66*Assumptions!$AG$58*F68</f>
        <v>0</v>
      </c>
      <c r="G71" s="1028">
        <f>+G66*Assumptions!$AG$58*G68</f>
        <v>0</v>
      </c>
      <c r="H71" s="1028">
        <f>+H66*Assumptions!$AG$58*H68</f>
        <v>0</v>
      </c>
      <c r="I71" s="1028">
        <f>+I66*Assumptions!$AG$58*I68</f>
        <v>0</v>
      </c>
      <c r="J71" s="1028">
        <f>+J66*Assumptions!$AG$58*J68</f>
        <v>0</v>
      </c>
      <c r="K71" s="1028">
        <f>+K66*Assumptions!$AG$58*K68</f>
        <v>0</v>
      </c>
      <c r="L71" s="1028">
        <f>+L66*Assumptions!$AG$58*L68</f>
        <v>0</v>
      </c>
      <c r="M71" s="1028">
        <f>+M66*Assumptions!$AG$58*M68</f>
        <v>0</v>
      </c>
      <c r="N71" s="1028">
        <f>+N66*Assumptions!$AG$58*N68</f>
        <v>0</v>
      </c>
      <c r="O71" s="1028">
        <f>+O66*Assumptions!$AG$58*O68</f>
        <v>0</v>
      </c>
      <c r="P71" s="1028">
        <f>+P66*Assumptions!$AG$58*P68</f>
        <v>0</v>
      </c>
      <c r="Q71" s="1028">
        <f>+Q66*Assumptions!$AG$58*Q68</f>
        <v>0</v>
      </c>
      <c r="R71" s="1028">
        <f>+R66*Assumptions!$AG$58*R68</f>
        <v>0</v>
      </c>
      <c r="S71" s="1028">
        <f>+S66*Assumptions!$AG$58*S68</f>
        <v>0</v>
      </c>
      <c r="T71" s="1028">
        <f>+T66*Assumptions!$AG$58*T68</f>
        <v>0</v>
      </c>
      <c r="U71" s="1028">
        <f>+U66*Assumptions!$AG$58*U68</f>
        <v>0</v>
      </c>
      <c r="V71" s="1028">
        <f>+V66*Assumptions!$AG$58*V68</f>
        <v>0</v>
      </c>
      <c r="W71" s="1028">
        <f>+W66*Assumptions!$AG$58*W68</f>
        <v>0</v>
      </c>
      <c r="X71" s="1028">
        <f>+X66*Assumptions!$AG$58*X68</f>
        <v>0</v>
      </c>
      <c r="Y71" s="1028">
        <f>+Y66*Assumptions!$AG$58*Y68</f>
        <v>0</v>
      </c>
      <c r="Z71" s="1028">
        <f>+Z66*Assumptions!$AG$58*Z68</f>
        <v>0</v>
      </c>
    </row>
    <row r="72" spans="1:26">
      <c r="A72" s="699"/>
      <c r="B72" s="699" t="s">
        <v>1129</v>
      </c>
      <c r="C72" s="699"/>
      <c r="D72" s="699"/>
      <c r="E72" s="699"/>
      <c r="F72" s="1085">
        <f>-Assumptions!$E$99*'Phase 3 Pro Forma'!F71</f>
        <v>0</v>
      </c>
      <c r="G72" s="1085">
        <f>-Assumptions!$E$99*'Phase 3 Pro Forma'!G71</f>
        <v>0</v>
      </c>
      <c r="H72" s="1085">
        <f>-Assumptions!$E$99*'Phase 3 Pro Forma'!H71</f>
        <v>0</v>
      </c>
      <c r="I72" s="1085">
        <f>-Assumptions!$E$99*'Phase 3 Pro Forma'!I71</f>
        <v>0</v>
      </c>
      <c r="J72" s="1085">
        <f>-Assumptions!$E$99*'Phase 3 Pro Forma'!J71</f>
        <v>0</v>
      </c>
      <c r="K72" s="1085">
        <f>-Assumptions!$E$99*'Phase 3 Pro Forma'!K71</f>
        <v>0</v>
      </c>
      <c r="L72" s="1085">
        <f>-Assumptions!$E$99*'Phase 3 Pro Forma'!L71</f>
        <v>0</v>
      </c>
      <c r="M72" s="1085">
        <f>-Assumptions!$E$99*'Phase 3 Pro Forma'!M71</f>
        <v>0</v>
      </c>
      <c r="N72" s="1085">
        <f>-Assumptions!$E$99*'Phase 3 Pro Forma'!N71</f>
        <v>0</v>
      </c>
      <c r="O72" s="1085">
        <f>-Assumptions!$E$99*'Phase 3 Pro Forma'!O71</f>
        <v>0</v>
      </c>
      <c r="P72" s="1085">
        <f>-Assumptions!$E$99*'Phase 3 Pro Forma'!P71</f>
        <v>0</v>
      </c>
      <c r="Q72" s="1085">
        <f>-Assumptions!$E$99*'Phase 3 Pro Forma'!Q71</f>
        <v>0</v>
      </c>
      <c r="R72" s="1085">
        <f>-Assumptions!$E$99*'Phase 3 Pro Forma'!R71</f>
        <v>0</v>
      </c>
      <c r="S72" s="1085">
        <f>-Assumptions!$E$99*'Phase 3 Pro Forma'!S71</f>
        <v>0</v>
      </c>
      <c r="T72" s="1085">
        <f>-Assumptions!$E$99*'Phase 3 Pro Forma'!T71</f>
        <v>0</v>
      </c>
      <c r="U72" s="1085">
        <f>-Assumptions!$E$99*'Phase 3 Pro Forma'!U71</f>
        <v>0</v>
      </c>
      <c r="V72" s="1085">
        <f>-Assumptions!$E$99*'Phase 3 Pro Forma'!V71</f>
        <v>0</v>
      </c>
      <c r="W72" s="1085">
        <f>-Assumptions!$E$99*'Phase 3 Pro Forma'!W71</f>
        <v>0</v>
      </c>
      <c r="X72" s="1085">
        <f>-Assumptions!$E$99*'Phase 3 Pro Forma'!X71</f>
        <v>0</v>
      </c>
      <c r="Y72" s="1085">
        <f>-Assumptions!$E$99*'Phase 3 Pro Forma'!Y71</f>
        <v>0</v>
      </c>
      <c r="Z72" s="1085">
        <f>-Assumptions!$E$99*'Phase 3 Pro Forma'!Z71</f>
        <v>0</v>
      </c>
    </row>
    <row r="73" spans="1:26">
      <c r="A73" s="699"/>
      <c r="B73" s="699" t="s">
        <v>1130</v>
      </c>
      <c r="C73" s="699"/>
      <c r="D73" s="699"/>
      <c r="E73" s="699"/>
      <c r="F73" s="1085">
        <f>-F71*Assumptions!$P$59</f>
        <v>0</v>
      </c>
      <c r="G73" s="1085">
        <f>-G71*Assumptions!$P$59</f>
        <v>0</v>
      </c>
      <c r="H73" s="1085">
        <f>-H71*Assumptions!$P$59</f>
        <v>0</v>
      </c>
      <c r="I73" s="1085">
        <f>-I71*Assumptions!$P$59</f>
        <v>0</v>
      </c>
      <c r="J73" s="1085">
        <f>-J71*Assumptions!$P$59</f>
        <v>0</v>
      </c>
      <c r="K73" s="1085">
        <f>-K71*Assumptions!$P$59</f>
        <v>0</v>
      </c>
      <c r="L73" s="1085">
        <f>-L71*Assumptions!$P$59</f>
        <v>0</v>
      </c>
      <c r="M73" s="1085">
        <f>-M71*Assumptions!$P$59</f>
        <v>0</v>
      </c>
      <c r="N73" s="1085">
        <f>-N71*Assumptions!$P$59</f>
        <v>0</v>
      </c>
      <c r="O73" s="1085">
        <f>-O71*Assumptions!$P$59</f>
        <v>0</v>
      </c>
      <c r="P73" s="1085">
        <f>-P71*Assumptions!$P$59</f>
        <v>0</v>
      </c>
      <c r="Q73" s="1085">
        <f>-Q71*Assumptions!$P$59</f>
        <v>0</v>
      </c>
      <c r="R73" s="1085">
        <f>-R71*Assumptions!$P$59</f>
        <v>0</v>
      </c>
      <c r="S73" s="1085">
        <f>-S71*Assumptions!$P$59</f>
        <v>0</v>
      </c>
      <c r="T73" s="1085">
        <f>-T71*Assumptions!$P$59</f>
        <v>0</v>
      </c>
      <c r="U73" s="1085">
        <f>-U71*Assumptions!$P$59</f>
        <v>0</v>
      </c>
      <c r="V73" s="1085">
        <f>-V71*Assumptions!$P$59</f>
        <v>0</v>
      </c>
      <c r="W73" s="1085">
        <f>-W71*Assumptions!$P$59</f>
        <v>0</v>
      </c>
      <c r="X73" s="1085">
        <f>-X71*Assumptions!$P$59</f>
        <v>0</v>
      </c>
      <c r="Y73" s="1085">
        <f>-Y71*Assumptions!$P$59</f>
        <v>0</v>
      </c>
      <c r="Z73" s="1085">
        <f>-Z71*Assumptions!$P$59</f>
        <v>0</v>
      </c>
    </row>
    <row r="74" spans="1:26">
      <c r="A74" s="699"/>
      <c r="B74" s="699" t="s">
        <v>1184</v>
      </c>
      <c r="C74" s="699"/>
      <c r="D74" s="699"/>
      <c r="E74" s="699"/>
      <c r="F74" s="1085">
        <f>+F65*Assumptions!$AG$158*(1-Assumptions!$P$59)*12</f>
        <v>0</v>
      </c>
      <c r="G74" s="1085">
        <f>+G65*Assumptions!$AG$158*(1-Assumptions!$P$59)*12</f>
        <v>0</v>
      </c>
      <c r="H74" s="1085">
        <f>+H65*Assumptions!$AG$158*(1-Assumptions!$P$59)*12</f>
        <v>0</v>
      </c>
      <c r="I74" s="1085">
        <f>+I65*Assumptions!$AG$158*(1-Assumptions!$P$59)*12</f>
        <v>0</v>
      </c>
      <c r="J74" s="1085">
        <f>+J65*Assumptions!$AG$158*(1-Assumptions!$P$59)*12</f>
        <v>0</v>
      </c>
      <c r="K74" s="1085">
        <f>+K65*Assumptions!$AG$158*(1-Assumptions!$P$59)*12</f>
        <v>0</v>
      </c>
      <c r="L74" s="1085">
        <f>+L65*Assumptions!$AG$158*(1-Assumptions!$P$59)*12</f>
        <v>0</v>
      </c>
      <c r="M74" s="1085">
        <f>+M65*Assumptions!$AG$158*(1-Assumptions!$P$59)*12</f>
        <v>0</v>
      </c>
      <c r="N74" s="1085">
        <f>+N65*Assumptions!$AG$158*(1-Assumptions!$P$59)*12</f>
        <v>0</v>
      </c>
      <c r="O74" s="1085">
        <f>+O65*Assumptions!$AG$158*(1-Assumptions!$P$59)*12</f>
        <v>0</v>
      </c>
      <c r="P74" s="1085">
        <f>+P65*Assumptions!$AG$158*(1-Assumptions!$P$59)*12</f>
        <v>0</v>
      </c>
      <c r="Q74" s="1085">
        <f>+Q65*Assumptions!$AG$158*(1-Assumptions!$P$59)*12</f>
        <v>0</v>
      </c>
      <c r="R74" s="1085">
        <f>+R65*Assumptions!$AG$158*(1-Assumptions!$P$59)*12</f>
        <v>0</v>
      </c>
      <c r="S74" s="1085">
        <f>+S65*Assumptions!$AG$158*(1-Assumptions!$P$59)*12</f>
        <v>0</v>
      </c>
      <c r="T74" s="1085">
        <f>+T65*Assumptions!$AG$158*(1-Assumptions!$P$59)*12</f>
        <v>0</v>
      </c>
      <c r="U74" s="1085">
        <f>+U65*Assumptions!$AG$158*(1-Assumptions!$P$59)*12</f>
        <v>0</v>
      </c>
      <c r="V74" s="1085">
        <f>+V65*Assumptions!$AG$158*(1-Assumptions!$P$59)*12</f>
        <v>0</v>
      </c>
      <c r="W74" s="1085">
        <f>+W65*Assumptions!$AG$158*(1-Assumptions!$P$59)*12</f>
        <v>0</v>
      </c>
      <c r="X74" s="1085">
        <f>+X65*Assumptions!$AG$158*(1-Assumptions!$P$59)*12</f>
        <v>0</v>
      </c>
      <c r="Y74" s="1085">
        <f>+Y65*Assumptions!$AG$158*(1-Assumptions!$P$59)*12</f>
        <v>0</v>
      </c>
      <c r="Z74" s="1085">
        <f>+Z65*Assumptions!$AG$158*(1-Assumptions!$P$59)*12</f>
        <v>0</v>
      </c>
    </row>
    <row r="75" spans="1:26">
      <c r="A75" s="699"/>
      <c r="B75" s="699" t="s">
        <v>48</v>
      </c>
      <c r="C75" s="699"/>
      <c r="D75" s="699"/>
      <c r="E75" s="699"/>
      <c r="F75" s="1085">
        <f>+(F65*Assumptions!$AD$160*Assumptions!$AD$161)*12</f>
        <v>0</v>
      </c>
      <c r="G75" s="1085">
        <f>+(G65*Assumptions!$AD$160*Assumptions!$AD$161)*12</f>
        <v>0</v>
      </c>
      <c r="H75" s="1085">
        <f>+(H65*Assumptions!$AD$160*Assumptions!$AD$161)*12</f>
        <v>0</v>
      </c>
      <c r="I75" s="1085">
        <f>+(I65*Assumptions!$AD$160*Assumptions!$AD$161)*12</f>
        <v>0</v>
      </c>
      <c r="J75" s="1085">
        <f>+(J65*Assumptions!$AD$160*Assumptions!$AD$161)*12</f>
        <v>0</v>
      </c>
      <c r="K75" s="1085">
        <f>+(K65*Assumptions!$AD$160*Assumptions!$AD$161)*12</f>
        <v>0</v>
      </c>
      <c r="L75" s="1085">
        <f>+(L65*Assumptions!$AD$160*Assumptions!$AD$161)*12</f>
        <v>0</v>
      </c>
      <c r="M75" s="1085">
        <f>+(M65*Assumptions!$AD$160*Assumptions!$AD$161)*12</f>
        <v>0</v>
      </c>
      <c r="N75" s="1085">
        <f>+(N65*Assumptions!$AD$160*Assumptions!$AD$161)*12</f>
        <v>0</v>
      </c>
      <c r="O75" s="1085">
        <f>+(O65*Assumptions!$AD$160*Assumptions!$AD$161)*12</f>
        <v>0</v>
      </c>
      <c r="P75" s="1085">
        <f>+(P65*Assumptions!$AD$160*Assumptions!$AD$161)*12</f>
        <v>0</v>
      </c>
      <c r="Q75" s="1085">
        <f>+(Q65*Assumptions!$AD$160*Assumptions!$AD$161)*12</f>
        <v>0</v>
      </c>
      <c r="R75" s="1085">
        <f>+(R65*Assumptions!$AD$160*Assumptions!$AD$161)*12</f>
        <v>0</v>
      </c>
      <c r="S75" s="1085">
        <f>+(S65*Assumptions!$AD$160*Assumptions!$AD$161)*12</f>
        <v>0</v>
      </c>
      <c r="T75" s="1085">
        <f>+(T65*Assumptions!$AD$160*Assumptions!$AD$161)*12</f>
        <v>0</v>
      </c>
      <c r="U75" s="1085">
        <f>+(U65*Assumptions!$AD$160*Assumptions!$AD$161)*12</f>
        <v>0</v>
      </c>
      <c r="V75" s="1085">
        <f>+(V65*Assumptions!$AD$160*Assumptions!$AD$161)*12</f>
        <v>0</v>
      </c>
      <c r="W75" s="1085">
        <f>+(W65*Assumptions!$AD$160*Assumptions!$AD$161)*12</f>
        <v>0</v>
      </c>
      <c r="X75" s="1085">
        <f>+(X65*Assumptions!$AD$160*Assumptions!$AD$161)*12</f>
        <v>0</v>
      </c>
      <c r="Y75" s="1085">
        <f>+(Y65*Assumptions!$AD$160*Assumptions!$AD$161)*12</f>
        <v>0</v>
      </c>
      <c r="Z75" s="1085">
        <f>+(Z65*Assumptions!$AD$160*Assumptions!$AD$161)*12</f>
        <v>0</v>
      </c>
    </row>
    <row r="76" spans="1:26">
      <c r="A76" s="699" t="s">
        <v>511</v>
      </c>
      <c r="B76" s="699" t="s">
        <v>50</v>
      </c>
      <c r="C76" s="699"/>
      <c r="D76" s="699"/>
      <c r="E76" s="699"/>
      <c r="F76" s="1085">
        <f>+F65*Assumptions!$AD$162*Assumptions!$AD$163*12</f>
        <v>0</v>
      </c>
      <c r="G76" s="1085">
        <f>+G65*Assumptions!$AD$162*Assumptions!$AD$163*12</f>
        <v>0</v>
      </c>
      <c r="H76" s="1085">
        <f>+H65*Assumptions!$AD$162*Assumptions!$AD$163*12</f>
        <v>0</v>
      </c>
      <c r="I76" s="1085">
        <f>+I65*Assumptions!$AD$162*Assumptions!$AD$163*12</f>
        <v>0</v>
      </c>
      <c r="J76" s="1085">
        <f>+J65*Assumptions!$AD$162*Assumptions!$AD$163*12</f>
        <v>0</v>
      </c>
      <c r="K76" s="1085">
        <f>+K65*Assumptions!$AD$162*Assumptions!$AD$163*12</f>
        <v>0</v>
      </c>
      <c r="L76" s="1085">
        <f>+L65*Assumptions!$AD$162*Assumptions!$AD$163*12</f>
        <v>0</v>
      </c>
      <c r="M76" s="1085">
        <f>+M65*Assumptions!$AD$162*Assumptions!$AD$163*12</f>
        <v>0</v>
      </c>
      <c r="N76" s="1085">
        <f>+N65*Assumptions!$AD$162*Assumptions!$AD$163*12</f>
        <v>0</v>
      </c>
      <c r="O76" s="1085">
        <f>+O65*Assumptions!$AD$162*Assumptions!$AD$163*12</f>
        <v>0</v>
      </c>
      <c r="P76" s="1085">
        <f>+P65*Assumptions!$AD$162*Assumptions!$AD$163*12</f>
        <v>0</v>
      </c>
      <c r="Q76" s="1085">
        <f>+Q65*Assumptions!$AD$162*Assumptions!$AD$163*12</f>
        <v>0</v>
      </c>
      <c r="R76" s="1085">
        <f>+R65*Assumptions!$AD$162*Assumptions!$AD$163*12</f>
        <v>0</v>
      </c>
      <c r="S76" s="1085">
        <f>+S65*Assumptions!$AD$162*Assumptions!$AD$163*12</f>
        <v>0</v>
      </c>
      <c r="T76" s="1085">
        <f>+T65*Assumptions!$AD$162*Assumptions!$AD$163*12</f>
        <v>0</v>
      </c>
      <c r="U76" s="1085">
        <f>+U65*Assumptions!$AD$162*Assumptions!$AD$163*12</f>
        <v>0</v>
      </c>
      <c r="V76" s="1085">
        <f>+V65*Assumptions!$AD$162*Assumptions!$AD$163*12</f>
        <v>0</v>
      </c>
      <c r="W76" s="1085">
        <f>+W65*Assumptions!$AD$162*Assumptions!$AD$163*12</f>
        <v>0</v>
      </c>
      <c r="X76" s="1085">
        <f>+X65*Assumptions!$AD$162*Assumptions!$AD$163*12</f>
        <v>0</v>
      </c>
      <c r="Y76" s="1085">
        <f>+Y65*Assumptions!$AD$162*Assumptions!$AD$163*12</f>
        <v>0</v>
      </c>
      <c r="Z76" s="1085">
        <f>+Z65*Assumptions!$AD$162*Assumptions!$AD$163*12</f>
        <v>0</v>
      </c>
    </row>
    <row r="77" spans="1:26">
      <c r="A77" s="699"/>
      <c r="B77" s="699" t="s">
        <v>52</v>
      </c>
      <c r="C77" s="699"/>
      <c r="D77" s="699"/>
      <c r="E77" s="699"/>
      <c r="F77" s="1085">
        <f>+F65*Assumptions!$AD$164*Assumptions!$AD$165*12</f>
        <v>0</v>
      </c>
      <c r="G77" s="1085">
        <f>+G65*Assumptions!$AD$164*Assumptions!$AD$165*12</f>
        <v>0</v>
      </c>
      <c r="H77" s="1085">
        <f>+H65*Assumptions!$AD$164*Assumptions!$AD$165*12</f>
        <v>0</v>
      </c>
      <c r="I77" s="1085">
        <f>+I65*Assumptions!$AD$164*Assumptions!$AD$165*12</f>
        <v>0</v>
      </c>
      <c r="J77" s="1085">
        <f>+J65*Assumptions!$AD$164*Assumptions!$AD$165*12</f>
        <v>0</v>
      </c>
      <c r="K77" s="1085">
        <f>+K65*Assumptions!$AD$164*Assumptions!$AD$165*12</f>
        <v>0</v>
      </c>
      <c r="L77" s="1085">
        <f>+L65*Assumptions!$AD$164*Assumptions!$AD$165*12</f>
        <v>0</v>
      </c>
      <c r="M77" s="1085">
        <f>+M65*Assumptions!$AD$164*Assumptions!$AD$165*12</f>
        <v>0</v>
      </c>
      <c r="N77" s="1085">
        <f>+N65*Assumptions!$AD$164*Assumptions!$AD$165*12</f>
        <v>0</v>
      </c>
      <c r="O77" s="1085">
        <f>+O65*Assumptions!$AD$164*Assumptions!$AD$165*12</f>
        <v>0</v>
      </c>
      <c r="P77" s="1085">
        <f>+P65*Assumptions!$AD$164*Assumptions!$AD$165*12</f>
        <v>0</v>
      </c>
      <c r="Q77" s="1085">
        <f>+Q65*Assumptions!$AD$164*Assumptions!$AD$165*12</f>
        <v>0</v>
      </c>
      <c r="R77" s="1085">
        <f>+R65*Assumptions!$AD$164*Assumptions!$AD$165*12</f>
        <v>0</v>
      </c>
      <c r="S77" s="1085">
        <f>+S65*Assumptions!$AD$164*Assumptions!$AD$165*12</f>
        <v>0</v>
      </c>
      <c r="T77" s="1085">
        <f>+T65*Assumptions!$AD$164*Assumptions!$AD$165*12</f>
        <v>0</v>
      </c>
      <c r="U77" s="1085">
        <f>+U65*Assumptions!$AD$164*Assumptions!$AD$165*12</f>
        <v>0</v>
      </c>
      <c r="V77" s="1085">
        <f>+V65*Assumptions!$AD$164*Assumptions!$AD$165*12</f>
        <v>0</v>
      </c>
      <c r="W77" s="1085">
        <f>+W65*Assumptions!$AD$164*Assumptions!$AD$165*12</f>
        <v>0</v>
      </c>
      <c r="X77" s="1085">
        <f>+X65*Assumptions!$AD$164*Assumptions!$AD$165*12</f>
        <v>0</v>
      </c>
      <c r="Y77" s="1085">
        <f>+Y65*Assumptions!$AD$164*Assumptions!$AD$165*12</f>
        <v>0</v>
      </c>
      <c r="Z77" s="1085">
        <f>+Z65*Assumptions!$AD$164*Assumptions!$AD$165*12</f>
        <v>0</v>
      </c>
    </row>
    <row r="78" spans="1:26">
      <c r="A78" s="699"/>
      <c r="B78" s="52" t="s">
        <v>1131</v>
      </c>
      <c r="C78" s="1052"/>
      <c r="D78" s="1052"/>
      <c r="E78" s="1052"/>
      <c r="F78" s="1086">
        <f t="shared" ref="F78:Z78" si="21">SUM(F71:F77)</f>
        <v>0</v>
      </c>
      <c r="G78" s="1086">
        <f t="shared" si="21"/>
        <v>0</v>
      </c>
      <c r="H78" s="1086">
        <f t="shared" si="21"/>
        <v>0</v>
      </c>
      <c r="I78" s="1086">
        <f t="shared" si="21"/>
        <v>0</v>
      </c>
      <c r="J78" s="1086">
        <f t="shared" si="21"/>
        <v>0</v>
      </c>
      <c r="K78" s="1086">
        <f t="shared" si="21"/>
        <v>0</v>
      </c>
      <c r="L78" s="1086">
        <f t="shared" si="21"/>
        <v>0</v>
      </c>
      <c r="M78" s="1086">
        <f t="shared" si="21"/>
        <v>0</v>
      </c>
      <c r="N78" s="1086">
        <f t="shared" si="21"/>
        <v>0</v>
      </c>
      <c r="O78" s="1086">
        <f t="shared" si="21"/>
        <v>0</v>
      </c>
      <c r="P78" s="1086">
        <f t="shared" si="21"/>
        <v>0</v>
      </c>
      <c r="Q78" s="1086">
        <f t="shared" si="21"/>
        <v>0</v>
      </c>
      <c r="R78" s="1086">
        <f t="shared" si="21"/>
        <v>0</v>
      </c>
      <c r="S78" s="1086">
        <f t="shared" si="21"/>
        <v>0</v>
      </c>
      <c r="T78" s="1086">
        <f t="shared" si="21"/>
        <v>0</v>
      </c>
      <c r="U78" s="1086">
        <f t="shared" si="21"/>
        <v>0</v>
      </c>
      <c r="V78" s="1086">
        <f t="shared" si="21"/>
        <v>0</v>
      </c>
      <c r="W78" s="1086">
        <f t="shared" si="21"/>
        <v>0</v>
      </c>
      <c r="X78" s="1086">
        <f t="shared" si="21"/>
        <v>0</v>
      </c>
      <c r="Y78" s="1086">
        <f t="shared" si="21"/>
        <v>0</v>
      </c>
      <c r="Z78" s="1086">
        <f t="shared" si="21"/>
        <v>0</v>
      </c>
    </row>
    <row r="79" spans="1:26">
      <c r="A79" s="699"/>
      <c r="B79" s="49"/>
      <c r="C79" s="699"/>
      <c r="D79" s="699"/>
      <c r="E79" s="699"/>
      <c r="F79" s="699"/>
      <c r="G79" s="699"/>
      <c r="H79" s="699"/>
      <c r="I79" s="699"/>
      <c r="J79" s="699"/>
      <c r="K79" s="699"/>
      <c r="L79" s="699"/>
      <c r="M79" s="699"/>
      <c r="N79" s="699"/>
      <c r="O79" s="699"/>
      <c r="P79" s="699"/>
      <c r="Q79" s="699"/>
      <c r="R79" s="699"/>
      <c r="S79" s="699"/>
      <c r="T79" s="699"/>
      <c r="U79" s="699"/>
      <c r="V79" s="699"/>
      <c r="W79" s="699"/>
      <c r="X79" s="699"/>
      <c r="Y79" s="699"/>
      <c r="Z79" s="699"/>
    </row>
    <row r="80" spans="1:26">
      <c r="A80" s="699"/>
      <c r="B80" s="699" t="s">
        <v>1132</v>
      </c>
      <c r="C80" s="699"/>
      <c r="D80" s="699"/>
      <c r="E80" s="699"/>
      <c r="F80" s="1087">
        <f>+F65*Assumptions!$P$96*F69</f>
        <v>0</v>
      </c>
      <c r="G80" s="1087">
        <f>+G65*Assumptions!$P$96*G69</f>
        <v>0</v>
      </c>
      <c r="H80" s="1087">
        <f>+H65*Assumptions!$P$96*H69</f>
        <v>0</v>
      </c>
      <c r="I80" s="1087">
        <f>+I65*Assumptions!$P$96*I69</f>
        <v>0</v>
      </c>
      <c r="J80" s="1087">
        <f>+J65*Assumptions!$P$96*J69</f>
        <v>0</v>
      </c>
      <c r="K80" s="1087">
        <f>+K65*Assumptions!$P$96*K69</f>
        <v>0</v>
      </c>
      <c r="L80" s="1087">
        <f>+L65*Assumptions!$P$96*L69</f>
        <v>0</v>
      </c>
      <c r="M80" s="1087">
        <f>+M65*Assumptions!$P$96*M69</f>
        <v>0</v>
      </c>
      <c r="N80" s="1087">
        <f>+N65*Assumptions!$P$96*N69</f>
        <v>0</v>
      </c>
      <c r="O80" s="1087">
        <f>+O65*Assumptions!$P$96*O69</f>
        <v>0</v>
      </c>
      <c r="P80" s="1087">
        <f>+P65*Assumptions!$P$96*P69</f>
        <v>0</v>
      </c>
      <c r="Q80" s="1087">
        <f>+Q65*Assumptions!$P$96*Q69</f>
        <v>0</v>
      </c>
      <c r="R80" s="1087">
        <f>+R65*Assumptions!$P$96*R69</f>
        <v>0</v>
      </c>
      <c r="S80" s="1087">
        <f>+S65*Assumptions!$P$96*S69</f>
        <v>0</v>
      </c>
      <c r="T80" s="1087">
        <f>+T65*Assumptions!$P$96*T69</f>
        <v>0</v>
      </c>
      <c r="U80" s="1087">
        <f>+U65*Assumptions!$P$96*U69</f>
        <v>0</v>
      </c>
      <c r="V80" s="1087">
        <f>+V65*Assumptions!$P$96*V69</f>
        <v>0</v>
      </c>
      <c r="W80" s="1087">
        <f>+W65*Assumptions!$P$96*W69</f>
        <v>0</v>
      </c>
      <c r="X80" s="1087">
        <f>+X65*Assumptions!$P$96*X69</f>
        <v>0</v>
      </c>
      <c r="Y80" s="1087">
        <f>+Y65*Assumptions!$P$96*Y69</f>
        <v>0</v>
      </c>
      <c r="Z80" s="1087">
        <f>+Z65*Assumptions!$P$96*Z69</f>
        <v>0</v>
      </c>
    </row>
    <row r="81" spans="2:26">
      <c r="B81" s="699" t="s">
        <v>1133</v>
      </c>
      <c r="C81" s="699"/>
      <c r="D81" s="699"/>
      <c r="E81" s="699"/>
      <c r="F81" s="1050">
        <f ca="1">+IFERROR(INDEX('Taxes and TIF'!$AS$11:$AS$45,MATCH('Phase 3 Pro Forma'!F$7,'Taxes and TIF'!$AH$11:$AH$45,0)),0)*'Loan Sizing'!$M$30*'Phase 3 Pro Forma'!F66</f>
        <v>0</v>
      </c>
      <c r="G81" s="1050">
        <f ca="1">+IFERROR(INDEX('Taxes and TIF'!$AS$11:$AS$45,MATCH('Phase 3 Pro Forma'!G$7,'Taxes and TIF'!$AH$11:$AH$45,0)),0)*'Loan Sizing'!$M$30*'Phase 3 Pro Forma'!G66</f>
        <v>0</v>
      </c>
      <c r="H81" s="1050">
        <f ca="1">+IFERROR(INDEX('Taxes and TIF'!$AS$11:$AS$45,MATCH('Phase 3 Pro Forma'!H$7,'Taxes and TIF'!$AH$11:$AH$45,0)),0)*'Loan Sizing'!$M$30*'Phase 3 Pro Forma'!H66</f>
        <v>0</v>
      </c>
      <c r="I81" s="1050">
        <f ca="1">+IFERROR(INDEX('Taxes and TIF'!$AS$11:$AS$45,MATCH('Phase 3 Pro Forma'!I$7,'Taxes and TIF'!$AH$11:$AH$45,0)),0)*'Loan Sizing'!$M$30*'Phase 3 Pro Forma'!I66</f>
        <v>0</v>
      </c>
      <c r="J81" s="1050">
        <f ca="1">+IFERROR(INDEX('Taxes and TIF'!$AS$11:$AS$45,MATCH('Phase 3 Pro Forma'!J$7,'Taxes and TIF'!$AH$11:$AH$45,0)),0)*'Loan Sizing'!$M$30*'Phase 3 Pro Forma'!J66</f>
        <v>0</v>
      </c>
      <c r="K81" s="1050">
        <f ca="1">+IFERROR(INDEX('Taxes and TIF'!$AS$11:$AS$45,MATCH('Phase 3 Pro Forma'!K$7,'Taxes and TIF'!$AH$11:$AH$45,0)),0)*'Loan Sizing'!$M$30*'Phase 3 Pro Forma'!K66</f>
        <v>0</v>
      </c>
      <c r="L81" s="1050">
        <f ca="1">+IFERROR(INDEX('Taxes and TIF'!$AS$11:$AS$45,MATCH('Phase 3 Pro Forma'!L$7,'Taxes and TIF'!$AH$11:$AH$45,0)),0)*'Loan Sizing'!$M$30*'Phase 3 Pro Forma'!L66</f>
        <v>0</v>
      </c>
      <c r="M81" s="1050">
        <f ca="1">+IFERROR(INDEX('Taxes and TIF'!$AS$11:$AS$45,MATCH('Phase 3 Pro Forma'!M$7,'Taxes and TIF'!$AH$11:$AH$45,0)),0)*'Loan Sizing'!$M$30*'Phase 3 Pro Forma'!M66</f>
        <v>0</v>
      </c>
      <c r="N81" s="1050">
        <f ca="1">+IFERROR(INDEX('Taxes and TIF'!$AS$11:$AS$45,MATCH('Phase 3 Pro Forma'!N$7,'Taxes and TIF'!$AH$11:$AH$45,0)),0)*'Loan Sizing'!$M$30*'Phase 3 Pro Forma'!N66</f>
        <v>0</v>
      </c>
      <c r="O81" s="1050">
        <f ca="1">+IFERROR(INDEX('Taxes and TIF'!$AS$11:$AS$45,MATCH('Phase 3 Pro Forma'!O$7,'Taxes and TIF'!$AH$11:$AH$45,0)),0)*'Loan Sizing'!$M$30*'Phase 3 Pro Forma'!O66</f>
        <v>0</v>
      </c>
      <c r="P81" s="1050">
        <f ca="1">+IFERROR(INDEX('Taxes and TIF'!$AS$11:$AS$45,MATCH('Phase 3 Pro Forma'!P$7,'Taxes and TIF'!$AH$11:$AH$45,0)),0)*'Loan Sizing'!$M$30*'Phase 3 Pro Forma'!P66</f>
        <v>0</v>
      </c>
      <c r="Q81" s="1050">
        <f ca="1">+IFERROR(INDEX('Taxes and TIF'!$AS$11:$AS$45,MATCH('Phase 3 Pro Forma'!Q$7,'Taxes and TIF'!$AH$11:$AH$45,0)),0)*'Loan Sizing'!$M$30*'Phase 3 Pro Forma'!Q66</f>
        <v>0</v>
      </c>
      <c r="R81" s="1050">
        <f ca="1">+IFERROR(INDEX('Taxes and TIF'!$AS$11:$AS$45,MATCH('Phase 3 Pro Forma'!R$7,'Taxes and TIF'!$AH$11:$AH$45,0)),0)*'Loan Sizing'!$M$30*'Phase 3 Pro Forma'!R66</f>
        <v>0</v>
      </c>
      <c r="S81" s="1050">
        <f ca="1">+IFERROR(INDEX('Taxes and TIF'!$AS$11:$AS$45,MATCH('Phase 3 Pro Forma'!S$7,'Taxes and TIF'!$AH$11:$AH$45,0)),0)*'Loan Sizing'!$M$30*'Phase 3 Pro Forma'!S66</f>
        <v>0</v>
      </c>
      <c r="T81" s="1050">
        <f ca="1">+IFERROR(INDEX('Taxes and TIF'!$AS$11:$AS$45,MATCH('Phase 3 Pro Forma'!T$7,'Taxes and TIF'!$AH$11:$AH$45,0)),0)*'Loan Sizing'!$M$30*'Phase 3 Pro Forma'!T66</f>
        <v>0</v>
      </c>
      <c r="U81" s="1050">
        <f ca="1">+IFERROR(INDEX('Taxes and TIF'!$AS$11:$AS$45,MATCH('Phase 3 Pro Forma'!U$7,'Taxes and TIF'!$AH$11:$AH$45,0)),0)*'Loan Sizing'!$M$30*'Phase 3 Pro Forma'!U66</f>
        <v>0</v>
      </c>
      <c r="V81" s="1050">
        <f ca="1">+IFERROR(INDEX('Taxes and TIF'!$AS$11:$AS$45,MATCH('Phase 3 Pro Forma'!V$7,'Taxes and TIF'!$AH$11:$AH$45,0)),0)*'Loan Sizing'!$M$30*'Phase 3 Pro Forma'!V66</f>
        <v>0</v>
      </c>
      <c r="W81" s="1050">
        <f ca="1">+IFERROR(INDEX('Taxes and TIF'!$AS$11:$AS$45,MATCH('Phase 3 Pro Forma'!W$7,'Taxes and TIF'!$AH$11:$AH$45,0)),0)*'Loan Sizing'!$M$30*'Phase 3 Pro Forma'!W66</f>
        <v>0</v>
      </c>
      <c r="X81" s="1050">
        <f ca="1">+IFERROR(INDEX('Taxes and TIF'!$AS$11:$AS$45,MATCH('Phase 3 Pro Forma'!X$7,'Taxes and TIF'!$AH$11:$AH$45,0)),0)*'Loan Sizing'!$M$30*'Phase 3 Pro Forma'!X66</f>
        <v>0</v>
      </c>
      <c r="Y81" s="1050">
        <f ca="1">+IFERROR(INDEX('Taxes and TIF'!$AS$11:$AS$45,MATCH('Phase 3 Pro Forma'!Y$7,'Taxes and TIF'!$AH$11:$AH$45,0)),0)*'Loan Sizing'!$M$30*'Phase 3 Pro Forma'!Y66</f>
        <v>0</v>
      </c>
      <c r="Z81" s="1050">
        <f ca="1">+IFERROR(INDEX('Taxes and TIF'!$AS$11:$AS$45,MATCH('Phase 3 Pro Forma'!Z$7,'Taxes and TIF'!$AH$11:$AH$45,0)),0)*'Loan Sizing'!$M$30*'Phase 3 Pro Forma'!Z66</f>
        <v>0</v>
      </c>
    </row>
    <row r="82" spans="2:26">
      <c r="B82" s="52" t="s">
        <v>1134</v>
      </c>
      <c r="C82" s="1052"/>
      <c r="D82" s="1052"/>
      <c r="E82" s="1052"/>
      <c r="F82" s="1088">
        <f ca="1">+SUM(F80:F81)</f>
        <v>0</v>
      </c>
      <c r="G82" s="1088">
        <f t="shared" ref="G82:Z82" ca="1" si="22">+SUM(G80:G81)</f>
        <v>0</v>
      </c>
      <c r="H82" s="1088">
        <f t="shared" ca="1" si="22"/>
        <v>0</v>
      </c>
      <c r="I82" s="1088">
        <f t="shared" ca="1" si="22"/>
        <v>0</v>
      </c>
      <c r="J82" s="1088">
        <f t="shared" ca="1" si="22"/>
        <v>0</v>
      </c>
      <c r="K82" s="1088">
        <f t="shared" ca="1" si="22"/>
        <v>0</v>
      </c>
      <c r="L82" s="1088">
        <f t="shared" ca="1" si="22"/>
        <v>0</v>
      </c>
      <c r="M82" s="1088">
        <f t="shared" ca="1" si="22"/>
        <v>0</v>
      </c>
      <c r="N82" s="1088">
        <f t="shared" ca="1" si="22"/>
        <v>0</v>
      </c>
      <c r="O82" s="1088">
        <f t="shared" ca="1" si="22"/>
        <v>0</v>
      </c>
      <c r="P82" s="1088">
        <f t="shared" ca="1" si="22"/>
        <v>0</v>
      </c>
      <c r="Q82" s="1088">
        <f t="shared" ca="1" si="22"/>
        <v>0</v>
      </c>
      <c r="R82" s="1088">
        <f t="shared" ca="1" si="22"/>
        <v>0</v>
      </c>
      <c r="S82" s="1088">
        <f t="shared" ca="1" si="22"/>
        <v>0</v>
      </c>
      <c r="T82" s="1088">
        <f t="shared" ca="1" si="22"/>
        <v>0</v>
      </c>
      <c r="U82" s="1088">
        <f t="shared" ca="1" si="22"/>
        <v>0</v>
      </c>
      <c r="V82" s="1088">
        <f t="shared" ca="1" si="22"/>
        <v>0</v>
      </c>
      <c r="W82" s="1088">
        <f t="shared" ca="1" si="22"/>
        <v>0</v>
      </c>
      <c r="X82" s="1088">
        <f t="shared" ca="1" si="22"/>
        <v>0</v>
      </c>
      <c r="Y82" s="1088">
        <f t="shared" ca="1" si="22"/>
        <v>0</v>
      </c>
      <c r="Z82" s="1088">
        <f t="shared" ca="1" si="22"/>
        <v>0</v>
      </c>
    </row>
    <row r="84" spans="2:26" ht="15.75">
      <c r="B84" s="50" t="s">
        <v>1135</v>
      </c>
      <c r="C84" s="50"/>
      <c r="D84" s="50"/>
      <c r="E84" s="50"/>
      <c r="F84" s="55">
        <f ca="1">+F78-F82</f>
        <v>0</v>
      </c>
      <c r="G84" s="55">
        <f t="shared" ref="G84:Z84" ca="1" si="23">+G78-G82</f>
        <v>0</v>
      </c>
      <c r="H84" s="55">
        <f t="shared" ca="1" si="23"/>
        <v>0</v>
      </c>
      <c r="I84" s="55">
        <f ca="1">+I78-I82</f>
        <v>0</v>
      </c>
      <c r="J84" s="55">
        <f t="shared" ca="1" si="23"/>
        <v>0</v>
      </c>
      <c r="K84" s="55">
        <f t="shared" ca="1" si="23"/>
        <v>0</v>
      </c>
      <c r="L84" s="55">
        <f t="shared" ca="1" si="23"/>
        <v>0</v>
      </c>
      <c r="M84" s="55">
        <f t="shared" ca="1" si="23"/>
        <v>0</v>
      </c>
      <c r="N84" s="55">
        <f t="shared" ca="1" si="23"/>
        <v>0</v>
      </c>
      <c r="O84" s="55">
        <f t="shared" ca="1" si="23"/>
        <v>0</v>
      </c>
      <c r="P84" s="55">
        <f t="shared" ca="1" si="23"/>
        <v>0</v>
      </c>
      <c r="Q84" s="55">
        <f t="shared" ca="1" si="23"/>
        <v>0</v>
      </c>
      <c r="R84" s="55">
        <f t="shared" ca="1" si="23"/>
        <v>0</v>
      </c>
      <c r="S84" s="55">
        <f t="shared" ca="1" si="23"/>
        <v>0</v>
      </c>
      <c r="T84" s="55">
        <f t="shared" ca="1" si="23"/>
        <v>0</v>
      </c>
      <c r="U84" s="55">
        <f t="shared" ca="1" si="23"/>
        <v>0</v>
      </c>
      <c r="V84" s="55">
        <f t="shared" ca="1" si="23"/>
        <v>0</v>
      </c>
      <c r="W84" s="55">
        <f t="shared" ca="1" si="23"/>
        <v>0</v>
      </c>
      <c r="X84" s="55">
        <f t="shared" ca="1" si="23"/>
        <v>0</v>
      </c>
      <c r="Y84" s="55">
        <f t="shared" ca="1" si="23"/>
        <v>0</v>
      </c>
      <c r="Z84" s="55">
        <f t="shared" ca="1" si="23"/>
        <v>0</v>
      </c>
    </row>
    <row r="85" spans="2:26">
      <c r="B85" s="51" t="s">
        <v>1136</v>
      </c>
      <c r="C85" s="51"/>
      <c r="D85" s="51"/>
      <c r="E85" s="51"/>
      <c r="F85" s="56" t="str">
        <f ca="1">+IFERROR(F84/F78,"")</f>
        <v/>
      </c>
      <c r="G85" s="56" t="str">
        <f t="shared" ref="G85:Z85" ca="1" si="24">+IFERROR(G84/G78,"")</f>
        <v/>
      </c>
      <c r="H85" s="56" t="str">
        <f t="shared" ca="1" si="24"/>
        <v/>
      </c>
      <c r="I85" s="56" t="str">
        <f t="shared" ca="1" si="24"/>
        <v/>
      </c>
      <c r="J85" s="56" t="str">
        <f t="shared" ca="1" si="24"/>
        <v/>
      </c>
      <c r="K85" s="56" t="str">
        <f t="shared" ca="1" si="24"/>
        <v/>
      </c>
      <c r="L85" s="56" t="str">
        <f t="shared" ca="1" si="24"/>
        <v/>
      </c>
      <c r="M85" s="56" t="str">
        <f t="shared" ca="1" si="24"/>
        <v/>
      </c>
      <c r="N85" s="56" t="str">
        <f t="shared" ca="1" si="24"/>
        <v/>
      </c>
      <c r="O85" s="56" t="str">
        <f t="shared" ca="1" si="24"/>
        <v/>
      </c>
      <c r="P85" s="56" t="str">
        <f t="shared" ca="1" si="24"/>
        <v/>
      </c>
      <c r="Q85" s="56" t="str">
        <f t="shared" ca="1" si="24"/>
        <v/>
      </c>
      <c r="R85" s="56" t="str">
        <f t="shared" ca="1" si="24"/>
        <v/>
      </c>
      <c r="S85" s="56" t="str">
        <f t="shared" ca="1" si="24"/>
        <v/>
      </c>
      <c r="T85" s="56" t="str">
        <f t="shared" ca="1" si="24"/>
        <v/>
      </c>
      <c r="U85" s="56" t="str">
        <f t="shared" ca="1" si="24"/>
        <v/>
      </c>
      <c r="V85" s="56" t="str">
        <f t="shared" ca="1" si="24"/>
        <v/>
      </c>
      <c r="W85" s="56" t="str">
        <f t="shared" ca="1" si="24"/>
        <v/>
      </c>
      <c r="X85" s="56" t="str">
        <f t="shared" ca="1" si="24"/>
        <v/>
      </c>
      <c r="Y85" s="56" t="str">
        <f t="shared" ca="1" si="24"/>
        <v/>
      </c>
      <c r="Z85" s="56" t="str">
        <f t="shared" ca="1" si="24"/>
        <v/>
      </c>
    </row>
    <row r="86" spans="2:26">
      <c r="B86" s="51" t="s">
        <v>1064</v>
      </c>
      <c r="C86" s="51"/>
      <c r="D86" s="51"/>
      <c r="E86" s="51"/>
      <c r="F86" s="57">
        <f ca="1">+F84/Assumptions!$H$45</f>
        <v>0</v>
      </c>
      <c r="G86" s="57">
        <f ca="1">+G84/Assumptions!$H$45</f>
        <v>0</v>
      </c>
      <c r="H86" s="57">
        <f ca="1">+H84/Assumptions!$H$45</f>
        <v>0</v>
      </c>
      <c r="I86" s="57">
        <f ca="1">+I84/Assumptions!$H$45</f>
        <v>0</v>
      </c>
      <c r="J86" s="57">
        <f ca="1">+J84/Assumptions!$H$45</f>
        <v>0</v>
      </c>
      <c r="K86" s="57">
        <f ca="1">+K84/Assumptions!$H$45</f>
        <v>0</v>
      </c>
      <c r="L86" s="57">
        <f ca="1">+L84/Assumptions!$H$45</f>
        <v>0</v>
      </c>
      <c r="M86" s="57">
        <f ca="1">+M84/Assumptions!$H$45</f>
        <v>0</v>
      </c>
      <c r="N86" s="57">
        <f ca="1">+N84/Assumptions!$H$45</f>
        <v>0</v>
      </c>
      <c r="O86" s="57">
        <f ca="1">+O84/Assumptions!$H$45</f>
        <v>0</v>
      </c>
      <c r="P86" s="57">
        <f ca="1">+P84/Assumptions!$H$45</f>
        <v>0</v>
      </c>
      <c r="Q86" s="57">
        <f ca="1">+Q84/Assumptions!$H$45</f>
        <v>0</v>
      </c>
      <c r="R86" s="57">
        <f ca="1">+R84/Assumptions!$H$45</f>
        <v>0</v>
      </c>
      <c r="S86" s="57">
        <f ca="1">+S84/Assumptions!$H$45</f>
        <v>0</v>
      </c>
      <c r="T86" s="57">
        <f ca="1">+T84/Assumptions!$H$45</f>
        <v>0</v>
      </c>
      <c r="U86" s="57">
        <f ca="1">+U84/Assumptions!$H$45</f>
        <v>0</v>
      </c>
      <c r="V86" s="57">
        <f ca="1">+V84/Assumptions!$H$45</f>
        <v>0</v>
      </c>
      <c r="W86" s="57">
        <f ca="1">+W84/Assumptions!$H$45</f>
        <v>0</v>
      </c>
      <c r="X86" s="57">
        <f ca="1">+X84/Assumptions!$H$45</f>
        <v>0</v>
      </c>
      <c r="Y86" s="57">
        <f ca="1">+Y84/Assumptions!$H$45</f>
        <v>0</v>
      </c>
      <c r="Z86" s="57">
        <f ca="1">+Z84/Assumptions!$H$45</f>
        <v>0</v>
      </c>
    </row>
    <row r="87" spans="2:26" ht="15.75">
      <c r="B87" s="53"/>
      <c r="C87" s="699"/>
      <c r="D87" s="699"/>
      <c r="E87" s="699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</row>
    <row r="88" spans="2:26" ht="15.75">
      <c r="B88" s="53" t="s">
        <v>1137</v>
      </c>
      <c r="C88" s="699"/>
      <c r="D88" s="699"/>
      <c r="E88" s="699"/>
      <c r="F88" s="54">
        <f>+Assumptions!$H$27</f>
        <v>47118</v>
      </c>
      <c r="G88" s="54">
        <f>+EOMONTH(F88,12)</f>
        <v>47483</v>
      </c>
      <c r="H88" s="54">
        <f t="shared" ref="H88:Z88" si="25">+EOMONTH(G88,12)</f>
        <v>47848</v>
      </c>
      <c r="I88" s="54">
        <f t="shared" si="25"/>
        <v>48213</v>
      </c>
      <c r="J88" s="54">
        <f t="shared" si="25"/>
        <v>48579</v>
      </c>
      <c r="K88" s="54">
        <f t="shared" si="25"/>
        <v>48944</v>
      </c>
      <c r="L88" s="54">
        <f t="shared" si="25"/>
        <v>49309</v>
      </c>
      <c r="M88" s="54">
        <f t="shared" si="25"/>
        <v>49674</v>
      </c>
      <c r="N88" s="54">
        <f t="shared" si="25"/>
        <v>50040</v>
      </c>
      <c r="O88" s="54">
        <f t="shared" si="25"/>
        <v>50405</v>
      </c>
      <c r="P88" s="54">
        <f t="shared" si="25"/>
        <v>50770</v>
      </c>
      <c r="Q88" s="54">
        <f t="shared" si="25"/>
        <v>51135</v>
      </c>
      <c r="R88" s="54">
        <f t="shared" si="25"/>
        <v>51501</v>
      </c>
      <c r="S88" s="54">
        <f t="shared" si="25"/>
        <v>51866</v>
      </c>
      <c r="T88" s="54">
        <f t="shared" si="25"/>
        <v>52231</v>
      </c>
      <c r="U88" s="54">
        <f t="shared" si="25"/>
        <v>52596</v>
      </c>
      <c r="V88" s="54">
        <f t="shared" si="25"/>
        <v>52962</v>
      </c>
      <c r="W88" s="54">
        <f t="shared" si="25"/>
        <v>53327</v>
      </c>
      <c r="X88" s="54">
        <f t="shared" si="25"/>
        <v>53692</v>
      </c>
      <c r="Y88" s="54">
        <f t="shared" si="25"/>
        <v>54057</v>
      </c>
      <c r="Z88" s="54">
        <f t="shared" si="25"/>
        <v>54423</v>
      </c>
    </row>
    <row r="89" spans="2:26">
      <c r="B89" s="699" t="s">
        <v>1120</v>
      </c>
      <c r="C89" s="699"/>
      <c r="D89" s="699"/>
      <c r="E89" s="1050"/>
      <c r="F89" s="1050">
        <f>+IF(F88=Assumptions!$H$31,Assumptions!$AG$86/ROUNDUP((12/12),0),)</f>
        <v>0</v>
      </c>
      <c r="G89" s="1050">
        <f>+IF(G88=Assumptions!$H$31,Assumptions!$AG$86/ROUNDUP((12/12),0),)</f>
        <v>0</v>
      </c>
      <c r="H89" s="1050">
        <f>+IF(H88=Assumptions!$H$31,Assumptions!$AG$86/ROUNDUP((12/12),0),)</f>
        <v>0</v>
      </c>
      <c r="I89" s="1050">
        <f>+IF(I88=Assumptions!$H$31,Assumptions!$AG$86/ROUNDUP((12/12),0),)</f>
        <v>0</v>
      </c>
      <c r="J89" s="1050">
        <f>+IF(J88=Assumptions!$H$31,Assumptions!$AG$86/ROUNDUP((12/12),0),)</f>
        <v>0</v>
      </c>
      <c r="K89" s="1050">
        <f>+IF(K88=Assumptions!$H$31,Assumptions!$AG$86/ROUNDUP((12/12),0),)</f>
        <v>0</v>
      </c>
      <c r="L89" s="1050">
        <f>+IF(L88=Assumptions!$H$31,Assumptions!$AG$86/ROUNDUP((12/12),0),)</f>
        <v>0</v>
      </c>
      <c r="M89" s="1050">
        <f>+IF(M88=Assumptions!$H$31,Assumptions!$AG$86/ROUNDUP((12/12),0),)</f>
        <v>0</v>
      </c>
      <c r="N89" s="1050">
        <f>+IF(N88=Assumptions!$H$31,Assumptions!$AG$86/ROUNDUP((12/12),0),)</f>
        <v>0</v>
      </c>
      <c r="O89" s="1050">
        <f>+IF(O88=Assumptions!$H$31,Assumptions!$AG$86/ROUNDUP((12/12),0),)</f>
        <v>0</v>
      </c>
      <c r="P89" s="1050">
        <f>+IF(P88=Assumptions!$H$31,Assumptions!$AG$86/ROUNDUP((12/12),0),)</f>
        <v>0</v>
      </c>
      <c r="Q89" s="1050">
        <f>+IF(Q88=Assumptions!$H$31,Assumptions!$AG$86/ROUNDUP((12/12),0),)</f>
        <v>0</v>
      </c>
      <c r="R89" s="1050">
        <f>+IF(R88=Assumptions!$H$31,Assumptions!$AG$86/ROUNDUP((12/12),0),)</f>
        <v>0</v>
      </c>
      <c r="S89" s="1050">
        <f>+IF(S88=Assumptions!$H$31,Assumptions!$AG$86/ROUNDUP((12/12),0),)</f>
        <v>0</v>
      </c>
      <c r="T89" s="1050">
        <f>+IF(T88=Assumptions!$H$31,Assumptions!$AG$86/ROUNDUP((12/12),0),)</f>
        <v>0</v>
      </c>
      <c r="U89" s="1050">
        <f>+IF(U88=Assumptions!$H$31,Assumptions!$AG$86/ROUNDUP((12/12),0),)</f>
        <v>0</v>
      </c>
      <c r="V89" s="1050">
        <f>+IF(V88=Assumptions!$H$31,Assumptions!$AG$86/ROUNDUP((12/12),0),)</f>
        <v>0</v>
      </c>
      <c r="W89" s="1050">
        <f>+IF(W88=Assumptions!$H$31,Assumptions!$AG$86/ROUNDUP((12/12),0),)</f>
        <v>0</v>
      </c>
      <c r="X89" s="1050">
        <f>+IF(X88=Assumptions!$H$31,Assumptions!$AG$86/ROUNDUP((12/12),0),)</f>
        <v>0</v>
      </c>
      <c r="Y89" s="1050">
        <f>+IF(Y88=Assumptions!$H$31,Assumptions!$AG$86/ROUNDUP((12/12),0),)</f>
        <v>0</v>
      </c>
      <c r="Z89" s="1050">
        <f>+IF(Z88=Assumptions!$H$31,Assumptions!$AG$86/ROUNDUP((12/12),0),)</f>
        <v>0</v>
      </c>
    </row>
    <row r="90" spans="2:26">
      <c r="B90" s="699" t="s">
        <v>1121</v>
      </c>
      <c r="C90" s="699"/>
      <c r="D90" s="699"/>
      <c r="E90" s="1050">
        <v>0</v>
      </c>
      <c r="F90" s="1050">
        <f>+E90+F89</f>
        <v>0</v>
      </c>
      <c r="G90" s="1050">
        <f t="shared" ref="G90:Z90" si="26">+F90+G89</f>
        <v>0</v>
      </c>
      <c r="H90" s="1050">
        <f t="shared" si="26"/>
        <v>0</v>
      </c>
      <c r="I90" s="1050">
        <f t="shared" si="26"/>
        <v>0</v>
      </c>
      <c r="J90" s="1050">
        <f t="shared" si="26"/>
        <v>0</v>
      </c>
      <c r="K90" s="1050">
        <f t="shared" si="26"/>
        <v>0</v>
      </c>
      <c r="L90" s="1050">
        <f t="shared" si="26"/>
        <v>0</v>
      </c>
      <c r="M90" s="1050">
        <f t="shared" si="26"/>
        <v>0</v>
      </c>
      <c r="N90" s="1050">
        <f t="shared" si="26"/>
        <v>0</v>
      </c>
      <c r="O90" s="1050">
        <f t="shared" si="26"/>
        <v>0</v>
      </c>
      <c r="P90" s="1050">
        <f t="shared" si="26"/>
        <v>0</v>
      </c>
      <c r="Q90" s="1050">
        <f t="shared" si="26"/>
        <v>0</v>
      </c>
      <c r="R90" s="1050">
        <f t="shared" si="26"/>
        <v>0</v>
      </c>
      <c r="S90" s="1050">
        <f t="shared" si="26"/>
        <v>0</v>
      </c>
      <c r="T90" s="1050">
        <f t="shared" si="26"/>
        <v>0</v>
      </c>
      <c r="U90" s="1050">
        <f t="shared" si="26"/>
        <v>0</v>
      </c>
      <c r="V90" s="1050">
        <f t="shared" si="26"/>
        <v>0</v>
      </c>
      <c r="W90" s="1050">
        <f t="shared" si="26"/>
        <v>0</v>
      </c>
      <c r="X90" s="1050">
        <f t="shared" si="26"/>
        <v>0</v>
      </c>
      <c r="Y90" s="1050">
        <f t="shared" si="26"/>
        <v>0</v>
      </c>
      <c r="Z90" s="1050">
        <f t="shared" si="26"/>
        <v>0</v>
      </c>
    </row>
    <row r="91" spans="2:26">
      <c r="B91" s="699" t="s">
        <v>1123</v>
      </c>
      <c r="C91" s="699"/>
      <c r="D91" s="699"/>
      <c r="E91" s="699"/>
      <c r="F91" s="1084">
        <f>+F92-E92</f>
        <v>0</v>
      </c>
      <c r="G91" s="1084">
        <f t="shared" ref="G91:Z91" si="27">+G92-F92</f>
        <v>0</v>
      </c>
      <c r="H91" s="1084">
        <f t="shared" si="27"/>
        <v>0</v>
      </c>
      <c r="I91" s="1084">
        <f t="shared" si="27"/>
        <v>0</v>
      </c>
      <c r="J91" s="1084">
        <f t="shared" si="27"/>
        <v>0</v>
      </c>
      <c r="K91" s="1084">
        <f t="shared" si="27"/>
        <v>0</v>
      </c>
      <c r="L91" s="1084">
        <f t="shared" si="27"/>
        <v>0</v>
      </c>
      <c r="M91" s="1084">
        <f t="shared" si="27"/>
        <v>0</v>
      </c>
      <c r="N91" s="1084">
        <f t="shared" si="27"/>
        <v>0</v>
      </c>
      <c r="O91" s="1084">
        <f t="shared" si="27"/>
        <v>0</v>
      </c>
      <c r="P91" s="1084">
        <f t="shared" si="27"/>
        <v>0</v>
      </c>
      <c r="Q91" s="1084">
        <f t="shared" si="27"/>
        <v>0</v>
      </c>
      <c r="R91" s="1084">
        <f t="shared" si="27"/>
        <v>0</v>
      </c>
      <c r="S91" s="1084">
        <f t="shared" si="27"/>
        <v>0</v>
      </c>
      <c r="T91" s="1084">
        <f t="shared" si="27"/>
        <v>0</v>
      </c>
      <c r="U91" s="1084">
        <f t="shared" si="27"/>
        <v>0</v>
      </c>
      <c r="V91" s="1084">
        <f t="shared" si="27"/>
        <v>0</v>
      </c>
      <c r="W91" s="1084">
        <f t="shared" si="27"/>
        <v>0</v>
      </c>
      <c r="X91" s="1084">
        <f t="shared" si="27"/>
        <v>0</v>
      </c>
      <c r="Y91" s="1084">
        <f t="shared" si="27"/>
        <v>0</v>
      </c>
      <c r="Z91" s="1084">
        <f t="shared" si="27"/>
        <v>0</v>
      </c>
    </row>
    <row r="92" spans="2:26">
      <c r="B92" s="699" t="s">
        <v>1124</v>
      </c>
      <c r="C92" s="699"/>
      <c r="D92" s="699"/>
      <c r="E92" s="699"/>
      <c r="F92" s="1084">
        <f>+F93*Assumptions!$AG$87</f>
        <v>0</v>
      </c>
      <c r="G92" s="1084">
        <f>+G93*Assumptions!$AG$87</f>
        <v>0</v>
      </c>
      <c r="H92" s="1084">
        <f>+H93*Assumptions!$AG$87</f>
        <v>0</v>
      </c>
      <c r="I92" s="1084">
        <f>+I93*Assumptions!$AG$87</f>
        <v>0</v>
      </c>
      <c r="J92" s="1084">
        <f>+J93*Assumptions!$AG$87</f>
        <v>0</v>
      </c>
      <c r="K92" s="1084">
        <f>+K93*Assumptions!$AG$87</f>
        <v>0</v>
      </c>
      <c r="L92" s="1084">
        <f>+L93*Assumptions!$AG$87</f>
        <v>0</v>
      </c>
      <c r="M92" s="1084">
        <f>+M93*Assumptions!$AG$87</f>
        <v>0</v>
      </c>
      <c r="N92" s="1084">
        <f>+N93*Assumptions!$AG$87</f>
        <v>0</v>
      </c>
      <c r="O92" s="1084">
        <f>+O93*Assumptions!$AG$87</f>
        <v>0</v>
      </c>
      <c r="P92" s="1084">
        <f>+P93*Assumptions!$AG$87</f>
        <v>0</v>
      </c>
      <c r="Q92" s="1084">
        <f>+Q93*Assumptions!$AG$87</f>
        <v>0</v>
      </c>
      <c r="R92" s="1084">
        <f>+R93*Assumptions!$AG$87</f>
        <v>0</v>
      </c>
      <c r="S92" s="1084">
        <f>+S93*Assumptions!$AG$87</f>
        <v>0</v>
      </c>
      <c r="T92" s="1084">
        <f>+T93*Assumptions!$AG$87</f>
        <v>0</v>
      </c>
      <c r="U92" s="1084">
        <f>+U93*Assumptions!$AG$87</f>
        <v>0</v>
      </c>
      <c r="V92" s="1084">
        <f>+V93*Assumptions!$AG$87</f>
        <v>0</v>
      </c>
      <c r="W92" s="1084">
        <f>+W93*Assumptions!$AG$87</f>
        <v>0</v>
      </c>
      <c r="X92" s="1084">
        <f>+X93*Assumptions!$AG$87</f>
        <v>0</v>
      </c>
      <c r="Y92" s="1084">
        <f>+Y93*Assumptions!$AG$87</f>
        <v>0</v>
      </c>
      <c r="Z92" s="1084">
        <f>+Z93*Assumptions!$AG$87</f>
        <v>0</v>
      </c>
    </row>
    <row r="93" spans="2:26">
      <c r="B93" s="699" t="s">
        <v>1125</v>
      </c>
      <c r="C93" s="699"/>
      <c r="D93" s="699"/>
      <c r="E93" s="699"/>
      <c r="F93" s="1074">
        <f>+IFERROR(F90/SUM($F89:$Z89),0)</f>
        <v>0</v>
      </c>
      <c r="G93" s="1074">
        <f t="shared" ref="G93:Z93" si="28">+IFERROR(G90/SUM($F89:$Z89),0)</f>
        <v>0</v>
      </c>
      <c r="H93" s="1074">
        <f t="shared" si="28"/>
        <v>0</v>
      </c>
      <c r="I93" s="1074">
        <f t="shared" si="28"/>
        <v>0</v>
      </c>
      <c r="J93" s="1074">
        <f t="shared" si="28"/>
        <v>0</v>
      </c>
      <c r="K93" s="1074">
        <f t="shared" si="28"/>
        <v>0</v>
      </c>
      <c r="L93" s="1074">
        <f t="shared" si="28"/>
        <v>0</v>
      </c>
      <c r="M93" s="1074">
        <f t="shared" si="28"/>
        <v>0</v>
      </c>
      <c r="N93" s="1074">
        <f t="shared" si="28"/>
        <v>0</v>
      </c>
      <c r="O93" s="1074">
        <f t="shared" si="28"/>
        <v>0</v>
      </c>
      <c r="P93" s="1074">
        <f t="shared" si="28"/>
        <v>0</v>
      </c>
      <c r="Q93" s="1074">
        <f t="shared" si="28"/>
        <v>0</v>
      </c>
      <c r="R93" s="1074">
        <f t="shared" si="28"/>
        <v>0</v>
      </c>
      <c r="S93" s="1074">
        <f t="shared" si="28"/>
        <v>0</v>
      </c>
      <c r="T93" s="1074">
        <f t="shared" si="28"/>
        <v>0</v>
      </c>
      <c r="U93" s="1074">
        <f t="shared" si="28"/>
        <v>0</v>
      </c>
      <c r="V93" s="1074">
        <f t="shared" si="28"/>
        <v>0</v>
      </c>
      <c r="W93" s="1074">
        <f t="shared" si="28"/>
        <v>0</v>
      </c>
      <c r="X93" s="1074">
        <f t="shared" si="28"/>
        <v>0</v>
      </c>
      <c r="Y93" s="1074">
        <f t="shared" si="28"/>
        <v>0</v>
      </c>
      <c r="Z93" s="1074">
        <f t="shared" si="28"/>
        <v>0</v>
      </c>
    </row>
    <row r="95" spans="2:26">
      <c r="B95" s="699" t="s">
        <v>1126</v>
      </c>
      <c r="C95" s="699"/>
      <c r="D95" s="699"/>
      <c r="E95" s="699"/>
      <c r="F95" s="1074">
        <v>1</v>
      </c>
      <c r="G95" s="1074">
        <f>+F95*(1+Assumptions!$P$69)</f>
        <v>1.03</v>
      </c>
      <c r="H95" s="1074">
        <f>+G95*(1+Assumptions!$P$69)</f>
        <v>1.0609</v>
      </c>
      <c r="I95" s="1074">
        <f>+H95*(1+Assumptions!$P$69)</f>
        <v>1.092727</v>
      </c>
      <c r="J95" s="1074">
        <f>+I95*(1+Assumptions!$P$69)</f>
        <v>1.1255088100000001</v>
      </c>
      <c r="K95" s="1074">
        <f>+J95*(1+Assumptions!$P$69)</f>
        <v>1.1592740743000001</v>
      </c>
      <c r="L95" s="1074">
        <f>+K95*(1+Assumptions!$P$69)</f>
        <v>1.1940522965290001</v>
      </c>
      <c r="M95" s="1074">
        <f>+L95*(1+Assumptions!$P$69)</f>
        <v>1.2298738654248702</v>
      </c>
      <c r="N95" s="1074">
        <f>+M95*(1+Assumptions!$P$69)</f>
        <v>1.2667700813876164</v>
      </c>
      <c r="O95" s="1074">
        <f>+N95*(1+Assumptions!$P$69)</f>
        <v>1.3047731838292449</v>
      </c>
      <c r="P95" s="1074">
        <f>+O95*(1+Assumptions!$P$69)</f>
        <v>1.3439163793441222</v>
      </c>
      <c r="Q95" s="1074">
        <f>+P95*(1+Assumptions!$P$69)</f>
        <v>1.3842338707244459</v>
      </c>
      <c r="R95" s="1074">
        <f>+Q95*(1+Assumptions!$P$69)</f>
        <v>1.4257608868461793</v>
      </c>
      <c r="S95" s="1074">
        <f>+R95*(1+Assumptions!$P$69)</f>
        <v>1.4685337134515648</v>
      </c>
      <c r="T95" s="1074">
        <f>+S95*(1+Assumptions!$P$69)</f>
        <v>1.5125897248551119</v>
      </c>
      <c r="U95" s="1074">
        <f>+T95*(1+Assumptions!$P$69)</f>
        <v>1.5579674166007653</v>
      </c>
      <c r="V95" s="1074">
        <f>+U95*(1+Assumptions!$P$69)</f>
        <v>1.6047064390987884</v>
      </c>
      <c r="W95" s="1074">
        <f>+V95*(1+Assumptions!$P$69)</f>
        <v>1.652847632271752</v>
      </c>
      <c r="X95" s="1074">
        <f>+W95*(1+Assumptions!$P$69)</f>
        <v>1.7024330612399046</v>
      </c>
      <c r="Y95" s="1074">
        <f>+X95*(1+Assumptions!$P$69)</f>
        <v>1.7535060530771018</v>
      </c>
      <c r="Z95" s="1074">
        <f>+Y95*(1+Assumptions!$P$69)</f>
        <v>1.806111234669415</v>
      </c>
    </row>
    <row r="96" spans="2:26">
      <c r="B96" s="699" t="s">
        <v>1127</v>
      </c>
      <c r="C96" s="699"/>
      <c r="D96" s="699"/>
      <c r="E96" s="699"/>
      <c r="F96" s="1074">
        <v>1</v>
      </c>
      <c r="G96" s="1074">
        <f>+F96*(1+Assumptions!$P$80)</f>
        <v>1.03</v>
      </c>
      <c r="H96" s="1074">
        <f>+G96*(1+Assumptions!$P$80)</f>
        <v>1.0609</v>
      </c>
      <c r="I96" s="1074">
        <f>+H96*(1+Assumptions!$P$80)</f>
        <v>1.092727</v>
      </c>
      <c r="J96" s="1074">
        <f>+I96*(1+Assumptions!$P$80)</f>
        <v>1.1255088100000001</v>
      </c>
      <c r="K96" s="1074">
        <f>+J96*(1+Assumptions!$P$80)</f>
        <v>1.1592740743000001</v>
      </c>
      <c r="L96" s="1074">
        <f>+K96*(1+Assumptions!$P$80)</f>
        <v>1.1940522965290001</v>
      </c>
      <c r="M96" s="1074">
        <f>+L96*(1+Assumptions!$P$80)</f>
        <v>1.2298738654248702</v>
      </c>
      <c r="N96" s="1074">
        <f>+M96*(1+Assumptions!$P$80)</f>
        <v>1.2667700813876164</v>
      </c>
      <c r="O96" s="1074">
        <f>+N96*(1+Assumptions!$P$80)</f>
        <v>1.3047731838292449</v>
      </c>
      <c r="P96" s="1074">
        <f>+O96*(1+Assumptions!$P$80)</f>
        <v>1.3439163793441222</v>
      </c>
      <c r="Q96" s="1074">
        <f>+P96*(1+Assumptions!$P$80)</f>
        <v>1.3842338707244459</v>
      </c>
      <c r="R96" s="1074">
        <f>+Q96*(1+Assumptions!$P$80)</f>
        <v>1.4257608868461793</v>
      </c>
      <c r="S96" s="1074">
        <f>+R96*(1+Assumptions!$P$80)</f>
        <v>1.4685337134515648</v>
      </c>
      <c r="T96" s="1074">
        <f>+S96*(1+Assumptions!$P$80)</f>
        <v>1.5125897248551119</v>
      </c>
      <c r="U96" s="1074">
        <f>+T96*(1+Assumptions!$P$80)</f>
        <v>1.5579674166007653</v>
      </c>
      <c r="V96" s="1074">
        <f>+U96*(1+Assumptions!$P$80)</f>
        <v>1.6047064390987884</v>
      </c>
      <c r="W96" s="1074">
        <f>+V96*(1+Assumptions!$P$80)</f>
        <v>1.652847632271752</v>
      </c>
      <c r="X96" s="1074">
        <f>+W96*(1+Assumptions!$P$80)</f>
        <v>1.7024330612399046</v>
      </c>
      <c r="Y96" s="1074">
        <f>+X96*(1+Assumptions!$P$80)</f>
        <v>1.7535060530771018</v>
      </c>
      <c r="Z96" s="1074">
        <f>+Y96*(1+Assumptions!$P$80)</f>
        <v>1.806111234669415</v>
      </c>
    </row>
    <row r="98" spans="1:26">
      <c r="A98" s="699"/>
      <c r="B98" s="699" t="s">
        <v>1128</v>
      </c>
      <c r="C98" s="699"/>
      <c r="D98" s="699"/>
      <c r="E98" s="699"/>
      <c r="F98" s="1028">
        <f>+F93*Assumptions!$AG$85*F95</f>
        <v>0</v>
      </c>
      <c r="G98" s="1028">
        <f>+G93*Assumptions!$AG$85*G95</f>
        <v>0</v>
      </c>
      <c r="H98" s="1028">
        <f>+H93*Assumptions!$AG$85*H95</f>
        <v>0</v>
      </c>
      <c r="I98" s="1028">
        <f>+I93*Assumptions!$AG$85*I95</f>
        <v>0</v>
      </c>
      <c r="J98" s="1028">
        <f>+J93*Assumptions!$AG$85*J95</f>
        <v>0</v>
      </c>
      <c r="K98" s="1028">
        <f>+K93*Assumptions!$AG$85*K95</f>
        <v>0</v>
      </c>
      <c r="L98" s="1028">
        <f>+L93*Assumptions!$AG$85*L95</f>
        <v>0</v>
      </c>
      <c r="M98" s="1028">
        <f>+M93*Assumptions!$AG$85*M95</f>
        <v>0</v>
      </c>
      <c r="N98" s="1028">
        <f>+N93*Assumptions!$AG$85*N95</f>
        <v>0</v>
      </c>
      <c r="O98" s="1028">
        <f>+O93*Assumptions!$AG$85*O95</f>
        <v>0</v>
      </c>
      <c r="P98" s="1028">
        <f>+P93*Assumptions!$AG$85*P95</f>
        <v>0</v>
      </c>
      <c r="Q98" s="1028">
        <f>+Q93*Assumptions!$AG$85*Q95</f>
        <v>0</v>
      </c>
      <c r="R98" s="1028">
        <f>+R93*Assumptions!$AG$85*R95</f>
        <v>0</v>
      </c>
      <c r="S98" s="1028">
        <f>+S93*Assumptions!$AG$85*S95</f>
        <v>0</v>
      </c>
      <c r="T98" s="1028">
        <f>+T93*Assumptions!$AG$85*T95</f>
        <v>0</v>
      </c>
      <c r="U98" s="1028">
        <f>+U93*Assumptions!$AG$85*U95</f>
        <v>0</v>
      </c>
      <c r="V98" s="1028">
        <f>+V93*Assumptions!$AG$85*V95</f>
        <v>0</v>
      </c>
      <c r="W98" s="1028">
        <f>+W93*Assumptions!$AG$85*W95</f>
        <v>0</v>
      </c>
      <c r="X98" s="1028">
        <f>+X93*Assumptions!$AG$85*X95</f>
        <v>0</v>
      </c>
      <c r="Y98" s="1028">
        <f>+Y93*Assumptions!$AG$85*Y95</f>
        <v>0</v>
      </c>
      <c r="Z98" s="1028">
        <f>+Z93*Assumptions!$AG$85*Z95</f>
        <v>0</v>
      </c>
    </row>
    <row r="99" spans="1:26">
      <c r="A99" s="699" t="s">
        <v>881</v>
      </c>
      <c r="B99" s="699" t="s">
        <v>1129</v>
      </c>
      <c r="C99" s="699"/>
      <c r="D99" s="699"/>
      <c r="E99" s="699"/>
      <c r="F99" s="1085">
        <f>-Assumptions!$E$99*'Phase 3 Pro Forma'!F98</f>
        <v>0</v>
      </c>
      <c r="G99" s="1085">
        <f>-Assumptions!$E$99*'Phase 3 Pro Forma'!G98</f>
        <v>0</v>
      </c>
      <c r="H99" s="1085">
        <f>-Assumptions!$E$99*'Phase 3 Pro Forma'!H98</f>
        <v>0</v>
      </c>
      <c r="I99" s="1085">
        <f>-Assumptions!$E$99*'Phase 3 Pro Forma'!I98</f>
        <v>0</v>
      </c>
      <c r="J99" s="1085">
        <f>-Assumptions!$E$99*'Phase 3 Pro Forma'!J98</f>
        <v>0</v>
      </c>
      <c r="K99" s="1085">
        <f>-Assumptions!$E$99*'Phase 3 Pro Forma'!K98</f>
        <v>0</v>
      </c>
      <c r="L99" s="1085">
        <f>-Assumptions!$E$99*'Phase 3 Pro Forma'!L98</f>
        <v>0</v>
      </c>
      <c r="M99" s="1085">
        <f>-Assumptions!$E$99*'Phase 3 Pro Forma'!M98</f>
        <v>0</v>
      </c>
      <c r="N99" s="1085">
        <f>-Assumptions!$E$99*'Phase 3 Pro Forma'!N98</f>
        <v>0</v>
      </c>
      <c r="O99" s="1085">
        <f>-Assumptions!$E$99*'Phase 3 Pro Forma'!O98</f>
        <v>0</v>
      </c>
      <c r="P99" s="1085">
        <f>-Assumptions!$E$99*'Phase 3 Pro Forma'!P98</f>
        <v>0</v>
      </c>
      <c r="Q99" s="1085">
        <f>-Assumptions!$E$99*'Phase 3 Pro Forma'!Q98</f>
        <v>0</v>
      </c>
      <c r="R99" s="1085">
        <f>-Assumptions!$E$99*'Phase 3 Pro Forma'!R98</f>
        <v>0</v>
      </c>
      <c r="S99" s="1085">
        <f>-Assumptions!$E$99*'Phase 3 Pro Forma'!S98</f>
        <v>0</v>
      </c>
      <c r="T99" s="1085">
        <f>-Assumptions!$E$99*'Phase 3 Pro Forma'!T98</f>
        <v>0</v>
      </c>
      <c r="U99" s="1085">
        <f>-Assumptions!$E$99*'Phase 3 Pro Forma'!U98</f>
        <v>0</v>
      </c>
      <c r="V99" s="1085">
        <f>-Assumptions!$E$99*'Phase 3 Pro Forma'!V98</f>
        <v>0</v>
      </c>
      <c r="W99" s="1085">
        <f>-Assumptions!$E$99*'Phase 3 Pro Forma'!W98</f>
        <v>0</v>
      </c>
      <c r="X99" s="1085">
        <f>-Assumptions!$E$99*'Phase 3 Pro Forma'!X98</f>
        <v>0</v>
      </c>
      <c r="Y99" s="1085">
        <f>-Assumptions!$E$99*'Phase 3 Pro Forma'!Y98</f>
        <v>0</v>
      </c>
      <c r="Z99" s="1085">
        <f>-Assumptions!$E$99*'Phase 3 Pro Forma'!Z98</f>
        <v>0</v>
      </c>
    </row>
    <row r="100" spans="1:26">
      <c r="A100" s="699"/>
      <c r="B100" s="699" t="s">
        <v>1130</v>
      </c>
      <c r="C100" s="699"/>
      <c r="D100" s="699"/>
      <c r="E100" s="699"/>
      <c r="F100" s="1085">
        <f>-F98*Assumptions!$P$60</f>
        <v>0</v>
      </c>
      <c r="G100" s="1085">
        <f>-G98*Assumptions!$P$60</f>
        <v>0</v>
      </c>
      <c r="H100" s="1085">
        <f>-H98*Assumptions!$P$60</f>
        <v>0</v>
      </c>
      <c r="I100" s="1085">
        <f>-I98*Assumptions!$P$60</f>
        <v>0</v>
      </c>
      <c r="J100" s="1085">
        <f>-J98*Assumptions!$P$60</f>
        <v>0</v>
      </c>
      <c r="K100" s="1085">
        <f>-K98*Assumptions!$P$60</f>
        <v>0</v>
      </c>
      <c r="L100" s="1085">
        <f>-L98*Assumptions!$P$60</f>
        <v>0</v>
      </c>
      <c r="M100" s="1085">
        <f>-M98*Assumptions!$P$60</f>
        <v>0</v>
      </c>
      <c r="N100" s="1085">
        <f>-N98*Assumptions!$P$60</f>
        <v>0</v>
      </c>
      <c r="O100" s="1085">
        <f>-O98*Assumptions!$P$60</f>
        <v>0</v>
      </c>
      <c r="P100" s="1085">
        <f>-P98*Assumptions!$P$60</f>
        <v>0</v>
      </c>
      <c r="Q100" s="1085">
        <f>-Q98*Assumptions!$P$60</f>
        <v>0</v>
      </c>
      <c r="R100" s="1085">
        <f>-R98*Assumptions!$P$60</f>
        <v>0</v>
      </c>
      <c r="S100" s="1085">
        <f>-S98*Assumptions!$P$60</f>
        <v>0</v>
      </c>
      <c r="T100" s="1085">
        <f>-T98*Assumptions!$P$60</f>
        <v>0</v>
      </c>
      <c r="U100" s="1085">
        <f>-U98*Assumptions!$P$60</f>
        <v>0</v>
      </c>
      <c r="V100" s="1085">
        <f>-V98*Assumptions!$P$60</f>
        <v>0</v>
      </c>
      <c r="W100" s="1085">
        <f>-W98*Assumptions!$P$60</f>
        <v>0</v>
      </c>
      <c r="X100" s="1085">
        <f>-X98*Assumptions!$P$60</f>
        <v>0</v>
      </c>
      <c r="Y100" s="1085">
        <f>-Y98*Assumptions!$P$60</f>
        <v>0</v>
      </c>
      <c r="Z100" s="1085">
        <f>-Z98*Assumptions!$P$60</f>
        <v>0</v>
      </c>
    </row>
    <row r="101" spans="1:26">
      <c r="A101" s="699"/>
      <c r="B101" s="699" t="s">
        <v>1184</v>
      </c>
      <c r="C101" s="699"/>
      <c r="D101" s="699"/>
      <c r="E101" s="699"/>
      <c r="F101" s="1085">
        <f>+F92*Assumptions!$AG$159*(1-Assumptions!$P$60)*12</f>
        <v>0</v>
      </c>
      <c r="G101" s="1085">
        <f>+G92*Assumptions!$AG$159*(1-Assumptions!$P$60)*12</f>
        <v>0</v>
      </c>
      <c r="H101" s="1085">
        <f>+H92*Assumptions!$AG$159*(1-Assumptions!$P$60)*12</f>
        <v>0</v>
      </c>
      <c r="I101" s="1085">
        <f>+I92*Assumptions!$AG$159*(1-Assumptions!$P$60)*12</f>
        <v>0</v>
      </c>
      <c r="J101" s="1085">
        <f>+J92*Assumptions!$AG$159*(1-Assumptions!$P$60)*12</f>
        <v>0</v>
      </c>
      <c r="K101" s="1085">
        <f>+K92*Assumptions!$AG$159*(1-Assumptions!$P$60)*12</f>
        <v>0</v>
      </c>
      <c r="L101" s="1085">
        <f>+L92*Assumptions!$AG$159*(1-Assumptions!$P$60)*12</f>
        <v>0</v>
      </c>
      <c r="M101" s="1085">
        <f>+M92*Assumptions!$AG$159*(1-Assumptions!$P$60)*12</f>
        <v>0</v>
      </c>
      <c r="N101" s="1085">
        <f>+N92*Assumptions!$AG$159*(1-Assumptions!$P$60)*12</f>
        <v>0</v>
      </c>
      <c r="O101" s="1085">
        <f>+O92*Assumptions!$AG$159*(1-Assumptions!$P$60)*12</f>
        <v>0</v>
      </c>
      <c r="P101" s="1085">
        <f>+P92*Assumptions!$AG$159*(1-Assumptions!$P$60)*12</f>
        <v>0</v>
      </c>
      <c r="Q101" s="1085">
        <f>+Q92*Assumptions!$AG$159*(1-Assumptions!$P$60)*12</f>
        <v>0</v>
      </c>
      <c r="R101" s="1085">
        <f>+R92*Assumptions!$AG$159*(1-Assumptions!$P$60)*12</f>
        <v>0</v>
      </c>
      <c r="S101" s="1085">
        <f>+S92*Assumptions!$AG$159*(1-Assumptions!$P$60)*12</f>
        <v>0</v>
      </c>
      <c r="T101" s="1085">
        <f>+T92*Assumptions!$AG$159*(1-Assumptions!$P$60)*12</f>
        <v>0</v>
      </c>
      <c r="U101" s="1085">
        <f>+U92*Assumptions!$AG$159*(1-Assumptions!$P$60)*12</f>
        <v>0</v>
      </c>
      <c r="V101" s="1085">
        <f>+V92*Assumptions!$AG$159*(1-Assumptions!$P$60)*12</f>
        <v>0</v>
      </c>
      <c r="W101" s="1085">
        <f>+W92*Assumptions!$AG$159*(1-Assumptions!$P$60)*12</f>
        <v>0</v>
      </c>
      <c r="X101" s="1085">
        <f>+X92*Assumptions!$AG$159*(1-Assumptions!$P$60)*12</f>
        <v>0</v>
      </c>
      <c r="Y101" s="1085">
        <f>+Y92*Assumptions!$AG$159*(1-Assumptions!$P$60)*12</f>
        <v>0</v>
      </c>
      <c r="Z101" s="1085">
        <f>+Z92*Assumptions!$AG$159*(1-Assumptions!$P$60)*12</f>
        <v>0</v>
      </c>
    </row>
    <row r="102" spans="1:26">
      <c r="A102" s="699"/>
      <c r="B102" s="699" t="s">
        <v>48</v>
      </c>
      <c r="C102" s="699"/>
      <c r="D102" s="699"/>
      <c r="E102" s="699"/>
      <c r="F102" s="1085">
        <f>+(F92*Assumptions!$AD$160*Assumptions!$AD$161)*12</f>
        <v>0</v>
      </c>
      <c r="G102" s="1085">
        <f>+(G92*Assumptions!$AD$160*Assumptions!$AD$161)*12</f>
        <v>0</v>
      </c>
      <c r="H102" s="1085">
        <f>+(H92*Assumptions!$AD$160*Assumptions!$AD$161)*12</f>
        <v>0</v>
      </c>
      <c r="I102" s="1085">
        <f>+(I92*Assumptions!$AD$160*Assumptions!$AD$161)*12</f>
        <v>0</v>
      </c>
      <c r="J102" s="1085">
        <f>+(J92*Assumptions!$AD$160*Assumptions!$AD$161)*12</f>
        <v>0</v>
      </c>
      <c r="K102" s="1085">
        <f>+(K92*Assumptions!$AD$160*Assumptions!$AD$161)*12</f>
        <v>0</v>
      </c>
      <c r="L102" s="1085">
        <f>+(L92*Assumptions!$AD$160*Assumptions!$AD$161)*12</f>
        <v>0</v>
      </c>
      <c r="M102" s="1085">
        <f>+(M92*Assumptions!$AD$160*Assumptions!$AD$161)*12</f>
        <v>0</v>
      </c>
      <c r="N102" s="1085">
        <f>+(N92*Assumptions!$AD$160*Assumptions!$AD$161)*12</f>
        <v>0</v>
      </c>
      <c r="O102" s="1085">
        <f>+(O92*Assumptions!$AD$160*Assumptions!$AD$161)*12</f>
        <v>0</v>
      </c>
      <c r="P102" s="1085">
        <f>+(P92*Assumptions!$AD$160*Assumptions!$AD$161)*12</f>
        <v>0</v>
      </c>
      <c r="Q102" s="1085">
        <f>+(Q92*Assumptions!$AD$160*Assumptions!$AD$161)*12</f>
        <v>0</v>
      </c>
      <c r="R102" s="1085">
        <f>+(R92*Assumptions!$AD$160*Assumptions!$AD$161)*12</f>
        <v>0</v>
      </c>
      <c r="S102" s="1085">
        <f>+(S92*Assumptions!$AD$160*Assumptions!$AD$161)*12</f>
        <v>0</v>
      </c>
      <c r="T102" s="1085">
        <f>+(T92*Assumptions!$AD$160*Assumptions!$AD$161)*12</f>
        <v>0</v>
      </c>
      <c r="U102" s="1085">
        <f>+(U92*Assumptions!$AD$160*Assumptions!$AD$161)*12</f>
        <v>0</v>
      </c>
      <c r="V102" s="1085">
        <f>+(V92*Assumptions!$AD$160*Assumptions!$AD$161)*12</f>
        <v>0</v>
      </c>
      <c r="W102" s="1085">
        <f>+(W92*Assumptions!$AD$160*Assumptions!$AD$161)*12</f>
        <v>0</v>
      </c>
      <c r="X102" s="1085">
        <f>+(X92*Assumptions!$AD$160*Assumptions!$AD$161)*12</f>
        <v>0</v>
      </c>
      <c r="Y102" s="1085">
        <f>+(Y92*Assumptions!$AD$160*Assumptions!$AD$161)*12</f>
        <v>0</v>
      </c>
      <c r="Z102" s="1085">
        <f>+(Z92*Assumptions!$AD$160*Assumptions!$AD$161)*12</f>
        <v>0</v>
      </c>
    </row>
    <row r="103" spans="1:26">
      <c r="A103" s="699"/>
      <c r="B103" s="699" t="s">
        <v>50</v>
      </c>
      <c r="C103" s="699"/>
      <c r="D103" s="699"/>
      <c r="E103" s="699"/>
      <c r="F103" s="1085">
        <f>+F92*Assumptions!$AD$162*Assumptions!$AD$163*12</f>
        <v>0</v>
      </c>
      <c r="G103" s="1085">
        <f>+G92*Assumptions!$AD$162*Assumptions!$AD$163*12</f>
        <v>0</v>
      </c>
      <c r="H103" s="1085">
        <f>+H92*Assumptions!$AD$162*Assumptions!$AD$163*12</f>
        <v>0</v>
      </c>
      <c r="I103" s="1085">
        <f>+I92*Assumptions!$AD$162*Assumptions!$AD$163*12</f>
        <v>0</v>
      </c>
      <c r="J103" s="1085">
        <f>+J92*Assumptions!$AD$162*Assumptions!$AD$163*12</f>
        <v>0</v>
      </c>
      <c r="K103" s="1085">
        <f>+K92*Assumptions!$AD$162*Assumptions!$AD$163*12</f>
        <v>0</v>
      </c>
      <c r="L103" s="1085">
        <f>+L92*Assumptions!$AD$162*Assumptions!$AD$163*12</f>
        <v>0</v>
      </c>
      <c r="M103" s="1085">
        <f>+M92*Assumptions!$AD$162*Assumptions!$AD$163*12</f>
        <v>0</v>
      </c>
      <c r="N103" s="1085">
        <f>+N92*Assumptions!$AD$162*Assumptions!$AD$163*12</f>
        <v>0</v>
      </c>
      <c r="O103" s="1085">
        <f>+O92*Assumptions!$AD$162*Assumptions!$AD$163*12</f>
        <v>0</v>
      </c>
      <c r="P103" s="1085">
        <f>+P92*Assumptions!$AD$162*Assumptions!$AD$163*12</f>
        <v>0</v>
      </c>
      <c r="Q103" s="1085">
        <f>+Q92*Assumptions!$AD$162*Assumptions!$AD$163*12</f>
        <v>0</v>
      </c>
      <c r="R103" s="1085">
        <f>+R92*Assumptions!$AD$162*Assumptions!$AD$163*12</f>
        <v>0</v>
      </c>
      <c r="S103" s="1085">
        <f>+S92*Assumptions!$AD$162*Assumptions!$AD$163*12</f>
        <v>0</v>
      </c>
      <c r="T103" s="1085">
        <f>+T92*Assumptions!$AD$162*Assumptions!$AD$163*12</f>
        <v>0</v>
      </c>
      <c r="U103" s="1085">
        <f>+U92*Assumptions!$AD$162*Assumptions!$AD$163*12</f>
        <v>0</v>
      </c>
      <c r="V103" s="1085">
        <f>+V92*Assumptions!$AD$162*Assumptions!$AD$163*12</f>
        <v>0</v>
      </c>
      <c r="W103" s="1085">
        <f>+W92*Assumptions!$AD$162*Assumptions!$AD$163*12</f>
        <v>0</v>
      </c>
      <c r="X103" s="1085">
        <f>+X92*Assumptions!$AD$162*Assumptions!$AD$163*12</f>
        <v>0</v>
      </c>
      <c r="Y103" s="1085">
        <f>+Y92*Assumptions!$AD$162*Assumptions!$AD$163*12</f>
        <v>0</v>
      </c>
      <c r="Z103" s="1085">
        <f>+Z92*Assumptions!$AD$162*Assumptions!$AD$163*12</f>
        <v>0</v>
      </c>
    </row>
    <row r="104" spans="1:26">
      <c r="A104" s="699"/>
      <c r="B104" s="699" t="s">
        <v>52</v>
      </c>
      <c r="C104" s="699"/>
      <c r="D104" s="699"/>
      <c r="E104" s="699"/>
      <c r="F104" s="1085">
        <f>+F92*Assumptions!$AD$164*Assumptions!$AD$165*12</f>
        <v>0</v>
      </c>
      <c r="G104" s="1085">
        <f>+G92*Assumptions!$AD$164*Assumptions!$AD$165*12</f>
        <v>0</v>
      </c>
      <c r="H104" s="1085">
        <f>+H92*Assumptions!$AD$164*Assumptions!$AD$165*12</f>
        <v>0</v>
      </c>
      <c r="I104" s="1085">
        <f>+I92*Assumptions!$AD$164*Assumptions!$AD$165*12</f>
        <v>0</v>
      </c>
      <c r="J104" s="1085">
        <f>+J92*Assumptions!$AD$164*Assumptions!$AD$165*12</f>
        <v>0</v>
      </c>
      <c r="K104" s="1085">
        <f>+K92*Assumptions!$AD$164*Assumptions!$AD$165*12</f>
        <v>0</v>
      </c>
      <c r="L104" s="1085">
        <f>+L92*Assumptions!$AD$164*Assumptions!$AD$165*12</f>
        <v>0</v>
      </c>
      <c r="M104" s="1085">
        <f>+M92*Assumptions!$AD$164*Assumptions!$AD$165*12</f>
        <v>0</v>
      </c>
      <c r="N104" s="1085">
        <f>+N92*Assumptions!$AD$164*Assumptions!$AD$165*12</f>
        <v>0</v>
      </c>
      <c r="O104" s="1085">
        <f>+O92*Assumptions!$AD$164*Assumptions!$AD$165*12</f>
        <v>0</v>
      </c>
      <c r="P104" s="1085">
        <f>+P92*Assumptions!$AD$164*Assumptions!$AD$165*12</f>
        <v>0</v>
      </c>
      <c r="Q104" s="1085">
        <f>+Q92*Assumptions!$AD$164*Assumptions!$AD$165*12</f>
        <v>0</v>
      </c>
      <c r="R104" s="1085">
        <f>+R92*Assumptions!$AD$164*Assumptions!$AD$165*12</f>
        <v>0</v>
      </c>
      <c r="S104" s="1085">
        <f>+S92*Assumptions!$AD$164*Assumptions!$AD$165*12</f>
        <v>0</v>
      </c>
      <c r="T104" s="1085">
        <f>+T92*Assumptions!$AD$164*Assumptions!$AD$165*12</f>
        <v>0</v>
      </c>
      <c r="U104" s="1085">
        <f>+U92*Assumptions!$AD$164*Assumptions!$AD$165*12</f>
        <v>0</v>
      </c>
      <c r="V104" s="1085">
        <f>+V92*Assumptions!$AD$164*Assumptions!$AD$165*12</f>
        <v>0</v>
      </c>
      <c r="W104" s="1085">
        <f>+W92*Assumptions!$AD$164*Assumptions!$AD$165*12</f>
        <v>0</v>
      </c>
      <c r="X104" s="1085">
        <f>+X92*Assumptions!$AD$164*Assumptions!$AD$165*12</f>
        <v>0</v>
      </c>
      <c r="Y104" s="1085">
        <f>+Y92*Assumptions!$AD$164*Assumptions!$AD$165*12</f>
        <v>0</v>
      </c>
      <c r="Z104" s="1085">
        <f>+Z92*Assumptions!$AD$164*Assumptions!$AD$165*12</f>
        <v>0</v>
      </c>
    </row>
    <row r="105" spans="1:26">
      <c r="A105" s="699"/>
      <c r="B105" s="52" t="s">
        <v>1131</v>
      </c>
      <c r="C105" s="1052"/>
      <c r="D105" s="1052"/>
      <c r="E105" s="1052"/>
      <c r="F105" s="1086">
        <f t="shared" ref="F105:Z105" si="29">SUM(F98:F104)</f>
        <v>0</v>
      </c>
      <c r="G105" s="1086">
        <f t="shared" si="29"/>
        <v>0</v>
      </c>
      <c r="H105" s="1086">
        <f t="shared" si="29"/>
        <v>0</v>
      </c>
      <c r="I105" s="1086">
        <f t="shared" si="29"/>
        <v>0</v>
      </c>
      <c r="J105" s="1086">
        <f t="shared" si="29"/>
        <v>0</v>
      </c>
      <c r="K105" s="1086">
        <f t="shared" si="29"/>
        <v>0</v>
      </c>
      <c r="L105" s="1086">
        <f t="shared" si="29"/>
        <v>0</v>
      </c>
      <c r="M105" s="1086">
        <f t="shared" si="29"/>
        <v>0</v>
      </c>
      <c r="N105" s="1086">
        <f t="shared" si="29"/>
        <v>0</v>
      </c>
      <c r="O105" s="1086">
        <f t="shared" si="29"/>
        <v>0</v>
      </c>
      <c r="P105" s="1086">
        <f t="shared" si="29"/>
        <v>0</v>
      </c>
      <c r="Q105" s="1086">
        <f t="shared" si="29"/>
        <v>0</v>
      </c>
      <c r="R105" s="1086">
        <f t="shared" si="29"/>
        <v>0</v>
      </c>
      <c r="S105" s="1086">
        <f t="shared" si="29"/>
        <v>0</v>
      </c>
      <c r="T105" s="1086">
        <f t="shared" si="29"/>
        <v>0</v>
      </c>
      <c r="U105" s="1086">
        <f t="shared" si="29"/>
        <v>0</v>
      </c>
      <c r="V105" s="1086">
        <f t="shared" si="29"/>
        <v>0</v>
      </c>
      <c r="W105" s="1086">
        <f t="shared" si="29"/>
        <v>0</v>
      </c>
      <c r="X105" s="1086">
        <f t="shared" si="29"/>
        <v>0</v>
      </c>
      <c r="Y105" s="1086">
        <f t="shared" si="29"/>
        <v>0</v>
      </c>
      <c r="Z105" s="1086">
        <f t="shared" si="29"/>
        <v>0</v>
      </c>
    </row>
    <row r="106" spans="1:26">
      <c r="A106" s="699"/>
      <c r="B106" s="49"/>
      <c r="C106" s="699"/>
      <c r="D106" s="699"/>
      <c r="E106" s="699"/>
      <c r="F106" s="699"/>
      <c r="G106" s="699"/>
      <c r="H106" s="699"/>
      <c r="I106" s="699"/>
      <c r="J106" s="699"/>
      <c r="K106" s="699"/>
      <c r="L106" s="699"/>
      <c r="M106" s="699"/>
      <c r="N106" s="699"/>
      <c r="O106" s="699"/>
      <c r="P106" s="699"/>
      <c r="Q106" s="699"/>
      <c r="R106" s="699"/>
      <c r="S106" s="699"/>
      <c r="T106" s="699"/>
      <c r="U106" s="699"/>
      <c r="V106" s="699"/>
      <c r="W106" s="699"/>
      <c r="X106" s="699"/>
      <c r="Y106" s="699"/>
      <c r="Z106" s="699"/>
    </row>
    <row r="107" spans="1:26">
      <c r="A107" s="699"/>
      <c r="B107" s="699" t="s">
        <v>1132</v>
      </c>
      <c r="C107" s="699"/>
      <c r="D107" s="699"/>
      <c r="E107" s="699"/>
      <c r="F107" s="1087">
        <f>+F92*Assumptions!$P$97*F96</f>
        <v>0</v>
      </c>
      <c r="G107" s="1087">
        <f>+G92*Assumptions!$P$97*G96</f>
        <v>0</v>
      </c>
      <c r="H107" s="1087">
        <f>+H92*Assumptions!$P$97*H96</f>
        <v>0</v>
      </c>
      <c r="I107" s="1087">
        <f>+I92*Assumptions!$P$97*I96</f>
        <v>0</v>
      </c>
      <c r="J107" s="1087">
        <f>+J92*Assumptions!$P$97*J96</f>
        <v>0</v>
      </c>
      <c r="K107" s="1087">
        <f>+K92*Assumptions!$P$97*K96</f>
        <v>0</v>
      </c>
      <c r="L107" s="1087">
        <f>+L92*Assumptions!$P$97*L96</f>
        <v>0</v>
      </c>
      <c r="M107" s="1087">
        <f>+M92*Assumptions!$P$97*M96</f>
        <v>0</v>
      </c>
      <c r="N107" s="1087">
        <f>+N92*Assumptions!$P$97*N96</f>
        <v>0</v>
      </c>
      <c r="O107" s="1087">
        <f>+O92*Assumptions!$P$97*O96</f>
        <v>0</v>
      </c>
      <c r="P107" s="1087">
        <f>+P92*Assumptions!$P$97*P96</f>
        <v>0</v>
      </c>
      <c r="Q107" s="1087">
        <f>+Q92*Assumptions!$P$97*Q96</f>
        <v>0</v>
      </c>
      <c r="R107" s="1087">
        <f>+R92*Assumptions!$P$97*R96</f>
        <v>0</v>
      </c>
      <c r="S107" s="1087">
        <f>+S92*Assumptions!$P$97*S96</f>
        <v>0</v>
      </c>
      <c r="T107" s="1087">
        <f>+T92*Assumptions!$P$97*T96</f>
        <v>0</v>
      </c>
      <c r="U107" s="1087">
        <f>+U92*Assumptions!$P$97*U96</f>
        <v>0</v>
      </c>
      <c r="V107" s="1087">
        <f>+V92*Assumptions!$P$97*V96</f>
        <v>0</v>
      </c>
      <c r="W107" s="1087">
        <f>+W92*Assumptions!$P$97*W96</f>
        <v>0</v>
      </c>
      <c r="X107" s="1087">
        <f>+X92*Assumptions!$P$97*X96</f>
        <v>0</v>
      </c>
      <c r="Y107" s="1087">
        <f>+Y92*Assumptions!$P$97*Y96</f>
        <v>0</v>
      </c>
      <c r="Z107" s="1087">
        <f>+Z92*Assumptions!$P$97*Z96</f>
        <v>0</v>
      </c>
    </row>
    <row r="108" spans="1:26">
      <c r="A108" s="699"/>
      <c r="B108" s="699" t="s">
        <v>1133</v>
      </c>
      <c r="C108" s="699"/>
      <c r="D108" s="699"/>
      <c r="E108" s="699"/>
      <c r="F108" s="1050">
        <f ca="1">+IFERROR(INDEX('Taxes and TIF'!$AS$11:$AS$45,MATCH('Phase 3 Pro Forma'!F$7,'Taxes and TIF'!$AH$11:$AH$45,0)),0)*'Loan Sizing'!$M$31*'Phase 3 Pro Forma'!F93</f>
        <v>0</v>
      </c>
      <c r="G108" s="1050">
        <f ca="1">+IFERROR(INDEX('Taxes and TIF'!$AS$11:$AS$45,MATCH('Phase 3 Pro Forma'!G$7,'Taxes and TIF'!$AH$11:$AH$45,0)),0)*'Loan Sizing'!$M$31*'Phase 3 Pro Forma'!G93</f>
        <v>0</v>
      </c>
      <c r="H108" s="1050">
        <f ca="1">+IFERROR(INDEX('Taxes and TIF'!$AS$11:$AS$45,MATCH('Phase 3 Pro Forma'!H$7,'Taxes and TIF'!$AH$11:$AH$45,0)),0)*'Loan Sizing'!$M$31*'Phase 3 Pro Forma'!H93</f>
        <v>0</v>
      </c>
      <c r="I108" s="1050">
        <f ca="1">+IFERROR(INDEX('Taxes and TIF'!$AS$11:$AS$45,MATCH('Phase 3 Pro Forma'!I$7,'Taxes and TIF'!$AH$11:$AH$45,0)),0)*'Loan Sizing'!$M$31*'Phase 3 Pro Forma'!I93</f>
        <v>0</v>
      </c>
      <c r="J108" s="1050">
        <f ca="1">+IFERROR(INDEX('Taxes and TIF'!$AS$11:$AS$45,MATCH('Phase 3 Pro Forma'!J$7,'Taxes and TIF'!$AH$11:$AH$45,0)),0)*'Loan Sizing'!$M$31*'Phase 3 Pro Forma'!J93</f>
        <v>0</v>
      </c>
      <c r="K108" s="1050">
        <f ca="1">+IFERROR(INDEX('Taxes and TIF'!$AS$11:$AS$45,MATCH('Phase 3 Pro Forma'!K$7,'Taxes and TIF'!$AH$11:$AH$45,0)),0)*'Loan Sizing'!$M$31*'Phase 3 Pro Forma'!K93</f>
        <v>0</v>
      </c>
      <c r="L108" s="1050">
        <f ca="1">+IFERROR(INDEX('Taxes and TIF'!$AS$11:$AS$45,MATCH('Phase 3 Pro Forma'!L$7,'Taxes and TIF'!$AH$11:$AH$45,0)),0)*'Loan Sizing'!$M$31*'Phase 3 Pro Forma'!L93</f>
        <v>0</v>
      </c>
      <c r="M108" s="1050">
        <f ca="1">+IFERROR(INDEX('Taxes and TIF'!$AS$11:$AS$45,MATCH('Phase 3 Pro Forma'!M$7,'Taxes and TIF'!$AH$11:$AH$45,0)),0)*'Loan Sizing'!$M$31*'Phase 3 Pro Forma'!M93</f>
        <v>0</v>
      </c>
      <c r="N108" s="1050">
        <f ca="1">+IFERROR(INDEX('Taxes and TIF'!$AS$11:$AS$45,MATCH('Phase 3 Pro Forma'!N$7,'Taxes and TIF'!$AH$11:$AH$45,0)),0)*'Loan Sizing'!$M$31*'Phase 3 Pro Forma'!N93</f>
        <v>0</v>
      </c>
      <c r="O108" s="1050">
        <f ca="1">+IFERROR(INDEX('Taxes and TIF'!$AS$11:$AS$45,MATCH('Phase 3 Pro Forma'!O$7,'Taxes and TIF'!$AH$11:$AH$45,0)),0)*'Loan Sizing'!$M$31*'Phase 3 Pro Forma'!O93</f>
        <v>0</v>
      </c>
      <c r="P108" s="1050">
        <f ca="1">+IFERROR(INDEX('Taxes and TIF'!$AS$11:$AS$45,MATCH('Phase 3 Pro Forma'!P$7,'Taxes and TIF'!$AH$11:$AH$45,0)),0)*'Loan Sizing'!$M$31*'Phase 3 Pro Forma'!P93</f>
        <v>0</v>
      </c>
      <c r="Q108" s="1050">
        <f ca="1">+IFERROR(INDEX('Taxes and TIF'!$AS$11:$AS$45,MATCH('Phase 3 Pro Forma'!Q$7,'Taxes and TIF'!$AH$11:$AH$45,0)),0)*'Loan Sizing'!$M$31*'Phase 3 Pro Forma'!Q93</f>
        <v>0</v>
      </c>
      <c r="R108" s="1050">
        <f ca="1">+IFERROR(INDEX('Taxes and TIF'!$AS$11:$AS$45,MATCH('Phase 3 Pro Forma'!R$7,'Taxes and TIF'!$AH$11:$AH$45,0)),0)*'Loan Sizing'!$M$31*'Phase 3 Pro Forma'!R93</f>
        <v>0</v>
      </c>
      <c r="S108" s="1050">
        <f ca="1">+IFERROR(INDEX('Taxes and TIF'!$AS$11:$AS$45,MATCH('Phase 3 Pro Forma'!S$7,'Taxes and TIF'!$AH$11:$AH$45,0)),0)*'Loan Sizing'!$M$31*'Phase 3 Pro Forma'!S93</f>
        <v>0</v>
      </c>
      <c r="T108" s="1050">
        <f ca="1">+IFERROR(INDEX('Taxes and TIF'!$AS$11:$AS$45,MATCH('Phase 3 Pro Forma'!T$7,'Taxes and TIF'!$AH$11:$AH$45,0)),0)*'Loan Sizing'!$M$31*'Phase 3 Pro Forma'!T93</f>
        <v>0</v>
      </c>
      <c r="U108" s="1050">
        <f ca="1">+IFERROR(INDEX('Taxes and TIF'!$AS$11:$AS$45,MATCH('Phase 3 Pro Forma'!U$7,'Taxes and TIF'!$AH$11:$AH$45,0)),0)*'Loan Sizing'!$M$31*'Phase 3 Pro Forma'!U93</f>
        <v>0</v>
      </c>
      <c r="V108" s="1050">
        <f ca="1">+IFERROR(INDEX('Taxes and TIF'!$AS$11:$AS$45,MATCH('Phase 3 Pro Forma'!V$7,'Taxes and TIF'!$AH$11:$AH$45,0)),0)*'Loan Sizing'!$M$31*'Phase 3 Pro Forma'!V93</f>
        <v>0</v>
      </c>
      <c r="W108" s="1050">
        <f ca="1">+IFERROR(INDEX('Taxes and TIF'!$AS$11:$AS$45,MATCH('Phase 3 Pro Forma'!W$7,'Taxes and TIF'!$AH$11:$AH$45,0)),0)*'Loan Sizing'!$M$31*'Phase 3 Pro Forma'!W93</f>
        <v>0</v>
      </c>
      <c r="X108" s="1050">
        <f ca="1">+IFERROR(INDEX('Taxes and TIF'!$AS$11:$AS$45,MATCH('Phase 3 Pro Forma'!X$7,'Taxes and TIF'!$AH$11:$AH$45,0)),0)*'Loan Sizing'!$M$31*'Phase 3 Pro Forma'!X93</f>
        <v>0</v>
      </c>
      <c r="Y108" s="1050">
        <f ca="1">+IFERROR(INDEX('Taxes and TIF'!$AS$11:$AS$45,MATCH('Phase 3 Pro Forma'!Y$7,'Taxes and TIF'!$AH$11:$AH$45,0)),0)*'Loan Sizing'!$M$31*'Phase 3 Pro Forma'!Y93</f>
        <v>0</v>
      </c>
      <c r="Z108" s="1050">
        <f ca="1">+IFERROR(INDEX('Taxes and TIF'!$AS$11:$AS$45,MATCH('Phase 3 Pro Forma'!Z$7,'Taxes and TIF'!$AH$11:$AH$45,0)),0)*'Loan Sizing'!$M$31*'Phase 3 Pro Forma'!Z93</f>
        <v>0</v>
      </c>
    </row>
    <row r="109" spans="1:26">
      <c r="A109" s="699"/>
      <c r="B109" s="52" t="s">
        <v>1134</v>
      </c>
      <c r="C109" s="1052"/>
      <c r="D109" s="1052"/>
      <c r="E109" s="1052"/>
      <c r="F109" s="1088">
        <f ca="1">+SUM(F107:F108)</f>
        <v>0</v>
      </c>
      <c r="G109" s="1088">
        <f t="shared" ref="G109:Z109" ca="1" si="30">+SUM(G107:G108)</f>
        <v>0</v>
      </c>
      <c r="H109" s="1088">
        <f t="shared" ca="1" si="30"/>
        <v>0</v>
      </c>
      <c r="I109" s="1088">
        <f t="shared" ca="1" si="30"/>
        <v>0</v>
      </c>
      <c r="J109" s="1088">
        <f t="shared" ca="1" si="30"/>
        <v>0</v>
      </c>
      <c r="K109" s="1088">
        <f t="shared" ca="1" si="30"/>
        <v>0</v>
      </c>
      <c r="L109" s="1088">
        <f t="shared" ca="1" si="30"/>
        <v>0</v>
      </c>
      <c r="M109" s="1088">
        <f t="shared" ca="1" si="30"/>
        <v>0</v>
      </c>
      <c r="N109" s="1088">
        <f t="shared" ca="1" si="30"/>
        <v>0</v>
      </c>
      <c r="O109" s="1088">
        <f t="shared" ca="1" si="30"/>
        <v>0</v>
      </c>
      <c r="P109" s="1088">
        <f t="shared" ca="1" si="30"/>
        <v>0</v>
      </c>
      <c r="Q109" s="1088">
        <f t="shared" ca="1" si="30"/>
        <v>0</v>
      </c>
      <c r="R109" s="1088">
        <f t="shared" ca="1" si="30"/>
        <v>0</v>
      </c>
      <c r="S109" s="1088">
        <f t="shared" ca="1" si="30"/>
        <v>0</v>
      </c>
      <c r="T109" s="1088">
        <f t="shared" ca="1" si="30"/>
        <v>0</v>
      </c>
      <c r="U109" s="1088">
        <f t="shared" ca="1" si="30"/>
        <v>0</v>
      </c>
      <c r="V109" s="1088">
        <f t="shared" ca="1" si="30"/>
        <v>0</v>
      </c>
      <c r="W109" s="1088">
        <f t="shared" ca="1" si="30"/>
        <v>0</v>
      </c>
      <c r="X109" s="1088">
        <f t="shared" ca="1" si="30"/>
        <v>0</v>
      </c>
      <c r="Y109" s="1088">
        <f t="shared" ca="1" si="30"/>
        <v>0</v>
      </c>
      <c r="Z109" s="1088">
        <f t="shared" ca="1" si="30"/>
        <v>0</v>
      </c>
    </row>
    <row r="111" spans="1:26" ht="15.75">
      <c r="A111" s="699"/>
      <c r="B111" s="50" t="s">
        <v>1135</v>
      </c>
      <c r="C111" s="50"/>
      <c r="D111" s="50"/>
      <c r="E111" s="50"/>
      <c r="F111" s="55">
        <f ca="1">+F105-F109</f>
        <v>0</v>
      </c>
      <c r="G111" s="55">
        <f t="shared" ref="G111:Z111" ca="1" si="31">+G105-G109</f>
        <v>0</v>
      </c>
      <c r="H111" s="55">
        <f t="shared" ca="1" si="31"/>
        <v>0</v>
      </c>
      <c r="I111" s="55">
        <f t="shared" ca="1" si="31"/>
        <v>0</v>
      </c>
      <c r="J111" s="55">
        <f t="shared" ca="1" si="31"/>
        <v>0</v>
      </c>
      <c r="K111" s="55">
        <f t="shared" ca="1" si="31"/>
        <v>0</v>
      </c>
      <c r="L111" s="55">
        <f t="shared" ca="1" si="31"/>
        <v>0</v>
      </c>
      <c r="M111" s="55">
        <f t="shared" ca="1" si="31"/>
        <v>0</v>
      </c>
      <c r="N111" s="55">
        <f t="shared" ca="1" si="31"/>
        <v>0</v>
      </c>
      <c r="O111" s="55">
        <f t="shared" ca="1" si="31"/>
        <v>0</v>
      </c>
      <c r="P111" s="55">
        <f t="shared" ca="1" si="31"/>
        <v>0</v>
      </c>
      <c r="Q111" s="55">
        <f t="shared" ca="1" si="31"/>
        <v>0</v>
      </c>
      <c r="R111" s="55">
        <f t="shared" ca="1" si="31"/>
        <v>0</v>
      </c>
      <c r="S111" s="55">
        <f t="shared" ca="1" si="31"/>
        <v>0</v>
      </c>
      <c r="T111" s="55">
        <f t="shared" ca="1" si="31"/>
        <v>0</v>
      </c>
      <c r="U111" s="55">
        <f t="shared" ca="1" si="31"/>
        <v>0</v>
      </c>
      <c r="V111" s="55">
        <f t="shared" ca="1" si="31"/>
        <v>0</v>
      </c>
      <c r="W111" s="55">
        <f t="shared" ca="1" si="31"/>
        <v>0</v>
      </c>
      <c r="X111" s="55">
        <f t="shared" ca="1" si="31"/>
        <v>0</v>
      </c>
      <c r="Y111" s="55">
        <f t="shared" ca="1" si="31"/>
        <v>0</v>
      </c>
      <c r="Z111" s="55">
        <f t="shared" ca="1" si="31"/>
        <v>0</v>
      </c>
    </row>
    <row r="112" spans="1:26">
      <c r="A112" s="699"/>
      <c r="B112" s="51" t="s">
        <v>1136</v>
      </c>
      <c r="C112" s="51"/>
      <c r="D112" s="51"/>
      <c r="E112" s="51"/>
      <c r="F112" s="56" t="str">
        <f ca="1">+IFERROR(F111/F105,"")</f>
        <v/>
      </c>
      <c r="G112" s="56" t="str">
        <f t="shared" ref="G112:Z112" ca="1" si="32">+IFERROR(G111/G105,"")</f>
        <v/>
      </c>
      <c r="H112" s="56" t="str">
        <f t="shared" ca="1" si="32"/>
        <v/>
      </c>
      <c r="I112" s="56" t="str">
        <f t="shared" ca="1" si="32"/>
        <v/>
      </c>
      <c r="J112" s="56" t="str">
        <f t="shared" ca="1" si="32"/>
        <v/>
      </c>
      <c r="K112" s="56" t="str">
        <f t="shared" ca="1" si="32"/>
        <v/>
      </c>
      <c r="L112" s="56" t="str">
        <f t="shared" ca="1" si="32"/>
        <v/>
      </c>
      <c r="M112" s="56" t="str">
        <f t="shared" ca="1" si="32"/>
        <v/>
      </c>
      <c r="N112" s="56" t="str">
        <f t="shared" ca="1" si="32"/>
        <v/>
      </c>
      <c r="O112" s="56" t="str">
        <f t="shared" ca="1" si="32"/>
        <v/>
      </c>
      <c r="P112" s="56" t="str">
        <f t="shared" ca="1" si="32"/>
        <v/>
      </c>
      <c r="Q112" s="56" t="str">
        <f t="shared" ca="1" si="32"/>
        <v/>
      </c>
      <c r="R112" s="56" t="str">
        <f t="shared" ca="1" si="32"/>
        <v/>
      </c>
      <c r="S112" s="56" t="str">
        <f t="shared" ca="1" si="32"/>
        <v/>
      </c>
      <c r="T112" s="56" t="str">
        <f t="shared" ca="1" si="32"/>
        <v/>
      </c>
      <c r="U112" s="56" t="str">
        <f t="shared" ca="1" si="32"/>
        <v/>
      </c>
      <c r="V112" s="56" t="str">
        <f t="shared" ca="1" si="32"/>
        <v/>
      </c>
      <c r="W112" s="56" t="str">
        <f t="shared" ca="1" si="32"/>
        <v/>
      </c>
      <c r="X112" s="56" t="str">
        <f t="shared" ca="1" si="32"/>
        <v/>
      </c>
      <c r="Y112" s="56" t="str">
        <f t="shared" ca="1" si="32"/>
        <v/>
      </c>
      <c r="Z112" s="56" t="str">
        <f t="shared" ca="1" si="32"/>
        <v/>
      </c>
    </row>
    <row r="113" spans="1:26">
      <c r="A113" s="699"/>
      <c r="B113" s="51" t="s">
        <v>1064</v>
      </c>
      <c r="C113" s="51"/>
      <c r="D113" s="51"/>
      <c r="E113" s="51"/>
      <c r="F113" s="57">
        <f ca="1">+F111/Assumptions!$H$45</f>
        <v>0</v>
      </c>
      <c r="G113" s="57">
        <f ca="1">+G111/Assumptions!$H$45</f>
        <v>0</v>
      </c>
      <c r="H113" s="57">
        <f ca="1">+H111/Assumptions!$H$45</f>
        <v>0</v>
      </c>
      <c r="I113" s="57">
        <f ca="1">+I111/Assumptions!$H$45</f>
        <v>0</v>
      </c>
      <c r="J113" s="57">
        <f ca="1">+J111/Assumptions!$H$45</f>
        <v>0</v>
      </c>
      <c r="K113" s="57">
        <f ca="1">+K111/Assumptions!$H$45</f>
        <v>0</v>
      </c>
      <c r="L113" s="57">
        <f ca="1">+L111/Assumptions!$H$45</f>
        <v>0</v>
      </c>
      <c r="M113" s="57">
        <f ca="1">+M111/Assumptions!$H$45</f>
        <v>0</v>
      </c>
      <c r="N113" s="57">
        <f ca="1">+N111/Assumptions!$H$45</f>
        <v>0</v>
      </c>
      <c r="O113" s="57">
        <f ca="1">+O111/Assumptions!$H$45</f>
        <v>0</v>
      </c>
      <c r="P113" s="57">
        <f ca="1">+P111/Assumptions!$H$45</f>
        <v>0</v>
      </c>
      <c r="Q113" s="57">
        <f ca="1">+Q111/Assumptions!$H$45</f>
        <v>0</v>
      </c>
      <c r="R113" s="57">
        <f ca="1">+R111/Assumptions!$H$45</f>
        <v>0</v>
      </c>
      <c r="S113" s="57">
        <f ca="1">+S111/Assumptions!$H$45</f>
        <v>0</v>
      </c>
      <c r="T113" s="57">
        <f ca="1">+T111/Assumptions!$H$45</f>
        <v>0</v>
      </c>
      <c r="U113" s="57">
        <f ca="1">+U111/Assumptions!$H$45</f>
        <v>0</v>
      </c>
      <c r="V113" s="57">
        <f ca="1">+V111/Assumptions!$H$45</f>
        <v>0</v>
      </c>
      <c r="W113" s="57">
        <f ca="1">+W111/Assumptions!$H$45</f>
        <v>0</v>
      </c>
      <c r="X113" s="57">
        <f ca="1">+X111/Assumptions!$H$45</f>
        <v>0</v>
      </c>
      <c r="Y113" s="57">
        <f ca="1">+Y111/Assumptions!$H$45</f>
        <v>0</v>
      </c>
      <c r="Z113" s="57">
        <f ca="1">+Z111/Assumptions!$H$45</f>
        <v>0</v>
      </c>
    </row>
    <row r="115" spans="1:26" ht="15.75">
      <c r="A115" s="699"/>
      <c r="B115" s="53" t="s">
        <v>340</v>
      </c>
      <c r="C115" s="699"/>
      <c r="D115" s="699"/>
      <c r="E115" s="699"/>
      <c r="F115" s="54">
        <f>+Assumptions!$H$27</f>
        <v>47118</v>
      </c>
      <c r="G115" s="54">
        <f>+EOMONTH(F115,12)</f>
        <v>47483</v>
      </c>
      <c r="H115" s="54">
        <f t="shared" ref="H115:Z115" si="33">+EOMONTH(G115,12)</f>
        <v>47848</v>
      </c>
      <c r="I115" s="54">
        <f t="shared" si="33"/>
        <v>48213</v>
      </c>
      <c r="J115" s="54">
        <f t="shared" si="33"/>
        <v>48579</v>
      </c>
      <c r="K115" s="54">
        <f t="shared" si="33"/>
        <v>48944</v>
      </c>
      <c r="L115" s="54">
        <f t="shared" si="33"/>
        <v>49309</v>
      </c>
      <c r="M115" s="54">
        <f t="shared" si="33"/>
        <v>49674</v>
      </c>
      <c r="N115" s="54">
        <f t="shared" si="33"/>
        <v>50040</v>
      </c>
      <c r="O115" s="54">
        <f t="shared" si="33"/>
        <v>50405</v>
      </c>
      <c r="P115" s="54">
        <f t="shared" si="33"/>
        <v>50770</v>
      </c>
      <c r="Q115" s="54">
        <f t="shared" si="33"/>
        <v>51135</v>
      </c>
      <c r="R115" s="54">
        <f t="shared" si="33"/>
        <v>51501</v>
      </c>
      <c r="S115" s="54">
        <f t="shared" si="33"/>
        <v>51866</v>
      </c>
      <c r="T115" s="54">
        <f t="shared" si="33"/>
        <v>52231</v>
      </c>
      <c r="U115" s="54">
        <f t="shared" si="33"/>
        <v>52596</v>
      </c>
      <c r="V115" s="54">
        <f t="shared" si="33"/>
        <v>52962</v>
      </c>
      <c r="W115" s="54">
        <f t="shared" si="33"/>
        <v>53327</v>
      </c>
      <c r="X115" s="54">
        <f t="shared" si="33"/>
        <v>53692</v>
      </c>
      <c r="Y115" s="54">
        <f t="shared" si="33"/>
        <v>54057</v>
      </c>
      <c r="Z115" s="54">
        <f t="shared" si="33"/>
        <v>54423</v>
      </c>
    </row>
    <row r="116" spans="1:26">
      <c r="A116" s="699"/>
      <c r="B116" s="699" t="s">
        <v>1120</v>
      </c>
      <c r="C116" s="699"/>
      <c r="D116" s="699"/>
      <c r="E116" s="1050"/>
      <c r="F116" s="1050">
        <f>+IF(F115=Assumptions!$H$31,Assumptions!$H$228/ROUNDUP((12/12),0),)</f>
        <v>0</v>
      </c>
      <c r="G116" s="1050">
        <f>+IF(G115=Assumptions!$H$31,Assumptions!$H$228/ROUNDUP((12/12),0),)</f>
        <v>0</v>
      </c>
      <c r="H116" s="1050">
        <f>+IF(H115=Assumptions!$H$31,Assumptions!$H$228/ROUNDUP((12/12),0),)</f>
        <v>0</v>
      </c>
      <c r="I116" s="1050">
        <f>+IF(I115=Assumptions!$H$31,Assumptions!$H$228/ROUNDUP((12/12),0),)</f>
        <v>0</v>
      </c>
      <c r="J116" s="1050">
        <f>+IF(J115=Assumptions!$H$31,Assumptions!$H$228/ROUNDUP((12/12),0),)</f>
        <v>0</v>
      </c>
      <c r="K116" s="1050">
        <f>+IF(K115=Assumptions!$H$31,Assumptions!$H$228/ROUNDUP((12/12),0),)</f>
        <v>0</v>
      </c>
      <c r="L116" s="1050">
        <f>+IF(L115=Assumptions!$H$31,Assumptions!$H$228/ROUNDUP((12/12),0),)</f>
        <v>0</v>
      </c>
      <c r="M116" s="1050">
        <f>+IF(M115=Assumptions!$H$31,Assumptions!$H$228/ROUNDUP((12/12),0),)</f>
        <v>0</v>
      </c>
      <c r="N116" s="1050">
        <f>+IF(N115=Assumptions!$H$31,Assumptions!$H$228/ROUNDUP((12/12),0),)</f>
        <v>0</v>
      </c>
      <c r="O116" s="1050">
        <f>+IF(O115=Assumptions!$H$31,Assumptions!$H$228/ROUNDUP((12/12),0),)</f>
        <v>0</v>
      </c>
      <c r="P116" s="1050">
        <f>+IF(P115=Assumptions!$H$31,Assumptions!$H$228/ROUNDUP((12/12),0),)</f>
        <v>0</v>
      </c>
      <c r="Q116" s="1050">
        <f>+IF(Q115=Assumptions!$H$31,Assumptions!$H$228/ROUNDUP((12/12),0),)</f>
        <v>0</v>
      </c>
      <c r="R116" s="1050">
        <f>+IF(R115=Assumptions!$H$31,Assumptions!$H$228/ROUNDUP((12/12),0),)</f>
        <v>0</v>
      </c>
      <c r="S116" s="1050">
        <f>+IF(S115=Assumptions!$H$31,Assumptions!$H$228/ROUNDUP((12/12),0),)</f>
        <v>0</v>
      </c>
      <c r="T116" s="1050">
        <f>+IF(T115=Assumptions!$H$31,Assumptions!$H$228/ROUNDUP((12/12),0),)</f>
        <v>0</v>
      </c>
      <c r="U116" s="1050">
        <f>+IF(U115=Assumptions!$H$31,Assumptions!$H$228/ROUNDUP((12/12),0),)</f>
        <v>0</v>
      </c>
      <c r="V116" s="1050">
        <f>+IF(V115=Assumptions!$H$31,Assumptions!$H$228/ROUNDUP((12/12),0),)</f>
        <v>0</v>
      </c>
      <c r="W116" s="1050">
        <f>+IF(W115=Assumptions!$H$31,Assumptions!$H$228/ROUNDUP((12/12),0),)</f>
        <v>0</v>
      </c>
      <c r="X116" s="1050">
        <f>+IF(X115=Assumptions!$H$31,Assumptions!$H$228/ROUNDUP((12/12),0),)</f>
        <v>0</v>
      </c>
      <c r="Y116" s="1050">
        <f>+IF(Y115=Assumptions!$H$31,Assumptions!$H$228/ROUNDUP((12/12),0),)</f>
        <v>0</v>
      </c>
      <c r="Z116" s="1050">
        <f>+IF(Z115=Assumptions!$H$31,Assumptions!$H$228/ROUNDUP((12/12),0),)</f>
        <v>0</v>
      </c>
    </row>
    <row r="117" spans="1:26">
      <c r="A117" s="699"/>
      <c r="B117" s="699" t="s">
        <v>1121</v>
      </c>
      <c r="C117" s="699"/>
      <c r="D117" s="699"/>
      <c r="E117" s="1050">
        <v>0</v>
      </c>
      <c r="F117" s="1050">
        <f>+E117+F116</f>
        <v>0</v>
      </c>
      <c r="G117" s="1050">
        <f t="shared" ref="G117:Z117" si="34">+F117+G116</f>
        <v>0</v>
      </c>
      <c r="H117" s="1050">
        <f t="shared" si="34"/>
        <v>0</v>
      </c>
      <c r="I117" s="1050">
        <f t="shared" si="34"/>
        <v>0</v>
      </c>
      <c r="J117" s="1050">
        <f t="shared" si="34"/>
        <v>0</v>
      </c>
      <c r="K117" s="1050">
        <f t="shared" si="34"/>
        <v>0</v>
      </c>
      <c r="L117" s="1050">
        <f t="shared" si="34"/>
        <v>0</v>
      </c>
      <c r="M117" s="1050">
        <f t="shared" si="34"/>
        <v>0</v>
      </c>
      <c r="N117" s="1050">
        <f t="shared" si="34"/>
        <v>0</v>
      </c>
      <c r="O117" s="1050">
        <f t="shared" si="34"/>
        <v>0</v>
      </c>
      <c r="P117" s="1050">
        <f t="shared" si="34"/>
        <v>0</v>
      </c>
      <c r="Q117" s="1050">
        <f t="shared" si="34"/>
        <v>0</v>
      </c>
      <c r="R117" s="1050">
        <f t="shared" si="34"/>
        <v>0</v>
      </c>
      <c r="S117" s="1050">
        <f t="shared" si="34"/>
        <v>0</v>
      </c>
      <c r="T117" s="1050">
        <f t="shared" si="34"/>
        <v>0</v>
      </c>
      <c r="U117" s="1050">
        <f t="shared" si="34"/>
        <v>0</v>
      </c>
      <c r="V117" s="1050">
        <f t="shared" si="34"/>
        <v>0</v>
      </c>
      <c r="W117" s="1050">
        <f t="shared" si="34"/>
        <v>0</v>
      </c>
      <c r="X117" s="1050">
        <f t="shared" si="34"/>
        <v>0</v>
      </c>
      <c r="Y117" s="1050">
        <f t="shared" si="34"/>
        <v>0</v>
      </c>
      <c r="Z117" s="1050">
        <f t="shared" si="34"/>
        <v>0</v>
      </c>
    </row>
    <row r="118" spans="1:26">
      <c r="A118" s="699"/>
      <c r="B118" s="699" t="s">
        <v>1123</v>
      </c>
      <c r="C118" s="699"/>
      <c r="D118" s="699"/>
      <c r="E118" s="699"/>
      <c r="F118" s="1084">
        <f>+F119-E119</f>
        <v>0</v>
      </c>
      <c r="G118" s="1084">
        <f t="shared" ref="G118:Z118" si="35">+G119-F119</f>
        <v>0</v>
      </c>
      <c r="H118" s="1084">
        <f t="shared" si="35"/>
        <v>0</v>
      </c>
      <c r="I118" s="1084">
        <f t="shared" si="35"/>
        <v>0</v>
      </c>
      <c r="J118" s="1084">
        <f t="shared" si="35"/>
        <v>0</v>
      </c>
      <c r="K118" s="1084">
        <f t="shared" si="35"/>
        <v>0</v>
      </c>
      <c r="L118" s="1084">
        <f t="shared" si="35"/>
        <v>0</v>
      </c>
      <c r="M118" s="1084">
        <f t="shared" si="35"/>
        <v>0</v>
      </c>
      <c r="N118" s="1084">
        <f t="shared" si="35"/>
        <v>0</v>
      </c>
      <c r="O118" s="1084">
        <f t="shared" si="35"/>
        <v>0</v>
      </c>
      <c r="P118" s="1084">
        <f t="shared" si="35"/>
        <v>0</v>
      </c>
      <c r="Q118" s="1084">
        <f t="shared" si="35"/>
        <v>0</v>
      </c>
      <c r="R118" s="1084">
        <f t="shared" si="35"/>
        <v>0</v>
      </c>
      <c r="S118" s="1084">
        <f t="shared" si="35"/>
        <v>0</v>
      </c>
      <c r="T118" s="1084">
        <f t="shared" si="35"/>
        <v>0</v>
      </c>
      <c r="U118" s="1084">
        <f t="shared" si="35"/>
        <v>0</v>
      </c>
      <c r="V118" s="1084">
        <f t="shared" si="35"/>
        <v>0</v>
      </c>
      <c r="W118" s="1084">
        <f t="shared" si="35"/>
        <v>0</v>
      </c>
      <c r="X118" s="1084">
        <f t="shared" si="35"/>
        <v>0</v>
      </c>
      <c r="Y118" s="1084">
        <f t="shared" si="35"/>
        <v>0</v>
      </c>
      <c r="Z118" s="1084">
        <f t="shared" si="35"/>
        <v>0</v>
      </c>
    </row>
    <row r="119" spans="1:26">
      <c r="A119" s="699"/>
      <c r="B119" s="699" t="s">
        <v>1124</v>
      </c>
      <c r="C119" s="699"/>
      <c r="D119" s="699"/>
      <c r="E119" s="699"/>
      <c r="F119" s="1084">
        <f>+F120*Assumptions!$H$229</f>
        <v>0</v>
      </c>
      <c r="G119" s="1084">
        <f>+G120*Assumptions!$H$229</f>
        <v>0</v>
      </c>
      <c r="H119" s="1084">
        <f>+H120*Assumptions!$H$229</f>
        <v>0</v>
      </c>
      <c r="I119" s="1084">
        <f>+I120*Assumptions!$H$229</f>
        <v>0</v>
      </c>
      <c r="J119" s="1084">
        <f>+J120*Assumptions!$H$229</f>
        <v>0</v>
      </c>
      <c r="K119" s="1084">
        <f>+K120*Assumptions!$H$229</f>
        <v>0</v>
      </c>
      <c r="L119" s="1084">
        <f>+L120*Assumptions!$H$229</f>
        <v>0</v>
      </c>
      <c r="M119" s="1084">
        <f>+M120*Assumptions!$H$229</f>
        <v>0</v>
      </c>
      <c r="N119" s="1084">
        <f>+N120*Assumptions!$H$229</f>
        <v>0</v>
      </c>
      <c r="O119" s="1084">
        <f>+O120*Assumptions!$H$229</f>
        <v>0</v>
      </c>
      <c r="P119" s="1084">
        <f>+P120*Assumptions!$H$229</f>
        <v>0</v>
      </c>
      <c r="Q119" s="1084">
        <f>+Q120*Assumptions!$H$229</f>
        <v>0</v>
      </c>
      <c r="R119" s="1084">
        <f>+R120*Assumptions!$H$229</f>
        <v>0</v>
      </c>
      <c r="S119" s="1084">
        <f>+S120*Assumptions!$H$229</f>
        <v>0</v>
      </c>
      <c r="T119" s="1084">
        <f>+T120*Assumptions!$H$229</f>
        <v>0</v>
      </c>
      <c r="U119" s="1084">
        <f>+U120*Assumptions!$H$229</f>
        <v>0</v>
      </c>
      <c r="V119" s="1084">
        <f>+V120*Assumptions!$H$229</f>
        <v>0</v>
      </c>
      <c r="W119" s="1084">
        <f>+W120*Assumptions!$H$229</f>
        <v>0</v>
      </c>
      <c r="X119" s="1084">
        <f>+X120*Assumptions!$H$229</f>
        <v>0</v>
      </c>
      <c r="Y119" s="1084">
        <f>+Y120*Assumptions!$H$229</f>
        <v>0</v>
      </c>
      <c r="Z119" s="1084">
        <f>+Z120*Assumptions!$H$229</f>
        <v>0</v>
      </c>
    </row>
    <row r="120" spans="1:26">
      <c r="A120" s="699"/>
      <c r="B120" s="699" t="s">
        <v>1125</v>
      </c>
      <c r="C120" s="699"/>
      <c r="D120" s="699"/>
      <c r="E120" s="699"/>
      <c r="F120" s="1074">
        <f>+IFERROR(F117/SUM($F116:$Z116),0)</f>
        <v>0</v>
      </c>
      <c r="G120" s="1074">
        <f t="shared" ref="G120:Z120" si="36">+IFERROR(G117/SUM($F116:$Z116),0)</f>
        <v>0</v>
      </c>
      <c r="H120" s="1074">
        <f t="shared" si="36"/>
        <v>0</v>
      </c>
      <c r="I120" s="1074">
        <f t="shared" si="36"/>
        <v>0</v>
      </c>
      <c r="J120" s="1074">
        <f t="shared" si="36"/>
        <v>0</v>
      </c>
      <c r="K120" s="1074">
        <f t="shared" si="36"/>
        <v>0</v>
      </c>
      <c r="L120" s="1074">
        <f t="shared" si="36"/>
        <v>0</v>
      </c>
      <c r="M120" s="1074">
        <f t="shared" si="36"/>
        <v>0</v>
      </c>
      <c r="N120" s="1074">
        <f t="shared" si="36"/>
        <v>0</v>
      </c>
      <c r="O120" s="1074">
        <f t="shared" si="36"/>
        <v>0</v>
      </c>
      <c r="P120" s="1074">
        <f t="shared" si="36"/>
        <v>0</v>
      </c>
      <c r="Q120" s="1074">
        <f t="shared" si="36"/>
        <v>0</v>
      </c>
      <c r="R120" s="1074">
        <f t="shared" si="36"/>
        <v>0</v>
      </c>
      <c r="S120" s="1074">
        <f t="shared" si="36"/>
        <v>0</v>
      </c>
      <c r="T120" s="1074">
        <f t="shared" si="36"/>
        <v>0</v>
      </c>
      <c r="U120" s="1074">
        <f t="shared" si="36"/>
        <v>0</v>
      </c>
      <c r="V120" s="1074">
        <f t="shared" si="36"/>
        <v>0</v>
      </c>
      <c r="W120" s="1074">
        <f t="shared" si="36"/>
        <v>0</v>
      </c>
      <c r="X120" s="1074">
        <f t="shared" si="36"/>
        <v>0</v>
      </c>
      <c r="Y120" s="1074">
        <f t="shared" si="36"/>
        <v>0</v>
      </c>
      <c r="Z120" s="1074">
        <f t="shared" si="36"/>
        <v>0</v>
      </c>
    </row>
    <row r="122" spans="1:26">
      <c r="A122" s="699"/>
      <c r="B122" s="699" t="s">
        <v>1126</v>
      </c>
      <c r="C122" s="699"/>
      <c r="D122" s="699"/>
      <c r="E122" s="699"/>
      <c r="F122" s="1074">
        <v>1</v>
      </c>
      <c r="G122" s="1074">
        <f>+F122*(1+Assumptions!$AR$86)</f>
        <v>1.03</v>
      </c>
      <c r="H122" s="1074">
        <f>+G122*(1+Assumptions!$AR$86)</f>
        <v>1.0609</v>
      </c>
      <c r="I122" s="1074">
        <f>+H122*(1+Assumptions!$AR$86)</f>
        <v>1.092727</v>
      </c>
      <c r="J122" s="1074">
        <f>+I122*(1+Assumptions!$AR$86)</f>
        <v>1.1255088100000001</v>
      </c>
      <c r="K122" s="1074">
        <f>+J122*(1+Assumptions!$AR$86)</f>
        <v>1.1592740743000001</v>
      </c>
      <c r="L122" s="1074">
        <f>+K122*(1+Assumptions!$AR$86)</f>
        <v>1.1940522965290001</v>
      </c>
      <c r="M122" s="1074">
        <f>+L122*(1+Assumptions!$AR$86)</f>
        <v>1.2298738654248702</v>
      </c>
      <c r="N122" s="1074">
        <f>+M122*(1+Assumptions!$AR$86)</f>
        <v>1.2667700813876164</v>
      </c>
      <c r="O122" s="1074">
        <f>+N122*(1+Assumptions!$AR$86)</f>
        <v>1.3047731838292449</v>
      </c>
      <c r="P122" s="1074">
        <f>+O122*(1+Assumptions!$AR$86)</f>
        <v>1.3439163793441222</v>
      </c>
      <c r="Q122" s="1074">
        <f>+P122*(1+Assumptions!$AR$86)</f>
        <v>1.3842338707244459</v>
      </c>
      <c r="R122" s="1074">
        <f>+Q122*(1+Assumptions!$AR$86)</f>
        <v>1.4257608868461793</v>
      </c>
      <c r="S122" s="1074">
        <f>+R122*(1+Assumptions!$AR$86)</f>
        <v>1.4685337134515648</v>
      </c>
      <c r="T122" s="1074">
        <f>+S122*(1+Assumptions!$AR$86)</f>
        <v>1.5125897248551119</v>
      </c>
      <c r="U122" s="1074">
        <f>+T122*(1+Assumptions!$AR$86)</f>
        <v>1.5579674166007653</v>
      </c>
      <c r="V122" s="1074">
        <f>+U122*(1+Assumptions!$AR$86)</f>
        <v>1.6047064390987884</v>
      </c>
      <c r="W122" s="1074">
        <f>+V122*(1+Assumptions!$AR$86)</f>
        <v>1.652847632271752</v>
      </c>
      <c r="X122" s="1074">
        <f>+W122*(1+Assumptions!$AR$86)</f>
        <v>1.7024330612399046</v>
      </c>
      <c r="Y122" s="1074">
        <f>+X122*(1+Assumptions!$AR$86)</f>
        <v>1.7535060530771018</v>
      </c>
      <c r="Z122" s="1074">
        <f>+Y122*(1+Assumptions!$AR$86)</f>
        <v>1.806111234669415</v>
      </c>
    </row>
    <row r="123" spans="1:26">
      <c r="A123" s="699" t="s">
        <v>881</v>
      </c>
      <c r="B123" s="699" t="s">
        <v>1127</v>
      </c>
      <c r="C123" s="699"/>
      <c r="D123" s="699"/>
      <c r="E123" s="699"/>
      <c r="F123" s="1074">
        <v>1</v>
      </c>
      <c r="G123" s="1074">
        <f>+F123*(1+Assumptions!$AR$97)</f>
        <v>1.03</v>
      </c>
      <c r="H123" s="1074">
        <f>+G123*(1+Assumptions!$AR$97)</f>
        <v>1.0609</v>
      </c>
      <c r="I123" s="1074">
        <f>+H123*(1+Assumptions!$AR$97)</f>
        <v>1.092727</v>
      </c>
      <c r="J123" s="1074">
        <f>+I123*(1+Assumptions!$AR$97)</f>
        <v>1.1255088100000001</v>
      </c>
      <c r="K123" s="1074">
        <f>+J123*(1+Assumptions!$AR$97)</f>
        <v>1.1592740743000001</v>
      </c>
      <c r="L123" s="1074">
        <f>+K123*(1+Assumptions!$AR$97)</f>
        <v>1.1940522965290001</v>
      </c>
      <c r="M123" s="1074">
        <f>+L123*(1+Assumptions!$AR$97)</f>
        <v>1.2298738654248702</v>
      </c>
      <c r="N123" s="1074">
        <f>+M123*(1+Assumptions!$AR$97)</f>
        <v>1.2667700813876164</v>
      </c>
      <c r="O123" s="1074">
        <f>+N123*(1+Assumptions!$AR$97)</f>
        <v>1.3047731838292449</v>
      </c>
      <c r="P123" s="1074">
        <f>+O123*(1+Assumptions!$AR$97)</f>
        <v>1.3439163793441222</v>
      </c>
      <c r="Q123" s="1074">
        <f>+P123*(1+Assumptions!$AR$97)</f>
        <v>1.3842338707244459</v>
      </c>
      <c r="R123" s="1074">
        <f>+Q123*(1+Assumptions!$AR$97)</f>
        <v>1.4257608868461793</v>
      </c>
      <c r="S123" s="1074">
        <f>+R123*(1+Assumptions!$AR$97)</f>
        <v>1.4685337134515648</v>
      </c>
      <c r="T123" s="1074">
        <f>+S123*(1+Assumptions!$AR$97)</f>
        <v>1.5125897248551119</v>
      </c>
      <c r="U123" s="1074">
        <f>+T123*(1+Assumptions!$AR$97)</f>
        <v>1.5579674166007653</v>
      </c>
      <c r="V123" s="1074">
        <f>+U123*(1+Assumptions!$AR$97)</f>
        <v>1.6047064390987884</v>
      </c>
      <c r="W123" s="1074">
        <f>+V123*(1+Assumptions!$AR$97)</f>
        <v>1.652847632271752</v>
      </c>
      <c r="X123" s="1074">
        <f>+W123*(1+Assumptions!$AR$97)</f>
        <v>1.7024330612399046</v>
      </c>
      <c r="Y123" s="1074">
        <f>+X123*(1+Assumptions!$AR$97)</f>
        <v>1.7535060530771018</v>
      </c>
      <c r="Z123" s="1074">
        <f>+Y123*(1+Assumptions!$AR$97)</f>
        <v>1.806111234669415</v>
      </c>
    </row>
    <row r="125" spans="1:26">
      <c r="A125" s="699"/>
      <c r="B125" s="699" t="s">
        <v>1128</v>
      </c>
      <c r="C125" s="699"/>
      <c r="D125" s="699"/>
      <c r="E125" s="699"/>
      <c r="F125" s="1028">
        <f>+F120*Assumptions!$H$227*F122</f>
        <v>0</v>
      </c>
      <c r="G125" s="1028">
        <f>+G120*Assumptions!$H$227*G122</f>
        <v>0</v>
      </c>
      <c r="H125" s="1028">
        <f>+H120*Assumptions!$H$227*H122</f>
        <v>0</v>
      </c>
      <c r="I125" s="1028">
        <f>+I120*Assumptions!$H$227*I122</f>
        <v>0</v>
      </c>
      <c r="J125" s="1028">
        <f>+J120*Assumptions!$H$227*J122</f>
        <v>0</v>
      </c>
      <c r="K125" s="1028">
        <f>+K120*Assumptions!$H$227*K122</f>
        <v>0</v>
      </c>
      <c r="L125" s="1028">
        <f>+L120*Assumptions!$H$227*L122</f>
        <v>0</v>
      </c>
      <c r="M125" s="1028">
        <f>+M120*Assumptions!$H$227*M122</f>
        <v>0</v>
      </c>
      <c r="N125" s="1028">
        <f>+N120*Assumptions!$H$227*N122</f>
        <v>0</v>
      </c>
      <c r="O125" s="1028">
        <f>+O120*Assumptions!$H$227*O122</f>
        <v>0</v>
      </c>
      <c r="P125" s="1028">
        <f>+P120*Assumptions!$H$227*P122</f>
        <v>0</v>
      </c>
      <c r="Q125" s="1028">
        <f>+Q120*Assumptions!$H$227*Q122</f>
        <v>0</v>
      </c>
      <c r="R125" s="1028">
        <f>+R120*Assumptions!$H$227*R122</f>
        <v>0</v>
      </c>
      <c r="S125" s="1028">
        <f>+S120*Assumptions!$H$227*S122</f>
        <v>0</v>
      </c>
      <c r="T125" s="1028">
        <f>+T120*Assumptions!$H$227*T122</f>
        <v>0</v>
      </c>
      <c r="U125" s="1028">
        <f>+U120*Assumptions!$H$227*U122</f>
        <v>0</v>
      </c>
      <c r="V125" s="1028">
        <f>+V120*Assumptions!$H$227*V122</f>
        <v>0</v>
      </c>
      <c r="W125" s="1028">
        <f>+W120*Assumptions!$H$227*W122</f>
        <v>0</v>
      </c>
      <c r="X125" s="1028">
        <f>+X120*Assumptions!$H$227*X122</f>
        <v>0</v>
      </c>
      <c r="Y125" s="1028">
        <f>+Y120*Assumptions!$H$227*Y122</f>
        <v>0</v>
      </c>
      <c r="Z125" s="1028">
        <f>+Z120*Assumptions!$H$227*Z122</f>
        <v>0</v>
      </c>
    </row>
    <row r="126" spans="1:26">
      <c r="A126" s="699"/>
      <c r="B126" s="699" t="s">
        <v>1129</v>
      </c>
      <c r="C126" s="699"/>
      <c r="D126" s="699"/>
      <c r="E126" s="699"/>
      <c r="F126" s="1085">
        <f>-Assumptions!$E$99*'Phase 3 Pro Forma'!F125</f>
        <v>0</v>
      </c>
      <c r="G126" s="1085">
        <f>-Assumptions!$E$99*'Phase 3 Pro Forma'!G125</f>
        <v>0</v>
      </c>
      <c r="H126" s="1085">
        <f>-Assumptions!$E$99*'Phase 3 Pro Forma'!H125</f>
        <v>0</v>
      </c>
      <c r="I126" s="1085">
        <f>-Assumptions!$E$99*'Phase 3 Pro Forma'!I125</f>
        <v>0</v>
      </c>
      <c r="J126" s="1085">
        <f>-Assumptions!$E$99*'Phase 3 Pro Forma'!J125</f>
        <v>0</v>
      </c>
      <c r="K126" s="1085">
        <f>-Assumptions!$E$99*'Phase 3 Pro Forma'!K125</f>
        <v>0</v>
      </c>
      <c r="L126" s="1085">
        <f>-Assumptions!$E$99*'Phase 3 Pro Forma'!L125</f>
        <v>0</v>
      </c>
      <c r="M126" s="1085">
        <f>-Assumptions!$E$99*'Phase 3 Pro Forma'!M125</f>
        <v>0</v>
      </c>
      <c r="N126" s="1085">
        <f>-Assumptions!$E$99*'Phase 3 Pro Forma'!N125</f>
        <v>0</v>
      </c>
      <c r="O126" s="1085">
        <f>-Assumptions!$E$99*'Phase 3 Pro Forma'!O125</f>
        <v>0</v>
      </c>
      <c r="P126" s="1085">
        <f>-Assumptions!$E$99*'Phase 3 Pro Forma'!P125</f>
        <v>0</v>
      </c>
      <c r="Q126" s="1085">
        <f>-Assumptions!$E$99*'Phase 3 Pro Forma'!Q125</f>
        <v>0</v>
      </c>
      <c r="R126" s="1085">
        <f>-Assumptions!$E$99*'Phase 3 Pro Forma'!R125</f>
        <v>0</v>
      </c>
      <c r="S126" s="1085">
        <f>-Assumptions!$E$99*'Phase 3 Pro Forma'!S125</f>
        <v>0</v>
      </c>
      <c r="T126" s="1085">
        <f>-Assumptions!$E$99*'Phase 3 Pro Forma'!T125</f>
        <v>0</v>
      </c>
      <c r="U126" s="1085">
        <f>-Assumptions!$E$99*'Phase 3 Pro Forma'!U125</f>
        <v>0</v>
      </c>
      <c r="V126" s="1085">
        <f>-Assumptions!$E$99*'Phase 3 Pro Forma'!V125</f>
        <v>0</v>
      </c>
      <c r="W126" s="1085">
        <f>-Assumptions!$E$99*'Phase 3 Pro Forma'!W125</f>
        <v>0</v>
      </c>
      <c r="X126" s="1085">
        <f>-Assumptions!$E$99*'Phase 3 Pro Forma'!X125</f>
        <v>0</v>
      </c>
      <c r="Y126" s="1085">
        <f>-Assumptions!$E$99*'Phase 3 Pro Forma'!Y125</f>
        <v>0</v>
      </c>
      <c r="Z126" s="1085">
        <f>-Assumptions!$E$99*'Phase 3 Pro Forma'!Z125</f>
        <v>0</v>
      </c>
    </row>
    <row r="127" spans="1:26">
      <c r="A127" s="699"/>
      <c r="B127" s="699" t="s">
        <v>1130</v>
      </c>
      <c r="C127" s="699"/>
      <c r="D127" s="699"/>
      <c r="E127" s="699"/>
      <c r="F127" s="1085">
        <f>-F125*Assumptions!$AR$77</f>
        <v>0</v>
      </c>
      <c r="G127" s="1085">
        <f>-G125*Assumptions!$AR$77</f>
        <v>0</v>
      </c>
      <c r="H127" s="1085">
        <f>-H125*Assumptions!$AR$77</f>
        <v>0</v>
      </c>
      <c r="I127" s="1085">
        <f>-I125*Assumptions!$AR$77</f>
        <v>0</v>
      </c>
      <c r="J127" s="1085">
        <f>-J125*Assumptions!$AR$77</f>
        <v>0</v>
      </c>
      <c r="K127" s="1085">
        <f>-K125*Assumptions!$AR$77</f>
        <v>0</v>
      </c>
      <c r="L127" s="1085">
        <f>-L125*Assumptions!$AR$77</f>
        <v>0</v>
      </c>
      <c r="M127" s="1085">
        <f>-M125*Assumptions!$AR$77</f>
        <v>0</v>
      </c>
      <c r="N127" s="1085">
        <f>-N125*Assumptions!$AR$77</f>
        <v>0</v>
      </c>
      <c r="O127" s="1085">
        <f>-O125*Assumptions!$AR$77</f>
        <v>0</v>
      </c>
      <c r="P127" s="1085">
        <f>-P125*Assumptions!$AR$77</f>
        <v>0</v>
      </c>
      <c r="Q127" s="1085">
        <f>-Q125*Assumptions!$AR$77</f>
        <v>0</v>
      </c>
      <c r="R127" s="1085">
        <f>-R125*Assumptions!$AR$77</f>
        <v>0</v>
      </c>
      <c r="S127" s="1085">
        <f>-S125*Assumptions!$AR$77</f>
        <v>0</v>
      </c>
      <c r="T127" s="1085">
        <f>-T125*Assumptions!$AR$77</f>
        <v>0</v>
      </c>
      <c r="U127" s="1085">
        <f>-U125*Assumptions!$AR$77</f>
        <v>0</v>
      </c>
      <c r="V127" s="1085">
        <f>-V125*Assumptions!$AR$77</f>
        <v>0</v>
      </c>
      <c r="W127" s="1085">
        <f>-W125*Assumptions!$AR$77</f>
        <v>0</v>
      </c>
      <c r="X127" s="1085">
        <f>-X125*Assumptions!$AR$77</f>
        <v>0</v>
      </c>
      <c r="Y127" s="1085">
        <f>-Y125*Assumptions!$AR$77</f>
        <v>0</v>
      </c>
      <c r="Z127" s="1085">
        <f>-Z125*Assumptions!$AR$77</f>
        <v>0</v>
      </c>
    </row>
    <row r="128" spans="1:26">
      <c r="A128" s="699"/>
      <c r="B128" s="699" t="s">
        <v>675</v>
      </c>
      <c r="C128" s="699"/>
      <c r="D128" s="699"/>
      <c r="E128" s="699"/>
      <c r="F128" s="1085">
        <f>+F119*Assumptions!$AG$158*(1-Assumptions!$AR$77)*12</f>
        <v>0</v>
      </c>
      <c r="G128" s="1085">
        <f>+G119*Assumptions!$AG$158*(1-Assumptions!$AR$77)*12</f>
        <v>0</v>
      </c>
      <c r="H128" s="1085">
        <f>+H119*Assumptions!$AG$158*(1-Assumptions!$AR$77)*12</f>
        <v>0</v>
      </c>
      <c r="I128" s="1085">
        <f>+I119*Assumptions!$AG$158*(1-Assumptions!$AR$77)*12</f>
        <v>0</v>
      </c>
      <c r="J128" s="1085">
        <f>+J119*Assumptions!$AG$158*(1-Assumptions!$AR$77)*12</f>
        <v>0</v>
      </c>
      <c r="K128" s="1085">
        <f>+K119*Assumptions!$AG$158*(1-Assumptions!$AR$77)*12</f>
        <v>0</v>
      </c>
      <c r="L128" s="1085">
        <f>+L119*Assumptions!$AG$158*(1-Assumptions!$AR$77)*12</f>
        <v>0</v>
      </c>
      <c r="M128" s="1085">
        <f>+M119*Assumptions!$AG$158*(1-Assumptions!$AR$77)*12</f>
        <v>0</v>
      </c>
      <c r="N128" s="1085">
        <f>+N119*Assumptions!$AG$158*(1-Assumptions!$AR$77)*12</f>
        <v>0</v>
      </c>
      <c r="O128" s="1085">
        <f>+O119*Assumptions!$AG$158*(1-Assumptions!$AR$77)*12</f>
        <v>0</v>
      </c>
      <c r="P128" s="1085">
        <f>+P119*Assumptions!$AG$158*(1-Assumptions!$AR$77)*12</f>
        <v>0</v>
      </c>
      <c r="Q128" s="1085">
        <f>+Q119*Assumptions!$AG$158*(1-Assumptions!$AR$77)*12</f>
        <v>0</v>
      </c>
      <c r="R128" s="1085">
        <f>+R119*Assumptions!$AG$158*(1-Assumptions!$AR$77)*12</f>
        <v>0</v>
      </c>
      <c r="S128" s="1085">
        <f>+S119*Assumptions!$AG$158*(1-Assumptions!$AR$77)*12</f>
        <v>0</v>
      </c>
      <c r="T128" s="1085">
        <f>+T119*Assumptions!$AG$158*(1-Assumptions!$AR$77)*12</f>
        <v>0</v>
      </c>
      <c r="U128" s="1085">
        <f>+U119*Assumptions!$AG$158*(1-Assumptions!$AR$77)*12</f>
        <v>0</v>
      </c>
      <c r="V128" s="1085">
        <f>+V119*Assumptions!$AG$158*(1-Assumptions!$AR$77)*12</f>
        <v>0</v>
      </c>
      <c r="W128" s="1085">
        <f>+W119*Assumptions!$AG$158*(1-Assumptions!$AR$77)*12</f>
        <v>0</v>
      </c>
      <c r="X128" s="1085">
        <f>+X119*Assumptions!$AG$158*(1-Assumptions!$AR$77)*12</f>
        <v>0</v>
      </c>
      <c r="Y128" s="1085">
        <f>+Y119*Assumptions!$AG$158*(1-Assumptions!$AR$77)*12</f>
        <v>0</v>
      </c>
      <c r="Z128" s="1085">
        <f>+Z119*Assumptions!$AG$158*(1-Assumptions!$AR$77)*12</f>
        <v>0</v>
      </c>
    </row>
    <row r="129" spans="2:26">
      <c r="B129" s="699" t="s">
        <v>48</v>
      </c>
      <c r="C129" s="699"/>
      <c r="D129" s="699"/>
      <c r="E129" s="699"/>
      <c r="F129" s="1085">
        <f>+(F119*Assumptions!$AD$160*Assumptions!$AD$161)*12</f>
        <v>0</v>
      </c>
      <c r="G129" s="1085">
        <f>+(G119*Assumptions!$AD$160*Assumptions!$AD$161)*12</f>
        <v>0</v>
      </c>
      <c r="H129" s="1085">
        <f>+(H119*Assumptions!$AD$160*Assumptions!$AD$161)*12</f>
        <v>0</v>
      </c>
      <c r="I129" s="1085">
        <f>+(I119*Assumptions!$AD$160*Assumptions!$AD$161)*12</f>
        <v>0</v>
      </c>
      <c r="J129" s="1085">
        <f>+(J119*Assumptions!$AD$160*Assumptions!$AD$161)*12</f>
        <v>0</v>
      </c>
      <c r="K129" s="1085">
        <f>+(K119*Assumptions!$AD$160*Assumptions!$AD$161)*12</f>
        <v>0</v>
      </c>
      <c r="L129" s="1085">
        <f>+(L119*Assumptions!$AD$160*Assumptions!$AD$161)*12</f>
        <v>0</v>
      </c>
      <c r="M129" s="1085">
        <f>+(M119*Assumptions!$AD$160*Assumptions!$AD$161)*12</f>
        <v>0</v>
      </c>
      <c r="N129" s="1085">
        <f>+(N119*Assumptions!$AD$160*Assumptions!$AD$161)*12</f>
        <v>0</v>
      </c>
      <c r="O129" s="1085">
        <f>+(O119*Assumptions!$AD$160*Assumptions!$AD$161)*12</f>
        <v>0</v>
      </c>
      <c r="P129" s="1085">
        <f>+(P119*Assumptions!$AD$160*Assumptions!$AD$161)*12</f>
        <v>0</v>
      </c>
      <c r="Q129" s="1085">
        <f>+(Q119*Assumptions!$AD$160*Assumptions!$AD$161)*12</f>
        <v>0</v>
      </c>
      <c r="R129" s="1085">
        <f>+(R119*Assumptions!$AD$160*Assumptions!$AD$161)*12</f>
        <v>0</v>
      </c>
      <c r="S129" s="1085">
        <f>+(S119*Assumptions!$AD$160*Assumptions!$AD$161)*12</f>
        <v>0</v>
      </c>
      <c r="T129" s="1085">
        <f>+(T119*Assumptions!$AD$160*Assumptions!$AD$161)*12</f>
        <v>0</v>
      </c>
      <c r="U129" s="1085">
        <f>+(U119*Assumptions!$AD$160*Assumptions!$AD$161)*12</f>
        <v>0</v>
      </c>
      <c r="V129" s="1085">
        <f>+(V119*Assumptions!$AD$160*Assumptions!$AD$161)*12</f>
        <v>0</v>
      </c>
      <c r="W129" s="1085">
        <f>+(W119*Assumptions!$AD$160*Assumptions!$AD$161)*12</f>
        <v>0</v>
      </c>
      <c r="X129" s="1085">
        <f>+(X119*Assumptions!$AD$160*Assumptions!$AD$161)*12</f>
        <v>0</v>
      </c>
      <c r="Y129" s="1085">
        <f>+(Y119*Assumptions!$AD$160*Assumptions!$AD$161)*12</f>
        <v>0</v>
      </c>
      <c r="Z129" s="1085">
        <f>+(Z119*Assumptions!$AD$160*Assumptions!$AD$161)*12</f>
        <v>0</v>
      </c>
    </row>
    <row r="130" spans="2:26">
      <c r="B130" s="699" t="s">
        <v>50</v>
      </c>
      <c r="C130" s="699"/>
      <c r="D130" s="699"/>
      <c r="E130" s="699"/>
      <c r="F130" s="1085">
        <f>+F119*Assumptions!$AD$162*Assumptions!$AD$163*12</f>
        <v>0</v>
      </c>
      <c r="G130" s="1085">
        <f>+G119*Assumptions!$AD$162*Assumptions!$AD$163*12</f>
        <v>0</v>
      </c>
      <c r="H130" s="1085">
        <f>+H119*Assumptions!$AD$162*Assumptions!$AD$163*12</f>
        <v>0</v>
      </c>
      <c r="I130" s="1085">
        <f>+I119*Assumptions!$AD$162*Assumptions!$AD$163*12</f>
        <v>0</v>
      </c>
      <c r="J130" s="1085">
        <f>+J119*Assumptions!$AD$162*Assumptions!$AD$163*12</f>
        <v>0</v>
      </c>
      <c r="K130" s="1085">
        <f>+K119*Assumptions!$AD$162*Assumptions!$AD$163*12</f>
        <v>0</v>
      </c>
      <c r="L130" s="1085">
        <f>+L119*Assumptions!$AD$162*Assumptions!$AD$163*12</f>
        <v>0</v>
      </c>
      <c r="M130" s="1085">
        <f>+M119*Assumptions!$AD$162*Assumptions!$AD$163*12</f>
        <v>0</v>
      </c>
      <c r="N130" s="1085">
        <f>+N119*Assumptions!$AD$162*Assumptions!$AD$163*12</f>
        <v>0</v>
      </c>
      <c r="O130" s="1085">
        <f>+O119*Assumptions!$AD$162*Assumptions!$AD$163*12</f>
        <v>0</v>
      </c>
      <c r="P130" s="1085">
        <f>+P119*Assumptions!$AD$162*Assumptions!$AD$163*12</f>
        <v>0</v>
      </c>
      <c r="Q130" s="1085">
        <f>+Q119*Assumptions!$AD$162*Assumptions!$AD$163*12</f>
        <v>0</v>
      </c>
      <c r="R130" s="1085">
        <f>+R119*Assumptions!$AD$162*Assumptions!$AD$163*12</f>
        <v>0</v>
      </c>
      <c r="S130" s="1085">
        <f>+S119*Assumptions!$AD$162*Assumptions!$AD$163*12</f>
        <v>0</v>
      </c>
      <c r="T130" s="1085">
        <f>+T119*Assumptions!$AD$162*Assumptions!$AD$163*12</f>
        <v>0</v>
      </c>
      <c r="U130" s="1085">
        <f>+U119*Assumptions!$AD$162*Assumptions!$AD$163*12</f>
        <v>0</v>
      </c>
      <c r="V130" s="1085">
        <f>+V119*Assumptions!$AD$162*Assumptions!$AD$163*12</f>
        <v>0</v>
      </c>
      <c r="W130" s="1085">
        <f>+W119*Assumptions!$AD$162*Assumptions!$AD$163*12</f>
        <v>0</v>
      </c>
      <c r="X130" s="1085">
        <f>+X119*Assumptions!$AD$162*Assumptions!$AD$163*12</f>
        <v>0</v>
      </c>
      <c r="Y130" s="1085">
        <f>+Y119*Assumptions!$AD$162*Assumptions!$AD$163*12</f>
        <v>0</v>
      </c>
      <c r="Z130" s="1085">
        <f>+Z119*Assumptions!$AD$162*Assumptions!$AD$163*12</f>
        <v>0</v>
      </c>
    </row>
    <row r="131" spans="2:26">
      <c r="B131" s="699" t="s">
        <v>52</v>
      </c>
      <c r="C131" s="699"/>
      <c r="D131" s="699"/>
      <c r="E131" s="699"/>
      <c r="F131" s="1085">
        <f>+F119*Assumptions!$AD$164*Assumptions!$AD$165*12</f>
        <v>0</v>
      </c>
      <c r="G131" s="1085">
        <f>+G119*Assumptions!$AD$164*Assumptions!$AD$165*12</f>
        <v>0</v>
      </c>
      <c r="H131" s="1085">
        <f>+H119*Assumptions!$AD$164*Assumptions!$AD$165*12</f>
        <v>0</v>
      </c>
      <c r="I131" s="1085">
        <f>+I119*Assumptions!$AD$164*Assumptions!$AD$165*12</f>
        <v>0</v>
      </c>
      <c r="J131" s="1085">
        <f>+J119*Assumptions!$AD$164*Assumptions!$AD$165*12</f>
        <v>0</v>
      </c>
      <c r="K131" s="1085">
        <f>+K119*Assumptions!$AD$164*Assumptions!$AD$165*12</f>
        <v>0</v>
      </c>
      <c r="L131" s="1085">
        <f>+L119*Assumptions!$AD$164*Assumptions!$AD$165*12</f>
        <v>0</v>
      </c>
      <c r="M131" s="1085">
        <f>+M119*Assumptions!$AD$164*Assumptions!$AD$165*12</f>
        <v>0</v>
      </c>
      <c r="N131" s="1085">
        <f>+N119*Assumptions!$AD$164*Assumptions!$AD$165*12</f>
        <v>0</v>
      </c>
      <c r="O131" s="1085">
        <f>+O119*Assumptions!$AD$164*Assumptions!$AD$165*12</f>
        <v>0</v>
      </c>
      <c r="P131" s="1085">
        <f>+P119*Assumptions!$AD$164*Assumptions!$AD$165*12</f>
        <v>0</v>
      </c>
      <c r="Q131" s="1085">
        <f>+Q119*Assumptions!$AD$164*Assumptions!$AD$165*12</f>
        <v>0</v>
      </c>
      <c r="R131" s="1085">
        <f>+R119*Assumptions!$AD$164*Assumptions!$AD$165*12</f>
        <v>0</v>
      </c>
      <c r="S131" s="1085">
        <f>+S119*Assumptions!$AD$164*Assumptions!$AD$165*12</f>
        <v>0</v>
      </c>
      <c r="T131" s="1085">
        <f>+T119*Assumptions!$AD$164*Assumptions!$AD$165*12</f>
        <v>0</v>
      </c>
      <c r="U131" s="1085">
        <f>+U119*Assumptions!$AD$164*Assumptions!$AD$165*12</f>
        <v>0</v>
      </c>
      <c r="V131" s="1085">
        <f>+V119*Assumptions!$AD$164*Assumptions!$AD$165*12</f>
        <v>0</v>
      </c>
      <c r="W131" s="1085">
        <f>+W119*Assumptions!$AD$164*Assumptions!$AD$165*12</f>
        <v>0</v>
      </c>
      <c r="X131" s="1085">
        <f>+X119*Assumptions!$AD$164*Assumptions!$AD$165*12</f>
        <v>0</v>
      </c>
      <c r="Y131" s="1085">
        <f>+Y119*Assumptions!$AD$164*Assumptions!$AD$165*12</f>
        <v>0</v>
      </c>
      <c r="Z131" s="1085">
        <f>+Z119*Assumptions!$AD$164*Assumptions!$AD$165*12</f>
        <v>0</v>
      </c>
    </row>
    <row r="132" spans="2:26">
      <c r="B132" s="52" t="s">
        <v>1131</v>
      </c>
      <c r="C132" s="1052"/>
      <c r="D132" s="1052"/>
      <c r="E132" s="1052"/>
      <c r="F132" s="1086">
        <f>SUM(F125:F131)</f>
        <v>0</v>
      </c>
      <c r="G132" s="1086">
        <f t="shared" ref="G132:Z132" si="37">SUM(G125:G131)</f>
        <v>0</v>
      </c>
      <c r="H132" s="1086">
        <f t="shared" si="37"/>
        <v>0</v>
      </c>
      <c r="I132" s="1086">
        <f t="shared" si="37"/>
        <v>0</v>
      </c>
      <c r="J132" s="1086">
        <f t="shared" si="37"/>
        <v>0</v>
      </c>
      <c r="K132" s="1086">
        <f t="shared" si="37"/>
        <v>0</v>
      </c>
      <c r="L132" s="1086">
        <f t="shared" si="37"/>
        <v>0</v>
      </c>
      <c r="M132" s="1086">
        <f t="shared" si="37"/>
        <v>0</v>
      </c>
      <c r="N132" s="1086">
        <f t="shared" si="37"/>
        <v>0</v>
      </c>
      <c r="O132" s="1086">
        <f t="shared" si="37"/>
        <v>0</v>
      </c>
      <c r="P132" s="1086">
        <f t="shared" si="37"/>
        <v>0</v>
      </c>
      <c r="Q132" s="1086">
        <f t="shared" si="37"/>
        <v>0</v>
      </c>
      <c r="R132" s="1086">
        <f t="shared" si="37"/>
        <v>0</v>
      </c>
      <c r="S132" s="1086">
        <f t="shared" si="37"/>
        <v>0</v>
      </c>
      <c r="T132" s="1086">
        <f t="shared" si="37"/>
        <v>0</v>
      </c>
      <c r="U132" s="1086">
        <f t="shared" si="37"/>
        <v>0</v>
      </c>
      <c r="V132" s="1086">
        <f t="shared" si="37"/>
        <v>0</v>
      </c>
      <c r="W132" s="1086">
        <f t="shared" si="37"/>
        <v>0</v>
      </c>
      <c r="X132" s="1086">
        <f t="shared" si="37"/>
        <v>0</v>
      </c>
      <c r="Y132" s="1086">
        <f t="shared" si="37"/>
        <v>0</v>
      </c>
      <c r="Z132" s="1086">
        <f t="shared" si="37"/>
        <v>0</v>
      </c>
    </row>
    <row r="133" spans="2:26">
      <c r="B133" s="49"/>
      <c r="C133" s="699"/>
      <c r="D133" s="699"/>
      <c r="E133" s="699"/>
      <c r="F133" s="699"/>
      <c r="G133" s="699"/>
      <c r="H133" s="699"/>
      <c r="I133" s="699"/>
      <c r="J133" s="699"/>
      <c r="K133" s="699"/>
      <c r="L133" s="699"/>
      <c r="M133" s="699"/>
      <c r="N133" s="699"/>
      <c r="O133" s="699"/>
      <c r="P133" s="699"/>
      <c r="Q133" s="699"/>
      <c r="R133" s="699"/>
      <c r="S133" s="699"/>
      <c r="T133" s="699"/>
      <c r="U133" s="699"/>
      <c r="V133" s="699"/>
      <c r="W133" s="699"/>
      <c r="X133" s="699"/>
      <c r="Y133" s="699"/>
      <c r="Z133" s="699"/>
    </row>
    <row r="134" spans="2:26">
      <c r="B134" s="699" t="s">
        <v>1132</v>
      </c>
      <c r="C134" s="699"/>
      <c r="D134" s="699"/>
      <c r="E134" s="699"/>
      <c r="F134" s="1087">
        <f>+F119*Assumptions!$AG$263*F123</f>
        <v>0</v>
      </c>
      <c r="G134" s="1087">
        <f>+G119*Assumptions!$AG$263*G123</f>
        <v>0</v>
      </c>
      <c r="H134" s="1087">
        <f>+H119*Assumptions!$AG$263*H123</f>
        <v>0</v>
      </c>
      <c r="I134" s="1087">
        <f>+I119*Assumptions!$AG$263*I123</f>
        <v>0</v>
      </c>
      <c r="J134" s="1087">
        <f>+J119*Assumptions!$AG$263*J123</f>
        <v>0</v>
      </c>
      <c r="K134" s="1087">
        <f>+K119*Assumptions!$AG$263*K123</f>
        <v>0</v>
      </c>
      <c r="L134" s="1087">
        <f>+L119*Assumptions!$AG$263*L123</f>
        <v>0</v>
      </c>
      <c r="M134" s="1087">
        <f>+M119*Assumptions!$AG$263*M123</f>
        <v>0</v>
      </c>
      <c r="N134" s="1087">
        <f>+N119*Assumptions!$AG$263*N123</f>
        <v>0</v>
      </c>
      <c r="O134" s="1087">
        <f>+O119*Assumptions!$AG$263*O123</f>
        <v>0</v>
      </c>
      <c r="P134" s="1087">
        <f>+P119*Assumptions!$AG$263*P123</f>
        <v>0</v>
      </c>
      <c r="Q134" s="1087">
        <f>+Q119*Assumptions!$AG$263*Q123</f>
        <v>0</v>
      </c>
      <c r="R134" s="1087">
        <f>+R119*Assumptions!$AG$263*R123</f>
        <v>0</v>
      </c>
      <c r="S134" s="1087">
        <f>+S119*Assumptions!$AG$263*S123</f>
        <v>0</v>
      </c>
      <c r="T134" s="1087">
        <f>+T119*Assumptions!$AG$263*T123</f>
        <v>0</v>
      </c>
      <c r="U134" s="1087">
        <f>+U119*Assumptions!$AG$263*U123</f>
        <v>0</v>
      </c>
      <c r="V134" s="1087">
        <f>+V119*Assumptions!$AG$263*V123</f>
        <v>0</v>
      </c>
      <c r="W134" s="1087">
        <f>+W119*Assumptions!$AG$263*W123</f>
        <v>0</v>
      </c>
      <c r="X134" s="1087">
        <f>+X119*Assumptions!$AG$263*X123</f>
        <v>0</v>
      </c>
      <c r="Y134" s="1087">
        <f>+Y119*Assumptions!$AG$263*Y123</f>
        <v>0</v>
      </c>
      <c r="Z134" s="1087">
        <f>+Z119*Assumptions!$AG$263*Z123</f>
        <v>0</v>
      </c>
    </row>
    <row r="135" spans="2:26">
      <c r="B135" s="699" t="s">
        <v>1133</v>
      </c>
      <c r="C135" s="699"/>
      <c r="D135" s="699"/>
      <c r="E135" s="699"/>
      <c r="F135" s="1050">
        <f ca="1">+IFERROR(INDEX('Taxes and TIF'!$AS$11:$AS$45,MATCH('Phase 3 Pro Forma'!F$7,'Taxes and TIF'!$AH$11:$AH$45,0)),0)*'Loan Sizing'!$M$32*'Phase 3 Pro Forma'!F120</f>
        <v>0</v>
      </c>
      <c r="G135" s="1050">
        <f ca="1">+IFERROR(INDEX('Taxes and TIF'!$AS$11:$AS$45,MATCH('Phase 3 Pro Forma'!G$7,'Taxes and TIF'!$AH$11:$AH$45,0)),0)*'Loan Sizing'!$M$32*'Phase 3 Pro Forma'!G120</f>
        <v>0</v>
      </c>
      <c r="H135" s="1050">
        <f ca="1">+IFERROR(INDEX('Taxes and TIF'!$AS$11:$AS$45,MATCH('Phase 3 Pro Forma'!H$7,'Taxes and TIF'!$AH$11:$AH$45,0)),0)*'Loan Sizing'!$M$32*'Phase 3 Pro Forma'!H120</f>
        <v>0</v>
      </c>
      <c r="I135" s="1050">
        <f ca="1">+IFERROR(INDEX('Taxes and TIF'!$AS$11:$AS$45,MATCH('Phase 3 Pro Forma'!I$7,'Taxes and TIF'!$AH$11:$AH$45,0)),0)*'Loan Sizing'!$M$32*'Phase 3 Pro Forma'!I120</f>
        <v>0</v>
      </c>
      <c r="J135" s="1050">
        <f ca="1">+IFERROR(INDEX('Taxes and TIF'!$AS$11:$AS$45,MATCH('Phase 3 Pro Forma'!J$7,'Taxes and TIF'!$AH$11:$AH$45,0)),0)*'Loan Sizing'!$M$32*'Phase 3 Pro Forma'!J120</f>
        <v>0</v>
      </c>
      <c r="K135" s="1050">
        <f ca="1">+IFERROR(INDEX('Taxes and TIF'!$AS$11:$AS$45,MATCH('Phase 3 Pro Forma'!K$7,'Taxes and TIF'!$AH$11:$AH$45,0)),0)*'Loan Sizing'!$M$32*'Phase 3 Pro Forma'!K120</f>
        <v>0</v>
      </c>
      <c r="L135" s="1050">
        <f ca="1">+IFERROR(INDEX('Taxes and TIF'!$AS$11:$AS$45,MATCH('Phase 3 Pro Forma'!L$7,'Taxes and TIF'!$AH$11:$AH$45,0)),0)*'Loan Sizing'!$M$32*'Phase 3 Pro Forma'!L120</f>
        <v>0</v>
      </c>
      <c r="M135" s="1050">
        <f ca="1">+IFERROR(INDEX('Taxes and TIF'!$AS$11:$AS$45,MATCH('Phase 3 Pro Forma'!M$7,'Taxes and TIF'!$AH$11:$AH$45,0)),0)*'Loan Sizing'!$M$32*'Phase 3 Pro Forma'!M120</f>
        <v>0</v>
      </c>
      <c r="N135" s="1050">
        <f ca="1">+IFERROR(INDEX('Taxes and TIF'!$AS$11:$AS$45,MATCH('Phase 3 Pro Forma'!N$7,'Taxes and TIF'!$AH$11:$AH$45,0)),0)*'Loan Sizing'!$M$32*'Phase 3 Pro Forma'!N120</f>
        <v>0</v>
      </c>
      <c r="O135" s="1050">
        <f ca="1">+IFERROR(INDEX('Taxes and TIF'!$AS$11:$AS$45,MATCH('Phase 3 Pro Forma'!O$7,'Taxes and TIF'!$AH$11:$AH$45,0)),0)*'Loan Sizing'!$M$32*'Phase 3 Pro Forma'!O120</f>
        <v>0</v>
      </c>
      <c r="P135" s="1050">
        <f ca="1">+IFERROR(INDEX('Taxes and TIF'!$AS$11:$AS$45,MATCH('Phase 3 Pro Forma'!P$7,'Taxes and TIF'!$AH$11:$AH$45,0)),0)*'Loan Sizing'!$M$32*'Phase 3 Pro Forma'!P120</f>
        <v>0</v>
      </c>
      <c r="Q135" s="1050">
        <f ca="1">+IFERROR(INDEX('Taxes and TIF'!$AS$11:$AS$45,MATCH('Phase 3 Pro Forma'!Q$7,'Taxes and TIF'!$AH$11:$AH$45,0)),0)*'Loan Sizing'!$M$32*'Phase 3 Pro Forma'!Q120</f>
        <v>0</v>
      </c>
      <c r="R135" s="1050">
        <f ca="1">+IFERROR(INDEX('Taxes and TIF'!$AS$11:$AS$45,MATCH('Phase 3 Pro Forma'!R$7,'Taxes and TIF'!$AH$11:$AH$45,0)),0)*'Loan Sizing'!$M$32*'Phase 3 Pro Forma'!R120</f>
        <v>0</v>
      </c>
      <c r="S135" s="1050">
        <f ca="1">+IFERROR(INDEX('Taxes and TIF'!$AS$11:$AS$45,MATCH('Phase 3 Pro Forma'!S$7,'Taxes and TIF'!$AH$11:$AH$45,0)),0)*'Loan Sizing'!$M$32*'Phase 3 Pro Forma'!S120</f>
        <v>0</v>
      </c>
      <c r="T135" s="1050">
        <f ca="1">+IFERROR(INDEX('Taxes and TIF'!$AS$11:$AS$45,MATCH('Phase 3 Pro Forma'!T$7,'Taxes and TIF'!$AH$11:$AH$45,0)),0)*'Loan Sizing'!$M$32*'Phase 3 Pro Forma'!T120</f>
        <v>0</v>
      </c>
      <c r="U135" s="1050">
        <f ca="1">+IFERROR(INDEX('Taxes and TIF'!$AS$11:$AS$45,MATCH('Phase 3 Pro Forma'!U$7,'Taxes and TIF'!$AH$11:$AH$45,0)),0)*'Loan Sizing'!$M$32*'Phase 3 Pro Forma'!U120</f>
        <v>0</v>
      </c>
      <c r="V135" s="1050">
        <f ca="1">+IFERROR(INDEX('Taxes and TIF'!$AS$11:$AS$45,MATCH('Phase 3 Pro Forma'!V$7,'Taxes and TIF'!$AH$11:$AH$45,0)),0)*'Loan Sizing'!$M$32*'Phase 3 Pro Forma'!V120</f>
        <v>0</v>
      </c>
      <c r="W135" s="1050">
        <f ca="1">+IFERROR(INDEX('Taxes and TIF'!$AS$11:$AS$45,MATCH('Phase 3 Pro Forma'!W$7,'Taxes and TIF'!$AH$11:$AH$45,0)),0)*'Loan Sizing'!$M$32*'Phase 3 Pro Forma'!W120</f>
        <v>0</v>
      </c>
      <c r="X135" s="1050">
        <f ca="1">+IFERROR(INDEX('Taxes and TIF'!$AS$11:$AS$45,MATCH('Phase 3 Pro Forma'!X$7,'Taxes and TIF'!$AH$11:$AH$45,0)),0)*'Loan Sizing'!$M$32*'Phase 3 Pro Forma'!X120</f>
        <v>0</v>
      </c>
      <c r="Y135" s="1050">
        <f ca="1">+IFERROR(INDEX('Taxes and TIF'!$AS$11:$AS$45,MATCH('Phase 3 Pro Forma'!Y$7,'Taxes and TIF'!$AH$11:$AH$45,0)),0)*'Loan Sizing'!$M$32*'Phase 3 Pro Forma'!Y120</f>
        <v>0</v>
      </c>
      <c r="Z135" s="1050">
        <f ca="1">+IFERROR(INDEX('Taxes and TIF'!$AS$11:$AS$45,MATCH('Phase 3 Pro Forma'!Z$7,'Taxes and TIF'!$AH$11:$AH$45,0)),0)*'Loan Sizing'!$M$32*'Phase 3 Pro Forma'!Z120</f>
        <v>0</v>
      </c>
    </row>
    <row r="136" spans="2:26">
      <c r="B136" s="52" t="s">
        <v>1134</v>
      </c>
      <c r="C136" s="1052"/>
      <c r="D136" s="1052"/>
      <c r="E136" s="1052"/>
      <c r="F136" s="1088">
        <f ca="1">+SUM(F134:F135)</f>
        <v>0</v>
      </c>
      <c r="G136" s="1088">
        <f t="shared" ref="G136:Z136" ca="1" si="38">+SUM(G134:G135)</f>
        <v>0</v>
      </c>
      <c r="H136" s="1088">
        <f t="shared" ca="1" si="38"/>
        <v>0</v>
      </c>
      <c r="I136" s="1088">
        <f t="shared" ca="1" si="38"/>
        <v>0</v>
      </c>
      <c r="J136" s="1088">
        <f t="shared" ca="1" si="38"/>
        <v>0</v>
      </c>
      <c r="K136" s="1088">
        <f t="shared" ca="1" si="38"/>
        <v>0</v>
      </c>
      <c r="L136" s="1088">
        <f t="shared" ca="1" si="38"/>
        <v>0</v>
      </c>
      <c r="M136" s="1088">
        <f t="shared" ca="1" si="38"/>
        <v>0</v>
      </c>
      <c r="N136" s="1088">
        <f t="shared" ca="1" si="38"/>
        <v>0</v>
      </c>
      <c r="O136" s="1088">
        <f t="shared" ca="1" si="38"/>
        <v>0</v>
      </c>
      <c r="P136" s="1088">
        <f t="shared" ca="1" si="38"/>
        <v>0</v>
      </c>
      <c r="Q136" s="1088">
        <f t="shared" ca="1" si="38"/>
        <v>0</v>
      </c>
      <c r="R136" s="1088">
        <f t="shared" ca="1" si="38"/>
        <v>0</v>
      </c>
      <c r="S136" s="1088">
        <f t="shared" ca="1" si="38"/>
        <v>0</v>
      </c>
      <c r="T136" s="1088">
        <f t="shared" ca="1" si="38"/>
        <v>0</v>
      </c>
      <c r="U136" s="1088">
        <f t="shared" ca="1" si="38"/>
        <v>0</v>
      </c>
      <c r="V136" s="1088">
        <f t="shared" ca="1" si="38"/>
        <v>0</v>
      </c>
      <c r="W136" s="1088">
        <f t="shared" ca="1" si="38"/>
        <v>0</v>
      </c>
      <c r="X136" s="1088">
        <f t="shared" ca="1" si="38"/>
        <v>0</v>
      </c>
      <c r="Y136" s="1088">
        <f t="shared" ca="1" si="38"/>
        <v>0</v>
      </c>
      <c r="Z136" s="1088">
        <f t="shared" ca="1" si="38"/>
        <v>0</v>
      </c>
    </row>
    <row r="138" spans="2:26" ht="15.75">
      <c r="B138" s="50" t="s">
        <v>1135</v>
      </c>
      <c r="C138" s="50"/>
      <c r="D138" s="50"/>
      <c r="E138" s="50"/>
      <c r="F138" s="55">
        <f ca="1">+F132-F136</f>
        <v>0</v>
      </c>
      <c r="G138" s="55">
        <f t="shared" ref="G138:Z138" ca="1" si="39">+G132-G136</f>
        <v>0</v>
      </c>
      <c r="H138" s="55">
        <f t="shared" ca="1" si="39"/>
        <v>0</v>
      </c>
      <c r="I138" s="55">
        <f t="shared" ca="1" si="39"/>
        <v>0</v>
      </c>
      <c r="J138" s="55">
        <f t="shared" ca="1" si="39"/>
        <v>0</v>
      </c>
      <c r="K138" s="55">
        <f t="shared" ca="1" si="39"/>
        <v>0</v>
      </c>
      <c r="L138" s="55">
        <f t="shared" ca="1" si="39"/>
        <v>0</v>
      </c>
      <c r="M138" s="55">
        <f t="shared" ca="1" si="39"/>
        <v>0</v>
      </c>
      <c r="N138" s="55">
        <f t="shared" ca="1" si="39"/>
        <v>0</v>
      </c>
      <c r="O138" s="55">
        <f t="shared" ca="1" si="39"/>
        <v>0</v>
      </c>
      <c r="P138" s="55">
        <f t="shared" ca="1" si="39"/>
        <v>0</v>
      </c>
      <c r="Q138" s="55">
        <f t="shared" ca="1" si="39"/>
        <v>0</v>
      </c>
      <c r="R138" s="55">
        <f t="shared" ca="1" si="39"/>
        <v>0</v>
      </c>
      <c r="S138" s="55">
        <f t="shared" ca="1" si="39"/>
        <v>0</v>
      </c>
      <c r="T138" s="55">
        <f t="shared" ca="1" si="39"/>
        <v>0</v>
      </c>
      <c r="U138" s="55">
        <f t="shared" ca="1" si="39"/>
        <v>0</v>
      </c>
      <c r="V138" s="55">
        <f t="shared" ca="1" si="39"/>
        <v>0</v>
      </c>
      <c r="W138" s="55">
        <f t="shared" ca="1" si="39"/>
        <v>0</v>
      </c>
      <c r="X138" s="55">
        <f t="shared" ca="1" si="39"/>
        <v>0</v>
      </c>
      <c r="Y138" s="55">
        <f t="shared" ca="1" si="39"/>
        <v>0</v>
      </c>
      <c r="Z138" s="55">
        <f t="shared" ca="1" si="39"/>
        <v>0</v>
      </c>
    </row>
    <row r="139" spans="2:26">
      <c r="B139" s="51" t="s">
        <v>1136</v>
      </c>
      <c r="C139" s="51"/>
      <c r="D139" s="51"/>
      <c r="E139" s="51"/>
      <c r="F139" s="56" t="str">
        <f ca="1">+IFERROR(F138/F132,"")</f>
        <v/>
      </c>
      <c r="G139" s="56" t="str">
        <f t="shared" ref="G139:Z139" ca="1" si="40">+IFERROR(G138/G132,"")</f>
        <v/>
      </c>
      <c r="H139" s="56" t="str">
        <f t="shared" ca="1" si="40"/>
        <v/>
      </c>
      <c r="I139" s="56" t="str">
        <f t="shared" ca="1" si="40"/>
        <v/>
      </c>
      <c r="J139" s="56" t="str">
        <f t="shared" ca="1" si="40"/>
        <v/>
      </c>
      <c r="K139" s="56" t="str">
        <f t="shared" ca="1" si="40"/>
        <v/>
      </c>
      <c r="L139" s="56" t="str">
        <f t="shared" ca="1" si="40"/>
        <v/>
      </c>
      <c r="M139" s="56" t="str">
        <f t="shared" ca="1" si="40"/>
        <v/>
      </c>
      <c r="N139" s="56" t="str">
        <f t="shared" ca="1" si="40"/>
        <v/>
      </c>
      <c r="O139" s="56" t="str">
        <f t="shared" ca="1" si="40"/>
        <v/>
      </c>
      <c r="P139" s="56" t="str">
        <f t="shared" ca="1" si="40"/>
        <v/>
      </c>
      <c r="Q139" s="56" t="str">
        <f t="shared" ca="1" si="40"/>
        <v/>
      </c>
      <c r="R139" s="56" t="str">
        <f t="shared" ca="1" si="40"/>
        <v/>
      </c>
      <c r="S139" s="56" t="str">
        <f t="shared" ca="1" si="40"/>
        <v/>
      </c>
      <c r="T139" s="56" t="str">
        <f t="shared" ca="1" si="40"/>
        <v/>
      </c>
      <c r="U139" s="56" t="str">
        <f t="shared" ca="1" si="40"/>
        <v/>
      </c>
      <c r="V139" s="56" t="str">
        <f t="shared" ca="1" si="40"/>
        <v/>
      </c>
      <c r="W139" s="56" t="str">
        <f t="shared" ca="1" si="40"/>
        <v/>
      </c>
      <c r="X139" s="56" t="str">
        <f t="shared" ca="1" si="40"/>
        <v/>
      </c>
      <c r="Y139" s="56" t="str">
        <f t="shared" ca="1" si="40"/>
        <v/>
      </c>
      <c r="Z139" s="56" t="str">
        <f t="shared" ca="1" si="40"/>
        <v/>
      </c>
    </row>
    <row r="140" spans="2:26">
      <c r="B140" s="51" t="s">
        <v>1064</v>
      </c>
      <c r="C140" s="51"/>
      <c r="D140" s="51"/>
      <c r="E140" s="51"/>
      <c r="F140" s="57">
        <f ca="1">+F138/Assumptions!$AG$33</f>
        <v>0</v>
      </c>
      <c r="G140" s="57">
        <f ca="1">+G138/Assumptions!$AG$33</f>
        <v>0</v>
      </c>
      <c r="H140" s="57">
        <f ca="1">+H138/Assumptions!$AG$33</f>
        <v>0</v>
      </c>
      <c r="I140" s="57">
        <f ca="1">+I138/Assumptions!$AG$33</f>
        <v>0</v>
      </c>
      <c r="J140" s="57">
        <f ca="1">+J138/Assumptions!$AG$33</f>
        <v>0</v>
      </c>
      <c r="K140" s="57">
        <f ca="1">+K138/Assumptions!$AG$33</f>
        <v>0</v>
      </c>
      <c r="L140" s="57">
        <f ca="1">+L138/Assumptions!$AG$33</f>
        <v>0</v>
      </c>
      <c r="M140" s="57">
        <f ca="1">+M138/Assumptions!$AG$33</f>
        <v>0</v>
      </c>
      <c r="N140" s="57">
        <f ca="1">+N138/Assumptions!$AG$33</f>
        <v>0</v>
      </c>
      <c r="O140" s="57">
        <f ca="1">+O138/Assumptions!$AG$33</f>
        <v>0</v>
      </c>
      <c r="P140" s="57">
        <f ca="1">+P138/Assumptions!$AG$33</f>
        <v>0</v>
      </c>
      <c r="Q140" s="57">
        <f ca="1">+Q138/Assumptions!$AG$33</f>
        <v>0</v>
      </c>
      <c r="R140" s="57">
        <f ca="1">+R138/Assumptions!$AG$33</f>
        <v>0</v>
      </c>
      <c r="S140" s="57">
        <f ca="1">+S138/Assumptions!$AG$33</f>
        <v>0</v>
      </c>
      <c r="T140" s="57">
        <f ca="1">+T138/Assumptions!$AG$33</f>
        <v>0</v>
      </c>
      <c r="U140" s="57">
        <f ca="1">+U138/Assumptions!$AG$33</f>
        <v>0</v>
      </c>
      <c r="V140" s="57">
        <f ca="1">+V138/Assumptions!$AG$33</f>
        <v>0</v>
      </c>
      <c r="W140" s="57">
        <f ca="1">+W138/Assumptions!$AG$33</f>
        <v>0</v>
      </c>
      <c r="X140" s="57">
        <f ca="1">+X138/Assumptions!$AG$33</f>
        <v>0</v>
      </c>
      <c r="Y140" s="57">
        <f ca="1">+Y138/Assumptions!$AG$33</f>
        <v>0</v>
      </c>
      <c r="Z140" s="57">
        <f ca="1">+Z138/Assumptions!$AG$33</f>
        <v>0</v>
      </c>
    </row>
    <row r="141" spans="2:26" ht="15.75">
      <c r="B141" s="53"/>
      <c r="C141" s="699"/>
      <c r="D141" s="699"/>
      <c r="E141" s="699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</row>
    <row r="142" spans="2:26" ht="15.75">
      <c r="B142" s="53" t="s">
        <v>342</v>
      </c>
      <c r="C142" s="699"/>
      <c r="D142" s="699"/>
      <c r="E142" s="699"/>
      <c r="F142" s="54">
        <f>+Assumptions!$H$27</f>
        <v>47118</v>
      </c>
      <c r="G142" s="54">
        <f>+EOMONTH(F142,12)</f>
        <v>47483</v>
      </c>
      <c r="H142" s="54">
        <f t="shared" ref="H142:Z142" si="41">+EOMONTH(G142,12)</f>
        <v>47848</v>
      </c>
      <c r="I142" s="54">
        <f t="shared" si="41"/>
        <v>48213</v>
      </c>
      <c r="J142" s="54">
        <f t="shared" si="41"/>
        <v>48579</v>
      </c>
      <c r="K142" s="54">
        <f t="shared" si="41"/>
        <v>48944</v>
      </c>
      <c r="L142" s="54">
        <f t="shared" si="41"/>
        <v>49309</v>
      </c>
      <c r="M142" s="54">
        <f t="shared" si="41"/>
        <v>49674</v>
      </c>
      <c r="N142" s="54">
        <f t="shared" si="41"/>
        <v>50040</v>
      </c>
      <c r="O142" s="54">
        <f t="shared" si="41"/>
        <v>50405</v>
      </c>
      <c r="P142" s="54">
        <f t="shared" si="41"/>
        <v>50770</v>
      </c>
      <c r="Q142" s="54">
        <f t="shared" si="41"/>
        <v>51135</v>
      </c>
      <c r="R142" s="54">
        <f t="shared" si="41"/>
        <v>51501</v>
      </c>
      <c r="S142" s="54">
        <f t="shared" si="41"/>
        <v>51866</v>
      </c>
      <c r="T142" s="54">
        <f t="shared" si="41"/>
        <v>52231</v>
      </c>
      <c r="U142" s="54">
        <f t="shared" si="41"/>
        <v>52596</v>
      </c>
      <c r="V142" s="54">
        <f t="shared" si="41"/>
        <v>52962</v>
      </c>
      <c r="W142" s="54">
        <f t="shared" si="41"/>
        <v>53327</v>
      </c>
      <c r="X142" s="54">
        <f t="shared" si="41"/>
        <v>53692</v>
      </c>
      <c r="Y142" s="54">
        <f t="shared" si="41"/>
        <v>54057</v>
      </c>
      <c r="Z142" s="54">
        <f t="shared" si="41"/>
        <v>54423</v>
      </c>
    </row>
    <row r="143" spans="2:26">
      <c r="B143" s="699" t="s">
        <v>1120</v>
      </c>
      <c r="C143" s="699"/>
      <c r="D143" s="699"/>
      <c r="E143" s="1050"/>
      <c r="F143" s="1050">
        <f>+IF(F142=Assumptions!$H$31,Assumptions!$H$255/ROUNDUP((12/12),0),)</f>
        <v>0</v>
      </c>
      <c r="G143" s="1050">
        <f>+IF(G142=Assumptions!$H$31,Assumptions!$H$255/ROUNDUP((12/12),0),)</f>
        <v>0</v>
      </c>
      <c r="H143" s="1050">
        <f>+IF(H142=Assumptions!$H$31,Assumptions!$H$255/ROUNDUP((12/12),0),)</f>
        <v>0</v>
      </c>
      <c r="I143" s="1050">
        <f>+IF(I142=Assumptions!$H$31,Assumptions!$H$255/ROUNDUP((12/12),0),)</f>
        <v>0</v>
      </c>
      <c r="J143" s="1050">
        <f>+IF(J142=Assumptions!$H$31,Assumptions!$H$255/ROUNDUP((12/12),0),)</f>
        <v>0</v>
      </c>
      <c r="K143" s="1050">
        <f>+IF(K142=Assumptions!$H$31,Assumptions!$H$255/ROUNDUP((12/12),0),)</f>
        <v>0</v>
      </c>
      <c r="L143" s="1050">
        <f>+IF(L142=Assumptions!$H$31,Assumptions!$H$255/ROUNDUP((12/12),0),)</f>
        <v>0</v>
      </c>
      <c r="M143" s="1050">
        <f>+IF(M142=Assumptions!$H$31,Assumptions!$H$255/ROUNDUP((12/12),0),)</f>
        <v>0</v>
      </c>
      <c r="N143" s="1050">
        <f>+IF(N142=Assumptions!$H$31,Assumptions!$H$255/ROUNDUP((12/12),0),)</f>
        <v>0</v>
      </c>
      <c r="O143" s="1050">
        <f>+IF(O142=Assumptions!$H$31,Assumptions!$H$255/ROUNDUP((12/12),0),)</f>
        <v>0</v>
      </c>
      <c r="P143" s="1050">
        <f>+IF(P142=Assumptions!$H$31,Assumptions!$H$255/ROUNDUP((12/12),0),)</f>
        <v>0</v>
      </c>
      <c r="Q143" s="1050">
        <f>+IF(Q142=Assumptions!$H$31,Assumptions!$H$255/ROUNDUP((12/12),0),)</f>
        <v>0</v>
      </c>
      <c r="R143" s="1050">
        <f>+IF(R142=Assumptions!$H$31,Assumptions!$H$255/ROUNDUP((12/12),0),)</f>
        <v>0</v>
      </c>
      <c r="S143" s="1050">
        <f>+IF(S142=Assumptions!$H$31,Assumptions!$H$255/ROUNDUP((12/12),0),)</f>
        <v>0</v>
      </c>
      <c r="T143" s="1050">
        <f>+IF(T142=Assumptions!$H$31,Assumptions!$H$255/ROUNDUP((12/12),0),)</f>
        <v>0</v>
      </c>
      <c r="U143" s="1050">
        <f>+IF(U142=Assumptions!$H$31,Assumptions!$H$255/ROUNDUP((12/12),0),)</f>
        <v>0</v>
      </c>
      <c r="V143" s="1050">
        <f>+IF(V142=Assumptions!$H$31,Assumptions!$H$255/ROUNDUP((12/12),0),)</f>
        <v>0</v>
      </c>
      <c r="W143" s="1050">
        <f>+IF(W142=Assumptions!$H$31,Assumptions!$H$255/ROUNDUP((12/12),0),)</f>
        <v>0</v>
      </c>
      <c r="X143" s="1050">
        <f>+IF(X142=Assumptions!$H$31,Assumptions!$H$255/ROUNDUP((12/12),0),)</f>
        <v>0</v>
      </c>
      <c r="Y143" s="1050">
        <f>+IF(Y142=Assumptions!$H$31,Assumptions!$H$255/ROUNDUP((12/12),0),)</f>
        <v>0</v>
      </c>
      <c r="Z143" s="1050">
        <f>+IF(Z142=Assumptions!$H$31,Assumptions!$H$255/ROUNDUP((12/12),0),)</f>
        <v>0</v>
      </c>
    </row>
    <row r="144" spans="2:26">
      <c r="B144" s="699" t="s">
        <v>1121</v>
      </c>
      <c r="C144" s="699"/>
      <c r="D144" s="699"/>
      <c r="E144" s="1050">
        <v>0</v>
      </c>
      <c r="F144" s="1050">
        <f>+E144+F143</f>
        <v>0</v>
      </c>
      <c r="G144" s="1050">
        <f t="shared" ref="G144:Z144" si="42">+F144+G143</f>
        <v>0</v>
      </c>
      <c r="H144" s="1050">
        <f t="shared" si="42"/>
        <v>0</v>
      </c>
      <c r="I144" s="1050">
        <f t="shared" si="42"/>
        <v>0</v>
      </c>
      <c r="J144" s="1050">
        <f t="shared" si="42"/>
        <v>0</v>
      </c>
      <c r="K144" s="1050">
        <f t="shared" si="42"/>
        <v>0</v>
      </c>
      <c r="L144" s="1050">
        <f t="shared" si="42"/>
        <v>0</v>
      </c>
      <c r="M144" s="1050">
        <f t="shared" si="42"/>
        <v>0</v>
      </c>
      <c r="N144" s="1050">
        <f t="shared" si="42"/>
        <v>0</v>
      </c>
      <c r="O144" s="1050">
        <f t="shared" si="42"/>
        <v>0</v>
      </c>
      <c r="P144" s="1050">
        <f t="shared" si="42"/>
        <v>0</v>
      </c>
      <c r="Q144" s="1050">
        <f t="shared" si="42"/>
        <v>0</v>
      </c>
      <c r="R144" s="1050">
        <f t="shared" si="42"/>
        <v>0</v>
      </c>
      <c r="S144" s="1050">
        <f t="shared" si="42"/>
        <v>0</v>
      </c>
      <c r="T144" s="1050">
        <f t="shared" si="42"/>
        <v>0</v>
      </c>
      <c r="U144" s="1050">
        <f t="shared" si="42"/>
        <v>0</v>
      </c>
      <c r="V144" s="1050">
        <f t="shared" si="42"/>
        <v>0</v>
      </c>
      <c r="W144" s="1050">
        <f t="shared" si="42"/>
        <v>0</v>
      </c>
      <c r="X144" s="1050">
        <f t="shared" si="42"/>
        <v>0</v>
      </c>
      <c r="Y144" s="1050">
        <f t="shared" si="42"/>
        <v>0</v>
      </c>
      <c r="Z144" s="1050">
        <f t="shared" si="42"/>
        <v>0</v>
      </c>
    </row>
    <row r="145" spans="1:26">
      <c r="A145" s="699"/>
      <c r="B145" s="699" t="s">
        <v>1123</v>
      </c>
      <c r="C145" s="699"/>
      <c r="D145" s="699"/>
      <c r="E145" s="699"/>
      <c r="F145" s="1084">
        <f>+F146-E146</f>
        <v>0</v>
      </c>
      <c r="G145" s="1084">
        <f t="shared" ref="G145:Z145" si="43">+G146-F146</f>
        <v>0</v>
      </c>
      <c r="H145" s="1084">
        <f t="shared" si="43"/>
        <v>0</v>
      </c>
      <c r="I145" s="1084">
        <f t="shared" si="43"/>
        <v>0</v>
      </c>
      <c r="J145" s="1084">
        <f t="shared" si="43"/>
        <v>0</v>
      </c>
      <c r="K145" s="1084">
        <f t="shared" si="43"/>
        <v>0</v>
      </c>
      <c r="L145" s="1084">
        <f t="shared" si="43"/>
        <v>0</v>
      </c>
      <c r="M145" s="1084">
        <f t="shared" si="43"/>
        <v>0</v>
      </c>
      <c r="N145" s="1084">
        <f t="shared" si="43"/>
        <v>0</v>
      </c>
      <c r="O145" s="1084">
        <f t="shared" si="43"/>
        <v>0</v>
      </c>
      <c r="P145" s="1084">
        <f t="shared" si="43"/>
        <v>0</v>
      </c>
      <c r="Q145" s="1084">
        <f t="shared" si="43"/>
        <v>0</v>
      </c>
      <c r="R145" s="1084">
        <f t="shared" si="43"/>
        <v>0</v>
      </c>
      <c r="S145" s="1084">
        <f t="shared" si="43"/>
        <v>0</v>
      </c>
      <c r="T145" s="1084">
        <f t="shared" si="43"/>
        <v>0</v>
      </c>
      <c r="U145" s="1084">
        <f t="shared" si="43"/>
        <v>0</v>
      </c>
      <c r="V145" s="1084">
        <f t="shared" si="43"/>
        <v>0</v>
      </c>
      <c r="W145" s="1084">
        <f t="shared" si="43"/>
        <v>0</v>
      </c>
      <c r="X145" s="1084">
        <f t="shared" si="43"/>
        <v>0</v>
      </c>
      <c r="Y145" s="1084">
        <f t="shared" si="43"/>
        <v>0</v>
      </c>
      <c r="Z145" s="1084">
        <f t="shared" si="43"/>
        <v>0</v>
      </c>
    </row>
    <row r="146" spans="1:26">
      <c r="A146" s="699"/>
      <c r="B146" s="699" t="s">
        <v>1124</v>
      </c>
      <c r="C146" s="699"/>
      <c r="D146" s="699"/>
      <c r="E146" s="699"/>
      <c r="F146" s="1084">
        <f>+F147*Assumptions!$H$256</f>
        <v>0</v>
      </c>
      <c r="G146" s="1084">
        <f>+G147*Assumptions!$H$256</f>
        <v>0</v>
      </c>
      <c r="H146" s="1084">
        <f>+H147*Assumptions!$H$256</f>
        <v>0</v>
      </c>
      <c r="I146" s="1084">
        <f>+I147*Assumptions!$H$256</f>
        <v>0</v>
      </c>
      <c r="J146" s="1084">
        <f>+J147*Assumptions!$H$256</f>
        <v>0</v>
      </c>
      <c r="K146" s="1084">
        <f>+K147*Assumptions!$H$256</f>
        <v>0</v>
      </c>
      <c r="L146" s="1084">
        <f>+L147*Assumptions!$H$256</f>
        <v>0</v>
      </c>
      <c r="M146" s="1084">
        <f>+M147*Assumptions!$H$256</f>
        <v>0</v>
      </c>
      <c r="N146" s="1084">
        <f>+N147*Assumptions!$H$256</f>
        <v>0</v>
      </c>
      <c r="O146" s="1084">
        <f>+O147*Assumptions!$H$256</f>
        <v>0</v>
      </c>
      <c r="P146" s="1084">
        <f>+P147*Assumptions!$H$256</f>
        <v>0</v>
      </c>
      <c r="Q146" s="1084">
        <f>+Q147*Assumptions!$H$256</f>
        <v>0</v>
      </c>
      <c r="R146" s="1084">
        <f>+R147*Assumptions!$H$256</f>
        <v>0</v>
      </c>
      <c r="S146" s="1084">
        <f>+S147*Assumptions!$H$256</f>
        <v>0</v>
      </c>
      <c r="T146" s="1084">
        <f>+T147*Assumptions!$H$256</f>
        <v>0</v>
      </c>
      <c r="U146" s="1084">
        <f>+U147*Assumptions!$H$256</f>
        <v>0</v>
      </c>
      <c r="V146" s="1084">
        <f>+V147*Assumptions!$H$256</f>
        <v>0</v>
      </c>
      <c r="W146" s="1084">
        <f>+W147*Assumptions!$H$256</f>
        <v>0</v>
      </c>
      <c r="X146" s="1084">
        <f>+X147*Assumptions!$H$256</f>
        <v>0</v>
      </c>
      <c r="Y146" s="1084">
        <f>+Y147*Assumptions!$H$256</f>
        <v>0</v>
      </c>
      <c r="Z146" s="1084">
        <f>+Z147*Assumptions!$H$256</f>
        <v>0</v>
      </c>
    </row>
    <row r="147" spans="1:26">
      <c r="A147" s="699" t="s">
        <v>881</v>
      </c>
      <c r="B147" s="699" t="s">
        <v>1125</v>
      </c>
      <c r="C147" s="699"/>
      <c r="D147" s="699"/>
      <c r="E147" s="699"/>
      <c r="F147" s="1074">
        <f>+IFERROR(F144/SUM($F143:$Z143),0)</f>
        <v>0</v>
      </c>
      <c r="G147" s="1074">
        <f t="shared" ref="G147:Z147" si="44">+IFERROR(G144/SUM($F143:$Z143),0)</f>
        <v>0</v>
      </c>
      <c r="H147" s="1074">
        <f t="shared" si="44"/>
        <v>0</v>
      </c>
      <c r="I147" s="1074">
        <f t="shared" si="44"/>
        <v>0</v>
      </c>
      <c r="J147" s="1074">
        <f t="shared" si="44"/>
        <v>0</v>
      </c>
      <c r="K147" s="1074">
        <f t="shared" si="44"/>
        <v>0</v>
      </c>
      <c r="L147" s="1074">
        <f t="shared" si="44"/>
        <v>0</v>
      </c>
      <c r="M147" s="1074">
        <f t="shared" si="44"/>
        <v>0</v>
      </c>
      <c r="N147" s="1074">
        <f t="shared" si="44"/>
        <v>0</v>
      </c>
      <c r="O147" s="1074">
        <f t="shared" si="44"/>
        <v>0</v>
      </c>
      <c r="P147" s="1074">
        <f t="shared" si="44"/>
        <v>0</v>
      </c>
      <c r="Q147" s="1074">
        <f t="shared" si="44"/>
        <v>0</v>
      </c>
      <c r="R147" s="1074">
        <f t="shared" si="44"/>
        <v>0</v>
      </c>
      <c r="S147" s="1074">
        <f t="shared" si="44"/>
        <v>0</v>
      </c>
      <c r="T147" s="1074">
        <f t="shared" si="44"/>
        <v>0</v>
      </c>
      <c r="U147" s="1074">
        <f t="shared" si="44"/>
        <v>0</v>
      </c>
      <c r="V147" s="1074">
        <f t="shared" si="44"/>
        <v>0</v>
      </c>
      <c r="W147" s="1074">
        <f t="shared" si="44"/>
        <v>0</v>
      </c>
      <c r="X147" s="1074">
        <f t="shared" si="44"/>
        <v>0</v>
      </c>
      <c r="Y147" s="1074">
        <f t="shared" si="44"/>
        <v>0</v>
      </c>
      <c r="Z147" s="1074">
        <f t="shared" si="44"/>
        <v>0</v>
      </c>
    </row>
    <row r="149" spans="1:26">
      <c r="A149" s="699"/>
      <c r="B149" s="699" t="s">
        <v>1126</v>
      </c>
      <c r="C149" s="699"/>
      <c r="D149" s="699"/>
      <c r="E149" s="699"/>
      <c r="F149" s="1074">
        <v>1</v>
      </c>
      <c r="G149" s="1074">
        <f>+F149*(1+Assumptions!$AR$87)</f>
        <v>1.03</v>
      </c>
      <c r="H149" s="1074">
        <f>+G149*(1+Assumptions!$AR$87)</f>
        <v>1.0609</v>
      </c>
      <c r="I149" s="1074">
        <f>+H149*(1+Assumptions!$AR$87)</f>
        <v>1.092727</v>
      </c>
      <c r="J149" s="1074">
        <f>+I149*(1+Assumptions!$AR$87)</f>
        <v>1.1255088100000001</v>
      </c>
      <c r="K149" s="1074">
        <f>+J149*(1+Assumptions!$AR$87)</f>
        <v>1.1592740743000001</v>
      </c>
      <c r="L149" s="1074">
        <f>+K149*(1+Assumptions!$AR$87)</f>
        <v>1.1940522965290001</v>
      </c>
      <c r="M149" s="1074">
        <f>+L149*(1+Assumptions!$AR$87)</f>
        <v>1.2298738654248702</v>
      </c>
      <c r="N149" s="1074">
        <f>+M149*(1+Assumptions!$AR$87)</f>
        <v>1.2667700813876164</v>
      </c>
      <c r="O149" s="1074">
        <f>+N149*(1+Assumptions!$AR$87)</f>
        <v>1.3047731838292449</v>
      </c>
      <c r="P149" s="1074">
        <f>+O149*(1+Assumptions!$AR$87)</f>
        <v>1.3439163793441222</v>
      </c>
      <c r="Q149" s="1074">
        <f>+P149*(1+Assumptions!$AR$87)</f>
        <v>1.3842338707244459</v>
      </c>
      <c r="R149" s="1074">
        <f>+Q149*(1+Assumptions!$AR$87)</f>
        <v>1.4257608868461793</v>
      </c>
      <c r="S149" s="1074">
        <f>+R149*(1+Assumptions!$AR$87)</f>
        <v>1.4685337134515648</v>
      </c>
      <c r="T149" s="1074">
        <f>+S149*(1+Assumptions!$AR$87)</f>
        <v>1.5125897248551119</v>
      </c>
      <c r="U149" s="1074">
        <f>+T149*(1+Assumptions!$AR$87)</f>
        <v>1.5579674166007653</v>
      </c>
      <c r="V149" s="1074">
        <f>+U149*(1+Assumptions!$AR$87)</f>
        <v>1.6047064390987884</v>
      </c>
      <c r="W149" s="1074">
        <f>+V149*(1+Assumptions!$AR$87)</f>
        <v>1.652847632271752</v>
      </c>
      <c r="X149" s="1074">
        <f>+W149*(1+Assumptions!$AR$87)</f>
        <v>1.7024330612399046</v>
      </c>
      <c r="Y149" s="1074">
        <f>+X149*(1+Assumptions!$AR$87)</f>
        <v>1.7535060530771018</v>
      </c>
      <c r="Z149" s="1074">
        <f>+Y149*(1+Assumptions!$AR$87)</f>
        <v>1.806111234669415</v>
      </c>
    </row>
    <row r="150" spans="1:26">
      <c r="A150" s="699"/>
      <c r="B150" s="699" t="s">
        <v>1127</v>
      </c>
      <c r="C150" s="699"/>
      <c r="D150" s="699"/>
      <c r="E150" s="699"/>
      <c r="F150" s="1074">
        <v>1</v>
      </c>
      <c r="G150" s="1074">
        <f>+F150*(1+Assumptions!$AR$98)</f>
        <v>1.03</v>
      </c>
      <c r="H150" s="1074">
        <f>+G150*(1+Assumptions!$AR$98)</f>
        <v>1.0609</v>
      </c>
      <c r="I150" s="1074">
        <f>+H150*(1+Assumptions!$AR$98)</f>
        <v>1.092727</v>
      </c>
      <c r="J150" s="1074">
        <f>+I150*(1+Assumptions!$AR$98)</f>
        <v>1.1255088100000001</v>
      </c>
      <c r="K150" s="1074">
        <f>+J150*(1+Assumptions!$AR$98)</f>
        <v>1.1592740743000001</v>
      </c>
      <c r="L150" s="1074">
        <f>+K150*(1+Assumptions!$AR$98)</f>
        <v>1.1940522965290001</v>
      </c>
      <c r="M150" s="1074">
        <f>+L150*(1+Assumptions!$AR$98)</f>
        <v>1.2298738654248702</v>
      </c>
      <c r="N150" s="1074">
        <f>+M150*(1+Assumptions!$AR$98)</f>
        <v>1.2667700813876164</v>
      </c>
      <c r="O150" s="1074">
        <f>+N150*(1+Assumptions!$AR$98)</f>
        <v>1.3047731838292449</v>
      </c>
      <c r="P150" s="1074">
        <f>+O150*(1+Assumptions!$AR$98)</f>
        <v>1.3439163793441222</v>
      </c>
      <c r="Q150" s="1074">
        <f>+P150*(1+Assumptions!$AR$98)</f>
        <v>1.3842338707244459</v>
      </c>
      <c r="R150" s="1074">
        <f>+Q150*(1+Assumptions!$AR$98)</f>
        <v>1.4257608868461793</v>
      </c>
      <c r="S150" s="1074">
        <f>+R150*(1+Assumptions!$AR$98)</f>
        <v>1.4685337134515648</v>
      </c>
      <c r="T150" s="1074">
        <f>+S150*(1+Assumptions!$AR$98)</f>
        <v>1.5125897248551119</v>
      </c>
      <c r="U150" s="1074">
        <f>+T150*(1+Assumptions!$AR$98)</f>
        <v>1.5579674166007653</v>
      </c>
      <c r="V150" s="1074">
        <f>+U150*(1+Assumptions!$AR$98)</f>
        <v>1.6047064390987884</v>
      </c>
      <c r="W150" s="1074">
        <f>+V150*(1+Assumptions!$AR$98)</f>
        <v>1.652847632271752</v>
      </c>
      <c r="X150" s="1074">
        <f>+W150*(1+Assumptions!$AR$98)</f>
        <v>1.7024330612399046</v>
      </c>
      <c r="Y150" s="1074">
        <f>+X150*(1+Assumptions!$AR$98)</f>
        <v>1.7535060530771018</v>
      </c>
      <c r="Z150" s="1074">
        <f>+Y150*(1+Assumptions!$AR$98)</f>
        <v>1.806111234669415</v>
      </c>
    </row>
    <row r="152" spans="1:26">
      <c r="A152" s="699"/>
      <c r="B152" s="699" t="s">
        <v>1128</v>
      </c>
      <c r="C152" s="699"/>
      <c r="D152" s="699"/>
      <c r="E152" s="699"/>
      <c r="F152" s="1028">
        <f>+F147*Assumptions!$H$254*F149</f>
        <v>0</v>
      </c>
      <c r="G152" s="1028">
        <f>+G147*Assumptions!$H$254*G149</f>
        <v>0</v>
      </c>
      <c r="H152" s="1028">
        <f>+H147*Assumptions!$H$254*H149</f>
        <v>0</v>
      </c>
      <c r="I152" s="1028">
        <f>+I147*Assumptions!$H$254*I149</f>
        <v>0</v>
      </c>
      <c r="J152" s="1028">
        <f>+J147*Assumptions!$H$254*J149</f>
        <v>0</v>
      </c>
      <c r="K152" s="1028">
        <f>+K147*Assumptions!$H$254*K149</f>
        <v>0</v>
      </c>
      <c r="L152" s="1028">
        <f>+L147*Assumptions!$H$254*L149</f>
        <v>0</v>
      </c>
      <c r="M152" s="1028">
        <f>+M147*Assumptions!$H$254*M149</f>
        <v>0</v>
      </c>
      <c r="N152" s="1028">
        <f>+N147*Assumptions!$H$254*N149</f>
        <v>0</v>
      </c>
      <c r="O152" s="1028">
        <f>+O147*Assumptions!$H$254*O149</f>
        <v>0</v>
      </c>
      <c r="P152" s="1028">
        <f>+P147*Assumptions!$H$254*P149</f>
        <v>0</v>
      </c>
      <c r="Q152" s="1028">
        <f>+Q147*Assumptions!$H$254*Q149</f>
        <v>0</v>
      </c>
      <c r="R152" s="1028">
        <f>+R147*Assumptions!$H$254*R149</f>
        <v>0</v>
      </c>
      <c r="S152" s="1028">
        <f>+S147*Assumptions!$H$254*S149</f>
        <v>0</v>
      </c>
      <c r="T152" s="1028">
        <f>+T147*Assumptions!$H$254*T149</f>
        <v>0</v>
      </c>
      <c r="U152" s="1028">
        <f>+U147*Assumptions!$H$254*U149</f>
        <v>0</v>
      </c>
      <c r="V152" s="1028">
        <f>+V147*Assumptions!$H$254*V149</f>
        <v>0</v>
      </c>
      <c r="W152" s="1028">
        <f>+W147*Assumptions!$H$254*W149</f>
        <v>0</v>
      </c>
      <c r="X152" s="1028">
        <f>+X147*Assumptions!$H$254*X149</f>
        <v>0</v>
      </c>
      <c r="Y152" s="1028">
        <f>+Y147*Assumptions!$H$254*Y149</f>
        <v>0</v>
      </c>
      <c r="Z152" s="1028">
        <f>+Z147*Assumptions!$H$254*Z149</f>
        <v>0</v>
      </c>
    </row>
    <row r="153" spans="1:26">
      <c r="A153" s="699"/>
      <c r="B153" s="699" t="s">
        <v>1129</v>
      </c>
      <c r="C153" s="699"/>
      <c r="D153" s="699"/>
      <c r="E153" s="699"/>
      <c r="F153" s="1085">
        <f>-Assumptions!$E$99*'Phase 3 Pro Forma'!F152</f>
        <v>0</v>
      </c>
      <c r="G153" s="1085">
        <f>-Assumptions!$E$99*'Phase 3 Pro Forma'!G152</f>
        <v>0</v>
      </c>
      <c r="H153" s="1085">
        <f>-Assumptions!$E$99*'Phase 3 Pro Forma'!H152</f>
        <v>0</v>
      </c>
      <c r="I153" s="1085">
        <f>-Assumptions!$E$99*'Phase 3 Pro Forma'!I152</f>
        <v>0</v>
      </c>
      <c r="J153" s="1085">
        <f>-Assumptions!$E$99*'Phase 3 Pro Forma'!J152</f>
        <v>0</v>
      </c>
      <c r="K153" s="1085">
        <f>-Assumptions!$E$99*'Phase 3 Pro Forma'!K152</f>
        <v>0</v>
      </c>
      <c r="L153" s="1085">
        <f>-Assumptions!$E$99*'Phase 3 Pro Forma'!L152</f>
        <v>0</v>
      </c>
      <c r="M153" s="1085">
        <f>-Assumptions!$E$99*'Phase 3 Pro Forma'!M152</f>
        <v>0</v>
      </c>
      <c r="N153" s="1085">
        <f>-Assumptions!$E$99*'Phase 3 Pro Forma'!N152</f>
        <v>0</v>
      </c>
      <c r="O153" s="1085">
        <f>-Assumptions!$E$99*'Phase 3 Pro Forma'!O152</f>
        <v>0</v>
      </c>
      <c r="P153" s="1085">
        <f>-Assumptions!$E$99*'Phase 3 Pro Forma'!P152</f>
        <v>0</v>
      </c>
      <c r="Q153" s="1085">
        <f>-Assumptions!$E$99*'Phase 3 Pro Forma'!Q152</f>
        <v>0</v>
      </c>
      <c r="R153" s="1085">
        <f>-Assumptions!$E$99*'Phase 3 Pro Forma'!R152</f>
        <v>0</v>
      </c>
      <c r="S153" s="1085">
        <f>-Assumptions!$E$99*'Phase 3 Pro Forma'!S152</f>
        <v>0</v>
      </c>
      <c r="T153" s="1085">
        <f>-Assumptions!$E$99*'Phase 3 Pro Forma'!T152</f>
        <v>0</v>
      </c>
      <c r="U153" s="1085">
        <f>-Assumptions!$E$99*'Phase 3 Pro Forma'!U152</f>
        <v>0</v>
      </c>
      <c r="V153" s="1085">
        <f>-Assumptions!$E$99*'Phase 3 Pro Forma'!V152</f>
        <v>0</v>
      </c>
      <c r="W153" s="1085">
        <f>-Assumptions!$E$99*'Phase 3 Pro Forma'!W152</f>
        <v>0</v>
      </c>
      <c r="X153" s="1085">
        <f>-Assumptions!$E$99*'Phase 3 Pro Forma'!X152</f>
        <v>0</v>
      </c>
      <c r="Y153" s="1085">
        <f>-Assumptions!$E$99*'Phase 3 Pro Forma'!Y152</f>
        <v>0</v>
      </c>
      <c r="Z153" s="1085">
        <f>-Assumptions!$E$99*'Phase 3 Pro Forma'!Z152</f>
        <v>0</v>
      </c>
    </row>
    <row r="154" spans="1:26">
      <c r="A154" s="699"/>
      <c r="B154" s="699" t="s">
        <v>1130</v>
      </c>
      <c r="C154" s="699"/>
      <c r="D154" s="699"/>
      <c r="E154" s="699"/>
      <c r="F154" s="1085">
        <f>-F152*Assumptions!$AR$78</f>
        <v>0</v>
      </c>
      <c r="G154" s="1085">
        <f>-G152*Assumptions!$AR$78</f>
        <v>0</v>
      </c>
      <c r="H154" s="1085">
        <f>-H152*Assumptions!$AR$78</f>
        <v>0</v>
      </c>
      <c r="I154" s="1085">
        <f>-I152*Assumptions!$AR$78</f>
        <v>0</v>
      </c>
      <c r="J154" s="1085">
        <f>-J152*Assumptions!$AR$78</f>
        <v>0</v>
      </c>
      <c r="K154" s="1085">
        <f>-K152*Assumptions!$AR$78</f>
        <v>0</v>
      </c>
      <c r="L154" s="1085">
        <f>-L152*Assumptions!$AR$78</f>
        <v>0</v>
      </c>
      <c r="M154" s="1085">
        <f>-M152*Assumptions!$AR$78</f>
        <v>0</v>
      </c>
      <c r="N154" s="1085">
        <f>-N152*Assumptions!$AR$78</f>
        <v>0</v>
      </c>
      <c r="O154" s="1085">
        <f>-O152*Assumptions!$AR$78</f>
        <v>0</v>
      </c>
      <c r="P154" s="1085">
        <f>-P152*Assumptions!$AR$78</f>
        <v>0</v>
      </c>
      <c r="Q154" s="1085">
        <f>-Q152*Assumptions!$AR$78</f>
        <v>0</v>
      </c>
      <c r="R154" s="1085">
        <f>-R152*Assumptions!$AR$78</f>
        <v>0</v>
      </c>
      <c r="S154" s="1085">
        <f>-S152*Assumptions!$AR$78</f>
        <v>0</v>
      </c>
      <c r="T154" s="1085">
        <f>-T152*Assumptions!$AR$78</f>
        <v>0</v>
      </c>
      <c r="U154" s="1085">
        <f>-U152*Assumptions!$AR$78</f>
        <v>0</v>
      </c>
      <c r="V154" s="1085">
        <f>-V152*Assumptions!$AR$78</f>
        <v>0</v>
      </c>
      <c r="W154" s="1085">
        <f>-W152*Assumptions!$AR$78</f>
        <v>0</v>
      </c>
      <c r="X154" s="1085">
        <f>-X152*Assumptions!$AR$78</f>
        <v>0</v>
      </c>
      <c r="Y154" s="1085">
        <f>-Y152*Assumptions!$AR$78</f>
        <v>0</v>
      </c>
      <c r="Z154" s="1085">
        <f>-Z152*Assumptions!$AR$78</f>
        <v>0</v>
      </c>
    </row>
    <row r="155" spans="1:26">
      <c r="A155" s="699"/>
      <c r="B155" s="699" t="s">
        <v>675</v>
      </c>
      <c r="C155" s="699"/>
      <c r="D155" s="699"/>
      <c r="E155" s="699"/>
      <c r="F155" s="1085">
        <f>+F146*Assumptions!$AG$159*(1-Assumptions!$AR$78)*12</f>
        <v>0</v>
      </c>
      <c r="G155" s="1085">
        <f>+G146*Assumptions!$AG$159*(1-Assumptions!$AR$78)*12</f>
        <v>0</v>
      </c>
      <c r="H155" s="1085">
        <f>+H146*Assumptions!$AG$159*(1-Assumptions!$AR$78)*12</f>
        <v>0</v>
      </c>
      <c r="I155" s="1085">
        <f>+I146*Assumptions!$AG$159*(1-Assumptions!$AR$78)*12</f>
        <v>0</v>
      </c>
      <c r="J155" s="1085">
        <f>+J146*Assumptions!$AG$159*(1-Assumptions!$AR$78)*12</f>
        <v>0</v>
      </c>
      <c r="K155" s="1085">
        <f>+K146*Assumptions!$AG$159*(1-Assumptions!$AR$78)*12</f>
        <v>0</v>
      </c>
      <c r="L155" s="1085">
        <f>+L146*Assumptions!$AG$159*(1-Assumptions!$AR$78)*12</f>
        <v>0</v>
      </c>
      <c r="M155" s="1085">
        <f>+M146*Assumptions!$AG$159*(1-Assumptions!$AR$78)*12</f>
        <v>0</v>
      </c>
      <c r="N155" s="1085">
        <f>+N146*Assumptions!$AG$159*(1-Assumptions!$AR$78)*12</f>
        <v>0</v>
      </c>
      <c r="O155" s="1085">
        <f>+O146*Assumptions!$AG$159*(1-Assumptions!$AR$78)*12</f>
        <v>0</v>
      </c>
      <c r="P155" s="1085">
        <f>+P146*Assumptions!$AG$159*(1-Assumptions!$AR$78)*12</f>
        <v>0</v>
      </c>
      <c r="Q155" s="1085">
        <f>+Q146*Assumptions!$AG$159*(1-Assumptions!$AR$78)*12</f>
        <v>0</v>
      </c>
      <c r="R155" s="1085">
        <f>+R146*Assumptions!$AG$159*(1-Assumptions!$AR$78)*12</f>
        <v>0</v>
      </c>
      <c r="S155" s="1085">
        <f>+S146*Assumptions!$AG$159*(1-Assumptions!$AR$78)*12</f>
        <v>0</v>
      </c>
      <c r="T155" s="1085">
        <f>+T146*Assumptions!$AG$159*(1-Assumptions!$AR$78)*12</f>
        <v>0</v>
      </c>
      <c r="U155" s="1085">
        <f>+U146*Assumptions!$AG$159*(1-Assumptions!$AR$78)*12</f>
        <v>0</v>
      </c>
      <c r="V155" s="1085">
        <f>+V146*Assumptions!$AG$159*(1-Assumptions!$AR$78)*12</f>
        <v>0</v>
      </c>
      <c r="W155" s="1085">
        <f>+W146*Assumptions!$AG$159*(1-Assumptions!$AR$78)*12</f>
        <v>0</v>
      </c>
      <c r="X155" s="1085">
        <f>+X146*Assumptions!$AG$159*(1-Assumptions!$AR$78)*12</f>
        <v>0</v>
      </c>
      <c r="Y155" s="1085">
        <f>+Y146*Assumptions!$AG$159*(1-Assumptions!$AR$78)*12</f>
        <v>0</v>
      </c>
      <c r="Z155" s="1085">
        <f>+Z146*Assumptions!$AG$159*(1-Assumptions!$AR$78)*12</f>
        <v>0</v>
      </c>
    </row>
    <row r="156" spans="1:26">
      <c r="A156" s="699"/>
      <c r="B156" s="699" t="s">
        <v>48</v>
      </c>
      <c r="C156" s="699"/>
      <c r="D156" s="699"/>
      <c r="E156" s="699"/>
      <c r="F156" s="1085">
        <f>+(F146*Assumptions!$AD$160*Assumptions!$AD$161)*12</f>
        <v>0</v>
      </c>
      <c r="G156" s="1085">
        <f>+(G146*Assumptions!$AD$160*Assumptions!$AD$161)*12</f>
        <v>0</v>
      </c>
      <c r="H156" s="1085">
        <f>+(H146*Assumptions!$AD$160*Assumptions!$AD$161)*12</f>
        <v>0</v>
      </c>
      <c r="I156" s="1085">
        <f>+(I146*Assumptions!$AD$160*Assumptions!$AD$161)*12</f>
        <v>0</v>
      </c>
      <c r="J156" s="1085">
        <f>+(J146*Assumptions!$AD$160*Assumptions!$AD$161)*12</f>
        <v>0</v>
      </c>
      <c r="K156" s="1085">
        <f>+(K146*Assumptions!$AD$160*Assumptions!$AD$161)*12</f>
        <v>0</v>
      </c>
      <c r="L156" s="1085">
        <f>+(L146*Assumptions!$AD$160*Assumptions!$AD$161)*12</f>
        <v>0</v>
      </c>
      <c r="M156" s="1085">
        <f>+(M146*Assumptions!$AD$160*Assumptions!$AD$161)*12</f>
        <v>0</v>
      </c>
      <c r="N156" s="1085">
        <f>+(N146*Assumptions!$AD$160*Assumptions!$AD$161)*12</f>
        <v>0</v>
      </c>
      <c r="O156" s="1085">
        <f>+(O146*Assumptions!$AD$160*Assumptions!$AD$161)*12</f>
        <v>0</v>
      </c>
      <c r="P156" s="1085">
        <f>+(P146*Assumptions!$AD$160*Assumptions!$AD$161)*12</f>
        <v>0</v>
      </c>
      <c r="Q156" s="1085">
        <f>+(Q146*Assumptions!$AD$160*Assumptions!$AD$161)*12</f>
        <v>0</v>
      </c>
      <c r="R156" s="1085">
        <f>+(R146*Assumptions!$AD$160*Assumptions!$AD$161)*12</f>
        <v>0</v>
      </c>
      <c r="S156" s="1085">
        <f>+(S146*Assumptions!$AD$160*Assumptions!$AD$161)*12</f>
        <v>0</v>
      </c>
      <c r="T156" s="1085">
        <f>+(T146*Assumptions!$AD$160*Assumptions!$AD$161)*12</f>
        <v>0</v>
      </c>
      <c r="U156" s="1085">
        <f>+(U146*Assumptions!$AD$160*Assumptions!$AD$161)*12</f>
        <v>0</v>
      </c>
      <c r="V156" s="1085">
        <f>+(V146*Assumptions!$AD$160*Assumptions!$AD$161)*12</f>
        <v>0</v>
      </c>
      <c r="W156" s="1085">
        <f>+(W146*Assumptions!$AD$160*Assumptions!$AD$161)*12</f>
        <v>0</v>
      </c>
      <c r="X156" s="1085">
        <f>+(X146*Assumptions!$AD$160*Assumptions!$AD$161)*12</f>
        <v>0</v>
      </c>
      <c r="Y156" s="1085">
        <f>+(Y146*Assumptions!$AD$160*Assumptions!$AD$161)*12</f>
        <v>0</v>
      </c>
      <c r="Z156" s="1085">
        <f>+(Z146*Assumptions!$AD$160*Assumptions!$AD$161)*12</f>
        <v>0</v>
      </c>
    </row>
    <row r="157" spans="1:26">
      <c r="A157" s="699"/>
      <c r="B157" s="699" t="s">
        <v>50</v>
      </c>
      <c r="C157" s="699"/>
      <c r="D157" s="699"/>
      <c r="E157" s="699"/>
      <c r="F157" s="1085">
        <f>+F146*Assumptions!$AD$162*Assumptions!$AD$163*12</f>
        <v>0</v>
      </c>
      <c r="G157" s="1085">
        <f>+G146*Assumptions!$AD$162*Assumptions!$AD$163*12</f>
        <v>0</v>
      </c>
      <c r="H157" s="1085">
        <f>+H146*Assumptions!$AD$162*Assumptions!$AD$163*12</f>
        <v>0</v>
      </c>
      <c r="I157" s="1085">
        <f>+I146*Assumptions!$AD$162*Assumptions!$AD$163*12</f>
        <v>0</v>
      </c>
      <c r="J157" s="1085">
        <f>+J146*Assumptions!$AD$162*Assumptions!$AD$163*12</f>
        <v>0</v>
      </c>
      <c r="K157" s="1085">
        <f>+K146*Assumptions!$AD$162*Assumptions!$AD$163*12</f>
        <v>0</v>
      </c>
      <c r="L157" s="1085">
        <f>+L146*Assumptions!$AD$162*Assumptions!$AD$163*12</f>
        <v>0</v>
      </c>
      <c r="M157" s="1085">
        <f>+M146*Assumptions!$AD$162*Assumptions!$AD$163*12</f>
        <v>0</v>
      </c>
      <c r="N157" s="1085">
        <f>+N146*Assumptions!$AD$162*Assumptions!$AD$163*12</f>
        <v>0</v>
      </c>
      <c r="O157" s="1085">
        <f>+O146*Assumptions!$AD$162*Assumptions!$AD$163*12</f>
        <v>0</v>
      </c>
      <c r="P157" s="1085">
        <f>+P146*Assumptions!$AD$162*Assumptions!$AD$163*12</f>
        <v>0</v>
      </c>
      <c r="Q157" s="1085">
        <f>+Q146*Assumptions!$AD$162*Assumptions!$AD$163*12</f>
        <v>0</v>
      </c>
      <c r="R157" s="1085">
        <f>+R146*Assumptions!$AD$162*Assumptions!$AD$163*12</f>
        <v>0</v>
      </c>
      <c r="S157" s="1085">
        <f>+S146*Assumptions!$AD$162*Assumptions!$AD$163*12</f>
        <v>0</v>
      </c>
      <c r="T157" s="1085">
        <f>+T146*Assumptions!$AD$162*Assumptions!$AD$163*12</f>
        <v>0</v>
      </c>
      <c r="U157" s="1085">
        <f>+U146*Assumptions!$AD$162*Assumptions!$AD$163*12</f>
        <v>0</v>
      </c>
      <c r="V157" s="1085">
        <f>+V146*Assumptions!$AD$162*Assumptions!$AD$163*12</f>
        <v>0</v>
      </c>
      <c r="W157" s="1085">
        <f>+W146*Assumptions!$AD$162*Assumptions!$AD$163*12</f>
        <v>0</v>
      </c>
      <c r="X157" s="1085">
        <f>+X146*Assumptions!$AD$162*Assumptions!$AD$163*12</f>
        <v>0</v>
      </c>
      <c r="Y157" s="1085">
        <f>+Y146*Assumptions!$AD$162*Assumptions!$AD$163*12</f>
        <v>0</v>
      </c>
      <c r="Z157" s="1085">
        <f>+Z146*Assumptions!$AD$162*Assumptions!$AD$163*12</f>
        <v>0</v>
      </c>
    </row>
    <row r="158" spans="1:26">
      <c r="A158" s="699"/>
      <c r="B158" s="699" t="s">
        <v>52</v>
      </c>
      <c r="C158" s="699"/>
      <c r="D158" s="699"/>
      <c r="E158" s="699"/>
      <c r="F158" s="1085">
        <f>+F146*Assumptions!$AD$164*Assumptions!$AD$165*12</f>
        <v>0</v>
      </c>
      <c r="G158" s="1085">
        <f>+G146*Assumptions!$AD$164*Assumptions!$AD$165*12</f>
        <v>0</v>
      </c>
      <c r="H158" s="1085">
        <f>+H146*Assumptions!$AD$164*Assumptions!$AD$165*12</f>
        <v>0</v>
      </c>
      <c r="I158" s="1085">
        <f>+I146*Assumptions!$AD$164*Assumptions!$AD$165*12</f>
        <v>0</v>
      </c>
      <c r="J158" s="1085">
        <f>+J146*Assumptions!$AD$164*Assumptions!$AD$165*12</f>
        <v>0</v>
      </c>
      <c r="K158" s="1085">
        <f>+K146*Assumptions!$AD$164*Assumptions!$AD$165*12</f>
        <v>0</v>
      </c>
      <c r="L158" s="1085">
        <f>+L146*Assumptions!$AD$164*Assumptions!$AD$165*12</f>
        <v>0</v>
      </c>
      <c r="M158" s="1085">
        <f>+M146*Assumptions!$AD$164*Assumptions!$AD$165*12</f>
        <v>0</v>
      </c>
      <c r="N158" s="1085">
        <f>+N146*Assumptions!$AD$164*Assumptions!$AD$165*12</f>
        <v>0</v>
      </c>
      <c r="O158" s="1085">
        <f>+O146*Assumptions!$AD$164*Assumptions!$AD$165*12</f>
        <v>0</v>
      </c>
      <c r="P158" s="1085">
        <f>+P146*Assumptions!$AD$164*Assumptions!$AD$165*12</f>
        <v>0</v>
      </c>
      <c r="Q158" s="1085">
        <f>+Q146*Assumptions!$AD$164*Assumptions!$AD$165*12</f>
        <v>0</v>
      </c>
      <c r="R158" s="1085">
        <f>+R146*Assumptions!$AD$164*Assumptions!$AD$165*12</f>
        <v>0</v>
      </c>
      <c r="S158" s="1085">
        <f>+S146*Assumptions!$AD$164*Assumptions!$AD$165*12</f>
        <v>0</v>
      </c>
      <c r="T158" s="1085">
        <f>+T146*Assumptions!$AD$164*Assumptions!$AD$165*12</f>
        <v>0</v>
      </c>
      <c r="U158" s="1085">
        <f>+U146*Assumptions!$AD$164*Assumptions!$AD$165*12</f>
        <v>0</v>
      </c>
      <c r="V158" s="1085">
        <f>+V146*Assumptions!$AD$164*Assumptions!$AD$165*12</f>
        <v>0</v>
      </c>
      <c r="W158" s="1085">
        <f>+W146*Assumptions!$AD$164*Assumptions!$AD$165*12</f>
        <v>0</v>
      </c>
      <c r="X158" s="1085">
        <f>+X146*Assumptions!$AD$164*Assumptions!$AD$165*12</f>
        <v>0</v>
      </c>
      <c r="Y158" s="1085">
        <f>+Y146*Assumptions!$AD$164*Assumptions!$AD$165*12</f>
        <v>0</v>
      </c>
      <c r="Z158" s="1085">
        <f>+Z146*Assumptions!$AD$164*Assumptions!$AD$165*12</f>
        <v>0</v>
      </c>
    </row>
    <row r="159" spans="1:26">
      <c r="A159" s="699"/>
      <c r="B159" s="52" t="s">
        <v>1131</v>
      </c>
      <c r="C159" s="1052"/>
      <c r="D159" s="1052"/>
      <c r="E159" s="1052"/>
      <c r="F159" s="1086">
        <f t="shared" ref="F159" si="45">SUM(F152:F158)</f>
        <v>0</v>
      </c>
      <c r="G159" s="1086">
        <f t="shared" ref="G159:Z159" si="46">SUM(G152:G158)</f>
        <v>0</v>
      </c>
      <c r="H159" s="1086">
        <f t="shared" si="46"/>
        <v>0</v>
      </c>
      <c r="I159" s="1086">
        <f t="shared" si="46"/>
        <v>0</v>
      </c>
      <c r="J159" s="1086">
        <f t="shared" si="46"/>
        <v>0</v>
      </c>
      <c r="K159" s="1086">
        <f t="shared" si="46"/>
        <v>0</v>
      </c>
      <c r="L159" s="1086">
        <f t="shared" si="46"/>
        <v>0</v>
      </c>
      <c r="M159" s="1086">
        <f t="shared" si="46"/>
        <v>0</v>
      </c>
      <c r="N159" s="1086">
        <f t="shared" si="46"/>
        <v>0</v>
      </c>
      <c r="O159" s="1086">
        <f t="shared" si="46"/>
        <v>0</v>
      </c>
      <c r="P159" s="1086">
        <f t="shared" si="46"/>
        <v>0</v>
      </c>
      <c r="Q159" s="1086">
        <f t="shared" si="46"/>
        <v>0</v>
      </c>
      <c r="R159" s="1086">
        <f t="shared" si="46"/>
        <v>0</v>
      </c>
      <c r="S159" s="1086">
        <f t="shared" si="46"/>
        <v>0</v>
      </c>
      <c r="T159" s="1086">
        <f t="shared" si="46"/>
        <v>0</v>
      </c>
      <c r="U159" s="1086">
        <f t="shared" si="46"/>
        <v>0</v>
      </c>
      <c r="V159" s="1086">
        <f t="shared" si="46"/>
        <v>0</v>
      </c>
      <c r="W159" s="1086">
        <f t="shared" si="46"/>
        <v>0</v>
      </c>
      <c r="X159" s="1086">
        <f t="shared" si="46"/>
        <v>0</v>
      </c>
      <c r="Y159" s="1086">
        <f t="shared" si="46"/>
        <v>0</v>
      </c>
      <c r="Z159" s="1086">
        <f t="shared" si="46"/>
        <v>0</v>
      </c>
    </row>
    <row r="160" spans="1:26">
      <c r="A160" s="699"/>
      <c r="B160" s="49"/>
      <c r="C160" s="699"/>
      <c r="D160" s="699"/>
      <c r="E160" s="699"/>
      <c r="F160" s="699"/>
      <c r="G160" s="699"/>
      <c r="H160" s="699"/>
      <c r="I160" s="699"/>
      <c r="J160" s="699"/>
      <c r="K160" s="699"/>
      <c r="L160" s="699"/>
      <c r="M160" s="699"/>
      <c r="N160" s="699"/>
      <c r="O160" s="699"/>
      <c r="P160" s="699"/>
      <c r="Q160" s="699"/>
      <c r="R160" s="699"/>
      <c r="S160" s="699"/>
      <c r="T160" s="699"/>
      <c r="U160" s="699"/>
      <c r="V160" s="699"/>
      <c r="W160" s="699"/>
      <c r="X160" s="699"/>
      <c r="Y160" s="699"/>
      <c r="Z160" s="699"/>
    </row>
    <row r="161" spans="1:26">
      <c r="A161" s="699"/>
      <c r="B161" s="699" t="s">
        <v>1132</v>
      </c>
      <c r="C161" s="699"/>
      <c r="D161" s="699"/>
      <c r="E161" s="699"/>
      <c r="F161" s="1087">
        <f>+F146*Assumptions!$AG$264*F150</f>
        <v>0</v>
      </c>
      <c r="G161" s="1087">
        <f>+G146*Assumptions!$AG$264*G150</f>
        <v>0</v>
      </c>
      <c r="H161" s="1087">
        <f>+H146*Assumptions!$AG$264*H150</f>
        <v>0</v>
      </c>
      <c r="I161" s="1087">
        <f>+I146*Assumptions!$AG$264*I150</f>
        <v>0</v>
      </c>
      <c r="J161" s="1087">
        <f>+J146*Assumptions!$AG$264*J150</f>
        <v>0</v>
      </c>
      <c r="K161" s="1087">
        <f>+K146*Assumptions!$AG$264*K150</f>
        <v>0</v>
      </c>
      <c r="L161" s="1087">
        <f>+L146*Assumptions!$AG$264*L150</f>
        <v>0</v>
      </c>
      <c r="M161" s="1087">
        <f>+M146*Assumptions!$AG$264*M150</f>
        <v>0</v>
      </c>
      <c r="N161" s="1087">
        <f>+N146*Assumptions!$AG$264*N150</f>
        <v>0</v>
      </c>
      <c r="O161" s="1087">
        <f>+O146*Assumptions!$AG$264*O150</f>
        <v>0</v>
      </c>
      <c r="P161" s="1087">
        <f>+P146*Assumptions!$AG$264*P150</f>
        <v>0</v>
      </c>
      <c r="Q161" s="1087">
        <f>+Q146*Assumptions!$AG$264*Q150</f>
        <v>0</v>
      </c>
      <c r="R161" s="1087">
        <f>+R146*Assumptions!$AG$264*R150</f>
        <v>0</v>
      </c>
      <c r="S161" s="1087">
        <f>+S146*Assumptions!$AG$264*S150</f>
        <v>0</v>
      </c>
      <c r="T161" s="1087">
        <f>+T146*Assumptions!$AG$264*T150</f>
        <v>0</v>
      </c>
      <c r="U161" s="1087">
        <f>+U146*Assumptions!$AG$264*U150</f>
        <v>0</v>
      </c>
      <c r="V161" s="1087">
        <f>+V146*Assumptions!$AG$264*V150</f>
        <v>0</v>
      </c>
      <c r="W161" s="1087">
        <f>+W146*Assumptions!$AG$264*W150</f>
        <v>0</v>
      </c>
      <c r="X161" s="1087">
        <f>+X146*Assumptions!$AG$264*X150</f>
        <v>0</v>
      </c>
      <c r="Y161" s="1087">
        <f>+Y146*Assumptions!$AG$264*Y150</f>
        <v>0</v>
      </c>
      <c r="Z161" s="1087">
        <f>+Z146*Assumptions!$AG$264*Z150</f>
        <v>0</v>
      </c>
    </row>
    <row r="162" spans="1:26">
      <c r="A162" s="699"/>
      <c r="B162" s="699" t="s">
        <v>1133</v>
      </c>
      <c r="C162" s="699"/>
      <c r="D162" s="699"/>
      <c r="E162" s="699"/>
      <c r="F162" s="1050">
        <f ca="1">+IFERROR(INDEX('Taxes and TIF'!$AS$11:$AS$45,MATCH('Phase 3 Pro Forma'!F$7,'Taxes and TIF'!$AH$11:$AH$45,0)),0)*'Loan Sizing'!$M$33*'Phase 3 Pro Forma'!F147</f>
        <v>0</v>
      </c>
      <c r="G162" s="1050">
        <f ca="1">+IFERROR(INDEX('Taxes and TIF'!$AS$11:$AS$45,MATCH('Phase 3 Pro Forma'!G$7,'Taxes and TIF'!$AH$11:$AH$45,0)),0)*'Loan Sizing'!$M$33*'Phase 3 Pro Forma'!G147</f>
        <v>0</v>
      </c>
      <c r="H162" s="1050">
        <f ca="1">+IFERROR(INDEX('Taxes and TIF'!$AS$11:$AS$45,MATCH('Phase 3 Pro Forma'!H$7,'Taxes and TIF'!$AH$11:$AH$45,0)),0)*'Loan Sizing'!$M$33*'Phase 3 Pro Forma'!H147</f>
        <v>0</v>
      </c>
      <c r="I162" s="1050">
        <f ca="1">+IFERROR(INDEX('Taxes and TIF'!$AS$11:$AS$45,MATCH('Phase 3 Pro Forma'!I$7,'Taxes and TIF'!$AH$11:$AH$45,0)),0)*'Loan Sizing'!$M$33*'Phase 3 Pro Forma'!I147</f>
        <v>0</v>
      </c>
      <c r="J162" s="1050">
        <f ca="1">+IFERROR(INDEX('Taxes and TIF'!$AS$11:$AS$45,MATCH('Phase 3 Pro Forma'!J$7,'Taxes and TIF'!$AH$11:$AH$45,0)),0)*'Loan Sizing'!$M$33*'Phase 3 Pro Forma'!J147</f>
        <v>0</v>
      </c>
      <c r="K162" s="1050">
        <f ca="1">+IFERROR(INDEX('Taxes and TIF'!$AS$11:$AS$45,MATCH('Phase 3 Pro Forma'!K$7,'Taxes and TIF'!$AH$11:$AH$45,0)),0)*'Loan Sizing'!$M$33*'Phase 3 Pro Forma'!K147</f>
        <v>0</v>
      </c>
      <c r="L162" s="1050">
        <f ca="1">+IFERROR(INDEX('Taxes and TIF'!$AS$11:$AS$45,MATCH('Phase 3 Pro Forma'!L$7,'Taxes and TIF'!$AH$11:$AH$45,0)),0)*'Loan Sizing'!$M$33*'Phase 3 Pro Forma'!L147</f>
        <v>0</v>
      </c>
      <c r="M162" s="1050">
        <f ca="1">+IFERROR(INDEX('Taxes and TIF'!$AS$11:$AS$45,MATCH('Phase 3 Pro Forma'!M$7,'Taxes and TIF'!$AH$11:$AH$45,0)),0)*'Loan Sizing'!$M$33*'Phase 3 Pro Forma'!M147</f>
        <v>0</v>
      </c>
      <c r="N162" s="1050">
        <f ca="1">+IFERROR(INDEX('Taxes and TIF'!$AS$11:$AS$45,MATCH('Phase 3 Pro Forma'!N$7,'Taxes and TIF'!$AH$11:$AH$45,0)),0)*'Loan Sizing'!$M$33*'Phase 3 Pro Forma'!N147</f>
        <v>0</v>
      </c>
      <c r="O162" s="1050">
        <f ca="1">+IFERROR(INDEX('Taxes and TIF'!$AS$11:$AS$45,MATCH('Phase 3 Pro Forma'!O$7,'Taxes and TIF'!$AH$11:$AH$45,0)),0)*'Loan Sizing'!$M$33*'Phase 3 Pro Forma'!O147</f>
        <v>0</v>
      </c>
      <c r="P162" s="1050">
        <f ca="1">+IFERROR(INDEX('Taxes and TIF'!$AS$11:$AS$45,MATCH('Phase 3 Pro Forma'!P$7,'Taxes and TIF'!$AH$11:$AH$45,0)),0)*'Loan Sizing'!$M$33*'Phase 3 Pro Forma'!P147</f>
        <v>0</v>
      </c>
      <c r="Q162" s="1050">
        <f ca="1">+IFERROR(INDEX('Taxes and TIF'!$AS$11:$AS$45,MATCH('Phase 3 Pro Forma'!Q$7,'Taxes and TIF'!$AH$11:$AH$45,0)),0)*'Loan Sizing'!$M$33*'Phase 3 Pro Forma'!Q147</f>
        <v>0</v>
      </c>
      <c r="R162" s="1050">
        <f ca="1">+IFERROR(INDEX('Taxes and TIF'!$AS$11:$AS$45,MATCH('Phase 3 Pro Forma'!R$7,'Taxes and TIF'!$AH$11:$AH$45,0)),0)*'Loan Sizing'!$M$33*'Phase 3 Pro Forma'!R147</f>
        <v>0</v>
      </c>
      <c r="S162" s="1050">
        <f ca="1">+IFERROR(INDEX('Taxes and TIF'!$AS$11:$AS$45,MATCH('Phase 3 Pro Forma'!S$7,'Taxes and TIF'!$AH$11:$AH$45,0)),0)*'Loan Sizing'!$M$33*'Phase 3 Pro Forma'!S147</f>
        <v>0</v>
      </c>
      <c r="T162" s="1050">
        <f ca="1">+IFERROR(INDEX('Taxes and TIF'!$AS$11:$AS$45,MATCH('Phase 3 Pro Forma'!T$7,'Taxes and TIF'!$AH$11:$AH$45,0)),0)*'Loan Sizing'!$M$33*'Phase 3 Pro Forma'!T147</f>
        <v>0</v>
      </c>
      <c r="U162" s="1050">
        <f ca="1">+IFERROR(INDEX('Taxes and TIF'!$AS$11:$AS$45,MATCH('Phase 3 Pro Forma'!U$7,'Taxes and TIF'!$AH$11:$AH$45,0)),0)*'Loan Sizing'!$M$33*'Phase 3 Pro Forma'!U147</f>
        <v>0</v>
      </c>
      <c r="V162" s="1050">
        <f ca="1">+IFERROR(INDEX('Taxes and TIF'!$AS$11:$AS$45,MATCH('Phase 3 Pro Forma'!V$7,'Taxes and TIF'!$AH$11:$AH$45,0)),0)*'Loan Sizing'!$M$33*'Phase 3 Pro Forma'!V147</f>
        <v>0</v>
      </c>
      <c r="W162" s="1050">
        <f ca="1">+IFERROR(INDEX('Taxes and TIF'!$AS$11:$AS$45,MATCH('Phase 3 Pro Forma'!W$7,'Taxes and TIF'!$AH$11:$AH$45,0)),0)*'Loan Sizing'!$M$33*'Phase 3 Pro Forma'!W147</f>
        <v>0</v>
      </c>
      <c r="X162" s="1050">
        <f ca="1">+IFERROR(INDEX('Taxes and TIF'!$AS$11:$AS$45,MATCH('Phase 3 Pro Forma'!X$7,'Taxes and TIF'!$AH$11:$AH$45,0)),0)*'Loan Sizing'!$M$33*'Phase 3 Pro Forma'!X147</f>
        <v>0</v>
      </c>
      <c r="Y162" s="1050">
        <f ca="1">+IFERROR(INDEX('Taxes and TIF'!$AS$11:$AS$45,MATCH('Phase 3 Pro Forma'!Y$7,'Taxes and TIF'!$AH$11:$AH$45,0)),0)*'Loan Sizing'!$M$33*'Phase 3 Pro Forma'!Y147</f>
        <v>0</v>
      </c>
      <c r="Z162" s="1050">
        <f ca="1">+IFERROR(INDEX('Taxes and TIF'!$AS$11:$AS$45,MATCH('Phase 3 Pro Forma'!Z$7,'Taxes and TIF'!$AH$11:$AH$45,0)),0)*'Loan Sizing'!$M$33*'Phase 3 Pro Forma'!Z147</f>
        <v>0</v>
      </c>
    </row>
    <row r="163" spans="1:26">
      <c r="A163" s="699"/>
      <c r="B163" s="52" t="s">
        <v>1134</v>
      </c>
      <c r="C163" s="1052"/>
      <c r="D163" s="1052"/>
      <c r="E163" s="1052"/>
      <c r="F163" s="1088">
        <f ca="1">+SUM(F161:F162)</f>
        <v>0</v>
      </c>
      <c r="G163" s="1088">
        <f t="shared" ref="G163:Z163" ca="1" si="47">+SUM(G161:G162)</f>
        <v>0</v>
      </c>
      <c r="H163" s="1088">
        <f t="shared" ca="1" si="47"/>
        <v>0</v>
      </c>
      <c r="I163" s="1088">
        <f t="shared" ca="1" si="47"/>
        <v>0</v>
      </c>
      <c r="J163" s="1088">
        <f t="shared" ca="1" si="47"/>
        <v>0</v>
      </c>
      <c r="K163" s="1088">
        <f t="shared" ca="1" si="47"/>
        <v>0</v>
      </c>
      <c r="L163" s="1088">
        <f t="shared" ca="1" si="47"/>
        <v>0</v>
      </c>
      <c r="M163" s="1088">
        <f t="shared" ca="1" si="47"/>
        <v>0</v>
      </c>
      <c r="N163" s="1088">
        <f t="shared" ca="1" si="47"/>
        <v>0</v>
      </c>
      <c r="O163" s="1088">
        <f t="shared" ca="1" si="47"/>
        <v>0</v>
      </c>
      <c r="P163" s="1088">
        <f t="shared" ca="1" si="47"/>
        <v>0</v>
      </c>
      <c r="Q163" s="1088">
        <f t="shared" ca="1" si="47"/>
        <v>0</v>
      </c>
      <c r="R163" s="1088">
        <f t="shared" ca="1" si="47"/>
        <v>0</v>
      </c>
      <c r="S163" s="1088">
        <f t="shared" ca="1" si="47"/>
        <v>0</v>
      </c>
      <c r="T163" s="1088">
        <f t="shared" ca="1" si="47"/>
        <v>0</v>
      </c>
      <c r="U163" s="1088">
        <f t="shared" ca="1" si="47"/>
        <v>0</v>
      </c>
      <c r="V163" s="1088">
        <f t="shared" ca="1" si="47"/>
        <v>0</v>
      </c>
      <c r="W163" s="1088">
        <f t="shared" ca="1" si="47"/>
        <v>0</v>
      </c>
      <c r="X163" s="1088">
        <f t="shared" ca="1" si="47"/>
        <v>0</v>
      </c>
      <c r="Y163" s="1088">
        <f t="shared" ca="1" si="47"/>
        <v>0</v>
      </c>
      <c r="Z163" s="1088">
        <f t="shared" ca="1" si="47"/>
        <v>0</v>
      </c>
    </row>
    <row r="165" spans="1:26" ht="15.75">
      <c r="A165" s="699"/>
      <c r="B165" s="50" t="s">
        <v>1135</v>
      </c>
      <c r="C165" s="50"/>
      <c r="D165" s="50"/>
      <c r="E165" s="50"/>
      <c r="F165" s="55">
        <f ca="1">+F159-F163</f>
        <v>0</v>
      </c>
      <c r="G165" s="55">
        <f t="shared" ref="G165:Z165" ca="1" si="48">+G159-G163</f>
        <v>0</v>
      </c>
      <c r="H165" s="55">
        <f t="shared" ca="1" si="48"/>
        <v>0</v>
      </c>
      <c r="I165" s="55">
        <f t="shared" ca="1" si="48"/>
        <v>0</v>
      </c>
      <c r="J165" s="55">
        <f t="shared" ca="1" si="48"/>
        <v>0</v>
      </c>
      <c r="K165" s="55">
        <f t="shared" ca="1" si="48"/>
        <v>0</v>
      </c>
      <c r="L165" s="55">
        <f t="shared" ca="1" si="48"/>
        <v>0</v>
      </c>
      <c r="M165" s="55">
        <f t="shared" ca="1" si="48"/>
        <v>0</v>
      </c>
      <c r="N165" s="55">
        <f t="shared" ca="1" si="48"/>
        <v>0</v>
      </c>
      <c r="O165" s="55">
        <f t="shared" ca="1" si="48"/>
        <v>0</v>
      </c>
      <c r="P165" s="55">
        <f t="shared" ca="1" si="48"/>
        <v>0</v>
      </c>
      <c r="Q165" s="55">
        <f t="shared" ca="1" si="48"/>
        <v>0</v>
      </c>
      <c r="R165" s="55">
        <f t="shared" ca="1" si="48"/>
        <v>0</v>
      </c>
      <c r="S165" s="55">
        <f t="shared" ca="1" si="48"/>
        <v>0</v>
      </c>
      <c r="T165" s="55">
        <f t="shared" ca="1" si="48"/>
        <v>0</v>
      </c>
      <c r="U165" s="55">
        <f t="shared" ca="1" si="48"/>
        <v>0</v>
      </c>
      <c r="V165" s="55">
        <f t="shared" ca="1" si="48"/>
        <v>0</v>
      </c>
      <c r="W165" s="55">
        <f t="shared" ca="1" si="48"/>
        <v>0</v>
      </c>
      <c r="X165" s="55">
        <f t="shared" ca="1" si="48"/>
        <v>0</v>
      </c>
      <c r="Y165" s="55">
        <f t="shared" ca="1" si="48"/>
        <v>0</v>
      </c>
      <c r="Z165" s="55">
        <f t="shared" ca="1" si="48"/>
        <v>0</v>
      </c>
    </row>
    <row r="166" spans="1:26">
      <c r="A166" s="699"/>
      <c r="B166" s="51" t="s">
        <v>1136</v>
      </c>
      <c r="C166" s="51"/>
      <c r="D166" s="51"/>
      <c r="E166" s="51"/>
      <c r="F166" s="56" t="str">
        <f ca="1">+IFERROR(F165/F159,"")</f>
        <v/>
      </c>
      <c r="G166" s="56" t="str">
        <f t="shared" ref="G166:Z166" ca="1" si="49">+IFERROR(G165/G159,"")</f>
        <v/>
      </c>
      <c r="H166" s="56" t="str">
        <f t="shared" ca="1" si="49"/>
        <v/>
      </c>
      <c r="I166" s="56" t="str">
        <f t="shared" ca="1" si="49"/>
        <v/>
      </c>
      <c r="J166" s="56" t="str">
        <f t="shared" ca="1" si="49"/>
        <v/>
      </c>
      <c r="K166" s="56" t="str">
        <f t="shared" ca="1" si="49"/>
        <v/>
      </c>
      <c r="L166" s="56" t="str">
        <f t="shared" ca="1" si="49"/>
        <v/>
      </c>
      <c r="M166" s="56" t="str">
        <f t="shared" ca="1" si="49"/>
        <v/>
      </c>
      <c r="N166" s="56" t="str">
        <f t="shared" ca="1" si="49"/>
        <v/>
      </c>
      <c r="O166" s="56" t="str">
        <f t="shared" ca="1" si="49"/>
        <v/>
      </c>
      <c r="P166" s="56" t="str">
        <f t="shared" ca="1" si="49"/>
        <v/>
      </c>
      <c r="Q166" s="56" t="str">
        <f t="shared" ca="1" si="49"/>
        <v/>
      </c>
      <c r="R166" s="56" t="str">
        <f t="shared" ca="1" si="49"/>
        <v/>
      </c>
      <c r="S166" s="56" t="str">
        <f t="shared" ca="1" si="49"/>
        <v/>
      </c>
      <c r="T166" s="56" t="str">
        <f t="shared" ca="1" si="49"/>
        <v/>
      </c>
      <c r="U166" s="56" t="str">
        <f t="shared" ca="1" si="49"/>
        <v/>
      </c>
      <c r="V166" s="56" t="str">
        <f t="shared" ca="1" si="49"/>
        <v/>
      </c>
      <c r="W166" s="56" t="str">
        <f t="shared" ca="1" si="49"/>
        <v/>
      </c>
      <c r="X166" s="56" t="str">
        <f t="shared" ca="1" si="49"/>
        <v/>
      </c>
      <c r="Y166" s="56" t="str">
        <f t="shared" ca="1" si="49"/>
        <v/>
      </c>
      <c r="Z166" s="56" t="str">
        <f t="shared" ca="1" si="49"/>
        <v/>
      </c>
    </row>
    <row r="167" spans="1:26">
      <c r="A167" s="699"/>
      <c r="B167" s="51" t="s">
        <v>1064</v>
      </c>
      <c r="C167" s="51"/>
      <c r="D167" s="51"/>
      <c r="E167" s="51"/>
      <c r="F167" s="57">
        <f ca="1">+F165/Assumptions!$AG$34</f>
        <v>0</v>
      </c>
      <c r="G167" s="57">
        <f ca="1">+G165/Assumptions!$AG$34</f>
        <v>0</v>
      </c>
      <c r="H167" s="57">
        <f ca="1">+H165/Assumptions!$AG$34</f>
        <v>0</v>
      </c>
      <c r="I167" s="57">
        <f ca="1">+I165/Assumptions!$AG$34</f>
        <v>0</v>
      </c>
      <c r="J167" s="57">
        <f ca="1">+J165/Assumptions!$AG$34</f>
        <v>0</v>
      </c>
      <c r="K167" s="57">
        <f ca="1">+K165/Assumptions!$AG$34</f>
        <v>0</v>
      </c>
      <c r="L167" s="57">
        <f ca="1">+L165/Assumptions!$AG$34</f>
        <v>0</v>
      </c>
      <c r="M167" s="57">
        <f ca="1">+M165/Assumptions!$AG$34</f>
        <v>0</v>
      </c>
      <c r="N167" s="57">
        <f ca="1">+N165/Assumptions!$AG$34</f>
        <v>0</v>
      </c>
      <c r="O167" s="57">
        <f ca="1">+O165/Assumptions!$AG$34</f>
        <v>0</v>
      </c>
      <c r="P167" s="57">
        <f ca="1">+P165/Assumptions!$AG$34</f>
        <v>0</v>
      </c>
      <c r="Q167" s="57">
        <f ca="1">+Q165/Assumptions!$AG$34</f>
        <v>0</v>
      </c>
      <c r="R167" s="57">
        <f ca="1">+R165/Assumptions!$AG$34</f>
        <v>0</v>
      </c>
      <c r="S167" s="57">
        <f ca="1">+S165/Assumptions!$AG$34</f>
        <v>0</v>
      </c>
      <c r="T167" s="57">
        <f ca="1">+T165/Assumptions!$AG$34</f>
        <v>0</v>
      </c>
      <c r="U167" s="57">
        <f ca="1">+U165/Assumptions!$AG$34</f>
        <v>0</v>
      </c>
      <c r="V167" s="57">
        <f ca="1">+V165/Assumptions!$AG$34</f>
        <v>0</v>
      </c>
      <c r="W167" s="57">
        <f ca="1">+W165/Assumptions!$AG$34</f>
        <v>0</v>
      </c>
      <c r="X167" s="57">
        <f ca="1">+X165/Assumptions!$AG$34</f>
        <v>0</v>
      </c>
      <c r="Y167" s="57">
        <f ca="1">+Y165/Assumptions!$AG$34</f>
        <v>0</v>
      </c>
      <c r="Z167" s="57">
        <f ca="1">+Z165/Assumptions!$AG$34</f>
        <v>0</v>
      </c>
    </row>
    <row r="168" spans="1:26">
      <c r="A168" s="699"/>
      <c r="B168" s="223"/>
      <c r="C168" s="223"/>
      <c r="D168" s="223"/>
      <c r="E168" s="223"/>
      <c r="F168" s="224"/>
      <c r="G168" s="224"/>
      <c r="H168" s="224"/>
      <c r="I168" s="224"/>
      <c r="J168" s="224"/>
      <c r="K168" s="224"/>
      <c r="L168" s="224"/>
      <c r="M168" s="224"/>
      <c r="N168" s="224"/>
      <c r="O168" s="224"/>
      <c r="P168" s="224"/>
      <c r="Q168" s="224"/>
      <c r="R168" s="224"/>
      <c r="S168" s="224"/>
      <c r="T168" s="224"/>
      <c r="U168" s="224"/>
      <c r="V168" s="224"/>
      <c r="W168" s="224"/>
      <c r="X168" s="224"/>
      <c r="Y168" s="224"/>
      <c r="Z168" s="224"/>
    </row>
    <row r="169" spans="1:26" ht="15.75">
      <c r="A169" s="699" t="s">
        <v>881</v>
      </c>
      <c r="B169" s="53" t="str">
        <f>+Assumptions!AL42</f>
        <v xml:space="preserve">Affordable Senior Living Residential </v>
      </c>
      <c r="C169" s="699"/>
      <c r="D169" s="699"/>
      <c r="E169" s="699"/>
      <c r="F169" s="54">
        <f>+Assumptions!$H$27</f>
        <v>47118</v>
      </c>
      <c r="G169" s="54">
        <f>+EOMONTH(F169,12)</f>
        <v>47483</v>
      </c>
      <c r="H169" s="54">
        <f t="shared" ref="H169:Z169" si="50">+EOMONTH(G169,12)</f>
        <v>47848</v>
      </c>
      <c r="I169" s="54">
        <f t="shared" si="50"/>
        <v>48213</v>
      </c>
      <c r="J169" s="54">
        <f t="shared" si="50"/>
        <v>48579</v>
      </c>
      <c r="K169" s="54">
        <f t="shared" si="50"/>
        <v>48944</v>
      </c>
      <c r="L169" s="54">
        <f t="shared" si="50"/>
        <v>49309</v>
      </c>
      <c r="M169" s="54">
        <f t="shared" si="50"/>
        <v>49674</v>
      </c>
      <c r="N169" s="54">
        <f t="shared" si="50"/>
        <v>50040</v>
      </c>
      <c r="O169" s="54">
        <f t="shared" si="50"/>
        <v>50405</v>
      </c>
      <c r="P169" s="54">
        <f t="shared" si="50"/>
        <v>50770</v>
      </c>
      <c r="Q169" s="54">
        <f t="shared" si="50"/>
        <v>51135</v>
      </c>
      <c r="R169" s="54">
        <f t="shared" si="50"/>
        <v>51501</v>
      </c>
      <c r="S169" s="54">
        <f t="shared" si="50"/>
        <v>51866</v>
      </c>
      <c r="T169" s="54">
        <f t="shared" si="50"/>
        <v>52231</v>
      </c>
      <c r="U169" s="54">
        <f t="shared" si="50"/>
        <v>52596</v>
      </c>
      <c r="V169" s="54">
        <f t="shared" si="50"/>
        <v>52962</v>
      </c>
      <c r="W169" s="54">
        <f t="shared" si="50"/>
        <v>53327</v>
      </c>
      <c r="X169" s="54">
        <f t="shared" si="50"/>
        <v>53692</v>
      </c>
      <c r="Y169" s="54">
        <f t="shared" si="50"/>
        <v>54057</v>
      </c>
      <c r="Z169" s="54">
        <f t="shared" si="50"/>
        <v>54423</v>
      </c>
    </row>
    <row r="170" spans="1:26">
      <c r="A170" s="699"/>
      <c r="B170" s="699" t="s">
        <v>1120</v>
      </c>
      <c r="C170" s="699"/>
      <c r="D170" s="699"/>
      <c r="E170" s="1050"/>
      <c r="F170" s="1050">
        <f>+IF(AND(F169&gt;=Assumptions!$H$31,F169&lt;Assumptions!$H$33),Assumptions!$AG$116/ROUNDUP((Assumptions!$H$32/12),0),)</f>
        <v>0</v>
      </c>
      <c r="G170" s="1050">
        <f>+IF(AND(G169&gt;=Assumptions!$H$31,G169&lt;Assumptions!$H$33),Assumptions!$AG$116/ROUNDUP((Assumptions!$H$32/12),0),)</f>
        <v>0</v>
      </c>
      <c r="H170" s="1050">
        <f>+IF(AND(H169&gt;=Assumptions!$H$31,H169&lt;Assumptions!$H$33),Assumptions!$AG$116/ROUNDUP((Assumptions!$H$32/12),0),)</f>
        <v>0</v>
      </c>
      <c r="I170" s="1050">
        <f>+IF(AND(I169&gt;=Assumptions!$H$31,I169&lt;Assumptions!$H$33),Assumptions!$AG$116/ROUNDUP((Assumptions!$H$32/12),0),)</f>
        <v>0</v>
      </c>
      <c r="J170" s="1050">
        <f>+IF(AND(J169&gt;=Assumptions!$H$31,J169&lt;Assumptions!$H$33),Assumptions!$AG$116/ROUNDUP((Assumptions!$H$32/12),0),)</f>
        <v>0</v>
      </c>
      <c r="K170" s="1050">
        <f>+IF(AND(K169&gt;=Assumptions!$H$31,K169&lt;Assumptions!$H$33),Assumptions!$AG$116/ROUNDUP((Assumptions!$H$32/12),0),)</f>
        <v>0</v>
      </c>
      <c r="L170" s="1050">
        <f>+IF(AND(L169&gt;=Assumptions!$H$31,L169&lt;Assumptions!$H$33),Assumptions!$AG$116/ROUNDUP((Assumptions!$H$32/12),0),)</f>
        <v>0</v>
      </c>
      <c r="M170" s="1050">
        <f>+IF(AND(M169&gt;=Assumptions!$H$31,M169&lt;Assumptions!$H$33),Assumptions!$AG$116/ROUNDUP((Assumptions!$H$32/12),0),)</f>
        <v>0</v>
      </c>
      <c r="N170" s="1050">
        <f>+IF(AND(N169&gt;=Assumptions!$H$31,N169&lt;Assumptions!$H$33),Assumptions!$AG$116/ROUNDUP((Assumptions!$H$32/12),0),)</f>
        <v>0</v>
      </c>
      <c r="O170" s="1050">
        <f>+IF(AND(O169&gt;=Assumptions!$H$31,O169&lt;Assumptions!$H$33),Assumptions!$AG$116/ROUNDUP((Assumptions!$H$32/12),0),)</f>
        <v>0</v>
      </c>
      <c r="P170" s="1050">
        <f>+IF(AND(P169&gt;=Assumptions!$H$31,P169&lt;Assumptions!$H$33),Assumptions!$AG$116/ROUNDUP((Assumptions!$H$32/12),0),)</f>
        <v>0</v>
      </c>
      <c r="Q170" s="1050">
        <f>+IF(AND(Q169&gt;=Assumptions!$H$31,Q169&lt;Assumptions!$H$33),Assumptions!$AG$116/ROUNDUP((Assumptions!$H$32/12),0),)</f>
        <v>0</v>
      </c>
      <c r="R170" s="1050">
        <f>+IF(AND(R169&gt;=Assumptions!$H$31,R169&lt;Assumptions!$H$33),Assumptions!$AG$116/ROUNDUP((Assumptions!$H$32/12),0),)</f>
        <v>0</v>
      </c>
      <c r="S170" s="1050">
        <f>+IF(AND(S169&gt;=Assumptions!$H$31,S169&lt;Assumptions!$H$33),Assumptions!$AG$116/ROUNDUP((Assumptions!$H$32/12),0),)</f>
        <v>0</v>
      </c>
      <c r="T170" s="1050">
        <f>+IF(AND(T169&gt;=Assumptions!$H$31,T169&lt;Assumptions!$H$33),Assumptions!$AG$116/ROUNDUP((Assumptions!$H$32/12),0),)</f>
        <v>0</v>
      </c>
      <c r="U170" s="1050">
        <f>+IF(AND(U169&gt;=Assumptions!$H$31,U169&lt;Assumptions!$H$33),Assumptions!$AG$116/ROUNDUP((Assumptions!$H$32/12),0),)</f>
        <v>0</v>
      </c>
      <c r="V170" s="1050">
        <f>+IF(AND(V169&gt;=Assumptions!$H$31,V169&lt;Assumptions!$H$33),Assumptions!$AG$116/ROUNDUP((Assumptions!$H$32/12),0),)</f>
        <v>0</v>
      </c>
      <c r="W170" s="1050">
        <f>+IF(AND(W169&gt;=Assumptions!$H$31,W169&lt;Assumptions!$H$33),Assumptions!$AG$116/ROUNDUP((Assumptions!$H$32/12),0),)</f>
        <v>0</v>
      </c>
      <c r="X170" s="1050">
        <f>+IF(AND(X169&gt;=Assumptions!$H$31,X169&lt;Assumptions!$H$33),Assumptions!$AG$116/ROUNDUP((Assumptions!$H$32/12),0),)</f>
        <v>0</v>
      </c>
      <c r="Y170" s="1050">
        <f>+IF(AND(Y169&gt;=Assumptions!$H$31,Y169&lt;Assumptions!$H$33),Assumptions!$AG$116/ROUNDUP((Assumptions!$H$32/12),0),)</f>
        <v>0</v>
      </c>
      <c r="Z170" s="1050">
        <f>+IF(AND(Z169&gt;=Assumptions!$H$31,Z169&lt;Assumptions!$H$33),Assumptions!$AG$116/ROUNDUP((Assumptions!$H$32/12),0),)</f>
        <v>0</v>
      </c>
    </row>
    <row r="171" spans="1:26">
      <c r="A171" s="699"/>
      <c r="B171" s="699" t="s">
        <v>1121</v>
      </c>
      <c r="C171" s="699"/>
      <c r="D171" s="699"/>
      <c r="E171" s="1050">
        <v>0</v>
      </c>
      <c r="F171" s="1050">
        <f>+E171+F170</f>
        <v>0</v>
      </c>
      <c r="G171" s="1050">
        <f t="shared" ref="G171:Z171" si="51">+F171+G170</f>
        <v>0</v>
      </c>
      <c r="H171" s="1050">
        <f t="shared" si="51"/>
        <v>0</v>
      </c>
      <c r="I171" s="1050">
        <f t="shared" si="51"/>
        <v>0</v>
      </c>
      <c r="J171" s="1050">
        <f t="shared" si="51"/>
        <v>0</v>
      </c>
      <c r="K171" s="1050">
        <f t="shared" si="51"/>
        <v>0</v>
      </c>
      <c r="L171" s="1050">
        <f t="shared" si="51"/>
        <v>0</v>
      </c>
      <c r="M171" s="1050">
        <f t="shared" si="51"/>
        <v>0</v>
      </c>
      <c r="N171" s="1050">
        <f t="shared" si="51"/>
        <v>0</v>
      </c>
      <c r="O171" s="1050">
        <f t="shared" si="51"/>
        <v>0</v>
      </c>
      <c r="P171" s="1050">
        <f t="shared" si="51"/>
        <v>0</v>
      </c>
      <c r="Q171" s="1050">
        <f t="shared" si="51"/>
        <v>0</v>
      </c>
      <c r="R171" s="1050">
        <f t="shared" si="51"/>
        <v>0</v>
      </c>
      <c r="S171" s="1050">
        <f t="shared" si="51"/>
        <v>0</v>
      </c>
      <c r="T171" s="1050">
        <f t="shared" si="51"/>
        <v>0</v>
      </c>
      <c r="U171" s="1050">
        <f t="shared" si="51"/>
        <v>0</v>
      </c>
      <c r="V171" s="1050">
        <f t="shared" si="51"/>
        <v>0</v>
      </c>
      <c r="W171" s="1050">
        <f t="shared" si="51"/>
        <v>0</v>
      </c>
      <c r="X171" s="1050">
        <f t="shared" si="51"/>
        <v>0</v>
      </c>
      <c r="Y171" s="1050">
        <f t="shared" si="51"/>
        <v>0</v>
      </c>
      <c r="Z171" s="1050">
        <f t="shared" si="51"/>
        <v>0</v>
      </c>
    </row>
    <row r="172" spans="1:26">
      <c r="A172" s="699"/>
      <c r="B172" s="699" t="s">
        <v>1123</v>
      </c>
      <c r="C172" s="699"/>
      <c r="D172" s="699"/>
      <c r="E172" s="699"/>
      <c r="F172" s="1084">
        <f>+F173-E173</f>
        <v>0</v>
      </c>
      <c r="G172" s="1084">
        <f t="shared" ref="G172:Z172" si="52">+G173-F173</f>
        <v>0</v>
      </c>
      <c r="H172" s="1084">
        <f t="shared" si="52"/>
        <v>0</v>
      </c>
      <c r="I172" s="1084">
        <f t="shared" si="52"/>
        <v>0</v>
      </c>
      <c r="J172" s="1084">
        <f t="shared" si="52"/>
        <v>0</v>
      </c>
      <c r="K172" s="1084">
        <f t="shared" si="52"/>
        <v>0</v>
      </c>
      <c r="L172" s="1084">
        <f t="shared" si="52"/>
        <v>0</v>
      </c>
      <c r="M172" s="1084">
        <f t="shared" si="52"/>
        <v>0</v>
      </c>
      <c r="N172" s="1084">
        <f t="shared" si="52"/>
        <v>0</v>
      </c>
      <c r="O172" s="1084">
        <f t="shared" si="52"/>
        <v>0</v>
      </c>
      <c r="P172" s="1084">
        <f t="shared" si="52"/>
        <v>0</v>
      </c>
      <c r="Q172" s="1084">
        <f t="shared" si="52"/>
        <v>0</v>
      </c>
      <c r="R172" s="1084">
        <f t="shared" si="52"/>
        <v>0</v>
      </c>
      <c r="S172" s="1084">
        <f t="shared" si="52"/>
        <v>0</v>
      </c>
      <c r="T172" s="1084">
        <f t="shared" si="52"/>
        <v>0</v>
      </c>
      <c r="U172" s="1084">
        <f t="shared" si="52"/>
        <v>0</v>
      </c>
      <c r="V172" s="1084">
        <f t="shared" si="52"/>
        <v>0</v>
      </c>
      <c r="W172" s="1084">
        <f t="shared" si="52"/>
        <v>0</v>
      </c>
      <c r="X172" s="1084">
        <f t="shared" si="52"/>
        <v>0</v>
      </c>
      <c r="Y172" s="1084">
        <f t="shared" si="52"/>
        <v>0</v>
      </c>
      <c r="Z172" s="1084">
        <f t="shared" si="52"/>
        <v>0</v>
      </c>
    </row>
    <row r="173" spans="1:26">
      <c r="A173" s="699"/>
      <c r="B173" s="699" t="s">
        <v>1124</v>
      </c>
      <c r="C173" s="699"/>
      <c r="D173" s="699"/>
      <c r="E173" s="699"/>
      <c r="F173" s="1084">
        <f>+F174*Assumptions!$AG$117</f>
        <v>0</v>
      </c>
      <c r="G173" s="1084">
        <f>+G174*Assumptions!$AG$117</f>
        <v>0</v>
      </c>
      <c r="H173" s="1084">
        <f>+H174*Assumptions!$AG$117</f>
        <v>0</v>
      </c>
      <c r="I173" s="1084">
        <f>+I174*Assumptions!$AG$117</f>
        <v>0</v>
      </c>
      <c r="J173" s="1084">
        <f>+J174*Assumptions!$AG$117</f>
        <v>0</v>
      </c>
      <c r="K173" s="1084">
        <f>+K174*Assumptions!$AG$117</f>
        <v>0</v>
      </c>
      <c r="L173" s="1084">
        <f>+L174*Assumptions!$AG$117</f>
        <v>0</v>
      </c>
      <c r="M173" s="1084">
        <f>+M174*Assumptions!$AG$117</f>
        <v>0</v>
      </c>
      <c r="N173" s="1084">
        <f>+N174*Assumptions!$AG$117</f>
        <v>0</v>
      </c>
      <c r="O173" s="1084">
        <f>+O174*Assumptions!$AG$117</f>
        <v>0</v>
      </c>
      <c r="P173" s="1084">
        <f>+P174*Assumptions!$AG$117</f>
        <v>0</v>
      </c>
      <c r="Q173" s="1084">
        <f>+Q174*Assumptions!$AG$117</f>
        <v>0</v>
      </c>
      <c r="R173" s="1084">
        <f>+R174*Assumptions!$AG$117</f>
        <v>0</v>
      </c>
      <c r="S173" s="1084">
        <f>+S174*Assumptions!$AG$117</f>
        <v>0</v>
      </c>
      <c r="T173" s="1084">
        <f>+T174*Assumptions!$AG$117</f>
        <v>0</v>
      </c>
      <c r="U173" s="1084">
        <f>+U174*Assumptions!$AG$117</f>
        <v>0</v>
      </c>
      <c r="V173" s="1084">
        <f>+V174*Assumptions!$AG$117</f>
        <v>0</v>
      </c>
      <c r="W173" s="1084">
        <f>+W174*Assumptions!$AG$117</f>
        <v>0</v>
      </c>
      <c r="X173" s="1084">
        <f>+X174*Assumptions!$AG$117</f>
        <v>0</v>
      </c>
      <c r="Y173" s="1084">
        <f>+Y174*Assumptions!$AG$117</f>
        <v>0</v>
      </c>
      <c r="Z173" s="1084">
        <f>+Z174*Assumptions!$AG$117</f>
        <v>0</v>
      </c>
    </row>
    <row r="174" spans="1:26">
      <c r="A174" s="699"/>
      <c r="B174" s="699" t="s">
        <v>1125</v>
      </c>
      <c r="C174" s="699"/>
      <c r="D174" s="699"/>
      <c r="E174" s="699"/>
      <c r="F174" s="1074">
        <f>+IFERROR(F171/SUM($F$170:$Z$170),0)</f>
        <v>0</v>
      </c>
      <c r="G174" s="1074">
        <f t="shared" ref="G174:Z174" si="53">+IFERROR(G171/SUM($F$170:$Z$170),0)</f>
        <v>0</v>
      </c>
      <c r="H174" s="1074">
        <f t="shared" si="53"/>
        <v>0</v>
      </c>
      <c r="I174" s="1074">
        <f t="shared" si="53"/>
        <v>0</v>
      </c>
      <c r="J174" s="1074">
        <f t="shared" si="53"/>
        <v>0</v>
      </c>
      <c r="K174" s="1074">
        <f t="shared" si="53"/>
        <v>0</v>
      </c>
      <c r="L174" s="1074">
        <f t="shared" si="53"/>
        <v>0</v>
      </c>
      <c r="M174" s="1074">
        <f t="shared" si="53"/>
        <v>0</v>
      </c>
      <c r="N174" s="1074">
        <f t="shared" si="53"/>
        <v>0</v>
      </c>
      <c r="O174" s="1074">
        <f t="shared" si="53"/>
        <v>0</v>
      </c>
      <c r="P174" s="1074">
        <f t="shared" si="53"/>
        <v>0</v>
      </c>
      <c r="Q174" s="1074">
        <f t="shared" si="53"/>
        <v>0</v>
      </c>
      <c r="R174" s="1074">
        <f t="shared" si="53"/>
        <v>0</v>
      </c>
      <c r="S174" s="1074">
        <f t="shared" si="53"/>
        <v>0</v>
      </c>
      <c r="T174" s="1074">
        <f t="shared" si="53"/>
        <v>0</v>
      </c>
      <c r="U174" s="1074">
        <f t="shared" si="53"/>
        <v>0</v>
      </c>
      <c r="V174" s="1074">
        <f t="shared" si="53"/>
        <v>0</v>
      </c>
      <c r="W174" s="1074">
        <f t="shared" si="53"/>
        <v>0</v>
      </c>
      <c r="X174" s="1074">
        <f t="shared" si="53"/>
        <v>0</v>
      </c>
      <c r="Y174" s="1074">
        <f t="shared" si="53"/>
        <v>0</v>
      </c>
      <c r="Z174" s="1074">
        <f t="shared" si="53"/>
        <v>0</v>
      </c>
    </row>
    <row r="176" spans="1:26">
      <c r="A176" s="699"/>
      <c r="B176" s="699" t="s">
        <v>1126</v>
      </c>
      <c r="C176" s="699"/>
      <c r="D176" s="699"/>
      <c r="E176" s="699"/>
      <c r="F176" s="1074">
        <v>1</v>
      </c>
      <c r="G176" s="1074">
        <f>+F176*(1+Assumptions!$AR$84)</f>
        <v>1.03</v>
      </c>
      <c r="H176" s="1074">
        <f>+G176*(1+Assumptions!$AR$84)</f>
        <v>1.0609</v>
      </c>
      <c r="I176" s="1074">
        <f>+H176*(1+Assumptions!$AR$84)</f>
        <v>1.092727</v>
      </c>
      <c r="J176" s="1074">
        <f>+I176*(1+Assumptions!$AR$84)</f>
        <v>1.1255088100000001</v>
      </c>
      <c r="K176" s="1074">
        <f>+J176*(1+Assumptions!$AR$84)</f>
        <v>1.1592740743000001</v>
      </c>
      <c r="L176" s="1074">
        <f>+K176*(1+Assumptions!$AR$84)</f>
        <v>1.1940522965290001</v>
      </c>
      <c r="M176" s="1074">
        <f>+L176*(1+Assumptions!$AR$84)</f>
        <v>1.2298738654248702</v>
      </c>
      <c r="N176" s="1074">
        <f>+M176*(1+Assumptions!$AR$84)</f>
        <v>1.2667700813876164</v>
      </c>
      <c r="O176" s="1074">
        <f>+N176*(1+Assumptions!$AR$84)</f>
        <v>1.3047731838292449</v>
      </c>
      <c r="P176" s="1074">
        <f>+O176*(1+Assumptions!$AR$84)</f>
        <v>1.3439163793441222</v>
      </c>
      <c r="Q176" s="1074">
        <f>+P176*(1+Assumptions!$AR$84)</f>
        <v>1.3842338707244459</v>
      </c>
      <c r="R176" s="1074">
        <f>+Q176*(1+Assumptions!$AR$84)</f>
        <v>1.4257608868461793</v>
      </c>
      <c r="S176" s="1074">
        <f>+R176*(1+Assumptions!$AR$84)</f>
        <v>1.4685337134515648</v>
      </c>
      <c r="T176" s="1074">
        <f>+S176*(1+Assumptions!$AR$84)</f>
        <v>1.5125897248551119</v>
      </c>
      <c r="U176" s="1074">
        <f>+T176*(1+Assumptions!$AR$84)</f>
        <v>1.5579674166007653</v>
      </c>
      <c r="V176" s="1074">
        <f>+U176*(1+Assumptions!$AR$84)</f>
        <v>1.6047064390987884</v>
      </c>
      <c r="W176" s="1074">
        <f>+V176*(1+Assumptions!$AR$84)</f>
        <v>1.652847632271752</v>
      </c>
      <c r="X176" s="1074">
        <f>+W176*(1+Assumptions!$AR$84)</f>
        <v>1.7024330612399046</v>
      </c>
      <c r="Y176" s="1074">
        <f>+X176*(1+Assumptions!$AR$84)</f>
        <v>1.7535060530771018</v>
      </c>
      <c r="Z176" s="1074">
        <f>+Y176*(1+Assumptions!$AR$84)</f>
        <v>1.806111234669415</v>
      </c>
    </row>
    <row r="177" spans="1:26">
      <c r="A177" s="699"/>
      <c r="B177" s="699" t="s">
        <v>1127</v>
      </c>
      <c r="C177" s="699"/>
      <c r="D177" s="699"/>
      <c r="E177" s="699"/>
      <c r="F177" s="1074">
        <v>1</v>
      </c>
      <c r="G177" s="1074">
        <f>+F177*(1+Assumptions!$AR$95)</f>
        <v>1.03</v>
      </c>
      <c r="H177" s="1074">
        <f>+G177*(1+Assumptions!$AR$95)</f>
        <v>1.0609</v>
      </c>
      <c r="I177" s="1074">
        <f>+H177*(1+Assumptions!$AR$95)</f>
        <v>1.092727</v>
      </c>
      <c r="J177" s="1074">
        <f>+I177*(1+Assumptions!$AR$95)</f>
        <v>1.1255088100000001</v>
      </c>
      <c r="K177" s="1074">
        <f>+J177*(1+Assumptions!$AR$95)</f>
        <v>1.1592740743000001</v>
      </c>
      <c r="L177" s="1074">
        <f>+K177*(1+Assumptions!$AR$95)</f>
        <v>1.1940522965290001</v>
      </c>
      <c r="M177" s="1074">
        <f>+L177*(1+Assumptions!$AR$95)</f>
        <v>1.2298738654248702</v>
      </c>
      <c r="N177" s="1074">
        <f>+M177*(1+Assumptions!$AR$95)</f>
        <v>1.2667700813876164</v>
      </c>
      <c r="O177" s="1074">
        <f>+N177*(1+Assumptions!$AR$95)</f>
        <v>1.3047731838292449</v>
      </c>
      <c r="P177" s="1074">
        <f>+O177*(1+Assumptions!$AR$95)</f>
        <v>1.3439163793441222</v>
      </c>
      <c r="Q177" s="1074">
        <f>+P177*(1+Assumptions!$AR$95)</f>
        <v>1.3842338707244459</v>
      </c>
      <c r="R177" s="1074">
        <f>+Q177*(1+Assumptions!$AR$95)</f>
        <v>1.4257608868461793</v>
      </c>
      <c r="S177" s="1074">
        <f>+R177*(1+Assumptions!$AR$95)</f>
        <v>1.4685337134515648</v>
      </c>
      <c r="T177" s="1074">
        <f>+S177*(1+Assumptions!$AR$95)</f>
        <v>1.5125897248551119</v>
      </c>
      <c r="U177" s="1074">
        <f>+T177*(1+Assumptions!$AR$95)</f>
        <v>1.5579674166007653</v>
      </c>
      <c r="V177" s="1074">
        <f>+U177*(1+Assumptions!$AR$95)</f>
        <v>1.6047064390987884</v>
      </c>
      <c r="W177" s="1074">
        <f>+V177*(1+Assumptions!$AR$95)</f>
        <v>1.652847632271752</v>
      </c>
      <c r="X177" s="1074">
        <f>+W177*(1+Assumptions!$AR$95)</f>
        <v>1.7024330612399046</v>
      </c>
      <c r="Y177" s="1074">
        <f>+X177*(1+Assumptions!$AR$95)</f>
        <v>1.7535060530771018</v>
      </c>
      <c r="Z177" s="1074">
        <f>+Y177*(1+Assumptions!$AR$95)</f>
        <v>1.806111234669415</v>
      </c>
    </row>
    <row r="179" spans="1:26">
      <c r="A179" s="699"/>
      <c r="B179" s="699" t="s">
        <v>1128</v>
      </c>
      <c r="C179" s="699"/>
      <c r="D179" s="699"/>
      <c r="E179" s="699"/>
      <c r="F179" s="1028">
        <f>+F174*Assumptions!$AG$115*F176</f>
        <v>0</v>
      </c>
      <c r="G179" s="1028">
        <f>+G174*Assumptions!$AG$115*G176</f>
        <v>0</v>
      </c>
      <c r="H179" s="1028">
        <f>+H174*Assumptions!$AG$115*H176</f>
        <v>0</v>
      </c>
      <c r="I179" s="1028">
        <f>+I174*Assumptions!$AG$115*I176</f>
        <v>0</v>
      </c>
      <c r="J179" s="1028">
        <f>+J174*Assumptions!$AG$115*J176</f>
        <v>0</v>
      </c>
      <c r="K179" s="1028">
        <f>+K174*Assumptions!$AG$115*K176</f>
        <v>0</v>
      </c>
      <c r="L179" s="1028">
        <f>+L174*Assumptions!$AG$115*L176</f>
        <v>0</v>
      </c>
      <c r="M179" s="1028">
        <f>+M174*Assumptions!$AG$115*M176</f>
        <v>0</v>
      </c>
      <c r="N179" s="1028">
        <f>+N174*Assumptions!$AG$115*N176</f>
        <v>0</v>
      </c>
      <c r="O179" s="1028">
        <f>+O174*Assumptions!$AG$115*O176</f>
        <v>0</v>
      </c>
      <c r="P179" s="1028">
        <f>+P174*Assumptions!$AG$115*P176</f>
        <v>0</v>
      </c>
      <c r="Q179" s="1028">
        <f>+Q174*Assumptions!$AG$115*Q176</f>
        <v>0</v>
      </c>
      <c r="R179" s="1028">
        <f>+R174*Assumptions!$AG$115*R176</f>
        <v>0</v>
      </c>
      <c r="S179" s="1028">
        <f>+S174*Assumptions!$AG$115*S176</f>
        <v>0</v>
      </c>
      <c r="T179" s="1028">
        <f>+T174*Assumptions!$AG$115*T176</f>
        <v>0</v>
      </c>
      <c r="U179" s="1028">
        <f>+U174*Assumptions!$AG$115*U176</f>
        <v>0</v>
      </c>
      <c r="V179" s="1028">
        <f>+V174*Assumptions!$AG$115*V176</f>
        <v>0</v>
      </c>
      <c r="W179" s="1028">
        <f>+W174*Assumptions!$AG$115*W176</f>
        <v>0</v>
      </c>
      <c r="X179" s="1028">
        <f>+X174*Assumptions!$AG$115*X176</f>
        <v>0</v>
      </c>
      <c r="Y179" s="1028">
        <f>+Y174*Assumptions!$AG$115*Y176</f>
        <v>0</v>
      </c>
      <c r="Z179" s="1028">
        <f>+Z174*Assumptions!$AG$115*Z176</f>
        <v>0</v>
      </c>
    </row>
    <row r="180" spans="1:26">
      <c r="A180" s="699"/>
      <c r="B180" s="699" t="s">
        <v>1130</v>
      </c>
      <c r="C180" s="699"/>
      <c r="D180" s="699"/>
      <c r="E180" s="699"/>
      <c r="F180" s="1085">
        <f>-F179*Assumptions!$AR$75</f>
        <v>0</v>
      </c>
      <c r="G180" s="1085">
        <f>-G179*Assumptions!$AR$75</f>
        <v>0</v>
      </c>
      <c r="H180" s="1085">
        <f>-H179*Assumptions!$AR$75</f>
        <v>0</v>
      </c>
      <c r="I180" s="1085">
        <f>-I179*Assumptions!$AR$75</f>
        <v>0</v>
      </c>
      <c r="J180" s="1085">
        <f>-J179*Assumptions!$AR$75</f>
        <v>0</v>
      </c>
      <c r="K180" s="1085">
        <f>-K179*Assumptions!$AR$75</f>
        <v>0</v>
      </c>
      <c r="L180" s="1085">
        <f>-L179*Assumptions!$AR$75</f>
        <v>0</v>
      </c>
      <c r="M180" s="1085">
        <f>-M179*Assumptions!$AR$75</f>
        <v>0</v>
      </c>
      <c r="N180" s="1085">
        <f>-N179*Assumptions!$AR$75</f>
        <v>0</v>
      </c>
      <c r="O180" s="1085">
        <f>-O179*Assumptions!$AR$75</f>
        <v>0</v>
      </c>
      <c r="P180" s="1085">
        <f>-P179*Assumptions!$AR$75</f>
        <v>0</v>
      </c>
      <c r="Q180" s="1085">
        <f>-Q179*Assumptions!$AR$75</f>
        <v>0</v>
      </c>
      <c r="R180" s="1085">
        <f>-R179*Assumptions!$AR$75</f>
        <v>0</v>
      </c>
      <c r="S180" s="1085">
        <f>-S179*Assumptions!$AR$75</f>
        <v>0</v>
      </c>
      <c r="T180" s="1085">
        <f>-T179*Assumptions!$AR$75</f>
        <v>0</v>
      </c>
      <c r="U180" s="1085">
        <f>-U179*Assumptions!$AR$75</f>
        <v>0</v>
      </c>
      <c r="V180" s="1085">
        <f>-V179*Assumptions!$AR$75</f>
        <v>0</v>
      </c>
      <c r="W180" s="1085">
        <f>-W179*Assumptions!$AR$75</f>
        <v>0</v>
      </c>
      <c r="X180" s="1085">
        <f>-X179*Assumptions!$AR$75</f>
        <v>0</v>
      </c>
      <c r="Y180" s="1085">
        <f>-Y179*Assumptions!$AR$75</f>
        <v>0</v>
      </c>
      <c r="Z180" s="1085">
        <f>-Z179*Assumptions!$AR$75</f>
        <v>0</v>
      </c>
    </row>
    <row r="181" spans="1:26" hidden="1">
      <c r="A181" s="699"/>
      <c r="B181" s="699" t="s">
        <v>1243</v>
      </c>
      <c r="C181" s="699"/>
      <c r="D181" s="699"/>
      <c r="E181" s="699"/>
      <c r="F181" s="1085"/>
      <c r="G181" s="1085"/>
      <c r="H181" s="1085"/>
      <c r="I181" s="1085"/>
      <c r="J181" s="1085"/>
      <c r="K181" s="1085"/>
      <c r="L181" s="1085"/>
      <c r="M181" s="1085"/>
      <c r="N181" s="1085"/>
      <c r="O181" s="1085"/>
      <c r="P181" s="1085"/>
      <c r="Q181" s="1085"/>
      <c r="R181" s="1085"/>
      <c r="S181" s="1085"/>
      <c r="T181" s="1085"/>
      <c r="U181" s="1085"/>
      <c r="V181" s="1085"/>
      <c r="W181" s="1085"/>
      <c r="X181" s="1085"/>
      <c r="Y181" s="1085"/>
      <c r="Z181" s="1085"/>
    </row>
    <row r="182" spans="1:26" hidden="1">
      <c r="A182" s="699"/>
      <c r="B182" s="699" t="s">
        <v>1244</v>
      </c>
      <c r="C182" s="699"/>
      <c r="D182" s="699"/>
      <c r="E182" s="699"/>
      <c r="F182" s="1085"/>
      <c r="G182" s="1085"/>
      <c r="H182" s="1085"/>
      <c r="I182" s="1085"/>
      <c r="J182" s="1085"/>
      <c r="K182" s="1085"/>
      <c r="L182" s="1085"/>
      <c r="M182" s="1085"/>
      <c r="N182" s="1085"/>
      <c r="O182" s="1085"/>
      <c r="P182" s="1085"/>
      <c r="Q182" s="1085"/>
      <c r="R182" s="1085"/>
      <c r="S182" s="1085"/>
      <c r="T182" s="1085"/>
      <c r="U182" s="1085"/>
      <c r="V182" s="1085"/>
      <c r="W182" s="1085"/>
      <c r="X182" s="1085"/>
      <c r="Y182" s="1085"/>
      <c r="Z182" s="1085"/>
    </row>
    <row r="183" spans="1:26">
      <c r="A183" s="699"/>
      <c r="B183" s="52" t="s">
        <v>1131</v>
      </c>
      <c r="C183" s="1052"/>
      <c r="D183" s="1052"/>
      <c r="E183" s="1052"/>
      <c r="F183" s="1086">
        <f>SUM(F179:F182)</f>
        <v>0</v>
      </c>
      <c r="G183" s="1086">
        <f t="shared" ref="G183:Z183" si="54">SUM(G179:G182)</f>
        <v>0</v>
      </c>
      <c r="H183" s="1086">
        <f t="shared" si="54"/>
        <v>0</v>
      </c>
      <c r="I183" s="1086">
        <f t="shared" si="54"/>
        <v>0</v>
      </c>
      <c r="J183" s="1086">
        <f t="shared" si="54"/>
        <v>0</v>
      </c>
      <c r="K183" s="1086">
        <f t="shared" si="54"/>
        <v>0</v>
      </c>
      <c r="L183" s="1086">
        <f t="shared" si="54"/>
        <v>0</v>
      </c>
      <c r="M183" s="1086">
        <f t="shared" si="54"/>
        <v>0</v>
      </c>
      <c r="N183" s="1086">
        <f t="shared" si="54"/>
        <v>0</v>
      </c>
      <c r="O183" s="1086">
        <f t="shared" si="54"/>
        <v>0</v>
      </c>
      <c r="P183" s="1086">
        <f t="shared" si="54"/>
        <v>0</v>
      </c>
      <c r="Q183" s="1086">
        <f t="shared" si="54"/>
        <v>0</v>
      </c>
      <c r="R183" s="1086">
        <f t="shared" si="54"/>
        <v>0</v>
      </c>
      <c r="S183" s="1086">
        <f t="shared" si="54"/>
        <v>0</v>
      </c>
      <c r="T183" s="1086">
        <f t="shared" si="54"/>
        <v>0</v>
      </c>
      <c r="U183" s="1086">
        <f t="shared" si="54"/>
        <v>0</v>
      </c>
      <c r="V183" s="1086">
        <f t="shared" si="54"/>
        <v>0</v>
      </c>
      <c r="W183" s="1086">
        <f t="shared" si="54"/>
        <v>0</v>
      </c>
      <c r="X183" s="1086">
        <f t="shared" si="54"/>
        <v>0</v>
      </c>
      <c r="Y183" s="1086">
        <f t="shared" si="54"/>
        <v>0</v>
      </c>
      <c r="Z183" s="1086">
        <f t="shared" si="54"/>
        <v>0</v>
      </c>
    </row>
    <row r="184" spans="1:26">
      <c r="A184" s="699"/>
      <c r="B184" s="49"/>
      <c r="C184" s="699"/>
      <c r="D184" s="699"/>
      <c r="E184" s="699"/>
      <c r="F184" s="699"/>
      <c r="G184" s="699"/>
      <c r="H184" s="699"/>
      <c r="I184" s="699"/>
      <c r="J184" s="699"/>
      <c r="K184" s="699"/>
      <c r="L184" s="699"/>
      <c r="M184" s="699"/>
      <c r="N184" s="699"/>
      <c r="O184" s="699"/>
      <c r="P184" s="699"/>
      <c r="Q184" s="699"/>
      <c r="R184" s="699"/>
      <c r="S184" s="699"/>
      <c r="T184" s="699"/>
      <c r="U184" s="699"/>
      <c r="V184" s="699"/>
      <c r="W184" s="699"/>
      <c r="X184" s="699"/>
      <c r="Y184" s="699"/>
      <c r="Z184" s="699"/>
    </row>
    <row r="185" spans="1:26">
      <c r="A185" s="699"/>
      <c r="B185" s="699" t="s">
        <v>1132</v>
      </c>
      <c r="C185" s="699"/>
      <c r="D185" s="699"/>
      <c r="E185" s="699"/>
      <c r="F185" s="1087">
        <f>+F173*Assumptions!$AG$261*F177</f>
        <v>0</v>
      </c>
      <c r="G185" s="1087">
        <f>+G173*Assumptions!$AG$261*G177</f>
        <v>0</v>
      </c>
      <c r="H185" s="1087">
        <f>+H173*Assumptions!$AG$261*H177</f>
        <v>0</v>
      </c>
      <c r="I185" s="1087">
        <f>+I173*Assumptions!$AG$261*I177</f>
        <v>0</v>
      </c>
      <c r="J185" s="1087">
        <f>+J173*Assumptions!$AG$261*J177</f>
        <v>0</v>
      </c>
      <c r="K185" s="1087">
        <f>+K173*Assumptions!$AG$261*K177</f>
        <v>0</v>
      </c>
      <c r="L185" s="1087">
        <f>+L173*Assumptions!$AG$261*L177</f>
        <v>0</v>
      </c>
      <c r="M185" s="1087">
        <f>+M173*Assumptions!$AG$261*M177</f>
        <v>0</v>
      </c>
      <c r="N185" s="1087">
        <f>+N173*Assumptions!$AG$261*N177</f>
        <v>0</v>
      </c>
      <c r="O185" s="1087">
        <f>+O173*Assumptions!$AG$261*O177</f>
        <v>0</v>
      </c>
      <c r="P185" s="1087">
        <f>+P173*Assumptions!$AG$261*P177</f>
        <v>0</v>
      </c>
      <c r="Q185" s="1087">
        <f>+Q173*Assumptions!$AG$261*Q177</f>
        <v>0</v>
      </c>
      <c r="R185" s="1087">
        <f>+R173*Assumptions!$AG$261*R177</f>
        <v>0</v>
      </c>
      <c r="S185" s="1087">
        <f>+S173*Assumptions!$AG$261*S177</f>
        <v>0</v>
      </c>
      <c r="T185" s="1087">
        <f>+T173*Assumptions!$AG$261*T177</f>
        <v>0</v>
      </c>
      <c r="U185" s="1087">
        <f>+U173*Assumptions!$AG$261*U177</f>
        <v>0</v>
      </c>
      <c r="V185" s="1087">
        <f>+V173*Assumptions!$AG$261*V177</f>
        <v>0</v>
      </c>
      <c r="W185" s="1087">
        <f>+W173*Assumptions!$AG$261*W177</f>
        <v>0</v>
      </c>
      <c r="X185" s="1087">
        <f>+X173*Assumptions!$AG$261*X177</f>
        <v>0</v>
      </c>
      <c r="Y185" s="1087">
        <f>+Y173*Assumptions!$AG$261*Y177</f>
        <v>0</v>
      </c>
      <c r="Z185" s="1087">
        <f>+Z173*Assumptions!$AG$261*Z177</f>
        <v>0</v>
      </c>
    </row>
    <row r="186" spans="1:26">
      <c r="A186" s="699"/>
      <c r="B186" s="699" t="s">
        <v>1133</v>
      </c>
      <c r="C186" s="699"/>
      <c r="D186" s="699"/>
      <c r="E186" s="699"/>
      <c r="F186" s="1050">
        <f ca="1">+IFERROR(INDEX('Taxes and TIF'!$AS$11:$AS$45,MATCH('Phase 3 Pro Forma'!F$7,'Taxes and TIF'!$AH$11:$AH$45,0)),0)*'Loan Sizing'!$M$24*'Phase 3 Pro Forma'!F174</f>
        <v>0</v>
      </c>
      <c r="G186" s="1050">
        <f ca="1">+IFERROR(INDEX('Taxes and TIF'!$AS$11:$AS$45,MATCH('Phase 3 Pro Forma'!G$7,'Taxes and TIF'!$AH$11:$AH$45,0)),0)*'Loan Sizing'!$M$24*'Phase 3 Pro Forma'!G174</f>
        <v>0</v>
      </c>
      <c r="H186" s="1050">
        <f ca="1">+IFERROR(INDEX('Taxes and TIF'!$AS$11:$AS$45,MATCH('Phase 3 Pro Forma'!H$7,'Taxes and TIF'!$AH$11:$AH$45,0)),0)*'Loan Sizing'!$M$24*'Phase 3 Pro Forma'!H174</f>
        <v>0</v>
      </c>
      <c r="I186" s="1050">
        <f ca="1">+IFERROR(INDEX('Taxes and TIF'!$AS$11:$AS$45,MATCH('Phase 3 Pro Forma'!I$7,'Taxes and TIF'!$AH$11:$AH$45,0)),0)*'Loan Sizing'!$M$24*'Phase 3 Pro Forma'!I174</f>
        <v>0</v>
      </c>
      <c r="J186" s="1050">
        <f ca="1">+IFERROR(INDEX('Taxes and TIF'!$AS$11:$AS$45,MATCH('Phase 3 Pro Forma'!J$7,'Taxes and TIF'!$AH$11:$AH$45,0)),0)*'Loan Sizing'!$M$24*'Phase 3 Pro Forma'!J174</f>
        <v>0</v>
      </c>
      <c r="K186" s="1050">
        <f ca="1">+IFERROR(INDEX('Taxes and TIF'!$AS$11:$AS$45,MATCH('Phase 3 Pro Forma'!K$7,'Taxes and TIF'!$AH$11:$AH$45,0)),0)*'Loan Sizing'!$M$24*'Phase 3 Pro Forma'!K174</f>
        <v>0</v>
      </c>
      <c r="L186" s="1050">
        <f ca="1">+IFERROR(INDEX('Taxes and TIF'!$AS$11:$AS$45,MATCH('Phase 3 Pro Forma'!L$7,'Taxes and TIF'!$AH$11:$AH$45,0)),0)*'Loan Sizing'!$M$24*'Phase 3 Pro Forma'!L174</f>
        <v>0</v>
      </c>
      <c r="M186" s="1050">
        <f ca="1">+IFERROR(INDEX('Taxes and TIF'!$AS$11:$AS$45,MATCH('Phase 3 Pro Forma'!M$7,'Taxes and TIF'!$AH$11:$AH$45,0)),0)*'Loan Sizing'!$M$24*'Phase 3 Pro Forma'!M174</f>
        <v>0</v>
      </c>
      <c r="N186" s="1050">
        <f ca="1">+IFERROR(INDEX('Taxes and TIF'!$AS$11:$AS$45,MATCH('Phase 3 Pro Forma'!N$7,'Taxes and TIF'!$AH$11:$AH$45,0)),0)*'Loan Sizing'!$M$24*'Phase 3 Pro Forma'!N174</f>
        <v>0</v>
      </c>
      <c r="O186" s="1050">
        <f ca="1">+IFERROR(INDEX('Taxes and TIF'!$AS$11:$AS$45,MATCH('Phase 3 Pro Forma'!O$7,'Taxes and TIF'!$AH$11:$AH$45,0)),0)*'Loan Sizing'!$M$24*'Phase 3 Pro Forma'!O174</f>
        <v>0</v>
      </c>
      <c r="P186" s="1050">
        <f ca="1">+IFERROR(INDEX('Taxes and TIF'!$AS$11:$AS$45,MATCH('Phase 3 Pro Forma'!P$7,'Taxes and TIF'!$AH$11:$AH$45,0)),0)*'Loan Sizing'!$M$24*'Phase 3 Pro Forma'!P174</f>
        <v>0</v>
      </c>
      <c r="Q186" s="1050">
        <f ca="1">+IFERROR(INDEX('Taxes and TIF'!$AS$11:$AS$45,MATCH('Phase 3 Pro Forma'!Q$7,'Taxes and TIF'!$AH$11:$AH$45,0)),0)*'Loan Sizing'!$M$24*'Phase 3 Pro Forma'!Q174</f>
        <v>0</v>
      </c>
      <c r="R186" s="1050">
        <f ca="1">+IFERROR(INDEX('Taxes and TIF'!$AS$11:$AS$45,MATCH('Phase 3 Pro Forma'!R$7,'Taxes and TIF'!$AH$11:$AH$45,0)),0)*'Loan Sizing'!$M$24*'Phase 3 Pro Forma'!R174</f>
        <v>0</v>
      </c>
      <c r="S186" s="1050">
        <f ca="1">+IFERROR(INDEX('Taxes and TIF'!$AS$11:$AS$45,MATCH('Phase 3 Pro Forma'!S$7,'Taxes and TIF'!$AH$11:$AH$45,0)),0)*'Loan Sizing'!$M$24*'Phase 3 Pro Forma'!S174</f>
        <v>0</v>
      </c>
      <c r="T186" s="1050">
        <f ca="1">+IFERROR(INDEX('Taxes and TIF'!$AS$11:$AS$45,MATCH('Phase 3 Pro Forma'!T$7,'Taxes and TIF'!$AH$11:$AH$45,0)),0)*'Loan Sizing'!$M$24*'Phase 3 Pro Forma'!T174</f>
        <v>0</v>
      </c>
      <c r="U186" s="1050">
        <f ca="1">+IFERROR(INDEX('Taxes and TIF'!$AS$11:$AS$45,MATCH('Phase 3 Pro Forma'!U$7,'Taxes and TIF'!$AH$11:$AH$45,0)),0)*'Loan Sizing'!$M$24*'Phase 3 Pro Forma'!U174</f>
        <v>0</v>
      </c>
      <c r="V186" s="1050">
        <f ca="1">+IFERROR(INDEX('Taxes and TIF'!$AS$11:$AS$45,MATCH('Phase 3 Pro Forma'!V$7,'Taxes and TIF'!$AH$11:$AH$45,0)),0)*'Loan Sizing'!$M$24*'Phase 3 Pro Forma'!V174</f>
        <v>0</v>
      </c>
      <c r="W186" s="1050">
        <f ca="1">+IFERROR(INDEX('Taxes and TIF'!$AS$11:$AS$45,MATCH('Phase 3 Pro Forma'!W$7,'Taxes and TIF'!$AH$11:$AH$45,0)),0)*'Loan Sizing'!$M$24*'Phase 3 Pro Forma'!W174</f>
        <v>0</v>
      </c>
      <c r="X186" s="1050">
        <f ca="1">+IFERROR(INDEX('Taxes and TIF'!$AS$11:$AS$45,MATCH('Phase 3 Pro Forma'!X$7,'Taxes and TIF'!$AH$11:$AH$45,0)),0)*'Loan Sizing'!$M$24*'Phase 3 Pro Forma'!X174</f>
        <v>0</v>
      </c>
      <c r="Y186" s="1050">
        <f ca="1">+IFERROR(INDEX('Taxes and TIF'!$AS$11:$AS$45,MATCH('Phase 3 Pro Forma'!Y$7,'Taxes and TIF'!$AH$11:$AH$45,0)),0)*'Loan Sizing'!$M$24*'Phase 3 Pro Forma'!Y174</f>
        <v>0</v>
      </c>
      <c r="Z186" s="1050">
        <f ca="1">+IFERROR(INDEX('Taxes and TIF'!$AS$11:$AS$45,MATCH('Phase 3 Pro Forma'!Z$7,'Taxes and TIF'!$AH$11:$AH$45,0)),0)*'Loan Sizing'!$M$24*'Phase 3 Pro Forma'!Z174</f>
        <v>0</v>
      </c>
    </row>
    <row r="187" spans="1:26">
      <c r="A187" s="699"/>
      <c r="B187" s="52" t="s">
        <v>1134</v>
      </c>
      <c r="C187" s="1052"/>
      <c r="D187" s="1052"/>
      <c r="E187" s="1052"/>
      <c r="F187" s="1088">
        <f ca="1">+SUM(F185:F186)</f>
        <v>0</v>
      </c>
      <c r="G187" s="1088">
        <f t="shared" ref="G187:Z187" ca="1" si="55">+SUM(G185:G186)</f>
        <v>0</v>
      </c>
      <c r="H187" s="1088">
        <f t="shared" ca="1" si="55"/>
        <v>0</v>
      </c>
      <c r="I187" s="1088">
        <f t="shared" ca="1" si="55"/>
        <v>0</v>
      </c>
      <c r="J187" s="1088">
        <f t="shared" ca="1" si="55"/>
        <v>0</v>
      </c>
      <c r="K187" s="1088">
        <f t="shared" ca="1" si="55"/>
        <v>0</v>
      </c>
      <c r="L187" s="1088">
        <f t="shared" ca="1" si="55"/>
        <v>0</v>
      </c>
      <c r="M187" s="1088">
        <f t="shared" ca="1" si="55"/>
        <v>0</v>
      </c>
      <c r="N187" s="1088">
        <f t="shared" ca="1" si="55"/>
        <v>0</v>
      </c>
      <c r="O187" s="1088">
        <f t="shared" ca="1" si="55"/>
        <v>0</v>
      </c>
      <c r="P187" s="1088">
        <f t="shared" ca="1" si="55"/>
        <v>0</v>
      </c>
      <c r="Q187" s="1088">
        <f t="shared" ca="1" si="55"/>
        <v>0</v>
      </c>
      <c r="R187" s="1088">
        <f t="shared" ca="1" si="55"/>
        <v>0</v>
      </c>
      <c r="S187" s="1088">
        <f t="shared" ca="1" si="55"/>
        <v>0</v>
      </c>
      <c r="T187" s="1088">
        <f t="shared" ca="1" si="55"/>
        <v>0</v>
      </c>
      <c r="U187" s="1088">
        <f t="shared" ca="1" si="55"/>
        <v>0</v>
      </c>
      <c r="V187" s="1088">
        <f t="shared" ca="1" si="55"/>
        <v>0</v>
      </c>
      <c r="W187" s="1088">
        <f t="shared" ca="1" si="55"/>
        <v>0</v>
      </c>
      <c r="X187" s="1088">
        <f t="shared" ca="1" si="55"/>
        <v>0</v>
      </c>
      <c r="Y187" s="1088">
        <f t="shared" ca="1" si="55"/>
        <v>0</v>
      </c>
      <c r="Z187" s="1088">
        <f t="shared" ca="1" si="55"/>
        <v>0</v>
      </c>
    </row>
    <row r="189" spans="1:26" ht="15.75">
      <c r="A189" s="699"/>
      <c r="B189" s="50" t="s">
        <v>1135</v>
      </c>
      <c r="C189" s="50"/>
      <c r="D189" s="50"/>
      <c r="E189" s="50"/>
      <c r="F189" s="55">
        <f ca="1">+F183-F187</f>
        <v>0</v>
      </c>
      <c r="G189" s="55">
        <f t="shared" ref="G189:Z189" ca="1" si="56">+G183-G187</f>
        <v>0</v>
      </c>
      <c r="H189" s="55">
        <f t="shared" ca="1" si="56"/>
        <v>0</v>
      </c>
      <c r="I189" s="55">
        <f t="shared" ca="1" si="56"/>
        <v>0</v>
      </c>
      <c r="J189" s="55">
        <f t="shared" ca="1" si="56"/>
        <v>0</v>
      </c>
      <c r="K189" s="55">
        <f t="shared" ca="1" si="56"/>
        <v>0</v>
      </c>
      <c r="L189" s="55">
        <f t="shared" ca="1" si="56"/>
        <v>0</v>
      </c>
      <c r="M189" s="55">
        <f t="shared" ca="1" si="56"/>
        <v>0</v>
      </c>
      <c r="N189" s="55">
        <f t="shared" ca="1" si="56"/>
        <v>0</v>
      </c>
      <c r="O189" s="55">
        <f t="shared" ca="1" si="56"/>
        <v>0</v>
      </c>
      <c r="P189" s="55">
        <f t="shared" ca="1" si="56"/>
        <v>0</v>
      </c>
      <c r="Q189" s="55">
        <f t="shared" ca="1" si="56"/>
        <v>0</v>
      </c>
      <c r="R189" s="55">
        <f t="shared" ca="1" si="56"/>
        <v>0</v>
      </c>
      <c r="S189" s="55">
        <f t="shared" ca="1" si="56"/>
        <v>0</v>
      </c>
      <c r="T189" s="55">
        <f t="shared" ca="1" si="56"/>
        <v>0</v>
      </c>
      <c r="U189" s="55">
        <f t="shared" ca="1" si="56"/>
        <v>0</v>
      </c>
      <c r="V189" s="55">
        <f t="shared" ca="1" si="56"/>
        <v>0</v>
      </c>
      <c r="W189" s="55">
        <f t="shared" ca="1" si="56"/>
        <v>0</v>
      </c>
      <c r="X189" s="55">
        <f t="shared" ca="1" si="56"/>
        <v>0</v>
      </c>
      <c r="Y189" s="55">
        <f t="shared" ca="1" si="56"/>
        <v>0</v>
      </c>
      <c r="Z189" s="55">
        <f t="shared" ca="1" si="56"/>
        <v>0</v>
      </c>
    </row>
    <row r="190" spans="1:26">
      <c r="A190" s="699" t="s">
        <v>881</v>
      </c>
      <c r="B190" s="51" t="s">
        <v>1136</v>
      </c>
      <c r="C190" s="51"/>
      <c r="D190" s="51"/>
      <c r="E190" s="51"/>
      <c r="F190" s="56" t="str">
        <f ca="1">+IFERROR(F189/F183,"")</f>
        <v/>
      </c>
      <c r="G190" s="56" t="str">
        <f t="shared" ref="G190:Z190" ca="1" si="57">+IFERROR(G189/G183,"")</f>
        <v/>
      </c>
      <c r="H190" s="56" t="str">
        <f t="shared" ca="1" si="57"/>
        <v/>
      </c>
      <c r="I190" s="56" t="str">
        <f t="shared" ca="1" si="57"/>
        <v/>
      </c>
      <c r="J190" s="56" t="str">
        <f t="shared" ca="1" si="57"/>
        <v/>
      </c>
      <c r="K190" s="56" t="str">
        <f t="shared" ca="1" si="57"/>
        <v/>
      </c>
      <c r="L190" s="56" t="str">
        <f t="shared" ca="1" si="57"/>
        <v/>
      </c>
      <c r="M190" s="56" t="str">
        <f t="shared" ca="1" si="57"/>
        <v/>
      </c>
      <c r="N190" s="56" t="str">
        <f t="shared" ca="1" si="57"/>
        <v/>
      </c>
      <c r="O190" s="56" t="str">
        <f t="shared" ca="1" si="57"/>
        <v/>
      </c>
      <c r="P190" s="56" t="str">
        <f t="shared" ca="1" si="57"/>
        <v/>
      </c>
      <c r="Q190" s="56" t="str">
        <f t="shared" ca="1" si="57"/>
        <v/>
      </c>
      <c r="R190" s="56" t="str">
        <f t="shared" ca="1" si="57"/>
        <v/>
      </c>
      <c r="S190" s="56" t="str">
        <f t="shared" ca="1" si="57"/>
        <v/>
      </c>
      <c r="T190" s="56" t="str">
        <f t="shared" ca="1" si="57"/>
        <v/>
      </c>
      <c r="U190" s="56" t="str">
        <f t="shared" ca="1" si="57"/>
        <v/>
      </c>
      <c r="V190" s="56" t="str">
        <f t="shared" ca="1" si="57"/>
        <v/>
      </c>
      <c r="W190" s="56" t="str">
        <f t="shared" ca="1" si="57"/>
        <v/>
      </c>
      <c r="X190" s="56" t="str">
        <f t="shared" ca="1" si="57"/>
        <v/>
      </c>
      <c r="Y190" s="56" t="str">
        <f t="shared" ca="1" si="57"/>
        <v/>
      </c>
      <c r="Z190" s="56" t="str">
        <f t="shared" ca="1" si="57"/>
        <v/>
      </c>
    </row>
    <row r="191" spans="1:26">
      <c r="A191" s="699"/>
      <c r="B191" s="51" t="s">
        <v>1064</v>
      </c>
      <c r="C191" s="51"/>
      <c r="D191" s="51"/>
      <c r="E191" s="51"/>
      <c r="F191" s="57">
        <v>0</v>
      </c>
      <c r="G191" s="57">
        <v>0</v>
      </c>
      <c r="H191" s="57">
        <v>0</v>
      </c>
      <c r="I191" s="57">
        <v>0</v>
      </c>
      <c r="J191" s="57">
        <v>0</v>
      </c>
      <c r="K191" s="57">
        <v>0</v>
      </c>
      <c r="L191" s="57">
        <v>0</v>
      </c>
      <c r="M191" s="57">
        <v>0</v>
      </c>
      <c r="N191" s="57">
        <v>0</v>
      </c>
      <c r="O191" s="57">
        <v>0</v>
      </c>
      <c r="P191" s="57">
        <v>0</v>
      </c>
      <c r="Q191" s="57">
        <v>0</v>
      </c>
      <c r="R191" s="57">
        <v>0</v>
      </c>
      <c r="S191" s="57">
        <v>0</v>
      </c>
      <c r="T191" s="57">
        <v>0</v>
      </c>
      <c r="U191" s="57">
        <v>0</v>
      </c>
      <c r="V191" s="57">
        <v>0</v>
      </c>
      <c r="W191" s="57">
        <v>0</v>
      </c>
      <c r="X191" s="57">
        <v>0</v>
      </c>
      <c r="Y191" s="57">
        <v>0</v>
      </c>
      <c r="Z191" s="57">
        <v>0</v>
      </c>
    </row>
    <row r="193" spans="2:26" ht="15.75">
      <c r="B193" s="53" t="str">
        <f>+Assumptions!AL43</f>
        <v xml:space="preserve">Market-Rate Senior Living Residential </v>
      </c>
      <c r="C193" s="699"/>
      <c r="D193" s="699"/>
      <c r="E193" s="699"/>
      <c r="F193" s="54">
        <f>+Assumptions!$H$27</f>
        <v>47118</v>
      </c>
      <c r="G193" s="54">
        <f>+EOMONTH(F193,12)</f>
        <v>47483</v>
      </c>
      <c r="H193" s="54">
        <f t="shared" ref="H193:Z193" si="58">+EOMONTH(G193,12)</f>
        <v>47848</v>
      </c>
      <c r="I193" s="54">
        <f t="shared" si="58"/>
        <v>48213</v>
      </c>
      <c r="J193" s="54">
        <f t="shared" si="58"/>
        <v>48579</v>
      </c>
      <c r="K193" s="54">
        <f t="shared" si="58"/>
        <v>48944</v>
      </c>
      <c r="L193" s="54">
        <f t="shared" si="58"/>
        <v>49309</v>
      </c>
      <c r="M193" s="54">
        <f t="shared" si="58"/>
        <v>49674</v>
      </c>
      <c r="N193" s="54">
        <f t="shared" si="58"/>
        <v>50040</v>
      </c>
      <c r="O193" s="54">
        <f t="shared" si="58"/>
        <v>50405</v>
      </c>
      <c r="P193" s="54">
        <f t="shared" si="58"/>
        <v>50770</v>
      </c>
      <c r="Q193" s="54">
        <f t="shared" si="58"/>
        <v>51135</v>
      </c>
      <c r="R193" s="54">
        <f t="shared" si="58"/>
        <v>51501</v>
      </c>
      <c r="S193" s="54">
        <f t="shared" si="58"/>
        <v>51866</v>
      </c>
      <c r="T193" s="54">
        <f t="shared" si="58"/>
        <v>52231</v>
      </c>
      <c r="U193" s="54">
        <f t="shared" si="58"/>
        <v>52596</v>
      </c>
      <c r="V193" s="54">
        <f t="shared" si="58"/>
        <v>52962</v>
      </c>
      <c r="W193" s="54">
        <f t="shared" si="58"/>
        <v>53327</v>
      </c>
      <c r="X193" s="54">
        <f t="shared" si="58"/>
        <v>53692</v>
      </c>
      <c r="Y193" s="54">
        <f t="shared" si="58"/>
        <v>54057</v>
      </c>
      <c r="Z193" s="54">
        <f t="shared" si="58"/>
        <v>54423</v>
      </c>
    </row>
    <row r="194" spans="2:26">
      <c r="B194" s="699" t="s">
        <v>1120</v>
      </c>
      <c r="C194" s="699"/>
      <c r="D194" s="699"/>
      <c r="E194" s="1050"/>
      <c r="F194" s="1050">
        <f>+IF(AND(F193&gt;=Assumptions!$H$31,F193&lt;Assumptions!$H$33),Assumptions!$AG$146/ROUNDUP((Assumptions!$H$32/12),0),)</f>
        <v>0</v>
      </c>
      <c r="G194" s="1050">
        <f>+IF(AND(G193&gt;=Assumptions!$H$31,G193&lt;Assumptions!$H$33),Assumptions!$AG$146/ROUNDUP((Assumptions!$H$32/12),0),)</f>
        <v>0</v>
      </c>
      <c r="H194" s="1050">
        <f>+IF(AND(H193&gt;=Assumptions!$H$31,H193&lt;Assumptions!$H$33),Assumptions!$AG$146/ROUNDUP((Assumptions!$H$32/12),0),)</f>
        <v>0</v>
      </c>
      <c r="I194" s="1050">
        <f>+IF(AND(I193&gt;=Assumptions!$H$31,I193&lt;Assumptions!$H$33),Assumptions!$AG$146/ROUNDUP((Assumptions!$H$32/12),0),)</f>
        <v>0</v>
      </c>
      <c r="J194" s="1050">
        <f>+IF(AND(J193&gt;=Assumptions!$H$31,J193&lt;Assumptions!$H$33),Assumptions!$AG$146/ROUNDUP((Assumptions!$H$32/12),0),)</f>
        <v>0</v>
      </c>
      <c r="K194" s="1050">
        <f>+IF(AND(K193&gt;=Assumptions!$H$31,K193&lt;Assumptions!$H$33),Assumptions!$AG$146/ROUNDUP((Assumptions!$H$32/12),0),)</f>
        <v>0</v>
      </c>
      <c r="L194" s="1050">
        <f>+IF(AND(L193&gt;=Assumptions!$H$31,L193&lt;Assumptions!$H$33),Assumptions!$AG$146/ROUNDUP((Assumptions!$H$32/12),0),)</f>
        <v>0</v>
      </c>
      <c r="M194" s="1050">
        <f>+IF(AND(M193&gt;=Assumptions!$H$31,M193&lt;Assumptions!$H$33),Assumptions!$AG$146/ROUNDUP((Assumptions!$H$32/12),0),)</f>
        <v>0</v>
      </c>
      <c r="N194" s="1050">
        <f>+IF(AND(N193&gt;=Assumptions!$H$31,N193&lt;Assumptions!$H$33),Assumptions!$AG$146/ROUNDUP((Assumptions!$H$32/12),0),)</f>
        <v>0</v>
      </c>
      <c r="O194" s="1050">
        <f>+IF(AND(O193&gt;=Assumptions!$H$31,O193&lt;Assumptions!$H$33),Assumptions!$AG$146/ROUNDUP((Assumptions!$H$32/12),0),)</f>
        <v>0</v>
      </c>
      <c r="P194" s="1050">
        <f>+IF(AND(P193&gt;=Assumptions!$H$31,P193&lt;Assumptions!$H$33),Assumptions!$AG$146/ROUNDUP((Assumptions!$H$32/12),0),)</f>
        <v>0</v>
      </c>
      <c r="Q194" s="1050">
        <f>+IF(AND(Q193&gt;=Assumptions!$H$31,Q193&lt;Assumptions!$H$33),Assumptions!$AG$146/ROUNDUP((Assumptions!$H$32/12),0),)</f>
        <v>0</v>
      </c>
      <c r="R194" s="1050">
        <f>+IF(AND(R193&gt;=Assumptions!$H$31,R193&lt;Assumptions!$H$33),Assumptions!$AG$146/ROUNDUP((Assumptions!$H$32/12),0),)</f>
        <v>0</v>
      </c>
      <c r="S194" s="1050">
        <f>+IF(AND(S193&gt;=Assumptions!$H$31,S193&lt;Assumptions!$H$33),Assumptions!$AG$146/ROUNDUP((Assumptions!$H$32/12),0),)</f>
        <v>0</v>
      </c>
      <c r="T194" s="1050">
        <f>+IF(AND(T193&gt;=Assumptions!$H$31,T193&lt;Assumptions!$H$33),Assumptions!$AG$146/ROUNDUP((Assumptions!$H$32/12),0),)</f>
        <v>0</v>
      </c>
      <c r="U194" s="1050">
        <f>+IF(AND(U193&gt;=Assumptions!$H$31,U193&lt;Assumptions!$H$33),Assumptions!$AG$146/ROUNDUP((Assumptions!$H$32/12),0),)</f>
        <v>0</v>
      </c>
      <c r="V194" s="1050">
        <f>+IF(AND(V193&gt;=Assumptions!$H$31,V193&lt;Assumptions!$H$33),Assumptions!$AG$146/ROUNDUP((Assumptions!$H$32/12),0),)</f>
        <v>0</v>
      </c>
      <c r="W194" s="1050">
        <f>+IF(AND(W193&gt;=Assumptions!$H$31,W193&lt;Assumptions!$H$33),Assumptions!$AG$146/ROUNDUP((Assumptions!$H$32/12),0),)</f>
        <v>0</v>
      </c>
      <c r="X194" s="1050">
        <f>+IF(AND(X193&gt;=Assumptions!$H$31,X193&lt;Assumptions!$H$33),Assumptions!$AG$146/ROUNDUP((Assumptions!$H$32/12),0),)</f>
        <v>0</v>
      </c>
      <c r="Y194" s="1050">
        <f>+IF(AND(Y193&gt;=Assumptions!$H$31,Y193&lt;Assumptions!$H$33),Assumptions!$AG$146/ROUNDUP((Assumptions!$H$32/12),0),)</f>
        <v>0</v>
      </c>
      <c r="Z194" s="1050">
        <f>+IF(AND(Z193&gt;=Assumptions!$H$31,Z193&lt;Assumptions!$H$33),Assumptions!$AG$146/ROUNDUP((Assumptions!$H$32/12),0),)</f>
        <v>0</v>
      </c>
    </row>
    <row r="195" spans="2:26">
      <c r="B195" s="699" t="s">
        <v>1121</v>
      </c>
      <c r="C195" s="699"/>
      <c r="D195" s="699"/>
      <c r="E195" s="1050">
        <v>0</v>
      </c>
      <c r="F195" s="1050">
        <f>+E195+F194</f>
        <v>0</v>
      </c>
      <c r="G195" s="1050">
        <f t="shared" ref="G195:Z195" si="59">+F195+G194</f>
        <v>0</v>
      </c>
      <c r="H195" s="1050">
        <f t="shared" si="59"/>
        <v>0</v>
      </c>
      <c r="I195" s="1050">
        <f t="shared" si="59"/>
        <v>0</v>
      </c>
      <c r="J195" s="1050">
        <f t="shared" si="59"/>
        <v>0</v>
      </c>
      <c r="K195" s="1050">
        <f t="shared" si="59"/>
        <v>0</v>
      </c>
      <c r="L195" s="1050">
        <f t="shared" si="59"/>
        <v>0</v>
      </c>
      <c r="M195" s="1050">
        <f t="shared" si="59"/>
        <v>0</v>
      </c>
      <c r="N195" s="1050">
        <f t="shared" si="59"/>
        <v>0</v>
      </c>
      <c r="O195" s="1050">
        <f t="shared" si="59"/>
        <v>0</v>
      </c>
      <c r="P195" s="1050">
        <f t="shared" si="59"/>
        <v>0</v>
      </c>
      <c r="Q195" s="1050">
        <f t="shared" si="59"/>
        <v>0</v>
      </c>
      <c r="R195" s="1050">
        <f t="shared" si="59"/>
        <v>0</v>
      </c>
      <c r="S195" s="1050">
        <f t="shared" si="59"/>
        <v>0</v>
      </c>
      <c r="T195" s="1050">
        <f t="shared" si="59"/>
        <v>0</v>
      </c>
      <c r="U195" s="1050">
        <f t="shared" si="59"/>
        <v>0</v>
      </c>
      <c r="V195" s="1050">
        <f t="shared" si="59"/>
        <v>0</v>
      </c>
      <c r="W195" s="1050">
        <f t="shared" si="59"/>
        <v>0</v>
      </c>
      <c r="X195" s="1050">
        <f t="shared" si="59"/>
        <v>0</v>
      </c>
      <c r="Y195" s="1050">
        <f t="shared" si="59"/>
        <v>0</v>
      </c>
      <c r="Z195" s="1050">
        <f t="shared" si="59"/>
        <v>0</v>
      </c>
    </row>
    <row r="196" spans="2:26">
      <c r="B196" s="699" t="s">
        <v>1123</v>
      </c>
      <c r="C196" s="699"/>
      <c r="D196" s="699"/>
      <c r="E196" s="699"/>
      <c r="F196" s="1084">
        <f>+F197-E197</f>
        <v>0</v>
      </c>
      <c r="G196" s="1084">
        <f t="shared" ref="G196:Z196" si="60">+G197-F197</f>
        <v>0</v>
      </c>
      <c r="H196" s="1084">
        <f t="shared" si="60"/>
        <v>0</v>
      </c>
      <c r="I196" s="1084">
        <f t="shared" si="60"/>
        <v>0</v>
      </c>
      <c r="J196" s="1084">
        <f t="shared" si="60"/>
        <v>0</v>
      </c>
      <c r="K196" s="1084">
        <f t="shared" si="60"/>
        <v>0</v>
      </c>
      <c r="L196" s="1084">
        <f t="shared" si="60"/>
        <v>0</v>
      </c>
      <c r="M196" s="1084">
        <f t="shared" si="60"/>
        <v>0</v>
      </c>
      <c r="N196" s="1084">
        <f t="shared" si="60"/>
        <v>0</v>
      </c>
      <c r="O196" s="1084">
        <f t="shared" si="60"/>
        <v>0</v>
      </c>
      <c r="P196" s="1084">
        <f t="shared" si="60"/>
        <v>0</v>
      </c>
      <c r="Q196" s="1084">
        <f t="shared" si="60"/>
        <v>0</v>
      </c>
      <c r="R196" s="1084">
        <f t="shared" si="60"/>
        <v>0</v>
      </c>
      <c r="S196" s="1084">
        <f t="shared" si="60"/>
        <v>0</v>
      </c>
      <c r="T196" s="1084">
        <f t="shared" si="60"/>
        <v>0</v>
      </c>
      <c r="U196" s="1084">
        <f t="shared" si="60"/>
        <v>0</v>
      </c>
      <c r="V196" s="1084">
        <f t="shared" si="60"/>
        <v>0</v>
      </c>
      <c r="W196" s="1084">
        <f t="shared" si="60"/>
        <v>0</v>
      </c>
      <c r="X196" s="1084">
        <f t="shared" si="60"/>
        <v>0</v>
      </c>
      <c r="Y196" s="1084">
        <f t="shared" si="60"/>
        <v>0</v>
      </c>
      <c r="Z196" s="1084">
        <f t="shared" si="60"/>
        <v>0</v>
      </c>
    </row>
    <row r="197" spans="2:26">
      <c r="B197" s="699" t="s">
        <v>1124</v>
      </c>
      <c r="C197" s="699"/>
      <c r="D197" s="699"/>
      <c r="E197" s="699"/>
      <c r="F197" s="1084">
        <f>+F198*Assumptions!$AG$147</f>
        <v>0</v>
      </c>
      <c r="G197" s="1084">
        <f>+G198*Assumptions!$AG$147</f>
        <v>0</v>
      </c>
      <c r="H197" s="1084">
        <f>+H198*Assumptions!$AG$147</f>
        <v>0</v>
      </c>
      <c r="I197" s="1084">
        <f>+I198*Assumptions!$AG$147</f>
        <v>0</v>
      </c>
      <c r="J197" s="1084">
        <f>+J198*Assumptions!$AG$147</f>
        <v>0</v>
      </c>
      <c r="K197" s="1084">
        <f>+K198*Assumptions!$AG$147</f>
        <v>0</v>
      </c>
      <c r="L197" s="1084">
        <f>+L198*Assumptions!$AG$147</f>
        <v>0</v>
      </c>
      <c r="M197" s="1084">
        <f>+M198*Assumptions!$AG$147</f>
        <v>0</v>
      </c>
      <c r="N197" s="1084">
        <f>+N198*Assumptions!$AG$147</f>
        <v>0</v>
      </c>
      <c r="O197" s="1084">
        <f>+O198*Assumptions!$AG$147</f>
        <v>0</v>
      </c>
      <c r="P197" s="1084">
        <f>+P198*Assumptions!$AG$147</f>
        <v>0</v>
      </c>
      <c r="Q197" s="1084">
        <f>+Q198*Assumptions!$AG$147</f>
        <v>0</v>
      </c>
      <c r="R197" s="1084">
        <f>+R198*Assumptions!$AG$147</f>
        <v>0</v>
      </c>
      <c r="S197" s="1084">
        <f>+S198*Assumptions!$AG$147</f>
        <v>0</v>
      </c>
      <c r="T197" s="1084">
        <f>+T198*Assumptions!$AG$147</f>
        <v>0</v>
      </c>
      <c r="U197" s="1084">
        <f>+U198*Assumptions!$AG$147</f>
        <v>0</v>
      </c>
      <c r="V197" s="1084">
        <f>+V198*Assumptions!$AG$147</f>
        <v>0</v>
      </c>
      <c r="W197" s="1084">
        <f>+W198*Assumptions!$AG$147</f>
        <v>0</v>
      </c>
      <c r="X197" s="1084">
        <f>+X198*Assumptions!$AG$147</f>
        <v>0</v>
      </c>
      <c r="Y197" s="1084">
        <f>+Y198*Assumptions!$AG$147</f>
        <v>0</v>
      </c>
      <c r="Z197" s="1084">
        <f>+Z198*Assumptions!$AG$147</f>
        <v>0</v>
      </c>
    </row>
    <row r="198" spans="2:26">
      <c r="B198" s="699" t="s">
        <v>1125</v>
      </c>
      <c r="C198" s="699"/>
      <c r="D198" s="699"/>
      <c r="E198" s="699"/>
      <c r="F198" s="1074">
        <f>+IFERROR(F195/SUM($F$194:$Z$194),0)</f>
        <v>0</v>
      </c>
      <c r="G198" s="1074">
        <f t="shared" ref="G198:Z198" si="61">+IFERROR(G195/SUM($F$194:$Z$194),0)</f>
        <v>0</v>
      </c>
      <c r="H198" s="1074">
        <f t="shared" si="61"/>
        <v>0</v>
      </c>
      <c r="I198" s="1074">
        <f t="shared" si="61"/>
        <v>0</v>
      </c>
      <c r="J198" s="1074">
        <f t="shared" si="61"/>
        <v>0</v>
      </c>
      <c r="K198" s="1074">
        <f t="shared" si="61"/>
        <v>0</v>
      </c>
      <c r="L198" s="1074">
        <f t="shared" si="61"/>
        <v>0</v>
      </c>
      <c r="M198" s="1074">
        <f t="shared" si="61"/>
        <v>0</v>
      </c>
      <c r="N198" s="1074">
        <f t="shared" si="61"/>
        <v>0</v>
      </c>
      <c r="O198" s="1074">
        <f t="shared" si="61"/>
        <v>0</v>
      </c>
      <c r="P198" s="1074">
        <f t="shared" si="61"/>
        <v>0</v>
      </c>
      <c r="Q198" s="1074">
        <f t="shared" si="61"/>
        <v>0</v>
      </c>
      <c r="R198" s="1074">
        <f t="shared" si="61"/>
        <v>0</v>
      </c>
      <c r="S198" s="1074">
        <f t="shared" si="61"/>
        <v>0</v>
      </c>
      <c r="T198" s="1074">
        <f t="shared" si="61"/>
        <v>0</v>
      </c>
      <c r="U198" s="1074">
        <f t="shared" si="61"/>
        <v>0</v>
      </c>
      <c r="V198" s="1074">
        <f t="shared" si="61"/>
        <v>0</v>
      </c>
      <c r="W198" s="1074">
        <f t="shared" si="61"/>
        <v>0</v>
      </c>
      <c r="X198" s="1074">
        <f t="shared" si="61"/>
        <v>0</v>
      </c>
      <c r="Y198" s="1074">
        <f t="shared" si="61"/>
        <v>0</v>
      </c>
      <c r="Z198" s="1074">
        <f t="shared" si="61"/>
        <v>0</v>
      </c>
    </row>
    <row r="200" spans="2:26">
      <c r="B200" s="699" t="s">
        <v>1126</v>
      </c>
      <c r="C200" s="699"/>
      <c r="D200" s="699"/>
      <c r="E200" s="699"/>
      <c r="F200" s="1074">
        <v>1</v>
      </c>
      <c r="G200" s="1074">
        <f>+F200*(1+Assumptions!$AR$85)</f>
        <v>1.03</v>
      </c>
      <c r="H200" s="1074">
        <f>+G200*(1+Assumptions!$AR$85)</f>
        <v>1.0609</v>
      </c>
      <c r="I200" s="1074">
        <f>+H200*(1+Assumptions!$AR$85)</f>
        <v>1.092727</v>
      </c>
      <c r="J200" s="1074">
        <f>+I200*(1+Assumptions!$AR$85)</f>
        <v>1.1255088100000001</v>
      </c>
      <c r="K200" s="1074">
        <f>+J200*(1+Assumptions!$AR$85)</f>
        <v>1.1592740743000001</v>
      </c>
      <c r="L200" s="1074">
        <f>+K200*(1+Assumptions!$AR$85)</f>
        <v>1.1940522965290001</v>
      </c>
      <c r="M200" s="1074">
        <f>+L200*(1+Assumptions!$AR$85)</f>
        <v>1.2298738654248702</v>
      </c>
      <c r="N200" s="1074">
        <f>+M200*(1+Assumptions!$AR$85)</f>
        <v>1.2667700813876164</v>
      </c>
      <c r="O200" s="1074">
        <f>+N200*(1+Assumptions!$AR$85)</f>
        <v>1.3047731838292449</v>
      </c>
      <c r="P200" s="1074">
        <f>+O200*(1+Assumptions!$AR$85)</f>
        <v>1.3439163793441222</v>
      </c>
      <c r="Q200" s="1074">
        <f>+P200*(1+Assumptions!$AR$85)</f>
        <v>1.3842338707244459</v>
      </c>
      <c r="R200" s="1074">
        <f>+Q200*(1+Assumptions!$AR$85)</f>
        <v>1.4257608868461793</v>
      </c>
      <c r="S200" s="1074">
        <f>+R200*(1+Assumptions!$AR$85)</f>
        <v>1.4685337134515648</v>
      </c>
      <c r="T200" s="1074">
        <f>+S200*(1+Assumptions!$AR$85)</f>
        <v>1.5125897248551119</v>
      </c>
      <c r="U200" s="1074">
        <f>+T200*(1+Assumptions!$AR$85)</f>
        <v>1.5579674166007653</v>
      </c>
      <c r="V200" s="1074">
        <f>+U200*(1+Assumptions!$AR$85)</f>
        <v>1.6047064390987884</v>
      </c>
      <c r="W200" s="1074">
        <f>+V200*(1+Assumptions!$AR$85)</f>
        <v>1.652847632271752</v>
      </c>
      <c r="X200" s="1074">
        <f>+W200*(1+Assumptions!$AR$85)</f>
        <v>1.7024330612399046</v>
      </c>
      <c r="Y200" s="1074">
        <f>+X200*(1+Assumptions!$AR$85)</f>
        <v>1.7535060530771018</v>
      </c>
      <c r="Z200" s="1074">
        <f>+Y200*(1+Assumptions!$AR$85)</f>
        <v>1.806111234669415</v>
      </c>
    </row>
    <row r="201" spans="2:26">
      <c r="B201" s="699" t="s">
        <v>1127</v>
      </c>
      <c r="C201" s="699"/>
      <c r="D201" s="699"/>
      <c r="E201" s="699"/>
      <c r="F201" s="1074">
        <v>1</v>
      </c>
      <c r="G201" s="1074">
        <f>+F201*(1+Assumptions!$AR$96)</f>
        <v>1.03</v>
      </c>
      <c r="H201" s="1074">
        <f>+G201*(1+Assumptions!$AR$96)</f>
        <v>1.0609</v>
      </c>
      <c r="I201" s="1074">
        <f>+H201*(1+Assumptions!$AR$96)</f>
        <v>1.092727</v>
      </c>
      <c r="J201" s="1074">
        <f>+I201*(1+Assumptions!$AR$96)</f>
        <v>1.1255088100000001</v>
      </c>
      <c r="K201" s="1074">
        <f>+J201*(1+Assumptions!$AR$96)</f>
        <v>1.1592740743000001</v>
      </c>
      <c r="L201" s="1074">
        <f>+K201*(1+Assumptions!$AR$96)</f>
        <v>1.1940522965290001</v>
      </c>
      <c r="M201" s="1074">
        <f>+L201*(1+Assumptions!$AR$96)</f>
        <v>1.2298738654248702</v>
      </c>
      <c r="N201" s="1074">
        <f>+M201*(1+Assumptions!$AR$96)</f>
        <v>1.2667700813876164</v>
      </c>
      <c r="O201" s="1074">
        <f>+N201*(1+Assumptions!$AR$96)</f>
        <v>1.3047731838292449</v>
      </c>
      <c r="P201" s="1074">
        <f>+O201*(1+Assumptions!$AR$96)</f>
        <v>1.3439163793441222</v>
      </c>
      <c r="Q201" s="1074">
        <f>+P201*(1+Assumptions!$AR$96)</f>
        <v>1.3842338707244459</v>
      </c>
      <c r="R201" s="1074">
        <f>+Q201*(1+Assumptions!$AR$96)</f>
        <v>1.4257608868461793</v>
      </c>
      <c r="S201" s="1074">
        <f>+R201*(1+Assumptions!$AR$96)</f>
        <v>1.4685337134515648</v>
      </c>
      <c r="T201" s="1074">
        <f>+S201*(1+Assumptions!$AR$96)</f>
        <v>1.5125897248551119</v>
      </c>
      <c r="U201" s="1074">
        <f>+T201*(1+Assumptions!$AR$96)</f>
        <v>1.5579674166007653</v>
      </c>
      <c r="V201" s="1074">
        <f>+U201*(1+Assumptions!$AR$96)</f>
        <v>1.6047064390987884</v>
      </c>
      <c r="W201" s="1074">
        <f>+V201*(1+Assumptions!$AR$96)</f>
        <v>1.652847632271752</v>
      </c>
      <c r="X201" s="1074">
        <f>+W201*(1+Assumptions!$AR$96)</f>
        <v>1.7024330612399046</v>
      </c>
      <c r="Y201" s="1074">
        <f>+X201*(1+Assumptions!$AR$96)</f>
        <v>1.7535060530771018</v>
      </c>
      <c r="Z201" s="1074">
        <f>+Y201*(1+Assumptions!$AR$96)</f>
        <v>1.806111234669415</v>
      </c>
    </row>
    <row r="203" spans="2:26">
      <c r="B203" s="699" t="s">
        <v>1128</v>
      </c>
      <c r="C203" s="699"/>
      <c r="D203" s="699"/>
      <c r="E203" s="699"/>
      <c r="F203" s="1028">
        <f>+F198*Assumptions!$AG$145*F200</f>
        <v>0</v>
      </c>
      <c r="G203" s="1028">
        <f>+G198*Assumptions!$AG$145*G200</f>
        <v>0</v>
      </c>
      <c r="H203" s="1028">
        <f>+H198*Assumptions!$AG$145*H200</f>
        <v>0</v>
      </c>
      <c r="I203" s="1028">
        <f>+I198*Assumptions!$AG$145*I200</f>
        <v>0</v>
      </c>
      <c r="J203" s="1028">
        <f>+J198*Assumptions!$AG$145*J200</f>
        <v>0</v>
      </c>
      <c r="K203" s="1028">
        <f>+K198*Assumptions!$AG$145*K200</f>
        <v>0</v>
      </c>
      <c r="L203" s="1028">
        <f>+L198*Assumptions!$AG$145*L200</f>
        <v>0</v>
      </c>
      <c r="M203" s="1028">
        <f>+M198*Assumptions!$AG$145*M200</f>
        <v>0</v>
      </c>
      <c r="N203" s="1028">
        <f>+N198*Assumptions!$AG$145*N200</f>
        <v>0</v>
      </c>
      <c r="O203" s="1028">
        <f>+O198*Assumptions!$AG$145*O200</f>
        <v>0</v>
      </c>
      <c r="P203" s="1028">
        <f>+P198*Assumptions!$AG$145*P200</f>
        <v>0</v>
      </c>
      <c r="Q203" s="1028">
        <f>+Q198*Assumptions!$AG$145*Q200</f>
        <v>0</v>
      </c>
      <c r="R203" s="1028">
        <f>+R198*Assumptions!$AG$145*R200</f>
        <v>0</v>
      </c>
      <c r="S203" s="1028">
        <f>+S198*Assumptions!$AG$145*S200</f>
        <v>0</v>
      </c>
      <c r="T203" s="1028">
        <f>+T198*Assumptions!$AG$145*T200</f>
        <v>0</v>
      </c>
      <c r="U203" s="1028">
        <f>+U198*Assumptions!$AG$145*U200</f>
        <v>0</v>
      </c>
      <c r="V203" s="1028">
        <f>+V198*Assumptions!$AG$145*V200</f>
        <v>0</v>
      </c>
      <c r="W203" s="1028">
        <f>+W198*Assumptions!$AG$145*W200</f>
        <v>0</v>
      </c>
      <c r="X203" s="1028">
        <f>+X198*Assumptions!$AG$145*X200</f>
        <v>0</v>
      </c>
      <c r="Y203" s="1028">
        <f>+Y198*Assumptions!$AG$145*Y200</f>
        <v>0</v>
      </c>
      <c r="Z203" s="1028">
        <f>+Z198*Assumptions!$AG$145*Z200</f>
        <v>0</v>
      </c>
    </row>
    <row r="204" spans="2:26">
      <c r="B204" s="699" t="s">
        <v>1130</v>
      </c>
      <c r="C204" s="699"/>
      <c r="D204" s="699"/>
      <c r="E204" s="699"/>
      <c r="F204" s="1085">
        <f>-F203*Assumptions!$AR$76</f>
        <v>0</v>
      </c>
      <c r="G204" s="1085">
        <f>-G203*Assumptions!$AR$76</f>
        <v>0</v>
      </c>
      <c r="H204" s="1085">
        <f>-H203*Assumptions!$AR$76</f>
        <v>0</v>
      </c>
      <c r="I204" s="1085">
        <f>-I203*Assumptions!$AR$76</f>
        <v>0</v>
      </c>
      <c r="J204" s="1085">
        <f>-J203*Assumptions!$AR$76</f>
        <v>0</v>
      </c>
      <c r="K204" s="1085">
        <f>-K203*Assumptions!$AR$76</f>
        <v>0</v>
      </c>
      <c r="L204" s="1085">
        <f>-L203*Assumptions!$AR$76</f>
        <v>0</v>
      </c>
      <c r="M204" s="1085">
        <f>-M203*Assumptions!$AR$76</f>
        <v>0</v>
      </c>
      <c r="N204" s="1085">
        <f>-N203*Assumptions!$AR$76</f>
        <v>0</v>
      </c>
      <c r="O204" s="1085">
        <f>-O203*Assumptions!$AR$76</f>
        <v>0</v>
      </c>
      <c r="P204" s="1085">
        <f>-P203*Assumptions!$AR$76</f>
        <v>0</v>
      </c>
      <c r="Q204" s="1085">
        <f>-Q203*Assumptions!$AR$76</f>
        <v>0</v>
      </c>
      <c r="R204" s="1085">
        <f>-R203*Assumptions!$AR$76</f>
        <v>0</v>
      </c>
      <c r="S204" s="1085">
        <f>-S203*Assumptions!$AR$76</f>
        <v>0</v>
      </c>
      <c r="T204" s="1085">
        <f>-T203*Assumptions!$AR$76</f>
        <v>0</v>
      </c>
      <c r="U204" s="1085">
        <f>-U203*Assumptions!$AR$76</f>
        <v>0</v>
      </c>
      <c r="V204" s="1085">
        <f>-V203*Assumptions!$AR$76</f>
        <v>0</v>
      </c>
      <c r="W204" s="1085">
        <f>-W203*Assumptions!$AR$76</f>
        <v>0</v>
      </c>
      <c r="X204" s="1085">
        <f>-X203*Assumptions!$AR$76</f>
        <v>0</v>
      </c>
      <c r="Y204" s="1085">
        <f>-Y203*Assumptions!$AR$76</f>
        <v>0</v>
      </c>
      <c r="Z204" s="1085">
        <f>-Z203*Assumptions!$AR$76</f>
        <v>0</v>
      </c>
    </row>
    <row r="205" spans="2:26" hidden="1">
      <c r="B205" s="699" t="s">
        <v>1243</v>
      </c>
      <c r="C205" s="699"/>
      <c r="D205" s="699"/>
      <c r="E205" s="699"/>
      <c r="F205" s="1085"/>
      <c r="G205" s="1085"/>
      <c r="H205" s="1085"/>
      <c r="I205" s="1085"/>
      <c r="J205" s="1085"/>
      <c r="K205" s="1085"/>
      <c r="L205" s="1085"/>
      <c r="M205" s="1085"/>
      <c r="N205" s="1085"/>
      <c r="O205" s="1085"/>
      <c r="P205" s="1085"/>
      <c r="Q205" s="1085"/>
      <c r="R205" s="1085"/>
      <c r="S205" s="1085"/>
      <c r="T205" s="1085"/>
      <c r="U205" s="1085"/>
      <c r="V205" s="1085"/>
      <c r="W205" s="1085"/>
      <c r="X205" s="1085"/>
      <c r="Y205" s="1085"/>
      <c r="Z205" s="1085"/>
    </row>
    <row r="206" spans="2:26" hidden="1">
      <c r="B206" s="699" t="s">
        <v>1244</v>
      </c>
      <c r="C206" s="699"/>
      <c r="D206" s="699"/>
      <c r="E206" s="699"/>
      <c r="F206" s="1085"/>
      <c r="G206" s="1085"/>
      <c r="H206" s="1085"/>
      <c r="I206" s="1085"/>
      <c r="J206" s="1085"/>
      <c r="K206" s="1085"/>
      <c r="L206" s="1085"/>
      <c r="M206" s="1085"/>
      <c r="N206" s="1085"/>
      <c r="O206" s="1085"/>
      <c r="P206" s="1085"/>
      <c r="Q206" s="1085"/>
      <c r="R206" s="1085"/>
      <c r="S206" s="1085"/>
      <c r="T206" s="1085"/>
      <c r="U206" s="1085"/>
      <c r="V206" s="1085"/>
      <c r="W206" s="1085"/>
      <c r="X206" s="1085"/>
      <c r="Y206" s="1085"/>
      <c r="Z206" s="1085"/>
    </row>
    <row r="207" spans="2:26">
      <c r="B207" s="52" t="s">
        <v>1131</v>
      </c>
      <c r="C207" s="1052"/>
      <c r="D207" s="1052"/>
      <c r="E207" s="1052"/>
      <c r="F207" s="1086">
        <f>SUM(F203:F206)</f>
        <v>0</v>
      </c>
      <c r="G207" s="1086">
        <f t="shared" ref="G207:Z207" si="62">SUM(G203:G206)</f>
        <v>0</v>
      </c>
      <c r="H207" s="1086">
        <f t="shared" si="62"/>
        <v>0</v>
      </c>
      <c r="I207" s="1086">
        <f t="shared" si="62"/>
        <v>0</v>
      </c>
      <c r="J207" s="1086">
        <f t="shared" si="62"/>
        <v>0</v>
      </c>
      <c r="K207" s="1086">
        <f t="shared" si="62"/>
        <v>0</v>
      </c>
      <c r="L207" s="1086">
        <f t="shared" si="62"/>
        <v>0</v>
      </c>
      <c r="M207" s="1086">
        <f t="shared" si="62"/>
        <v>0</v>
      </c>
      <c r="N207" s="1086">
        <f t="shared" si="62"/>
        <v>0</v>
      </c>
      <c r="O207" s="1086">
        <f t="shared" si="62"/>
        <v>0</v>
      </c>
      <c r="P207" s="1086">
        <f t="shared" si="62"/>
        <v>0</v>
      </c>
      <c r="Q207" s="1086">
        <f t="shared" si="62"/>
        <v>0</v>
      </c>
      <c r="R207" s="1086">
        <f t="shared" si="62"/>
        <v>0</v>
      </c>
      <c r="S207" s="1086">
        <f t="shared" si="62"/>
        <v>0</v>
      </c>
      <c r="T207" s="1086">
        <f t="shared" si="62"/>
        <v>0</v>
      </c>
      <c r="U207" s="1086">
        <f t="shared" si="62"/>
        <v>0</v>
      </c>
      <c r="V207" s="1086">
        <f t="shared" si="62"/>
        <v>0</v>
      </c>
      <c r="W207" s="1086">
        <f t="shared" si="62"/>
        <v>0</v>
      </c>
      <c r="X207" s="1086">
        <f t="shared" si="62"/>
        <v>0</v>
      </c>
      <c r="Y207" s="1086">
        <f t="shared" si="62"/>
        <v>0</v>
      </c>
      <c r="Z207" s="1086">
        <f t="shared" si="62"/>
        <v>0</v>
      </c>
    </row>
    <row r="208" spans="2:26">
      <c r="B208" s="49"/>
      <c r="C208" s="699"/>
      <c r="D208" s="699"/>
      <c r="E208" s="699"/>
      <c r="F208" s="699"/>
      <c r="G208" s="699"/>
      <c r="H208" s="699"/>
      <c r="I208" s="699"/>
      <c r="J208" s="699"/>
      <c r="K208" s="699"/>
      <c r="L208" s="699"/>
      <c r="M208" s="699"/>
      <c r="N208" s="699"/>
      <c r="O208" s="699"/>
      <c r="P208" s="699"/>
      <c r="Q208" s="699"/>
      <c r="R208" s="699"/>
      <c r="S208" s="699"/>
      <c r="T208" s="699"/>
      <c r="U208" s="699"/>
      <c r="V208" s="699"/>
      <c r="W208" s="699"/>
      <c r="X208" s="699"/>
      <c r="Y208" s="699"/>
      <c r="Z208" s="699"/>
    </row>
    <row r="209" spans="1:26">
      <c r="A209" s="699"/>
      <c r="B209" s="699" t="s">
        <v>1132</v>
      </c>
      <c r="C209" s="699"/>
      <c r="D209" s="699"/>
      <c r="E209" s="699"/>
      <c r="F209" s="1087">
        <f>+F197*Assumptions!$AG$262*F201</f>
        <v>0</v>
      </c>
      <c r="G209" s="1087">
        <f>+G197*Assumptions!$AG$262*G201</f>
        <v>0</v>
      </c>
      <c r="H209" s="1087">
        <f>+H197*Assumptions!$AG$262*H201</f>
        <v>0</v>
      </c>
      <c r="I209" s="1087">
        <f>+I197*Assumptions!$AG$262*I201</f>
        <v>0</v>
      </c>
      <c r="J209" s="1087">
        <f>+J197*Assumptions!$AG$262*J201</f>
        <v>0</v>
      </c>
      <c r="K209" s="1087">
        <f>+K197*Assumptions!$AG$262*K201</f>
        <v>0</v>
      </c>
      <c r="L209" s="1087">
        <f>+L197*Assumptions!$AG$262*L201</f>
        <v>0</v>
      </c>
      <c r="M209" s="1087">
        <f>+M197*Assumptions!$AG$262*M201</f>
        <v>0</v>
      </c>
      <c r="N209" s="1087">
        <f>+N197*Assumptions!$AG$262*N201</f>
        <v>0</v>
      </c>
      <c r="O209" s="1087">
        <f>+O197*Assumptions!$AG$262*O201</f>
        <v>0</v>
      </c>
      <c r="P209" s="1087">
        <f>+P197*Assumptions!$AG$262*P201</f>
        <v>0</v>
      </c>
      <c r="Q209" s="1087">
        <f>+Q197*Assumptions!$AG$262*Q201</f>
        <v>0</v>
      </c>
      <c r="R209" s="1087">
        <f>+R197*Assumptions!$AG$262*R201</f>
        <v>0</v>
      </c>
      <c r="S209" s="1087">
        <f>+S197*Assumptions!$AG$262*S201</f>
        <v>0</v>
      </c>
      <c r="T209" s="1087">
        <f>+T197*Assumptions!$AG$262*T201</f>
        <v>0</v>
      </c>
      <c r="U209" s="1087">
        <f>+U197*Assumptions!$AG$262*U201</f>
        <v>0</v>
      </c>
      <c r="V209" s="1087">
        <f>+V197*Assumptions!$AG$262*V201</f>
        <v>0</v>
      </c>
      <c r="W209" s="1087">
        <f>+W197*Assumptions!$AG$262*W201</f>
        <v>0</v>
      </c>
      <c r="X209" s="1087">
        <f>+X197*Assumptions!$AG$262*X201</f>
        <v>0</v>
      </c>
      <c r="Y209" s="1087">
        <f>+Y197*Assumptions!$AG$262*Y201</f>
        <v>0</v>
      </c>
      <c r="Z209" s="1087">
        <f>+Z197*Assumptions!$AG$262*Z201</f>
        <v>0</v>
      </c>
    </row>
    <row r="210" spans="1:26">
      <c r="A210" s="699"/>
      <c r="B210" s="699" t="s">
        <v>1133</v>
      </c>
      <c r="C210" s="699"/>
      <c r="D210" s="699"/>
      <c r="E210" s="699"/>
      <c r="F210" s="1050">
        <f ca="1">+IFERROR(INDEX('Taxes and TIF'!$AS$11:$AS$45,MATCH('Phase 3 Pro Forma'!F$7,'Taxes and TIF'!$AH$11:$AH$45,0)),0)*'Loan Sizing'!$M$25*'Phase 3 Pro Forma'!F198</f>
        <v>0</v>
      </c>
      <c r="G210" s="1050">
        <f ca="1">+IFERROR(INDEX('Taxes and TIF'!$AS$11:$AS$45,MATCH('Phase 3 Pro Forma'!G$7,'Taxes and TIF'!$AH$11:$AH$45,0)),0)*'Loan Sizing'!$M$25*'Phase 3 Pro Forma'!G198</f>
        <v>0</v>
      </c>
      <c r="H210" s="1050">
        <f ca="1">+IFERROR(INDEX('Taxes and TIF'!$AS$11:$AS$45,MATCH('Phase 3 Pro Forma'!H$7,'Taxes and TIF'!$AH$11:$AH$45,0)),0)*'Loan Sizing'!$M$25*'Phase 3 Pro Forma'!H198</f>
        <v>0</v>
      </c>
      <c r="I210" s="1050">
        <f ca="1">+IFERROR(INDEX('Taxes and TIF'!$AS$11:$AS$45,MATCH('Phase 3 Pro Forma'!I$7,'Taxes and TIF'!$AH$11:$AH$45,0)),0)*'Loan Sizing'!$M$25*'Phase 3 Pro Forma'!I198</f>
        <v>0</v>
      </c>
      <c r="J210" s="1050">
        <f ca="1">+IFERROR(INDEX('Taxes and TIF'!$AS$11:$AS$45,MATCH('Phase 3 Pro Forma'!J$7,'Taxes and TIF'!$AH$11:$AH$45,0)),0)*'Loan Sizing'!$M$25*'Phase 3 Pro Forma'!J198</f>
        <v>0</v>
      </c>
      <c r="K210" s="1050">
        <f ca="1">+IFERROR(INDEX('Taxes and TIF'!$AS$11:$AS$45,MATCH('Phase 3 Pro Forma'!K$7,'Taxes and TIF'!$AH$11:$AH$45,0)),0)*'Loan Sizing'!$M$25*'Phase 3 Pro Forma'!K198</f>
        <v>0</v>
      </c>
      <c r="L210" s="1050">
        <f ca="1">+IFERROR(INDEX('Taxes and TIF'!$AS$11:$AS$45,MATCH('Phase 3 Pro Forma'!L$7,'Taxes and TIF'!$AH$11:$AH$45,0)),0)*'Loan Sizing'!$M$25*'Phase 3 Pro Forma'!L198</f>
        <v>0</v>
      </c>
      <c r="M210" s="1050">
        <f ca="1">+IFERROR(INDEX('Taxes and TIF'!$AS$11:$AS$45,MATCH('Phase 3 Pro Forma'!M$7,'Taxes and TIF'!$AH$11:$AH$45,0)),0)*'Loan Sizing'!$M$25*'Phase 3 Pro Forma'!M198</f>
        <v>0</v>
      </c>
      <c r="N210" s="1050">
        <f ca="1">+IFERROR(INDEX('Taxes and TIF'!$AS$11:$AS$45,MATCH('Phase 3 Pro Forma'!N$7,'Taxes and TIF'!$AH$11:$AH$45,0)),0)*'Loan Sizing'!$M$25*'Phase 3 Pro Forma'!N198</f>
        <v>0</v>
      </c>
      <c r="O210" s="1050">
        <f ca="1">+IFERROR(INDEX('Taxes and TIF'!$AS$11:$AS$45,MATCH('Phase 3 Pro Forma'!O$7,'Taxes and TIF'!$AH$11:$AH$45,0)),0)*'Loan Sizing'!$M$25*'Phase 3 Pro Forma'!O198</f>
        <v>0</v>
      </c>
      <c r="P210" s="1050">
        <f ca="1">+IFERROR(INDEX('Taxes and TIF'!$AS$11:$AS$45,MATCH('Phase 3 Pro Forma'!P$7,'Taxes and TIF'!$AH$11:$AH$45,0)),0)*'Loan Sizing'!$M$25*'Phase 3 Pro Forma'!P198</f>
        <v>0</v>
      </c>
      <c r="Q210" s="1050">
        <f ca="1">+IFERROR(INDEX('Taxes and TIF'!$AS$11:$AS$45,MATCH('Phase 3 Pro Forma'!Q$7,'Taxes and TIF'!$AH$11:$AH$45,0)),0)*'Loan Sizing'!$M$25*'Phase 3 Pro Forma'!Q198</f>
        <v>0</v>
      </c>
      <c r="R210" s="1050">
        <f ca="1">+IFERROR(INDEX('Taxes and TIF'!$AS$11:$AS$45,MATCH('Phase 3 Pro Forma'!R$7,'Taxes and TIF'!$AH$11:$AH$45,0)),0)*'Loan Sizing'!$M$25*'Phase 3 Pro Forma'!R198</f>
        <v>0</v>
      </c>
      <c r="S210" s="1050">
        <f ca="1">+IFERROR(INDEX('Taxes and TIF'!$AS$11:$AS$45,MATCH('Phase 3 Pro Forma'!S$7,'Taxes and TIF'!$AH$11:$AH$45,0)),0)*'Loan Sizing'!$M$25*'Phase 3 Pro Forma'!S198</f>
        <v>0</v>
      </c>
      <c r="T210" s="1050">
        <f ca="1">+IFERROR(INDEX('Taxes and TIF'!$AS$11:$AS$45,MATCH('Phase 3 Pro Forma'!T$7,'Taxes and TIF'!$AH$11:$AH$45,0)),0)*'Loan Sizing'!$M$25*'Phase 3 Pro Forma'!T198</f>
        <v>0</v>
      </c>
      <c r="U210" s="1050">
        <f ca="1">+IFERROR(INDEX('Taxes and TIF'!$AS$11:$AS$45,MATCH('Phase 3 Pro Forma'!U$7,'Taxes and TIF'!$AH$11:$AH$45,0)),0)*'Loan Sizing'!$M$25*'Phase 3 Pro Forma'!U198</f>
        <v>0</v>
      </c>
      <c r="V210" s="1050">
        <f ca="1">+IFERROR(INDEX('Taxes and TIF'!$AS$11:$AS$45,MATCH('Phase 3 Pro Forma'!V$7,'Taxes and TIF'!$AH$11:$AH$45,0)),0)*'Loan Sizing'!$M$25*'Phase 3 Pro Forma'!V198</f>
        <v>0</v>
      </c>
      <c r="W210" s="1050">
        <f ca="1">+IFERROR(INDEX('Taxes and TIF'!$AS$11:$AS$45,MATCH('Phase 3 Pro Forma'!W$7,'Taxes and TIF'!$AH$11:$AH$45,0)),0)*'Loan Sizing'!$M$25*'Phase 3 Pro Forma'!W198</f>
        <v>0</v>
      </c>
      <c r="X210" s="1050">
        <f ca="1">+IFERROR(INDEX('Taxes and TIF'!$AS$11:$AS$45,MATCH('Phase 3 Pro Forma'!X$7,'Taxes and TIF'!$AH$11:$AH$45,0)),0)*'Loan Sizing'!$M$25*'Phase 3 Pro Forma'!X198</f>
        <v>0</v>
      </c>
      <c r="Y210" s="1050">
        <f ca="1">+IFERROR(INDEX('Taxes and TIF'!$AS$11:$AS$45,MATCH('Phase 3 Pro Forma'!Y$7,'Taxes and TIF'!$AH$11:$AH$45,0)),0)*'Loan Sizing'!$M$25*'Phase 3 Pro Forma'!Y198</f>
        <v>0</v>
      </c>
      <c r="Z210" s="1050">
        <f ca="1">+IFERROR(INDEX('Taxes and TIF'!$AS$11:$AS$45,MATCH('Phase 3 Pro Forma'!Z$7,'Taxes and TIF'!$AH$11:$AH$45,0)),0)*'Loan Sizing'!$M$25*'Phase 3 Pro Forma'!Z198</f>
        <v>0</v>
      </c>
    </row>
    <row r="211" spans="1:26">
      <c r="A211" s="699" t="s">
        <v>881</v>
      </c>
      <c r="B211" s="52" t="s">
        <v>1134</v>
      </c>
      <c r="C211" s="1052"/>
      <c r="D211" s="1052"/>
      <c r="E211" s="1052"/>
      <c r="F211" s="1088">
        <f ca="1">+SUM(F209:F210)</f>
        <v>0</v>
      </c>
      <c r="G211" s="1088">
        <f t="shared" ref="G211:Z211" ca="1" si="63">+SUM(G209:G210)</f>
        <v>0</v>
      </c>
      <c r="H211" s="1088">
        <f t="shared" ca="1" si="63"/>
        <v>0</v>
      </c>
      <c r="I211" s="1088">
        <f t="shared" ca="1" si="63"/>
        <v>0</v>
      </c>
      <c r="J211" s="1088">
        <f t="shared" ca="1" si="63"/>
        <v>0</v>
      </c>
      <c r="K211" s="1088">
        <f t="shared" ca="1" si="63"/>
        <v>0</v>
      </c>
      <c r="L211" s="1088">
        <f t="shared" ca="1" si="63"/>
        <v>0</v>
      </c>
      <c r="M211" s="1088">
        <f t="shared" ca="1" si="63"/>
        <v>0</v>
      </c>
      <c r="N211" s="1088">
        <f t="shared" ca="1" si="63"/>
        <v>0</v>
      </c>
      <c r="O211" s="1088">
        <f t="shared" ca="1" si="63"/>
        <v>0</v>
      </c>
      <c r="P211" s="1088">
        <f t="shared" ca="1" si="63"/>
        <v>0</v>
      </c>
      <c r="Q211" s="1088">
        <f t="shared" ca="1" si="63"/>
        <v>0</v>
      </c>
      <c r="R211" s="1088">
        <f t="shared" ca="1" si="63"/>
        <v>0</v>
      </c>
      <c r="S211" s="1088">
        <f t="shared" ca="1" si="63"/>
        <v>0</v>
      </c>
      <c r="T211" s="1088">
        <f t="shared" ca="1" si="63"/>
        <v>0</v>
      </c>
      <c r="U211" s="1088">
        <f t="shared" ca="1" si="63"/>
        <v>0</v>
      </c>
      <c r="V211" s="1088">
        <f t="shared" ca="1" si="63"/>
        <v>0</v>
      </c>
      <c r="W211" s="1088">
        <f t="shared" ca="1" si="63"/>
        <v>0</v>
      </c>
      <c r="X211" s="1088">
        <f t="shared" ca="1" si="63"/>
        <v>0</v>
      </c>
      <c r="Y211" s="1088">
        <f t="shared" ca="1" si="63"/>
        <v>0</v>
      </c>
      <c r="Z211" s="1088">
        <f t="shared" ca="1" si="63"/>
        <v>0</v>
      </c>
    </row>
    <row r="213" spans="1:26" ht="15.75">
      <c r="A213" s="699"/>
      <c r="B213" s="50" t="s">
        <v>1135</v>
      </c>
      <c r="C213" s="50"/>
      <c r="D213" s="50"/>
      <c r="E213" s="50"/>
      <c r="F213" s="55">
        <f ca="1">+F207-F211</f>
        <v>0</v>
      </c>
      <c r="G213" s="55">
        <f t="shared" ref="G213:Z213" ca="1" si="64">+G207-G211</f>
        <v>0</v>
      </c>
      <c r="H213" s="55">
        <f t="shared" ca="1" si="64"/>
        <v>0</v>
      </c>
      <c r="I213" s="55">
        <f t="shared" ca="1" si="64"/>
        <v>0</v>
      </c>
      <c r="J213" s="55">
        <f t="shared" ca="1" si="64"/>
        <v>0</v>
      </c>
      <c r="K213" s="55">
        <f t="shared" ca="1" si="64"/>
        <v>0</v>
      </c>
      <c r="L213" s="55">
        <f t="shared" ca="1" si="64"/>
        <v>0</v>
      </c>
      <c r="M213" s="55">
        <f t="shared" ca="1" si="64"/>
        <v>0</v>
      </c>
      <c r="N213" s="55">
        <f t="shared" ca="1" si="64"/>
        <v>0</v>
      </c>
      <c r="O213" s="55">
        <f t="shared" ca="1" si="64"/>
        <v>0</v>
      </c>
      <c r="P213" s="55">
        <f t="shared" ca="1" si="64"/>
        <v>0</v>
      </c>
      <c r="Q213" s="55">
        <f t="shared" ca="1" si="64"/>
        <v>0</v>
      </c>
      <c r="R213" s="55">
        <f t="shared" ca="1" si="64"/>
        <v>0</v>
      </c>
      <c r="S213" s="55">
        <f t="shared" ca="1" si="64"/>
        <v>0</v>
      </c>
      <c r="T213" s="55">
        <f t="shared" ca="1" si="64"/>
        <v>0</v>
      </c>
      <c r="U213" s="55">
        <f t="shared" ca="1" si="64"/>
        <v>0</v>
      </c>
      <c r="V213" s="55">
        <f t="shared" ca="1" si="64"/>
        <v>0</v>
      </c>
      <c r="W213" s="55">
        <f t="shared" ca="1" si="64"/>
        <v>0</v>
      </c>
      <c r="X213" s="55">
        <f t="shared" ca="1" si="64"/>
        <v>0</v>
      </c>
      <c r="Y213" s="55">
        <f t="shared" ca="1" si="64"/>
        <v>0</v>
      </c>
      <c r="Z213" s="55">
        <f t="shared" ca="1" si="64"/>
        <v>0</v>
      </c>
    </row>
    <row r="214" spans="1:26">
      <c r="A214" s="699"/>
      <c r="B214" s="51" t="s">
        <v>1136</v>
      </c>
      <c r="C214" s="51"/>
      <c r="D214" s="51"/>
      <c r="E214" s="51"/>
      <c r="F214" s="56" t="str">
        <f ca="1">+IFERROR(F213/F207,"")</f>
        <v/>
      </c>
      <c r="G214" s="56" t="str">
        <f t="shared" ref="G214:Z214" ca="1" si="65">+IFERROR(G213/G207,"")</f>
        <v/>
      </c>
      <c r="H214" s="56" t="str">
        <f t="shared" ca="1" si="65"/>
        <v/>
      </c>
      <c r="I214" s="56" t="str">
        <f t="shared" ca="1" si="65"/>
        <v/>
      </c>
      <c r="J214" s="56" t="str">
        <f t="shared" ca="1" si="65"/>
        <v/>
      </c>
      <c r="K214" s="56" t="str">
        <f t="shared" ca="1" si="65"/>
        <v/>
      </c>
      <c r="L214" s="56" t="str">
        <f t="shared" ca="1" si="65"/>
        <v/>
      </c>
      <c r="M214" s="56" t="str">
        <f t="shared" ca="1" si="65"/>
        <v/>
      </c>
      <c r="N214" s="56" t="str">
        <f t="shared" ca="1" si="65"/>
        <v/>
      </c>
      <c r="O214" s="56" t="str">
        <f t="shared" ca="1" si="65"/>
        <v/>
      </c>
      <c r="P214" s="56" t="str">
        <f t="shared" ca="1" si="65"/>
        <v/>
      </c>
      <c r="Q214" s="56" t="str">
        <f t="shared" ca="1" si="65"/>
        <v/>
      </c>
      <c r="R214" s="56" t="str">
        <f t="shared" ca="1" si="65"/>
        <v/>
      </c>
      <c r="S214" s="56" t="str">
        <f t="shared" ca="1" si="65"/>
        <v/>
      </c>
      <c r="T214" s="56" t="str">
        <f t="shared" ca="1" si="65"/>
        <v/>
      </c>
      <c r="U214" s="56" t="str">
        <f t="shared" ca="1" si="65"/>
        <v/>
      </c>
      <c r="V214" s="56" t="str">
        <f t="shared" ca="1" si="65"/>
        <v/>
      </c>
      <c r="W214" s="56" t="str">
        <f t="shared" ca="1" si="65"/>
        <v/>
      </c>
      <c r="X214" s="56" t="str">
        <f t="shared" ca="1" si="65"/>
        <v/>
      </c>
      <c r="Y214" s="56" t="str">
        <f t="shared" ca="1" si="65"/>
        <v/>
      </c>
      <c r="Z214" s="56" t="str">
        <f t="shared" ca="1" si="65"/>
        <v/>
      </c>
    </row>
    <row r="215" spans="1:26">
      <c r="A215" s="699"/>
      <c r="B215" s="51" t="s">
        <v>1064</v>
      </c>
      <c r="C215" s="51"/>
      <c r="D215" s="51"/>
      <c r="E215" s="51"/>
      <c r="F215" s="57">
        <v>0</v>
      </c>
      <c r="G215" s="57">
        <v>0</v>
      </c>
      <c r="H215" s="57">
        <v>0</v>
      </c>
      <c r="I215" s="57">
        <v>0</v>
      </c>
      <c r="J215" s="57">
        <v>0</v>
      </c>
      <c r="K215" s="57">
        <v>0</v>
      </c>
      <c r="L215" s="57">
        <v>0</v>
      </c>
      <c r="M215" s="57">
        <v>0</v>
      </c>
      <c r="N215" s="57">
        <v>0</v>
      </c>
      <c r="O215" s="57">
        <v>0</v>
      </c>
      <c r="P215" s="57">
        <v>0</v>
      </c>
      <c r="Q215" s="57">
        <v>0</v>
      </c>
      <c r="R215" s="57">
        <v>0</v>
      </c>
      <c r="S215" s="57">
        <v>0</v>
      </c>
      <c r="T215" s="57">
        <v>0</v>
      </c>
      <c r="U215" s="57">
        <v>0</v>
      </c>
      <c r="V215" s="57">
        <v>0</v>
      </c>
      <c r="W215" s="57">
        <v>0</v>
      </c>
      <c r="X215" s="57">
        <v>0</v>
      </c>
      <c r="Y215" s="57">
        <v>0</v>
      </c>
      <c r="Z215" s="57">
        <v>0</v>
      </c>
    </row>
    <row r="217" spans="1:26" ht="15.75">
      <c r="A217" s="699"/>
      <c r="B217" s="53" t="s">
        <v>299</v>
      </c>
      <c r="C217" s="699"/>
      <c r="D217" s="699"/>
      <c r="E217" s="699"/>
      <c r="F217" s="54">
        <f>+Assumptions!$H$27</f>
        <v>47118</v>
      </c>
      <c r="G217" s="54">
        <f>+EOMONTH(F217,12)</f>
        <v>47483</v>
      </c>
      <c r="H217" s="54">
        <f t="shared" ref="H217:Z217" si="66">+EOMONTH(G217,12)</f>
        <v>47848</v>
      </c>
      <c r="I217" s="54">
        <f t="shared" si="66"/>
        <v>48213</v>
      </c>
      <c r="J217" s="54">
        <f t="shared" si="66"/>
        <v>48579</v>
      </c>
      <c r="K217" s="54">
        <f t="shared" si="66"/>
        <v>48944</v>
      </c>
      <c r="L217" s="54">
        <f t="shared" si="66"/>
        <v>49309</v>
      </c>
      <c r="M217" s="54">
        <f t="shared" si="66"/>
        <v>49674</v>
      </c>
      <c r="N217" s="54">
        <f t="shared" si="66"/>
        <v>50040</v>
      </c>
      <c r="O217" s="54">
        <f t="shared" si="66"/>
        <v>50405</v>
      </c>
      <c r="P217" s="54">
        <f t="shared" si="66"/>
        <v>50770</v>
      </c>
      <c r="Q217" s="54">
        <f t="shared" si="66"/>
        <v>51135</v>
      </c>
      <c r="R217" s="54">
        <f t="shared" si="66"/>
        <v>51501</v>
      </c>
      <c r="S217" s="54">
        <f t="shared" si="66"/>
        <v>51866</v>
      </c>
      <c r="T217" s="54">
        <f t="shared" si="66"/>
        <v>52231</v>
      </c>
      <c r="U217" s="54">
        <f t="shared" si="66"/>
        <v>52596</v>
      </c>
      <c r="V217" s="54">
        <f t="shared" si="66"/>
        <v>52962</v>
      </c>
      <c r="W217" s="54">
        <f t="shared" si="66"/>
        <v>53327</v>
      </c>
      <c r="X217" s="54">
        <f t="shared" si="66"/>
        <v>53692</v>
      </c>
      <c r="Y217" s="54">
        <f t="shared" si="66"/>
        <v>54057</v>
      </c>
      <c r="Z217" s="54">
        <f t="shared" si="66"/>
        <v>54423</v>
      </c>
    </row>
    <row r="218" spans="1:26">
      <c r="A218" s="699"/>
      <c r="B218" s="699" t="s">
        <v>1138</v>
      </c>
      <c r="C218" s="699"/>
      <c r="D218" s="699"/>
      <c r="E218" s="1050"/>
      <c r="F218" s="1050">
        <f>+IF(AND(F217&gt;=Assumptions!$H$31,F217&lt;Assumptions!$H$33),Assumptions!$H$111/ROUNDUP((Assumptions!$H$32/12),0),)</f>
        <v>0</v>
      </c>
      <c r="G218" s="1050">
        <f>+IF(AND(G217&gt;=Assumptions!$H$31,G217&lt;Assumptions!$H$33),Assumptions!$H$111/ROUNDUP((Assumptions!$H$32/12),0),)</f>
        <v>0</v>
      </c>
      <c r="H218" s="1050">
        <f>+IF(AND(H217&gt;=Assumptions!$H$31,H217&lt;Assumptions!$H$33),Assumptions!$H$111/ROUNDUP((Assumptions!$H$32/12),0),)</f>
        <v>0</v>
      </c>
      <c r="I218" s="1050">
        <f>+IF(AND(I217&gt;=Assumptions!$H$31,I217&lt;Assumptions!$H$33),Assumptions!$H$111/ROUNDUP((Assumptions!$H$32/12),0),)</f>
        <v>4421.25</v>
      </c>
      <c r="J218" s="1050">
        <f>+IF(AND(J217&gt;=Assumptions!$H$31,J217&lt;Assumptions!$H$33),Assumptions!$H$111/ROUNDUP((Assumptions!$H$32/12),0),)</f>
        <v>4421.25</v>
      </c>
      <c r="K218" s="1050">
        <f>+IF(AND(K217&gt;=Assumptions!$H$31,K217&lt;Assumptions!$H$33),Assumptions!$H$111/ROUNDUP((Assumptions!$H$32/12),0),)</f>
        <v>0</v>
      </c>
      <c r="L218" s="1050">
        <f>+IF(AND(L217&gt;=Assumptions!$H$31,L217&lt;Assumptions!$H$33),Assumptions!$H$111/ROUNDUP((Assumptions!$H$32/12),0),)</f>
        <v>0</v>
      </c>
      <c r="M218" s="1050">
        <f>+IF(AND(M217&gt;=Assumptions!$H$31,M217&lt;Assumptions!$H$33),Assumptions!$H$111/ROUNDUP((Assumptions!$H$32/12),0),)</f>
        <v>0</v>
      </c>
      <c r="N218" s="1050">
        <f>+IF(AND(N217&gt;=Assumptions!$H$31,N217&lt;Assumptions!$H$33),Assumptions!$H$111/ROUNDUP((Assumptions!$H$32/12),0),)</f>
        <v>0</v>
      </c>
      <c r="O218" s="1050">
        <f>+IF(AND(O217&gt;=Assumptions!$H$31,O217&lt;Assumptions!$H$33),Assumptions!$H$111/ROUNDUP((Assumptions!$H$32/12),0),)</f>
        <v>0</v>
      </c>
      <c r="P218" s="1050">
        <f>+IF(AND(P217&gt;=Assumptions!$H$31,P217&lt;Assumptions!$H$33),Assumptions!$H$111/ROUNDUP((Assumptions!$H$32/12),0),)</f>
        <v>0</v>
      </c>
      <c r="Q218" s="1050">
        <f>+IF(AND(Q217&gt;=Assumptions!$H$31,Q217&lt;Assumptions!$H$33),Assumptions!$H$111/ROUNDUP((Assumptions!$H$32/12),0),)</f>
        <v>0</v>
      </c>
      <c r="R218" s="1050">
        <f>+IF(AND(R217&gt;=Assumptions!$H$31,R217&lt;Assumptions!$H$33),Assumptions!$H$111/ROUNDUP((Assumptions!$H$32/12),0),)</f>
        <v>0</v>
      </c>
      <c r="S218" s="1050">
        <f>+IF(AND(S217&gt;=Assumptions!$H$31,S217&lt;Assumptions!$H$33),Assumptions!$H$111/ROUNDUP((Assumptions!$H$32/12),0),)</f>
        <v>0</v>
      </c>
      <c r="T218" s="1050">
        <f>+IF(AND(T217&gt;=Assumptions!$H$31,T217&lt;Assumptions!$H$33),Assumptions!$H$111/ROUNDUP((Assumptions!$H$32/12),0),)</f>
        <v>0</v>
      </c>
      <c r="U218" s="1050">
        <f>+IF(AND(U217&gt;=Assumptions!$H$31,U217&lt;Assumptions!$H$33),Assumptions!$H$111/ROUNDUP((Assumptions!$H$32/12),0),)</f>
        <v>0</v>
      </c>
      <c r="V218" s="1050">
        <f>+IF(AND(V217&gt;=Assumptions!$H$31,V217&lt;Assumptions!$H$33),Assumptions!$H$111/ROUNDUP((Assumptions!$H$32/12),0),)</f>
        <v>0</v>
      </c>
      <c r="W218" s="1050">
        <f>+IF(AND(W217&gt;=Assumptions!$H$31,W217&lt;Assumptions!$H$33),Assumptions!$H$111/ROUNDUP((Assumptions!$H$32/12),0),)</f>
        <v>0</v>
      </c>
      <c r="X218" s="1050">
        <f>+IF(AND(X217&gt;=Assumptions!$H$31,X217&lt;Assumptions!$H$33),Assumptions!$H$111/ROUNDUP((Assumptions!$H$32/12),0),)</f>
        <v>0</v>
      </c>
      <c r="Y218" s="1050">
        <f>+IF(AND(Y217&gt;=Assumptions!$H$31,Y217&lt;Assumptions!$H$33),Assumptions!$H$111/ROUNDUP((Assumptions!$H$32/12),0),)</f>
        <v>0</v>
      </c>
      <c r="Z218" s="1050">
        <f>+IF(AND(Z217&gt;=Assumptions!$H$31,Z217&lt;Assumptions!$H$33),Assumptions!$H$111/ROUNDUP((Assumptions!$H$32/12),0),)</f>
        <v>0</v>
      </c>
    </row>
    <row r="219" spans="1:26">
      <c r="A219" s="699"/>
      <c r="B219" s="699" t="s">
        <v>1121</v>
      </c>
      <c r="C219" s="699"/>
      <c r="D219" s="699"/>
      <c r="E219" s="1050">
        <v>0</v>
      </c>
      <c r="F219" s="1050">
        <f>+E219+F218</f>
        <v>0</v>
      </c>
      <c r="G219" s="1050">
        <f t="shared" ref="G219:Z219" si="67">+F219+G218</f>
        <v>0</v>
      </c>
      <c r="H219" s="1050">
        <f t="shared" si="67"/>
        <v>0</v>
      </c>
      <c r="I219" s="1050">
        <f t="shared" si="67"/>
        <v>4421.25</v>
      </c>
      <c r="J219" s="1050">
        <f t="shared" si="67"/>
        <v>8842.5</v>
      </c>
      <c r="K219" s="1050">
        <f t="shared" si="67"/>
        <v>8842.5</v>
      </c>
      <c r="L219" s="1050">
        <f t="shared" si="67"/>
        <v>8842.5</v>
      </c>
      <c r="M219" s="1050">
        <f t="shared" si="67"/>
        <v>8842.5</v>
      </c>
      <c r="N219" s="1050">
        <f t="shared" si="67"/>
        <v>8842.5</v>
      </c>
      <c r="O219" s="1050">
        <f t="shared" si="67"/>
        <v>8842.5</v>
      </c>
      <c r="P219" s="1050">
        <f t="shared" si="67"/>
        <v>8842.5</v>
      </c>
      <c r="Q219" s="1050">
        <f t="shared" si="67"/>
        <v>8842.5</v>
      </c>
      <c r="R219" s="1050">
        <f t="shared" si="67"/>
        <v>8842.5</v>
      </c>
      <c r="S219" s="1050">
        <f t="shared" si="67"/>
        <v>8842.5</v>
      </c>
      <c r="T219" s="1050">
        <f t="shared" si="67"/>
        <v>8842.5</v>
      </c>
      <c r="U219" s="1050">
        <f t="shared" si="67"/>
        <v>8842.5</v>
      </c>
      <c r="V219" s="1050">
        <f t="shared" si="67"/>
        <v>8842.5</v>
      </c>
      <c r="W219" s="1050">
        <f t="shared" si="67"/>
        <v>8842.5</v>
      </c>
      <c r="X219" s="1050">
        <f t="shared" si="67"/>
        <v>8842.5</v>
      </c>
      <c r="Y219" s="1050">
        <f t="shared" si="67"/>
        <v>8842.5</v>
      </c>
      <c r="Z219" s="1050">
        <f t="shared" si="67"/>
        <v>8842.5</v>
      </c>
    </row>
    <row r="220" spans="1:26">
      <c r="A220" s="699"/>
      <c r="B220" s="699" t="s">
        <v>1125</v>
      </c>
      <c r="C220" s="699"/>
      <c r="D220" s="699"/>
      <c r="E220" s="699"/>
      <c r="F220" s="1074">
        <f>+IFERROR(F219/SUM($F$218:$Z$218),0)</f>
        <v>0</v>
      </c>
      <c r="G220" s="1074">
        <f t="shared" ref="G220:Z220" si="68">+IFERROR(G219/SUM($F$218:$Z$218),0)</f>
        <v>0</v>
      </c>
      <c r="H220" s="1074">
        <f t="shared" si="68"/>
        <v>0</v>
      </c>
      <c r="I220" s="1074">
        <f t="shared" si="68"/>
        <v>0.5</v>
      </c>
      <c r="J220" s="1074">
        <f t="shared" si="68"/>
        <v>1</v>
      </c>
      <c r="K220" s="1074">
        <f t="shared" si="68"/>
        <v>1</v>
      </c>
      <c r="L220" s="1074">
        <f t="shared" si="68"/>
        <v>1</v>
      </c>
      <c r="M220" s="1074">
        <f t="shared" si="68"/>
        <v>1</v>
      </c>
      <c r="N220" s="1074">
        <f t="shared" si="68"/>
        <v>1</v>
      </c>
      <c r="O220" s="1074">
        <f t="shared" si="68"/>
        <v>1</v>
      </c>
      <c r="P220" s="1074">
        <f t="shared" si="68"/>
        <v>1</v>
      </c>
      <c r="Q220" s="1074">
        <f t="shared" si="68"/>
        <v>1</v>
      </c>
      <c r="R220" s="1074">
        <f t="shared" si="68"/>
        <v>1</v>
      </c>
      <c r="S220" s="1074">
        <f t="shared" si="68"/>
        <v>1</v>
      </c>
      <c r="T220" s="1074">
        <f t="shared" si="68"/>
        <v>1</v>
      </c>
      <c r="U220" s="1074">
        <f t="shared" si="68"/>
        <v>1</v>
      </c>
      <c r="V220" s="1074">
        <f t="shared" si="68"/>
        <v>1</v>
      </c>
      <c r="W220" s="1074">
        <f t="shared" si="68"/>
        <v>1</v>
      </c>
      <c r="X220" s="1074">
        <f t="shared" si="68"/>
        <v>1</v>
      </c>
      <c r="Y220" s="1074">
        <f t="shared" si="68"/>
        <v>1</v>
      </c>
      <c r="Z220" s="1074">
        <f t="shared" si="68"/>
        <v>1</v>
      </c>
    </row>
    <row r="222" spans="1:26">
      <c r="A222" s="699"/>
      <c r="B222" s="699" t="s">
        <v>1126</v>
      </c>
      <c r="C222" s="699"/>
      <c r="D222" s="699"/>
      <c r="E222" s="699"/>
      <c r="F222" s="1074">
        <v>1</v>
      </c>
      <c r="G222" s="1074">
        <f>+IF(MOD(G$2,Assumptions!$P$76)=(Assumptions!$P$76-1),'Phase 3 Pro Forma'!F222*(1+Assumptions!$P$75),'Phase 3 Pro Forma'!F222)</f>
        <v>1</v>
      </c>
      <c r="H222" s="1074">
        <f>+IF(MOD(H$2,Assumptions!$P$76)=(Assumptions!$P$76-1),'Phase 3 Pro Forma'!G222*(1+Assumptions!$P$75),'Phase 3 Pro Forma'!G222)</f>
        <v>1</v>
      </c>
      <c r="I222" s="1074">
        <f>+IF(MOD(I$2,Assumptions!$P$76)=(Assumptions!$P$76-1),'Phase 3 Pro Forma'!H222*(1+Assumptions!$P$75),'Phase 3 Pro Forma'!H222)</f>
        <v>1</v>
      </c>
      <c r="J222" s="1074">
        <f>+IF(MOD(J$2,Assumptions!$P$76)=(Assumptions!$P$76-1),'Phase 3 Pro Forma'!I222*(1+Assumptions!$P$75),'Phase 3 Pro Forma'!I222)</f>
        <v>1</v>
      </c>
      <c r="K222" s="1074">
        <f>+IF(MOD(K$2,Assumptions!$P$76)=(Assumptions!$P$76-1),'Phase 3 Pro Forma'!J222*(1+Assumptions!$P$75),'Phase 3 Pro Forma'!J222)</f>
        <v>1</v>
      </c>
      <c r="L222" s="1074">
        <f>+IF(MOD(L$2,Assumptions!$P$76)=(Assumptions!$P$76-1),'Phase 3 Pro Forma'!K222*(1+Assumptions!$P$75),'Phase 3 Pro Forma'!K222)</f>
        <v>1.1499999999999999</v>
      </c>
      <c r="M222" s="1074">
        <f>+IF(MOD(M$2,Assumptions!$P$76)=(Assumptions!$P$76-1),'Phase 3 Pro Forma'!L222*(1+Assumptions!$P$75),'Phase 3 Pro Forma'!L222)</f>
        <v>1.1499999999999999</v>
      </c>
      <c r="N222" s="1074">
        <f>+IF(MOD(N$2,Assumptions!$P$76)=(Assumptions!$P$76-1),'Phase 3 Pro Forma'!M222*(1+Assumptions!$P$75),'Phase 3 Pro Forma'!M222)</f>
        <v>1.1499999999999999</v>
      </c>
      <c r="O222" s="1074">
        <f>+IF(MOD(O$2,Assumptions!$P$76)=(Assumptions!$P$76-1),'Phase 3 Pro Forma'!N222*(1+Assumptions!$P$75),'Phase 3 Pro Forma'!N222)</f>
        <v>1.1499999999999999</v>
      </c>
      <c r="P222" s="1074">
        <f>+IF(MOD(P$2,Assumptions!$P$76)=(Assumptions!$P$76-1),'Phase 3 Pro Forma'!O222*(1+Assumptions!$P$75),'Phase 3 Pro Forma'!O222)</f>
        <v>1.1499999999999999</v>
      </c>
      <c r="Q222" s="1074">
        <f>+IF(MOD(Q$2,Assumptions!$P$76)=(Assumptions!$P$76-1),'Phase 3 Pro Forma'!P222*(1+Assumptions!$P$75),'Phase 3 Pro Forma'!P222)</f>
        <v>1.3224999999999998</v>
      </c>
      <c r="R222" s="1074">
        <f>+IF(MOD(R$2,Assumptions!$P$76)=(Assumptions!$P$76-1),'Phase 3 Pro Forma'!Q222*(1+Assumptions!$P$75),'Phase 3 Pro Forma'!Q222)</f>
        <v>1.3224999999999998</v>
      </c>
      <c r="S222" s="1074">
        <f>+IF(MOD(S$2,Assumptions!$P$76)=(Assumptions!$P$76-1),'Phase 3 Pro Forma'!R222*(1+Assumptions!$P$75),'Phase 3 Pro Forma'!R222)</f>
        <v>1.3224999999999998</v>
      </c>
      <c r="T222" s="1074">
        <f>+IF(MOD(T$2,Assumptions!$P$76)=(Assumptions!$P$76-1),'Phase 3 Pro Forma'!S222*(1+Assumptions!$P$75),'Phase 3 Pro Forma'!S222)</f>
        <v>1.3224999999999998</v>
      </c>
      <c r="U222" s="1074">
        <f>+IF(MOD(U$2,Assumptions!$P$76)=(Assumptions!$P$76-1),'Phase 3 Pro Forma'!T222*(1+Assumptions!$P$75),'Phase 3 Pro Forma'!T222)</f>
        <v>1.3224999999999998</v>
      </c>
      <c r="V222" s="1074">
        <f>+IF(MOD(V$2,Assumptions!$P$76)=(Assumptions!$P$76-1),'Phase 3 Pro Forma'!U222*(1+Assumptions!$P$75),'Phase 3 Pro Forma'!U222)</f>
        <v>1.5208749999999995</v>
      </c>
      <c r="W222" s="1074">
        <f>+IF(MOD(W$2,Assumptions!$P$76)=(Assumptions!$P$76-1),'Phase 3 Pro Forma'!V222*(1+Assumptions!$P$75),'Phase 3 Pro Forma'!V222)</f>
        <v>1.5208749999999995</v>
      </c>
      <c r="X222" s="1074">
        <f>+IF(MOD(X$2,Assumptions!$P$76)=(Assumptions!$P$76-1),'Phase 3 Pro Forma'!W222*(1+Assumptions!$P$75),'Phase 3 Pro Forma'!W222)</f>
        <v>1.5208749999999995</v>
      </c>
      <c r="Y222" s="1074">
        <f>+IF(MOD(Y$2,Assumptions!$P$76)=(Assumptions!$P$76-1),'Phase 3 Pro Forma'!X222*(1+Assumptions!$P$75),'Phase 3 Pro Forma'!X222)</f>
        <v>1.5208749999999995</v>
      </c>
      <c r="Z222" s="1074">
        <f>+IF(MOD(Z$2,Assumptions!$P$76)=(Assumptions!$P$76-1),'Phase 3 Pro Forma'!Y222*(1+Assumptions!$P$75),'Phase 3 Pro Forma'!Y222)</f>
        <v>1.5208749999999995</v>
      </c>
    </row>
    <row r="223" spans="1:26">
      <c r="A223" s="699"/>
      <c r="B223" s="699" t="s">
        <v>1127</v>
      </c>
      <c r="C223" s="699"/>
      <c r="D223" s="699"/>
      <c r="E223" s="699"/>
      <c r="F223" s="1074">
        <v>1</v>
      </c>
      <c r="G223" s="1074">
        <f>+F223*(1+Assumptions!$P$84)</f>
        <v>1.03</v>
      </c>
      <c r="H223" s="1074">
        <f>+G223*(1+Assumptions!$P$84)</f>
        <v>1.0609</v>
      </c>
      <c r="I223" s="1074">
        <f>+H223*(1+Assumptions!$P$84)</f>
        <v>1.092727</v>
      </c>
      <c r="J223" s="1074">
        <f>+I223*(1+Assumptions!$P$84)</f>
        <v>1.1255088100000001</v>
      </c>
      <c r="K223" s="1074">
        <f>+J223*(1+Assumptions!$P$84)</f>
        <v>1.1592740743000001</v>
      </c>
      <c r="L223" s="1074">
        <f>+K223*(1+Assumptions!$P$84)</f>
        <v>1.1940522965290001</v>
      </c>
      <c r="M223" s="1074">
        <f>+L223*(1+Assumptions!$P$84)</f>
        <v>1.2298738654248702</v>
      </c>
      <c r="N223" s="1074">
        <f>+M223*(1+Assumptions!$P$84)</f>
        <v>1.2667700813876164</v>
      </c>
      <c r="O223" s="1074">
        <f>+N223*(1+Assumptions!$P$84)</f>
        <v>1.3047731838292449</v>
      </c>
      <c r="P223" s="1074">
        <f>+O223*(1+Assumptions!$P$84)</f>
        <v>1.3439163793441222</v>
      </c>
      <c r="Q223" s="1074">
        <f>+P223*(1+Assumptions!$P$84)</f>
        <v>1.3842338707244459</v>
      </c>
      <c r="R223" s="1074">
        <f>+Q223*(1+Assumptions!$P$84)</f>
        <v>1.4257608868461793</v>
      </c>
      <c r="S223" s="1074">
        <f>+R223*(1+Assumptions!$P$84)</f>
        <v>1.4685337134515648</v>
      </c>
      <c r="T223" s="1074">
        <f>+S223*(1+Assumptions!$P$84)</f>
        <v>1.5125897248551119</v>
      </c>
      <c r="U223" s="1074">
        <f>+T223*(1+Assumptions!$P$84)</f>
        <v>1.5579674166007653</v>
      </c>
      <c r="V223" s="1074">
        <f>+U223*(1+Assumptions!$P$84)</f>
        <v>1.6047064390987884</v>
      </c>
      <c r="W223" s="1074">
        <f>+V223*(1+Assumptions!$P$84)</f>
        <v>1.652847632271752</v>
      </c>
      <c r="X223" s="1074">
        <f>+W223*(1+Assumptions!$P$84)</f>
        <v>1.7024330612399046</v>
      </c>
      <c r="Y223" s="1074">
        <f>+X223*(1+Assumptions!$P$84)</f>
        <v>1.7535060530771018</v>
      </c>
      <c r="Z223" s="1074">
        <f>+Y223*(1+Assumptions!$P$84)</f>
        <v>1.806111234669415</v>
      </c>
    </row>
    <row r="225" spans="1:29" ht="15.75">
      <c r="A225" s="699"/>
      <c r="B225" s="699" t="s">
        <v>1128</v>
      </c>
      <c r="C225" s="699"/>
      <c r="D225" s="699"/>
      <c r="E225" s="699"/>
      <c r="F225" s="1028">
        <f>+F220*Assumptions!$H$110*F222</f>
        <v>0</v>
      </c>
      <c r="G225" s="1028">
        <f>+G220*Assumptions!$H$110*G222</f>
        <v>0</v>
      </c>
      <c r="H225" s="1028">
        <f>+H220*Assumptions!$H$110*H222</f>
        <v>0</v>
      </c>
      <c r="I225" s="1028">
        <f>+I220*Assumptions!$H$110*I222</f>
        <v>386297.17733936146</v>
      </c>
      <c r="J225" s="1028">
        <f>+J220*Assumptions!$H$110*J222</f>
        <v>772594.35467872291</v>
      </c>
      <c r="K225" s="1028">
        <f>+K220*Assumptions!$H$110*K222</f>
        <v>772594.35467872291</v>
      </c>
      <c r="L225" s="1028">
        <f>+L220*Assumptions!$H$110*L222</f>
        <v>888483.50788053125</v>
      </c>
      <c r="M225" s="1028">
        <f>+M220*Assumptions!$H$110*M222</f>
        <v>888483.50788053125</v>
      </c>
      <c r="N225" s="1028">
        <f>+N220*Assumptions!$H$110*N222</f>
        <v>888483.50788053125</v>
      </c>
      <c r="O225" s="1028">
        <f>+O220*Assumptions!$H$110*O222</f>
        <v>888483.50788053125</v>
      </c>
      <c r="P225" s="1028">
        <f>+P220*Assumptions!$H$110*P222</f>
        <v>888483.50788053125</v>
      </c>
      <c r="Q225" s="1028">
        <f>+Q220*Assumptions!$H$110*Q222</f>
        <v>1021756.0340626109</v>
      </c>
      <c r="R225" s="1028">
        <f>+R220*Assumptions!$H$110*R222</f>
        <v>1021756.0340626109</v>
      </c>
      <c r="S225" s="1028">
        <f>+S220*Assumptions!$H$110*S222</f>
        <v>1021756.0340626109</v>
      </c>
      <c r="T225" s="1028">
        <f>+T220*Assumptions!$H$110*T222</f>
        <v>1021756.0340626109</v>
      </c>
      <c r="U225" s="1028">
        <f>+U220*Assumptions!$H$110*U222</f>
        <v>1021756.0340626109</v>
      </c>
      <c r="V225" s="1028">
        <f>+V220*Assumptions!$H$110*V222</f>
        <v>1175019.4391720023</v>
      </c>
      <c r="W225" s="1028">
        <f>+W220*Assumptions!$H$110*W222</f>
        <v>1175019.4391720023</v>
      </c>
      <c r="X225" s="1028">
        <f>+X220*Assumptions!$H$110*X222</f>
        <v>1175019.4391720023</v>
      </c>
      <c r="Y225" s="1028">
        <f>+Y220*Assumptions!$H$110*Y222</f>
        <v>1175019.4391720023</v>
      </c>
      <c r="Z225" s="1028">
        <f>+Z220*Assumptions!$H$110*Z222</f>
        <v>1175019.4391720023</v>
      </c>
      <c r="AA225" s="699"/>
      <c r="AB225" s="699"/>
      <c r="AC225" s="640">
        <f>0.06*SUM(I225:R225)</f>
        <v>505044.92965348117</v>
      </c>
    </row>
    <row r="226" spans="1:29">
      <c r="A226" s="699"/>
      <c r="B226" s="699" t="s">
        <v>1130</v>
      </c>
      <c r="C226" s="699"/>
      <c r="D226" s="699"/>
      <c r="E226" s="699"/>
      <c r="F226" s="1085">
        <f>-F225*Assumptions!$P$64</f>
        <v>0</v>
      </c>
      <c r="G226" s="1085">
        <f>-G225*Assumptions!$P$60</f>
        <v>0</v>
      </c>
      <c r="H226" s="1085">
        <f>-H225*Assumptions!$P$60</f>
        <v>0</v>
      </c>
      <c r="I226" s="1085">
        <f>-I225*Assumptions!$P$60</f>
        <v>-27040.802413755304</v>
      </c>
      <c r="J226" s="1085">
        <f>-J225*Assumptions!$P$60</f>
        <v>-54081.604827510608</v>
      </c>
      <c r="K226" s="1085">
        <f>-K225*Assumptions!$P$60</f>
        <v>-54081.604827510608</v>
      </c>
      <c r="L226" s="1085">
        <f>-L225*Assumptions!$P$60</f>
        <v>-62193.845551637191</v>
      </c>
      <c r="M226" s="1085">
        <f>-M225*Assumptions!$P$60</f>
        <v>-62193.845551637191</v>
      </c>
      <c r="N226" s="1085">
        <f>-N225*Assumptions!$P$60</f>
        <v>-62193.845551637191</v>
      </c>
      <c r="O226" s="1085">
        <f>-O225*Assumptions!$P$60</f>
        <v>-62193.845551637191</v>
      </c>
      <c r="P226" s="1085">
        <f>-P225*Assumptions!$P$60</f>
        <v>-62193.845551637191</v>
      </c>
      <c r="Q226" s="1085">
        <f>-Q225*Assumptions!$P$60</f>
        <v>-71522.922384382779</v>
      </c>
      <c r="R226" s="1085">
        <f>-R225*Assumptions!$P$60</f>
        <v>-71522.922384382779</v>
      </c>
      <c r="S226" s="1085">
        <f>-S225*Assumptions!$P$60</f>
        <v>-71522.922384382779</v>
      </c>
      <c r="T226" s="1085">
        <f>-T225*Assumptions!$P$60</f>
        <v>-71522.922384382779</v>
      </c>
      <c r="U226" s="1085">
        <f>-U225*Assumptions!$P$60</f>
        <v>-71522.922384382779</v>
      </c>
      <c r="V226" s="1085">
        <f>-V225*Assumptions!$P$60</f>
        <v>-82251.360742040168</v>
      </c>
      <c r="W226" s="1085">
        <f>-W225*Assumptions!$P$60</f>
        <v>-82251.360742040168</v>
      </c>
      <c r="X226" s="1085">
        <f>-X225*Assumptions!$P$60</f>
        <v>-82251.360742040168</v>
      </c>
      <c r="Y226" s="1085">
        <f>-Y225*Assumptions!$P$60</f>
        <v>-82251.360742040168</v>
      </c>
      <c r="Z226" s="1085">
        <f>-Z225*Assumptions!$P$60</f>
        <v>-82251.360742040168</v>
      </c>
      <c r="AA226" s="699"/>
      <c r="AB226" s="699"/>
      <c r="AC226" s="699"/>
    </row>
    <row r="227" spans="1:29">
      <c r="A227" s="699"/>
      <c r="B227" s="699" t="s">
        <v>1139</v>
      </c>
      <c r="C227" s="699"/>
      <c r="D227" s="699"/>
      <c r="E227" s="699"/>
      <c r="F227" s="1085">
        <f ca="1">+F232*Assumptions!$P$93</f>
        <v>0</v>
      </c>
      <c r="G227" s="1085">
        <f ca="1">+G232*Assumptions!$P$93</f>
        <v>0</v>
      </c>
      <c r="H227" s="1085">
        <f ca="1">+H232*Assumptions!$P$93</f>
        <v>0</v>
      </c>
      <c r="I227" s="1085">
        <f ca="1">+I232*Assumptions!$P$93</f>
        <v>134312.85851034228</v>
      </c>
      <c r="J227" s="1085">
        <f ca="1">+J232*Assumptions!$P$93</f>
        <v>276684.48853130511</v>
      </c>
      <c r="K227" s="1085">
        <f ca="1">+K232*Assumptions!$P$93</f>
        <v>281047.43292187079</v>
      </c>
      <c r="L227" s="1085">
        <f ca="1">+L232*Assumptions!$P$93</f>
        <v>285541.26564415335</v>
      </c>
      <c r="M227" s="1085">
        <f ca="1">+M232*Assumptions!$P$93</f>
        <v>294107.50361347798</v>
      </c>
      <c r="N227" s="1085">
        <f ca="1">+N232*Assumptions!$P$93</f>
        <v>298875.01074854768</v>
      </c>
      <c r="O227" s="1085">
        <f ca="1">+O232*Assumptions!$P$93</f>
        <v>303785.54309766938</v>
      </c>
      <c r="P227" s="1085">
        <f ca="1">+P232*Assumptions!$P$93</f>
        <v>312899.10939059948</v>
      </c>
      <c r="Q227" s="1085">
        <f ca="1">+Q232*Assumptions!$P$93</f>
        <v>318108.69315978274</v>
      </c>
      <c r="R227" s="1085">
        <f ca="1">+R232*Assumptions!$P$93</f>
        <v>323474.56444204145</v>
      </c>
      <c r="S227" s="1085">
        <f ca="1">+S232*Assumptions!$P$93</f>
        <v>333178.80137530278</v>
      </c>
      <c r="T227" s="1085">
        <f ca="1">+T232*Assumptions!$P$93</f>
        <v>338871.45421865111</v>
      </c>
      <c r="U227" s="1085">
        <f ca="1">+U232*Assumptions!$P$93</f>
        <v>344734.88664729986</v>
      </c>
      <c r="V227" s="1085">
        <f ca="1">+V232*Assumptions!$P$93</f>
        <v>355076.93324671889</v>
      </c>
      <c r="W227" s="1085">
        <f ca="1">+W232*Assumptions!$P$93</f>
        <v>361297.44871027226</v>
      </c>
      <c r="X227" s="1085">
        <f ca="1">+X232*Assumptions!$P$93</f>
        <v>367704.57963773236</v>
      </c>
      <c r="Y227" s="1085">
        <f ca="1">+Y232*Assumptions!$P$93</f>
        <v>378735.71702686435</v>
      </c>
      <c r="Z227" s="1085">
        <f ca="1">+Z232*Assumptions!$P$93</f>
        <v>385533.04222780676</v>
      </c>
      <c r="AA227" s="699"/>
      <c r="AB227" s="699"/>
      <c r="AC227" s="699"/>
    </row>
    <row r="228" spans="1:29">
      <c r="A228" s="699"/>
      <c r="B228" s="52" t="s">
        <v>1131</v>
      </c>
      <c r="C228" s="1052"/>
      <c r="D228" s="1052"/>
      <c r="E228" s="1052"/>
      <c r="F228" s="1086">
        <f ca="1">SUM(F225:F227)</f>
        <v>0</v>
      </c>
      <c r="G228" s="1086">
        <f t="shared" ref="G228:Z228" ca="1" si="69">SUM(G225:G227)</f>
        <v>0</v>
      </c>
      <c r="H228" s="1086">
        <f t="shared" ca="1" si="69"/>
        <v>0</v>
      </c>
      <c r="I228" s="1086">
        <f t="shared" ca="1" si="69"/>
        <v>493569.23343594838</v>
      </c>
      <c r="J228" s="1086">
        <f t="shared" ca="1" si="69"/>
        <v>995197.23838251736</v>
      </c>
      <c r="K228" s="1086">
        <f t="shared" ca="1" si="69"/>
        <v>999560.18277308298</v>
      </c>
      <c r="L228" s="1086">
        <f t="shared" ca="1" si="69"/>
        <v>1111830.9279730474</v>
      </c>
      <c r="M228" s="1086">
        <f t="shared" ca="1" si="69"/>
        <v>1120397.1659423721</v>
      </c>
      <c r="N228" s="1086">
        <f t="shared" ca="1" si="69"/>
        <v>1125164.6730774418</v>
      </c>
      <c r="O228" s="1086">
        <f t="shared" ca="1" si="69"/>
        <v>1130075.2054265635</v>
      </c>
      <c r="P228" s="1086">
        <f t="shared" ca="1" si="69"/>
        <v>1139188.7717194934</v>
      </c>
      <c r="Q228" s="1086">
        <f t="shared" ca="1" si="69"/>
        <v>1268341.8048380108</v>
      </c>
      <c r="R228" s="1086">
        <f t="shared" ca="1" si="69"/>
        <v>1273707.6761202696</v>
      </c>
      <c r="S228" s="1086">
        <f t="shared" ca="1" si="69"/>
        <v>1283411.913053531</v>
      </c>
      <c r="T228" s="1086">
        <f t="shared" ca="1" si="69"/>
        <v>1289104.5658968792</v>
      </c>
      <c r="U228" s="1086">
        <f t="shared" ca="1" si="69"/>
        <v>1294967.9983255281</v>
      </c>
      <c r="V228" s="1086">
        <f t="shared" ca="1" si="69"/>
        <v>1447845.011676681</v>
      </c>
      <c r="W228" s="1086">
        <f t="shared" ca="1" si="69"/>
        <v>1454065.5271402344</v>
      </c>
      <c r="X228" s="1086">
        <f t="shared" ca="1" si="69"/>
        <v>1460472.6580676944</v>
      </c>
      <c r="Y228" s="1086">
        <f t="shared" ca="1" si="69"/>
        <v>1471503.7954568265</v>
      </c>
      <c r="Z228" s="1086">
        <f t="shared" ca="1" si="69"/>
        <v>1478301.1206577688</v>
      </c>
      <c r="AA228" s="699"/>
      <c r="AB228" s="699"/>
      <c r="AC228" s="699"/>
    </row>
    <row r="229" spans="1:29">
      <c r="A229" s="699"/>
      <c r="B229" s="49"/>
      <c r="C229" s="699"/>
      <c r="D229" s="699"/>
      <c r="E229" s="699"/>
      <c r="F229" s="699"/>
      <c r="G229" s="699"/>
      <c r="H229" s="699"/>
      <c r="I229" s="699"/>
      <c r="J229" s="699"/>
      <c r="K229" s="699"/>
      <c r="L229" s="699"/>
      <c r="M229" s="699"/>
      <c r="N229" s="699"/>
      <c r="O229" s="699"/>
      <c r="P229" s="699"/>
      <c r="Q229" s="699"/>
      <c r="R229" s="699"/>
      <c r="S229" s="699"/>
      <c r="T229" s="699"/>
      <c r="U229" s="699"/>
      <c r="V229" s="699"/>
      <c r="W229" s="699"/>
      <c r="X229" s="699"/>
      <c r="Y229" s="699"/>
      <c r="Z229" s="699"/>
      <c r="AA229" s="699"/>
      <c r="AB229" s="699"/>
      <c r="AC229" s="699"/>
    </row>
    <row r="230" spans="1:29">
      <c r="A230" s="699"/>
      <c r="B230" s="699" t="s">
        <v>1132</v>
      </c>
      <c r="C230" s="699"/>
      <c r="D230" s="699"/>
      <c r="E230" s="699"/>
      <c r="F230" s="1087">
        <f>+F219*Assumptions!$P$106*F223</f>
        <v>0</v>
      </c>
      <c r="G230" s="1087">
        <f>+G219*Assumptions!$P$106*G223</f>
        <v>0</v>
      </c>
      <c r="H230" s="1087">
        <f>+H219*Assumptions!$P$106*H223</f>
        <v>0</v>
      </c>
      <c r="I230" s="1087">
        <f>+I219*Assumptions!$P$106*I223</f>
        <v>78442.006302870592</v>
      </c>
      <c r="J230" s="1087">
        <f>+J219*Assumptions!$P$106*J223</f>
        <v>161590.53298391344</v>
      </c>
      <c r="K230" s="1087">
        <f>+K219*Assumptions!$P$106*K223</f>
        <v>166438.24897343083</v>
      </c>
      <c r="L230" s="1087">
        <f>+L219*Assumptions!$P$106*L223</f>
        <v>171431.39644263376</v>
      </c>
      <c r="M230" s="1087">
        <f>+M219*Assumptions!$P$106*M223</f>
        <v>176574.33833591279</v>
      </c>
      <c r="N230" s="1087">
        <f>+N219*Assumptions!$P$106*N223</f>
        <v>181871.5684859902</v>
      </c>
      <c r="O230" s="1087">
        <f>+O219*Assumptions!$P$106*O223</f>
        <v>187327.71554056989</v>
      </c>
      <c r="P230" s="1087">
        <f>+P219*Assumptions!$P$106*P223</f>
        <v>192947.54700678698</v>
      </c>
      <c r="Q230" s="1087">
        <f>+Q219*Assumptions!$P$106*Q223</f>
        <v>198735.9734169906</v>
      </c>
      <c r="R230" s="1087">
        <f>+R219*Assumptions!$P$106*R223</f>
        <v>204698.05261950032</v>
      </c>
      <c r="S230" s="1087">
        <f>+S219*Assumptions!$P$106*S223</f>
        <v>210838.99419808536</v>
      </c>
      <c r="T230" s="1087">
        <f>+T219*Assumptions!$P$106*T223</f>
        <v>217164.16402402794</v>
      </c>
      <c r="U230" s="1087">
        <f>+U219*Assumptions!$P$106*U223</f>
        <v>223679.08894474877</v>
      </c>
      <c r="V230" s="1087">
        <f>+V219*Assumptions!$P$106*V223</f>
        <v>230389.46161309126</v>
      </c>
      <c r="W230" s="1087">
        <f>+W219*Assumptions!$P$106*W223</f>
        <v>237301.145461484</v>
      </c>
      <c r="X230" s="1087">
        <f>+X219*Assumptions!$P$106*X223</f>
        <v>244420.17982532852</v>
      </c>
      <c r="Y230" s="1087">
        <f>+Y219*Assumptions!$P$106*Y223</f>
        <v>251752.78522008838</v>
      </c>
      <c r="Z230" s="1087">
        <f>+Z219*Assumptions!$P$106*Z223</f>
        <v>259305.36877669106</v>
      </c>
      <c r="AA230" s="699"/>
      <c r="AB230" s="699"/>
      <c r="AC230" s="699"/>
    </row>
    <row r="231" spans="1:29">
      <c r="A231" s="699"/>
      <c r="B231" s="699" t="s">
        <v>1133</v>
      </c>
      <c r="C231" s="699"/>
      <c r="D231" s="699"/>
      <c r="E231" s="699"/>
      <c r="F231" s="1050">
        <f ca="1">+IFERROR(INDEX('Taxes and TIF'!$AS$11:$AS$45,MATCH('Phase 3 Pro Forma'!F$7,'Taxes and TIF'!$AH$11:$AH$45,0)),0)*'Loan Sizing'!$M$26*'Phase 3 Pro Forma'!F220</f>
        <v>0</v>
      </c>
      <c r="G231" s="1050">
        <f ca="1">+IFERROR(INDEX('Taxes and TIF'!$AS$11:$AS$45,MATCH('Phase 3 Pro Forma'!G$7,'Taxes and TIF'!$AH$11:$AH$45,0)),0)*'Loan Sizing'!$M$26*'Phase 3 Pro Forma'!G220</f>
        <v>0</v>
      </c>
      <c r="H231" s="1050">
        <f ca="1">+IFERROR(INDEX('Taxes and TIF'!$AS$11:$AS$45,MATCH('Phase 3 Pro Forma'!H$7,'Taxes and TIF'!$AH$11:$AH$45,0)),0)*'Loan Sizing'!$M$26*'Phase 3 Pro Forma'!H220</f>
        <v>0</v>
      </c>
      <c r="I231" s="1050">
        <f ca="1">+IFERROR(INDEX('Taxes and TIF'!$AS$11:$AS$45,MATCH('Phase 3 Pro Forma'!I$7,'Taxes and TIF'!$AH$11:$AH$45,0)),0)*'Loan Sizing'!$M$26*'Phase 3 Pro Forma'!I220</f>
        <v>70794.503153065249</v>
      </c>
      <c r="J231" s="1050">
        <f ca="1">+IFERROR(INDEX('Taxes and TIF'!$AS$11:$AS$45,MATCH('Phase 3 Pro Forma'!J$7,'Taxes and TIF'!$AH$11:$AH$45,0)),0)*'Loan Sizing'!$M$26*'Phase 3 Pro Forma'!J220</f>
        <v>145836.6764953144</v>
      </c>
      <c r="K231" s="1050">
        <f ca="1">+IFERROR(INDEX('Taxes and TIF'!$AS$11:$AS$45,MATCH('Phase 3 Pro Forma'!K$7,'Taxes and TIF'!$AH$11:$AH$45,0)),0)*'Loan Sizing'!$M$26*'Phase 3 Pro Forma'!K220</f>
        <v>145836.6764953144</v>
      </c>
      <c r="L231" s="1050">
        <f ca="1">+IFERROR(INDEX('Taxes and TIF'!$AS$11:$AS$45,MATCH('Phase 3 Pro Forma'!L$7,'Taxes and TIF'!$AH$11:$AH$45,0)),0)*'Loan Sizing'!$M$26*'Phase 3 Pro Forma'!L220</f>
        <v>145836.6764953144</v>
      </c>
      <c r="M231" s="1050">
        <f ca="1">+IFERROR(INDEX('Taxes and TIF'!$AS$11:$AS$45,MATCH('Phase 3 Pro Forma'!M$7,'Taxes and TIF'!$AH$11:$AH$45,0)),0)*'Loan Sizing'!$M$26*'Phase 3 Pro Forma'!M220</f>
        <v>150211.77679017384</v>
      </c>
      <c r="N231" s="1050">
        <f ca="1">+IFERROR(INDEX('Taxes and TIF'!$AS$11:$AS$45,MATCH('Phase 3 Pro Forma'!N$7,'Taxes and TIF'!$AH$11:$AH$45,0)),0)*'Loan Sizing'!$M$26*'Phase 3 Pro Forma'!N220</f>
        <v>150211.77679017384</v>
      </c>
      <c r="O231" s="1050">
        <f ca="1">+IFERROR(INDEX('Taxes and TIF'!$AS$11:$AS$45,MATCH('Phase 3 Pro Forma'!O$7,'Taxes and TIF'!$AH$11:$AH$45,0)),0)*'Loan Sizing'!$M$26*'Phase 3 Pro Forma'!O220</f>
        <v>150211.77679017384</v>
      </c>
      <c r="P231" s="1050">
        <f ca="1">+IFERROR(INDEX('Taxes and TIF'!$AS$11:$AS$45,MATCH('Phase 3 Pro Forma'!P$7,'Taxes and TIF'!$AH$11:$AH$45,0)),0)*'Loan Sizing'!$M$26*'Phase 3 Pro Forma'!P220</f>
        <v>154718.13009387907</v>
      </c>
      <c r="Q231" s="1050">
        <f ca="1">+IFERROR(INDEX('Taxes and TIF'!$AS$11:$AS$45,MATCH('Phase 3 Pro Forma'!Q$7,'Taxes and TIF'!$AH$11:$AH$45,0)),0)*'Loan Sizing'!$M$26*'Phase 3 Pro Forma'!Q220</f>
        <v>154718.13009387907</v>
      </c>
      <c r="R231" s="1050">
        <f ca="1">+IFERROR(INDEX('Taxes and TIF'!$AS$11:$AS$45,MATCH('Phase 3 Pro Forma'!R$7,'Taxes and TIF'!$AH$11:$AH$45,0)),0)*'Loan Sizing'!$M$26*'Phase 3 Pro Forma'!R220</f>
        <v>154718.13009387907</v>
      </c>
      <c r="S231" s="1050">
        <f ca="1">+IFERROR(INDEX('Taxes and TIF'!$AS$11:$AS$45,MATCH('Phase 3 Pro Forma'!S$7,'Taxes and TIF'!$AH$11:$AH$45,0)),0)*'Loan Sizing'!$M$26*'Phase 3 Pro Forma'!S220</f>
        <v>159359.67399669543</v>
      </c>
      <c r="T231" s="1050">
        <f ca="1">+IFERROR(INDEX('Taxes and TIF'!$AS$11:$AS$45,MATCH('Phase 3 Pro Forma'!T$7,'Taxes and TIF'!$AH$11:$AH$45,0)),0)*'Loan Sizing'!$M$26*'Phase 3 Pro Forma'!T220</f>
        <v>159359.67399669543</v>
      </c>
      <c r="U231" s="1050">
        <f ca="1">+IFERROR(INDEX('Taxes and TIF'!$AS$11:$AS$45,MATCH('Phase 3 Pro Forma'!U$7,'Taxes and TIF'!$AH$11:$AH$45,0)),0)*'Loan Sizing'!$M$26*'Phase 3 Pro Forma'!U220</f>
        <v>159359.67399669543</v>
      </c>
      <c r="V231" s="1050">
        <f ca="1">+IFERROR(INDEX('Taxes and TIF'!$AS$11:$AS$45,MATCH('Phase 3 Pro Forma'!V$7,'Taxes and TIF'!$AH$11:$AH$45,0)),0)*'Loan Sizing'!$M$26*'Phase 3 Pro Forma'!V220</f>
        <v>164140.4642165963</v>
      </c>
      <c r="W231" s="1050">
        <f ca="1">+IFERROR(INDEX('Taxes and TIF'!$AS$11:$AS$45,MATCH('Phase 3 Pro Forma'!W$7,'Taxes and TIF'!$AH$11:$AH$45,0)),0)*'Loan Sizing'!$M$26*'Phase 3 Pro Forma'!W220</f>
        <v>164140.4642165963</v>
      </c>
      <c r="X231" s="1050">
        <f ca="1">+IFERROR(INDEX('Taxes and TIF'!$AS$11:$AS$45,MATCH('Phase 3 Pro Forma'!X$7,'Taxes and TIF'!$AH$11:$AH$45,0)),0)*'Loan Sizing'!$M$26*'Phase 3 Pro Forma'!X220</f>
        <v>164140.4642165963</v>
      </c>
      <c r="Y231" s="1050">
        <f ca="1">+IFERROR(INDEX('Taxes and TIF'!$AS$11:$AS$45,MATCH('Phase 3 Pro Forma'!Y$7,'Taxes and TIF'!$AH$11:$AH$45,0)),0)*'Loan Sizing'!$M$26*'Phase 3 Pro Forma'!Y220</f>
        <v>169064.67814309418</v>
      </c>
      <c r="Z231" s="1050">
        <f ca="1">+IFERROR(INDEX('Taxes and TIF'!$AS$11:$AS$45,MATCH('Phase 3 Pro Forma'!Z$7,'Taxes and TIF'!$AH$11:$AH$45,0)),0)*'Loan Sizing'!$M$26*'Phase 3 Pro Forma'!Z220</f>
        <v>169064.67814309418</v>
      </c>
      <c r="AA231" s="699"/>
      <c r="AB231" s="699"/>
      <c r="AC231" s="699"/>
    </row>
    <row r="232" spans="1:29">
      <c r="A232" s="699"/>
      <c r="B232" s="52" t="s">
        <v>1134</v>
      </c>
      <c r="C232" s="1052"/>
      <c r="D232" s="1052"/>
      <c r="E232" s="1052"/>
      <c r="F232" s="1088">
        <f ca="1">+SUM(F230:F231)</f>
        <v>0</v>
      </c>
      <c r="G232" s="1088">
        <f t="shared" ref="G232" ca="1" si="70">+SUM(G230:G231)</f>
        <v>0</v>
      </c>
      <c r="H232" s="1088">
        <f t="shared" ref="H232:Z232" ca="1" si="71">+SUM(H230:H231)</f>
        <v>0</v>
      </c>
      <c r="I232" s="1088">
        <f t="shared" ca="1" si="71"/>
        <v>149236.50945593585</v>
      </c>
      <c r="J232" s="1088">
        <f t="shared" ca="1" si="71"/>
        <v>307427.20947922784</v>
      </c>
      <c r="K232" s="1088">
        <f t="shared" ca="1" si="71"/>
        <v>312274.92546874523</v>
      </c>
      <c r="L232" s="1088">
        <f t="shared" ca="1" si="71"/>
        <v>317268.07293794816</v>
      </c>
      <c r="M232" s="1088">
        <f t="shared" ca="1" si="71"/>
        <v>326786.11512608663</v>
      </c>
      <c r="N232" s="1088">
        <f t="shared" ca="1" si="71"/>
        <v>332083.34527616401</v>
      </c>
      <c r="O232" s="1088">
        <f t="shared" ca="1" si="71"/>
        <v>337539.4923307437</v>
      </c>
      <c r="P232" s="1088">
        <f t="shared" ca="1" si="71"/>
        <v>347665.67710066604</v>
      </c>
      <c r="Q232" s="1088">
        <f t="shared" ca="1" si="71"/>
        <v>353454.10351086967</v>
      </c>
      <c r="R232" s="1088">
        <f t="shared" ca="1" si="71"/>
        <v>359416.18271337938</v>
      </c>
      <c r="S232" s="1088">
        <f t="shared" ca="1" si="71"/>
        <v>370198.66819478082</v>
      </c>
      <c r="T232" s="1088">
        <f t="shared" ca="1" si="71"/>
        <v>376523.83802072337</v>
      </c>
      <c r="U232" s="1088">
        <f t="shared" ca="1" si="71"/>
        <v>383038.76294144418</v>
      </c>
      <c r="V232" s="1088">
        <f t="shared" ca="1" si="71"/>
        <v>394529.92582968756</v>
      </c>
      <c r="W232" s="1088">
        <f t="shared" ca="1" si="71"/>
        <v>401441.60967808031</v>
      </c>
      <c r="X232" s="1088">
        <f t="shared" ca="1" si="71"/>
        <v>408560.64404192485</v>
      </c>
      <c r="Y232" s="1088">
        <f t="shared" ca="1" si="71"/>
        <v>420817.46336318256</v>
      </c>
      <c r="Z232" s="1088">
        <f t="shared" ca="1" si="71"/>
        <v>428370.04691978521</v>
      </c>
      <c r="AA232" s="699"/>
      <c r="AB232" s="699"/>
      <c r="AC232" s="699"/>
    </row>
    <row r="234" spans="1:29" ht="15.75">
      <c r="A234" s="699"/>
      <c r="B234" s="50" t="s">
        <v>1135</v>
      </c>
      <c r="C234" s="50"/>
      <c r="D234" s="50"/>
      <c r="E234" s="50"/>
      <c r="F234" s="55">
        <f ca="1">+F228-F232</f>
        <v>0</v>
      </c>
      <c r="G234" s="55">
        <f t="shared" ref="G234:Z234" ca="1" si="72">+G228-G232</f>
        <v>0</v>
      </c>
      <c r="H234" s="55">
        <f t="shared" ca="1" si="72"/>
        <v>0</v>
      </c>
      <c r="I234" s="55">
        <f t="shared" ca="1" si="72"/>
        <v>344332.72398001252</v>
      </c>
      <c r="J234" s="55">
        <f t="shared" ca="1" si="72"/>
        <v>687770.02890328947</v>
      </c>
      <c r="K234" s="55">
        <f t="shared" ca="1" si="72"/>
        <v>687285.25730433781</v>
      </c>
      <c r="L234" s="55">
        <f t="shared" ca="1" si="72"/>
        <v>794562.8550350992</v>
      </c>
      <c r="M234" s="55">
        <f t="shared" ca="1" si="72"/>
        <v>793611.05081628542</v>
      </c>
      <c r="N234" s="55">
        <f t="shared" ca="1" si="72"/>
        <v>793081.32780127774</v>
      </c>
      <c r="O234" s="55">
        <f t="shared" ca="1" si="72"/>
        <v>792535.71309581981</v>
      </c>
      <c r="P234" s="55">
        <f t="shared" ca="1" si="72"/>
        <v>791523.09461882734</v>
      </c>
      <c r="Q234" s="55">
        <f t="shared" ca="1" si="72"/>
        <v>914887.70132714114</v>
      </c>
      <c r="R234" s="55">
        <f t="shared" ca="1" si="72"/>
        <v>914291.49340689019</v>
      </c>
      <c r="S234" s="55">
        <f t="shared" ca="1" si="72"/>
        <v>913213.24485875014</v>
      </c>
      <c r="T234" s="55">
        <f t="shared" ca="1" si="72"/>
        <v>912580.72787615587</v>
      </c>
      <c r="U234" s="55">
        <f t="shared" ca="1" si="72"/>
        <v>911929.23538408394</v>
      </c>
      <c r="V234" s="55">
        <f t="shared" ca="1" si="72"/>
        <v>1053315.0858469934</v>
      </c>
      <c r="W234" s="55">
        <f t="shared" ca="1" si="72"/>
        <v>1052623.9174621541</v>
      </c>
      <c r="X234" s="55">
        <f t="shared" ca="1" si="72"/>
        <v>1051912.0140257697</v>
      </c>
      <c r="Y234" s="55">
        <f t="shared" ca="1" si="72"/>
        <v>1050686.332093644</v>
      </c>
      <c r="Z234" s="55">
        <f t="shared" ca="1" si="72"/>
        <v>1049931.0737379836</v>
      </c>
      <c r="AA234" s="699"/>
      <c r="AB234" s="699"/>
      <c r="AC234" s="699"/>
    </row>
    <row r="235" spans="1:29">
      <c r="A235" s="699" t="s">
        <v>881</v>
      </c>
      <c r="B235" s="51" t="s">
        <v>1136</v>
      </c>
      <c r="C235" s="51"/>
      <c r="D235" s="51"/>
      <c r="E235" s="51"/>
      <c r="F235" s="56" t="str">
        <f ca="1">+IFERROR(F234/F228,"")</f>
        <v/>
      </c>
      <c r="G235" s="56" t="str">
        <f t="shared" ref="G235:Z235" ca="1" si="73">+IFERROR(G234/G228,"")</f>
        <v/>
      </c>
      <c r="H235" s="56" t="str">
        <f t="shared" ca="1" si="73"/>
        <v/>
      </c>
      <c r="I235" s="56">
        <f t="shared" ca="1" si="73"/>
        <v>0.69763814406129787</v>
      </c>
      <c r="J235" s="56">
        <f t="shared" ca="1" si="73"/>
        <v>0.69108916542123267</v>
      </c>
      <c r="K235" s="56">
        <f t="shared" ca="1" si="73"/>
        <v>0.68758767020671041</v>
      </c>
      <c r="L235" s="56">
        <f t="shared" ca="1" si="73"/>
        <v>0.71464359827051038</v>
      </c>
      <c r="M235" s="56">
        <f t="shared" ca="1" si="73"/>
        <v>0.70833011269604107</v>
      </c>
      <c r="N235" s="56">
        <f t="shared" ca="1" si="73"/>
        <v>0.70485800592380699</v>
      </c>
      <c r="O235" s="56">
        <f t="shared" ca="1" si="73"/>
        <v>0.70131236336316705</v>
      </c>
      <c r="P235" s="56">
        <f t="shared" ca="1" si="73"/>
        <v>0.69481293554544177</v>
      </c>
      <c r="Q235" s="56">
        <f t="shared" ca="1" si="73"/>
        <v>0.72132582702656256</v>
      </c>
      <c r="R235" s="56">
        <f t="shared" ca="1" si="73"/>
        <v>0.71781893957947573</v>
      </c>
      <c r="S235" s="56">
        <f t="shared" ca="1" si="73"/>
        <v>0.71155116729905254</v>
      </c>
      <c r="T235" s="56">
        <f t="shared" ca="1" si="73"/>
        <v>0.70791831168578534</v>
      </c>
      <c r="U235" s="56">
        <f t="shared" ca="1" si="73"/>
        <v>0.70420986199138791</v>
      </c>
      <c r="V235" s="56">
        <f t="shared" ca="1" si="73"/>
        <v>0.72750541484215836</v>
      </c>
      <c r="W235" s="56">
        <f t="shared" ca="1" si="73"/>
        <v>0.72391779999928152</v>
      </c>
      <c r="X235" s="56">
        <f t="shared" ca="1" si="73"/>
        <v>0.7202545067961228</v>
      </c>
      <c r="Y235" s="56">
        <f t="shared" ca="1" si="73"/>
        <v>0.71402216925132678</v>
      </c>
      <c r="Z235" s="56">
        <f t="shared" ca="1" si="73"/>
        <v>0.71022815248277538</v>
      </c>
      <c r="AA235" s="699"/>
      <c r="AB235" s="699"/>
      <c r="AC235" s="699"/>
    </row>
    <row r="236" spans="1:29">
      <c r="A236" s="699"/>
      <c r="B236" s="223"/>
      <c r="C236" s="223"/>
      <c r="D236" s="223"/>
      <c r="E236" s="223"/>
      <c r="F236" s="641"/>
      <c r="G236" s="641"/>
      <c r="H236" s="641"/>
      <c r="I236" s="641"/>
      <c r="J236" s="641"/>
      <c r="K236" s="641"/>
      <c r="L236" s="641"/>
      <c r="M236" s="641"/>
      <c r="N236" s="641"/>
      <c r="O236" s="641"/>
      <c r="P236" s="641"/>
      <c r="Q236" s="641"/>
      <c r="R236" s="641"/>
      <c r="S236" s="641"/>
      <c r="T236" s="641"/>
      <c r="U236" s="641"/>
      <c r="V236" s="641"/>
      <c r="W236" s="641"/>
      <c r="X236" s="641"/>
      <c r="Y236" s="641"/>
      <c r="Z236" s="641"/>
      <c r="AA236" s="699"/>
      <c r="AB236" s="699"/>
      <c r="AC236" s="699"/>
    </row>
    <row r="237" spans="1:29">
      <c r="A237" s="699"/>
      <c r="B237" s="49" t="s">
        <v>1140</v>
      </c>
      <c r="C237" s="223"/>
      <c r="D237" s="223"/>
      <c r="E237" s="223"/>
      <c r="F237" s="642">
        <f>+F218*Assumptions!$P$109</f>
        <v>0</v>
      </c>
      <c r="G237" s="642">
        <f>+G218*Assumptions!$P$109</f>
        <v>0</v>
      </c>
      <c r="H237" s="642">
        <f>+H218*Assumptions!$P$109</f>
        <v>0</v>
      </c>
      <c r="I237" s="642">
        <f>+I218*Assumptions!$P$109</f>
        <v>772594.35467872291</v>
      </c>
      <c r="J237" s="642">
        <f>+J218*Assumptions!$P$109</f>
        <v>772594.35467872291</v>
      </c>
      <c r="K237" s="642">
        <f>+K218*Assumptions!$P$109</f>
        <v>0</v>
      </c>
      <c r="L237" s="642">
        <f>+L218*Assumptions!$P$109</f>
        <v>0</v>
      </c>
      <c r="M237" s="642">
        <f>+M218*Assumptions!$P$109</f>
        <v>0</v>
      </c>
      <c r="N237" s="642">
        <f>+N218*Assumptions!$P$109</f>
        <v>0</v>
      </c>
      <c r="O237" s="642">
        <f>+O218*Assumptions!$P$109</f>
        <v>0</v>
      </c>
      <c r="P237" s="642">
        <f>+P218*Assumptions!$P$109</f>
        <v>0</v>
      </c>
      <c r="Q237" s="642">
        <f>+Q218*Assumptions!$P$109</f>
        <v>0</v>
      </c>
      <c r="R237" s="642">
        <f>+R218*Assumptions!$P$109</f>
        <v>0</v>
      </c>
      <c r="S237" s="642">
        <f>+S218*Assumptions!$P$109</f>
        <v>0</v>
      </c>
      <c r="T237" s="642">
        <f>+T218*Assumptions!$P$109</f>
        <v>0</v>
      </c>
      <c r="U237" s="642">
        <f>+U218*Assumptions!$P$109</f>
        <v>0</v>
      </c>
      <c r="V237" s="642">
        <f>+V218*Assumptions!$P$109</f>
        <v>0</v>
      </c>
      <c r="W237" s="642">
        <f>+W218*Assumptions!$P$109</f>
        <v>0</v>
      </c>
      <c r="X237" s="642">
        <f>+X218*Assumptions!$P$109</f>
        <v>0</v>
      </c>
      <c r="Y237" s="642">
        <f>+Y218*Assumptions!$P$109</f>
        <v>0</v>
      </c>
      <c r="Z237" s="642">
        <f>+Z218*Assumptions!$P$109</f>
        <v>0</v>
      </c>
      <c r="AA237" s="699"/>
      <c r="AB237" s="699"/>
      <c r="AC237" s="699"/>
    </row>
    <row r="238" spans="1:29">
      <c r="A238" s="699"/>
      <c r="B238" s="49" t="s">
        <v>1141</v>
      </c>
      <c r="C238" s="223"/>
      <c r="D238" s="223"/>
      <c r="E238" s="223"/>
      <c r="F238" s="642">
        <f>IF(F217=P3_Const_Completion,SUM('Phase 3 Pro Forma'!F225:O225)*Assumptions!$P$111,0)</f>
        <v>0</v>
      </c>
      <c r="G238" s="642">
        <f>IF(G217=P3_Const_Completion,SUM('Phase 3 Pro Forma'!G225:P225)*Assumptions!$P$111,0)</f>
        <v>0</v>
      </c>
      <c r="H238" s="642">
        <f>IF(H217=P3_Const_Completion,SUM('Phase 3 Pro Forma'!H225:Q225)*Assumptions!$P$111,0)</f>
        <v>0</v>
      </c>
      <c r="I238" s="642">
        <f>IF(I217=P3_Const_Completion,SUM('Phase 3 Pro Forma'!I225:R225)*Assumptions!$P$111,0)</f>
        <v>505044.92965348117</v>
      </c>
      <c r="J238" s="642">
        <f>IF(J217=P3_Const_Completion,SUM('Phase 3 Pro Forma'!J225:S225)*Assumptions!$P$111,0)</f>
        <v>0</v>
      </c>
      <c r="K238" s="642">
        <f>IF(K217=P3_Const_Completion,SUM('Phase 3 Pro Forma'!K225:T225)*Assumptions!$P$111,0)</f>
        <v>0</v>
      </c>
      <c r="L238" s="642">
        <f>IF(L217=P3_Const_Completion,SUM('Phase 3 Pro Forma'!L225:U225)*Assumptions!$P$111,0)</f>
        <v>0</v>
      </c>
      <c r="M238" s="642">
        <f>IF(M217=P3_Const_Completion,SUM('Phase 3 Pro Forma'!M225:V225)*Assumptions!$P$111,0)</f>
        <v>0</v>
      </c>
      <c r="N238" s="642">
        <f>IF(N217=P3_Const_Completion,SUM('Phase 3 Pro Forma'!N225:W225)*Assumptions!$P$111,0)</f>
        <v>0</v>
      </c>
      <c r="O238" s="642">
        <f>IF(O217=P3_Const_Completion,SUM('Phase 3 Pro Forma'!O225:X225)*Assumptions!$P$111,0)</f>
        <v>0</v>
      </c>
      <c r="P238" s="642">
        <f>IF(P217=P3_Const_Completion,SUM('Phase 3 Pro Forma'!P225:Y225)*Assumptions!$P$111,0)</f>
        <v>0</v>
      </c>
      <c r="Q238" s="642">
        <f>IF(Q217=P3_Const_Completion,SUM('Phase 3 Pro Forma'!Q225:Z225)*Assumptions!$P$111,0)</f>
        <v>0</v>
      </c>
      <c r="R238" s="642">
        <f>IF(R217=P3_Const_Completion,SUM('Phase 3 Pro Forma'!R225:AA225)*Assumptions!$P$111,0)</f>
        <v>0</v>
      </c>
      <c r="S238" s="642">
        <f>IF(S217=P3_Const_Completion,SUM('Phase 3 Pro Forma'!S225:AB225)*Assumptions!$P$111,0)</f>
        <v>0</v>
      </c>
      <c r="T238" s="642">
        <f>IF(T217=P3_Const_Completion,SUM('Phase 3 Pro Forma'!T225:AC225)*Assumptions!$P$111,0)</f>
        <v>0</v>
      </c>
      <c r="U238" s="642">
        <f>IF(U217=P3_Const_Completion,SUM('Phase 3 Pro Forma'!U225:AD225)*Assumptions!$P$111,0)</f>
        <v>0</v>
      </c>
      <c r="V238" s="642">
        <f>IF(V217=P3_Const_Completion,SUM('Phase 3 Pro Forma'!V225:AE225)*Assumptions!$P$111,0)</f>
        <v>0</v>
      </c>
      <c r="W238" s="642">
        <f>IF(W217=P3_Const_Completion,SUM('Phase 3 Pro Forma'!W225:AF225)*Assumptions!$P$111,0)</f>
        <v>0</v>
      </c>
      <c r="X238" s="642">
        <f>IF(X217=P3_Const_Completion,SUM('Phase 3 Pro Forma'!X225:AG225)*Assumptions!$P$111,0)</f>
        <v>0</v>
      </c>
      <c r="Y238" s="642">
        <f>IF(Y217=P3_Const_Completion,SUM('Phase 3 Pro Forma'!Y225:AH225)*Assumptions!$P$111,0)</f>
        <v>0</v>
      </c>
      <c r="Z238" s="642">
        <f>IF(Z217=P3_Const_Completion,SUM('Phase 3 Pro Forma'!Z225:AI225)*Assumptions!$P$111,0)</f>
        <v>0</v>
      </c>
      <c r="AA238" s="699"/>
      <c r="AB238" s="699"/>
      <c r="AC238" s="699"/>
    </row>
    <row r="239" spans="1:29" ht="15.75">
      <c r="A239" s="699"/>
      <c r="B239" s="81"/>
      <c r="C239" s="223"/>
      <c r="D239" s="223"/>
      <c r="E239" s="223"/>
      <c r="F239" s="641"/>
      <c r="G239" s="641"/>
      <c r="H239" s="641"/>
      <c r="I239" s="641"/>
      <c r="J239" s="641"/>
      <c r="K239" s="641"/>
      <c r="L239" s="641"/>
      <c r="M239" s="641"/>
      <c r="N239" s="641"/>
      <c r="O239" s="641"/>
      <c r="P239" s="641"/>
      <c r="Q239" s="641"/>
      <c r="R239" s="641"/>
      <c r="S239" s="641"/>
      <c r="T239" s="641"/>
      <c r="U239" s="641"/>
      <c r="V239" s="641"/>
      <c r="W239" s="641"/>
      <c r="X239" s="641"/>
      <c r="Y239" s="641"/>
      <c r="Z239" s="641"/>
      <c r="AA239" s="699"/>
      <c r="AB239" s="699"/>
      <c r="AC239" s="699"/>
    </row>
    <row r="240" spans="1:29" ht="15.75">
      <c r="A240" s="699"/>
      <c r="B240" s="50" t="s">
        <v>1142</v>
      </c>
      <c r="C240" s="50"/>
      <c r="D240" s="50"/>
      <c r="E240" s="50"/>
      <c r="F240" s="55">
        <f ca="1">+F234-SUM(F237:F238)</f>
        <v>0</v>
      </c>
      <c r="G240" s="55">
        <f t="shared" ref="G240:Z240" ca="1" si="74">+G234-SUM(G237:G238)</f>
        <v>0</v>
      </c>
      <c r="H240" s="55">
        <f t="shared" ca="1" si="74"/>
        <v>0</v>
      </c>
      <c r="I240" s="55">
        <f t="shared" ca="1" si="74"/>
        <v>-933306.56035219156</v>
      </c>
      <c r="J240" s="55">
        <f t="shared" ca="1" si="74"/>
        <v>-84824.325775433448</v>
      </c>
      <c r="K240" s="55">
        <f t="shared" ca="1" si="74"/>
        <v>687285.25730433781</v>
      </c>
      <c r="L240" s="55">
        <f t="shared" ca="1" si="74"/>
        <v>794562.8550350992</v>
      </c>
      <c r="M240" s="55">
        <f t="shared" ca="1" si="74"/>
        <v>793611.05081628542</v>
      </c>
      <c r="N240" s="55">
        <f t="shared" ca="1" si="74"/>
        <v>793081.32780127774</v>
      </c>
      <c r="O240" s="55">
        <f t="shared" ca="1" si="74"/>
        <v>792535.71309581981</v>
      </c>
      <c r="P240" s="55">
        <f t="shared" ca="1" si="74"/>
        <v>791523.09461882734</v>
      </c>
      <c r="Q240" s="55">
        <f t="shared" ca="1" si="74"/>
        <v>914887.70132714114</v>
      </c>
      <c r="R240" s="55">
        <f t="shared" ca="1" si="74"/>
        <v>914291.49340689019</v>
      </c>
      <c r="S240" s="55">
        <f t="shared" ca="1" si="74"/>
        <v>913213.24485875014</v>
      </c>
      <c r="T240" s="55">
        <f t="shared" ca="1" si="74"/>
        <v>912580.72787615587</v>
      </c>
      <c r="U240" s="55">
        <f t="shared" ca="1" si="74"/>
        <v>911929.23538408394</v>
      </c>
      <c r="V240" s="55">
        <f t="shared" ca="1" si="74"/>
        <v>1053315.0858469934</v>
      </c>
      <c r="W240" s="55">
        <f t="shared" ca="1" si="74"/>
        <v>1052623.9174621541</v>
      </c>
      <c r="X240" s="55">
        <f t="shared" ca="1" si="74"/>
        <v>1051912.0140257697</v>
      </c>
      <c r="Y240" s="55">
        <f t="shared" ca="1" si="74"/>
        <v>1050686.332093644</v>
      </c>
      <c r="Z240" s="55">
        <f t="shared" ca="1" si="74"/>
        <v>1049931.0737379836</v>
      </c>
      <c r="AA240" s="699"/>
      <c r="AB240" s="699"/>
      <c r="AC240" s="699"/>
    </row>
    <row r="241" spans="2:29">
      <c r="B241" s="51" t="s">
        <v>1064</v>
      </c>
      <c r="C241" s="51"/>
      <c r="D241" s="51"/>
      <c r="E241" s="51"/>
      <c r="F241" s="57">
        <f ca="1">+F234/Assumptions!$H$48</f>
        <v>0</v>
      </c>
      <c r="G241" s="57">
        <f ca="1">+G234/Assumptions!$H$48</f>
        <v>0</v>
      </c>
      <c r="H241" s="57">
        <f ca="1">+H234/Assumptions!$H$48</f>
        <v>0</v>
      </c>
      <c r="I241" s="57">
        <f ca="1">+I234/Assumptions!$H$48</f>
        <v>6647349.8837840259</v>
      </c>
      <c r="J241" s="57">
        <f ca="1">+J234/Assumptions!$H$48</f>
        <v>13277413.685391689</v>
      </c>
      <c r="K241" s="57">
        <f ca="1">+K234/Assumptions!$H$48</f>
        <v>13268055.160315402</v>
      </c>
      <c r="L241" s="57">
        <f ca="1">+L234/Assumptions!$H$48</f>
        <v>15339051.255503846</v>
      </c>
      <c r="M241" s="57">
        <f ca="1">+M234/Assumptions!$H$48</f>
        <v>15320676.656685047</v>
      </c>
      <c r="N241" s="57">
        <f ca="1">+N234/Assumptions!$H$48</f>
        <v>15310450.34365401</v>
      </c>
      <c r="O241" s="57">
        <f ca="1">+O234/Assumptions!$H$48</f>
        <v>15299917.241232043</v>
      </c>
      <c r="P241" s="57">
        <f ca="1">+P234/Assumptions!$H$48</f>
        <v>15280368.621985083</v>
      </c>
      <c r="Q241" s="57">
        <f ca="1">+Q234/Assumptions!$H$48</f>
        <v>17661924.736045197</v>
      </c>
      <c r="R241" s="57">
        <f ca="1">+R234/Assumptions!$H$48</f>
        <v>17650414.930634946</v>
      </c>
      <c r="S241" s="57">
        <f ca="1">+S234/Assumptions!$H$48</f>
        <v>17629599.321597494</v>
      </c>
      <c r="T241" s="57">
        <f ca="1">+T234/Assumptions!$H$48</f>
        <v>17617388.569037758</v>
      </c>
      <c r="U241" s="57">
        <f ca="1">+U234/Assumptions!$H$48</f>
        <v>17604811.493901234</v>
      </c>
      <c r="V241" s="57">
        <f ca="1">+V234/Assumptions!$H$48</f>
        <v>20334268.066544276</v>
      </c>
      <c r="W241" s="57">
        <f ca="1">+W234/Assumptions!$H$48</f>
        <v>20320925.047531933</v>
      </c>
      <c r="X241" s="57">
        <f ca="1">+X234/Assumptions!$H$48</f>
        <v>20307181.737949222</v>
      </c>
      <c r="Y241" s="57">
        <f ca="1">+Y234/Assumptions!$H$48</f>
        <v>20283519.924587723</v>
      </c>
      <c r="Z241" s="57">
        <f ca="1">+Z234/Assumptions!$H$48</f>
        <v>20268939.647451419</v>
      </c>
      <c r="AA241" s="699"/>
      <c r="AB241" s="699"/>
      <c r="AC241" s="699"/>
    </row>
    <row r="243" spans="2:29" ht="15.75">
      <c r="B243" s="53" t="s">
        <v>160</v>
      </c>
      <c r="C243" s="699"/>
      <c r="D243" s="699"/>
      <c r="E243" s="699"/>
      <c r="F243" s="54">
        <f>+Assumptions!$H$27</f>
        <v>47118</v>
      </c>
      <c r="G243" s="54">
        <f>+EOMONTH(F243,12)</f>
        <v>47483</v>
      </c>
      <c r="H243" s="54">
        <f t="shared" ref="H243:Z243" si="75">+EOMONTH(G243,12)</f>
        <v>47848</v>
      </c>
      <c r="I243" s="54">
        <f t="shared" si="75"/>
        <v>48213</v>
      </c>
      <c r="J243" s="54">
        <f t="shared" si="75"/>
        <v>48579</v>
      </c>
      <c r="K243" s="54">
        <f t="shared" si="75"/>
        <v>48944</v>
      </c>
      <c r="L243" s="54">
        <f t="shared" si="75"/>
        <v>49309</v>
      </c>
      <c r="M243" s="54">
        <f t="shared" si="75"/>
        <v>49674</v>
      </c>
      <c r="N243" s="54">
        <f t="shared" si="75"/>
        <v>50040</v>
      </c>
      <c r="O243" s="54">
        <f t="shared" si="75"/>
        <v>50405</v>
      </c>
      <c r="P243" s="54">
        <f t="shared" si="75"/>
        <v>50770</v>
      </c>
      <c r="Q243" s="54">
        <f t="shared" si="75"/>
        <v>51135</v>
      </c>
      <c r="R243" s="54">
        <f t="shared" si="75"/>
        <v>51501</v>
      </c>
      <c r="S243" s="54">
        <f t="shared" si="75"/>
        <v>51866</v>
      </c>
      <c r="T243" s="54">
        <f t="shared" si="75"/>
        <v>52231</v>
      </c>
      <c r="U243" s="54">
        <f t="shared" si="75"/>
        <v>52596</v>
      </c>
      <c r="V243" s="54">
        <f t="shared" si="75"/>
        <v>52962</v>
      </c>
      <c r="W243" s="54">
        <f t="shared" si="75"/>
        <v>53327</v>
      </c>
      <c r="X243" s="54">
        <f t="shared" si="75"/>
        <v>53692</v>
      </c>
      <c r="Y243" s="54">
        <f t="shared" si="75"/>
        <v>54057</v>
      </c>
      <c r="Z243" s="54">
        <f t="shared" si="75"/>
        <v>54423</v>
      </c>
      <c r="AA243" s="699"/>
      <c r="AB243" s="699"/>
      <c r="AC243" s="699"/>
    </row>
    <row r="244" spans="2:29">
      <c r="B244" s="699" t="s">
        <v>1138</v>
      </c>
      <c r="C244" s="699"/>
      <c r="D244" s="699"/>
      <c r="E244" s="1050"/>
      <c r="F244" s="1050">
        <f>+IF(AND(F243&gt;=Assumptions!$H$31,F243&lt;Assumptions!$H$33),Assumptions!$H$124/ROUNDUP((Assumptions!$H$32/12),0),)</f>
        <v>0</v>
      </c>
      <c r="G244" s="1050">
        <f>+IF(AND(G243&gt;=Assumptions!$H$31,G243&lt;Assumptions!$H$33),Assumptions!$H$124/ROUNDUP((Assumptions!$H$32/12),0),)</f>
        <v>0</v>
      </c>
      <c r="H244" s="1050">
        <f>+IF(AND(H243&gt;=Assumptions!$H$31,H243&lt;Assumptions!$H$33),Assumptions!$H$124/ROUNDUP((Assumptions!$H$32/12),0),)</f>
        <v>0</v>
      </c>
      <c r="I244" s="1050">
        <f>+IF(AND(I243&gt;=Assumptions!$H$31,I243&lt;Assumptions!$H$33),Assumptions!$H$124/ROUNDUP((Assumptions!$H$32/12),0),)</f>
        <v>14717.625</v>
      </c>
      <c r="J244" s="1050">
        <f>+IF(AND(J243&gt;=Assumptions!$H$31,J243&lt;Assumptions!$H$33),Assumptions!$H$124/ROUNDUP((Assumptions!$H$32/12),0),)</f>
        <v>14717.625</v>
      </c>
      <c r="K244" s="1050">
        <f>+IF(AND(K243&gt;=Assumptions!$H$31,K243&lt;Assumptions!$H$33),Assumptions!$H$124/ROUNDUP((Assumptions!$H$32/12),0),)</f>
        <v>0</v>
      </c>
      <c r="L244" s="1050">
        <f>+IF(AND(L243&gt;=Assumptions!$H$31,L243&lt;Assumptions!$H$33),Assumptions!$H$124/ROUNDUP((Assumptions!$H$32/12),0),)</f>
        <v>0</v>
      </c>
      <c r="M244" s="1050">
        <f>+IF(AND(M243&gt;=Assumptions!$H$31,M243&lt;Assumptions!$H$33),Assumptions!$H$124/ROUNDUP((Assumptions!$H$32/12),0),)</f>
        <v>0</v>
      </c>
      <c r="N244" s="1050">
        <f>+IF(AND(N243&gt;=Assumptions!$H$31,N243&lt;Assumptions!$H$33),Assumptions!$H$124/ROUNDUP((Assumptions!$H$32/12),0),)</f>
        <v>0</v>
      </c>
      <c r="O244" s="1050">
        <f>+IF(AND(O243&gt;=Assumptions!$H$31,O243&lt;Assumptions!$H$33),Assumptions!$H$124/ROUNDUP((Assumptions!$H$32/12),0),)</f>
        <v>0</v>
      </c>
      <c r="P244" s="1050">
        <f>+IF(AND(P243&gt;=Assumptions!$H$31,P243&lt;Assumptions!$H$33),Assumptions!$H$124/ROUNDUP((Assumptions!$H$32/12),0),)</f>
        <v>0</v>
      </c>
      <c r="Q244" s="1050">
        <f>+IF(AND(Q243&gt;=Assumptions!$H$31,Q243&lt;Assumptions!$H$33),Assumptions!$H$124/ROUNDUP((Assumptions!$H$32/12),0),)</f>
        <v>0</v>
      </c>
      <c r="R244" s="1050">
        <f>+IF(AND(R243&gt;=Assumptions!$H$31,R243&lt;Assumptions!$H$33),Assumptions!$H$124/ROUNDUP((Assumptions!$H$32/12),0),)</f>
        <v>0</v>
      </c>
      <c r="S244" s="1050">
        <f>+IF(AND(S243&gt;=Assumptions!$H$31,S243&lt;Assumptions!$H$33),Assumptions!$H$124/ROUNDUP((Assumptions!$H$32/12),0),)</f>
        <v>0</v>
      </c>
      <c r="T244" s="1050">
        <f>+IF(AND(T243&gt;=Assumptions!$H$31,T243&lt;Assumptions!$H$33),Assumptions!$H$124/ROUNDUP((Assumptions!$H$32/12),0),)</f>
        <v>0</v>
      </c>
      <c r="U244" s="1050">
        <f>+IF(AND(U243&gt;=Assumptions!$H$31,U243&lt;Assumptions!$H$33),Assumptions!$H$124/ROUNDUP((Assumptions!$H$32/12),0),)</f>
        <v>0</v>
      </c>
      <c r="V244" s="1050">
        <f>+IF(AND(V243&gt;=Assumptions!$H$31,V243&lt;Assumptions!$H$33),Assumptions!$H$124/ROUNDUP((Assumptions!$H$32/12),0),)</f>
        <v>0</v>
      </c>
      <c r="W244" s="1050">
        <f>+IF(AND(W243&gt;=Assumptions!$H$31,W243&lt;Assumptions!$H$33),Assumptions!$H$124/ROUNDUP((Assumptions!$H$32/12),0),)</f>
        <v>0</v>
      </c>
      <c r="X244" s="1050">
        <f>+IF(AND(X243&gt;=Assumptions!$H$31,X243&lt;Assumptions!$H$33),Assumptions!$H$124/ROUNDUP((Assumptions!$H$32/12),0),)</f>
        <v>0</v>
      </c>
      <c r="Y244" s="1050">
        <f>+IF(AND(Y243&gt;=Assumptions!$H$31,Y243&lt;Assumptions!$H$33),Assumptions!$H$124/ROUNDUP((Assumptions!$H$32/12),0),)</f>
        <v>0</v>
      </c>
      <c r="Z244" s="1050">
        <f>+IF(AND(Z243&gt;=Assumptions!$H$31,Z243&lt;Assumptions!$H$33),Assumptions!$H$124/ROUNDUP((Assumptions!$H$32/12),0),)</f>
        <v>0</v>
      </c>
      <c r="AA244" s="699"/>
      <c r="AB244" s="699"/>
      <c r="AC244" s="699"/>
    </row>
    <row r="245" spans="2:29">
      <c r="B245" s="699" t="s">
        <v>1121</v>
      </c>
      <c r="C245" s="699"/>
      <c r="D245" s="699"/>
      <c r="E245" s="1050">
        <v>0</v>
      </c>
      <c r="F245" s="1050">
        <f>+E245+F244</f>
        <v>0</v>
      </c>
      <c r="G245" s="1050">
        <f t="shared" ref="G245:Z245" si="76">+F245+G244</f>
        <v>0</v>
      </c>
      <c r="H245" s="1050">
        <f t="shared" si="76"/>
        <v>0</v>
      </c>
      <c r="I245" s="1050">
        <f t="shared" si="76"/>
        <v>14717.625</v>
      </c>
      <c r="J245" s="1050">
        <f t="shared" si="76"/>
        <v>29435.25</v>
      </c>
      <c r="K245" s="1050">
        <f t="shared" si="76"/>
        <v>29435.25</v>
      </c>
      <c r="L245" s="1050">
        <f t="shared" si="76"/>
        <v>29435.25</v>
      </c>
      <c r="M245" s="1050">
        <f t="shared" si="76"/>
        <v>29435.25</v>
      </c>
      <c r="N245" s="1050">
        <f t="shared" si="76"/>
        <v>29435.25</v>
      </c>
      <c r="O245" s="1050">
        <f t="shared" si="76"/>
        <v>29435.25</v>
      </c>
      <c r="P245" s="1050">
        <f t="shared" si="76"/>
        <v>29435.25</v>
      </c>
      <c r="Q245" s="1050">
        <f t="shared" si="76"/>
        <v>29435.25</v>
      </c>
      <c r="R245" s="1050">
        <f t="shared" si="76"/>
        <v>29435.25</v>
      </c>
      <c r="S245" s="1050">
        <f t="shared" si="76"/>
        <v>29435.25</v>
      </c>
      <c r="T245" s="1050">
        <f t="shared" si="76"/>
        <v>29435.25</v>
      </c>
      <c r="U245" s="1050">
        <f t="shared" si="76"/>
        <v>29435.25</v>
      </c>
      <c r="V245" s="1050">
        <f t="shared" si="76"/>
        <v>29435.25</v>
      </c>
      <c r="W245" s="1050">
        <f t="shared" si="76"/>
        <v>29435.25</v>
      </c>
      <c r="X245" s="1050">
        <f t="shared" si="76"/>
        <v>29435.25</v>
      </c>
      <c r="Y245" s="1050">
        <f t="shared" si="76"/>
        <v>29435.25</v>
      </c>
      <c r="Z245" s="1050">
        <f t="shared" si="76"/>
        <v>29435.25</v>
      </c>
      <c r="AA245" s="699"/>
      <c r="AB245" s="699"/>
      <c r="AC245" s="699"/>
    </row>
    <row r="246" spans="2:29">
      <c r="B246" s="699" t="s">
        <v>1125</v>
      </c>
      <c r="C246" s="699"/>
      <c r="D246" s="699"/>
      <c r="E246" s="699"/>
      <c r="F246" s="1074">
        <f>+IFERROR(F245/SUM($F$244:$Z$244),0)</f>
        <v>0</v>
      </c>
      <c r="G246" s="1074">
        <f t="shared" ref="G246:Z246" si="77">+IFERROR(G245/SUM($F$244:$Z$244),0)</f>
        <v>0</v>
      </c>
      <c r="H246" s="1074">
        <f t="shared" si="77"/>
        <v>0</v>
      </c>
      <c r="I246" s="1074">
        <f t="shared" si="77"/>
        <v>0.5</v>
      </c>
      <c r="J246" s="1074">
        <f t="shared" si="77"/>
        <v>1</v>
      </c>
      <c r="K246" s="1074">
        <f t="shared" si="77"/>
        <v>1</v>
      </c>
      <c r="L246" s="1074">
        <f t="shared" si="77"/>
        <v>1</v>
      </c>
      <c r="M246" s="1074">
        <f t="shared" si="77"/>
        <v>1</v>
      </c>
      <c r="N246" s="1074">
        <f t="shared" si="77"/>
        <v>1</v>
      </c>
      <c r="O246" s="1074">
        <f t="shared" si="77"/>
        <v>1</v>
      </c>
      <c r="P246" s="1074">
        <f t="shared" si="77"/>
        <v>1</v>
      </c>
      <c r="Q246" s="1074">
        <f t="shared" si="77"/>
        <v>1</v>
      </c>
      <c r="R246" s="1074">
        <f t="shared" si="77"/>
        <v>1</v>
      </c>
      <c r="S246" s="1074">
        <f t="shared" si="77"/>
        <v>1</v>
      </c>
      <c r="T246" s="1074">
        <f t="shared" si="77"/>
        <v>1</v>
      </c>
      <c r="U246" s="1074">
        <f t="shared" si="77"/>
        <v>1</v>
      </c>
      <c r="V246" s="1074">
        <f t="shared" si="77"/>
        <v>1</v>
      </c>
      <c r="W246" s="1074">
        <f t="shared" si="77"/>
        <v>1</v>
      </c>
      <c r="X246" s="1074">
        <f t="shared" si="77"/>
        <v>1</v>
      </c>
      <c r="Y246" s="1074">
        <f t="shared" si="77"/>
        <v>1</v>
      </c>
      <c r="Z246" s="1074">
        <f t="shared" si="77"/>
        <v>1</v>
      </c>
      <c r="AA246" s="699"/>
      <c r="AB246" s="699"/>
      <c r="AC246" s="699"/>
    </row>
    <row r="248" spans="2:29">
      <c r="B248" s="699" t="s">
        <v>1126</v>
      </c>
      <c r="C248" s="699"/>
      <c r="D248" s="699"/>
      <c r="E248" s="699"/>
      <c r="F248" s="1074">
        <v>1</v>
      </c>
      <c r="G248" s="1074">
        <f>+IF(MOD(G$2,Assumptions!$P$73)=(Assumptions!$P$73-1),'Phase 3 Pro Forma'!F248*(1+Assumptions!$P$72),'Phase 3 Pro Forma'!F248)</f>
        <v>1</v>
      </c>
      <c r="H248" s="1074">
        <f>+IF(MOD(H$2,Assumptions!$P$73)=(Assumptions!$P$73-1),'Phase 3 Pro Forma'!G248*(1+Assumptions!$P$72),'Phase 3 Pro Forma'!G248)</f>
        <v>1</v>
      </c>
      <c r="I248" s="1074">
        <f>+IF(MOD(I$2,Assumptions!$P$73)=(Assumptions!$P$73-1),'Phase 3 Pro Forma'!H248*(1+Assumptions!$P$72),'Phase 3 Pro Forma'!H248)</f>
        <v>1</v>
      </c>
      <c r="J248" s="1074">
        <f>+IF(MOD(J$2,Assumptions!$P$73)=(Assumptions!$P$73-1),'Phase 3 Pro Forma'!I248*(1+Assumptions!$P$72),'Phase 3 Pro Forma'!I248)</f>
        <v>1</v>
      </c>
      <c r="K248" s="1074">
        <f>+IF(MOD(K$2,Assumptions!$P$73)=(Assumptions!$P$73-1),'Phase 3 Pro Forma'!J248*(1+Assumptions!$P$72),'Phase 3 Pro Forma'!J248)</f>
        <v>1</v>
      </c>
      <c r="L248" s="1074">
        <f>+IF(MOD(L$2,Assumptions!$P$73)=(Assumptions!$P$73-1),'Phase 3 Pro Forma'!K248*(1+Assumptions!$P$72),'Phase 3 Pro Forma'!K248)</f>
        <v>1.1499999999999999</v>
      </c>
      <c r="M248" s="1074">
        <f>+IF(MOD(M$2,Assumptions!$P$73)=(Assumptions!$P$73-1),'Phase 3 Pro Forma'!L248*(1+Assumptions!$P$72),'Phase 3 Pro Forma'!L248)</f>
        <v>1.1499999999999999</v>
      </c>
      <c r="N248" s="1074">
        <f>+IF(MOD(N$2,Assumptions!$P$73)=(Assumptions!$P$73-1),'Phase 3 Pro Forma'!M248*(1+Assumptions!$P$72),'Phase 3 Pro Forma'!M248)</f>
        <v>1.1499999999999999</v>
      </c>
      <c r="O248" s="1074">
        <f>+IF(MOD(O$2,Assumptions!$P$73)=(Assumptions!$P$73-1),'Phase 3 Pro Forma'!N248*(1+Assumptions!$P$72),'Phase 3 Pro Forma'!N248)</f>
        <v>1.1499999999999999</v>
      </c>
      <c r="P248" s="1074">
        <f>+IF(MOD(P$2,Assumptions!$P$73)=(Assumptions!$P$73-1),'Phase 3 Pro Forma'!O248*(1+Assumptions!$P$72),'Phase 3 Pro Forma'!O248)</f>
        <v>1.1499999999999999</v>
      </c>
      <c r="Q248" s="1074">
        <f>+IF(MOD(Q$2,Assumptions!$P$73)=(Assumptions!$P$73-1),'Phase 3 Pro Forma'!P248*(1+Assumptions!$P$72),'Phase 3 Pro Forma'!P248)</f>
        <v>1.3224999999999998</v>
      </c>
      <c r="R248" s="1074">
        <f>+IF(MOD(R$2,Assumptions!$P$73)=(Assumptions!$P$73-1),'Phase 3 Pro Forma'!Q248*(1+Assumptions!$P$72),'Phase 3 Pro Forma'!Q248)</f>
        <v>1.3224999999999998</v>
      </c>
      <c r="S248" s="1074">
        <f>+IF(MOD(S$2,Assumptions!$P$73)=(Assumptions!$P$73-1),'Phase 3 Pro Forma'!R248*(1+Assumptions!$P$72),'Phase 3 Pro Forma'!R248)</f>
        <v>1.3224999999999998</v>
      </c>
      <c r="T248" s="1074">
        <f>+IF(MOD(T$2,Assumptions!$P$73)=(Assumptions!$P$73-1),'Phase 3 Pro Forma'!S248*(1+Assumptions!$P$72),'Phase 3 Pro Forma'!S248)</f>
        <v>1.3224999999999998</v>
      </c>
      <c r="U248" s="1074">
        <f>+IF(MOD(U$2,Assumptions!$P$73)=(Assumptions!$P$73-1),'Phase 3 Pro Forma'!T248*(1+Assumptions!$P$72),'Phase 3 Pro Forma'!T248)</f>
        <v>1.3224999999999998</v>
      </c>
      <c r="V248" s="1074">
        <f>+IF(MOD(V$2,Assumptions!$P$73)=(Assumptions!$P$73-1),'Phase 3 Pro Forma'!U248*(1+Assumptions!$P$72),'Phase 3 Pro Forma'!U248)</f>
        <v>1.5208749999999995</v>
      </c>
      <c r="W248" s="1074">
        <f>+IF(MOD(W$2,Assumptions!$P$73)=(Assumptions!$P$73-1),'Phase 3 Pro Forma'!V248*(1+Assumptions!$P$72),'Phase 3 Pro Forma'!V248)</f>
        <v>1.5208749999999995</v>
      </c>
      <c r="X248" s="1074">
        <f>+IF(MOD(X$2,Assumptions!$P$73)=(Assumptions!$P$73-1),'Phase 3 Pro Forma'!W248*(1+Assumptions!$P$72),'Phase 3 Pro Forma'!W248)</f>
        <v>1.5208749999999995</v>
      </c>
      <c r="Y248" s="1074">
        <f>+IF(MOD(Y$2,Assumptions!$P$73)=(Assumptions!$P$73-1),'Phase 3 Pro Forma'!X248*(1+Assumptions!$P$72),'Phase 3 Pro Forma'!X248)</f>
        <v>1.5208749999999995</v>
      </c>
      <c r="Z248" s="1074">
        <f>+IF(MOD(Z$2,Assumptions!$P$73)=(Assumptions!$P$73-1),'Phase 3 Pro Forma'!Y248*(1+Assumptions!$P$72),'Phase 3 Pro Forma'!Y248)</f>
        <v>1.5208749999999995</v>
      </c>
      <c r="AA248" s="699"/>
      <c r="AB248" s="699"/>
      <c r="AC248" s="699"/>
    </row>
    <row r="249" spans="2:29">
      <c r="B249" s="699" t="s">
        <v>1127</v>
      </c>
      <c r="C249" s="699"/>
      <c r="D249" s="699"/>
      <c r="E249" s="699"/>
      <c r="F249" s="1074">
        <v>1</v>
      </c>
      <c r="G249" s="1074">
        <f>+F249*(1+Assumptions!$P$83)</f>
        <v>1.03</v>
      </c>
      <c r="H249" s="1074">
        <f>+G249*(1+Assumptions!$P$83)</f>
        <v>1.0609</v>
      </c>
      <c r="I249" s="1074">
        <f>+H249*(1+Assumptions!$P$83)</f>
        <v>1.092727</v>
      </c>
      <c r="J249" s="1074">
        <f>+I249*(1+Assumptions!$P$83)</f>
        <v>1.1255088100000001</v>
      </c>
      <c r="K249" s="1074">
        <f>+J249*(1+Assumptions!$P$83)</f>
        <v>1.1592740743000001</v>
      </c>
      <c r="L249" s="1074">
        <f>+K249*(1+Assumptions!$P$83)</f>
        <v>1.1940522965290001</v>
      </c>
      <c r="M249" s="1074">
        <f>+L249*(1+Assumptions!$P$83)</f>
        <v>1.2298738654248702</v>
      </c>
      <c r="N249" s="1074">
        <f>+M249*(1+Assumptions!$P$83)</f>
        <v>1.2667700813876164</v>
      </c>
      <c r="O249" s="1074">
        <f>+N249*(1+Assumptions!$P$83)</f>
        <v>1.3047731838292449</v>
      </c>
      <c r="P249" s="1074">
        <f>+O249*(1+Assumptions!$P$83)</f>
        <v>1.3439163793441222</v>
      </c>
      <c r="Q249" s="1074">
        <f>+P249*(1+Assumptions!$P$83)</f>
        <v>1.3842338707244459</v>
      </c>
      <c r="R249" s="1074">
        <f>+Q249*(1+Assumptions!$P$83)</f>
        <v>1.4257608868461793</v>
      </c>
      <c r="S249" s="1074">
        <f>+R249*(1+Assumptions!$P$83)</f>
        <v>1.4685337134515648</v>
      </c>
      <c r="T249" s="1074">
        <f>+S249*(1+Assumptions!$P$83)</f>
        <v>1.5125897248551119</v>
      </c>
      <c r="U249" s="1074">
        <f>+T249*(1+Assumptions!$P$83)</f>
        <v>1.5579674166007653</v>
      </c>
      <c r="V249" s="1074">
        <f>+U249*(1+Assumptions!$P$83)</f>
        <v>1.6047064390987884</v>
      </c>
      <c r="W249" s="1074">
        <f>+V249*(1+Assumptions!$P$83)</f>
        <v>1.652847632271752</v>
      </c>
      <c r="X249" s="1074">
        <f>+W249*(1+Assumptions!$P$83)</f>
        <v>1.7024330612399046</v>
      </c>
      <c r="Y249" s="1074">
        <f>+X249*(1+Assumptions!$P$83)</f>
        <v>1.7535060530771018</v>
      </c>
      <c r="Z249" s="1074">
        <f>+Y249*(1+Assumptions!$P$83)</f>
        <v>1.806111234669415</v>
      </c>
      <c r="AA249" s="699"/>
      <c r="AB249" s="699"/>
      <c r="AC249" s="699"/>
    </row>
    <row r="251" spans="2:29" ht="15.75">
      <c r="B251" s="699" t="s">
        <v>1128</v>
      </c>
      <c r="C251" s="699"/>
      <c r="D251" s="699"/>
      <c r="E251" s="699"/>
      <c r="F251" s="1028">
        <f>+F246*Assumptions!$H$123*F248</f>
        <v>0</v>
      </c>
      <c r="G251" s="1028">
        <f>+G246*Assumptions!$H$123*G248</f>
        <v>0</v>
      </c>
      <c r="H251" s="1028">
        <f>+H246*Assumptions!$H$123*H248</f>
        <v>0</v>
      </c>
      <c r="I251" s="1028">
        <f>+I246*Assumptions!$H$123*I248</f>
        <v>1151053.878721579</v>
      </c>
      <c r="J251" s="1028">
        <f>+J246*Assumptions!$H$123*J248</f>
        <v>2302107.757443158</v>
      </c>
      <c r="K251" s="1028">
        <f>+K246*Assumptions!$H$123*K248</f>
        <v>2302107.757443158</v>
      </c>
      <c r="L251" s="1028">
        <f>+L246*Assumptions!$H$123*L248</f>
        <v>2647423.9210596313</v>
      </c>
      <c r="M251" s="1028">
        <f>+M246*Assumptions!$H$123*M248</f>
        <v>2647423.9210596313</v>
      </c>
      <c r="N251" s="1028">
        <f>+N246*Assumptions!$H$123*N248</f>
        <v>2647423.9210596313</v>
      </c>
      <c r="O251" s="1028">
        <f>+O246*Assumptions!$H$123*O248</f>
        <v>2647423.9210596313</v>
      </c>
      <c r="P251" s="1028">
        <f>+P246*Assumptions!$H$123*P248</f>
        <v>2647423.9210596313</v>
      </c>
      <c r="Q251" s="1028">
        <f>+Q246*Assumptions!$H$123*Q248</f>
        <v>3044537.5092185759</v>
      </c>
      <c r="R251" s="1028">
        <f>+R246*Assumptions!$H$123*R248</f>
        <v>3044537.5092185759</v>
      </c>
      <c r="S251" s="1028">
        <f>+S246*Assumptions!$H$123*S248</f>
        <v>3044537.5092185759</v>
      </c>
      <c r="T251" s="1028">
        <f>+T246*Assumptions!$H$123*T248</f>
        <v>3044537.5092185759</v>
      </c>
      <c r="U251" s="1028">
        <f>+U246*Assumptions!$H$123*U248</f>
        <v>3044537.5092185759</v>
      </c>
      <c r="V251" s="1028">
        <f>+V246*Assumptions!$H$123*V248</f>
        <v>3501218.1356013617</v>
      </c>
      <c r="W251" s="1028">
        <f>+W246*Assumptions!$H$123*W248</f>
        <v>3501218.1356013617</v>
      </c>
      <c r="X251" s="1028">
        <f>+X246*Assumptions!$H$123*X248</f>
        <v>3501218.1356013617</v>
      </c>
      <c r="Y251" s="1028">
        <f>+Y246*Assumptions!$H$123*Y248</f>
        <v>3501218.1356013617</v>
      </c>
      <c r="Z251" s="1028">
        <f>+Z246*Assumptions!$H$123*Z248</f>
        <v>3501218.1356013617</v>
      </c>
      <c r="AA251" s="699"/>
      <c r="AB251" s="699"/>
      <c r="AC251" s="640">
        <f>0.06*SUM(I251:R251)</f>
        <v>1504887.8410405922</v>
      </c>
    </row>
    <row r="252" spans="2:29">
      <c r="B252" s="699" t="s">
        <v>1130</v>
      </c>
      <c r="C252" s="699"/>
      <c r="D252" s="699"/>
      <c r="E252" s="699"/>
      <c r="F252" s="1085">
        <f>-F251*Assumptions!$P$63</f>
        <v>0</v>
      </c>
      <c r="G252" s="1085">
        <f>-G251*Assumptions!$P$63</f>
        <v>0</v>
      </c>
      <c r="H252" s="1085">
        <f>-H251*Assumptions!$P$63</f>
        <v>0</v>
      </c>
      <c r="I252" s="1085">
        <f>-I251*Assumptions!$P$63</f>
        <v>-80573.771510510531</v>
      </c>
      <c r="J252" s="1085">
        <f>-J251*Assumptions!$P$63</f>
        <v>-161147.54302102106</v>
      </c>
      <c r="K252" s="1085">
        <f>-K251*Assumptions!$P$63</f>
        <v>-161147.54302102106</v>
      </c>
      <c r="L252" s="1085">
        <f>-L251*Assumptions!$P$63</f>
        <v>-185319.67447417421</v>
      </c>
      <c r="M252" s="1085">
        <f>-M251*Assumptions!$P$63</f>
        <v>-185319.67447417421</v>
      </c>
      <c r="N252" s="1085">
        <f>-N251*Assumptions!$P$63</f>
        <v>-185319.67447417421</v>
      </c>
      <c r="O252" s="1085">
        <f>-O251*Assumptions!$P$63</f>
        <v>-185319.67447417421</v>
      </c>
      <c r="P252" s="1085">
        <f>-P251*Assumptions!$P$63</f>
        <v>-185319.67447417421</v>
      </c>
      <c r="Q252" s="1085">
        <f>-Q251*Assumptions!$P$63</f>
        <v>-213117.62564530034</v>
      </c>
      <c r="R252" s="1085">
        <f>-R251*Assumptions!$P$63</f>
        <v>-213117.62564530034</v>
      </c>
      <c r="S252" s="1085">
        <f>-S251*Assumptions!$P$63</f>
        <v>-213117.62564530034</v>
      </c>
      <c r="T252" s="1085">
        <f>-T251*Assumptions!$P$63</f>
        <v>-213117.62564530034</v>
      </c>
      <c r="U252" s="1085">
        <f>-U251*Assumptions!$P$63</f>
        <v>-213117.62564530034</v>
      </c>
      <c r="V252" s="1085">
        <f>-V251*Assumptions!$P$63</f>
        <v>-245085.26949209534</v>
      </c>
      <c r="W252" s="1085">
        <f>-W251*Assumptions!$P$63</f>
        <v>-245085.26949209534</v>
      </c>
      <c r="X252" s="1085">
        <f>-X251*Assumptions!$P$63</f>
        <v>-245085.26949209534</v>
      </c>
      <c r="Y252" s="1085">
        <f>-Y251*Assumptions!$P$63</f>
        <v>-245085.26949209534</v>
      </c>
      <c r="Z252" s="1085">
        <f>-Z251*Assumptions!$P$63</f>
        <v>-245085.26949209534</v>
      </c>
      <c r="AA252" s="699"/>
      <c r="AB252" s="699"/>
      <c r="AC252" s="699"/>
    </row>
    <row r="253" spans="2:29">
      <c r="B253" s="699" t="s">
        <v>1139</v>
      </c>
      <c r="C253" s="699"/>
      <c r="D253" s="699"/>
      <c r="E253" s="699"/>
      <c r="F253" s="1085">
        <f ca="1">+F258*Assumptions!$P$92</f>
        <v>0</v>
      </c>
      <c r="G253" s="1085">
        <f ca="1">+G258*Assumptions!$P$92</f>
        <v>0</v>
      </c>
      <c r="H253" s="1085">
        <f ca="1">+H258*Assumptions!$P$92</f>
        <v>0</v>
      </c>
      <c r="I253" s="1085">
        <f ca="1">+I258*Assumptions!$P$92</f>
        <v>424333.58995721128</v>
      </c>
      <c r="J253" s="1085">
        <f ca="1">+J258*Assumptions!$P$92</f>
        <v>874127.19531185529</v>
      </c>
      <c r="K253" s="1085">
        <f ca="1">+K258*Assumptions!$P$92</f>
        <v>888650.73038365587</v>
      </c>
      <c r="L253" s="1085">
        <f ca="1">+L258*Assumptions!$P$92</f>
        <v>903609.97150761064</v>
      </c>
      <c r="M253" s="1085">
        <f ca="1">+M258*Assumptions!$P$92</f>
        <v>930718.27065283898</v>
      </c>
      <c r="N253" s="1085">
        <f ca="1">+N258*Assumptions!$P$92</f>
        <v>946588.52956124244</v>
      </c>
      <c r="O253" s="1085">
        <f ca="1">+O258*Assumptions!$P$92</f>
        <v>962934.89623689838</v>
      </c>
      <c r="P253" s="1085">
        <f ca="1">+P258*Assumptions!$P$92</f>
        <v>991822.94312400534</v>
      </c>
      <c r="Q253" s="1085">
        <f ca="1">+Q258*Assumptions!$P$92</f>
        <v>1009164.8035302085</v>
      </c>
      <c r="R253" s="1085">
        <f ca="1">+R258*Assumptions!$P$92</f>
        <v>1027026.9197485977</v>
      </c>
      <c r="S253" s="1085">
        <f ca="1">+S258*Assumptions!$P$92</f>
        <v>1057837.7273410556</v>
      </c>
      <c r="T253" s="1085">
        <f ca="1">+T258*Assumptions!$P$92</f>
        <v>1076787.6464371448</v>
      </c>
      <c r="U253" s="1085">
        <f ca="1">+U258*Assumptions!$P$92</f>
        <v>1096306.0631061168</v>
      </c>
      <c r="V253" s="1085">
        <f ca="1">+V258*Assumptions!$P$92</f>
        <v>1129195.2449993002</v>
      </c>
      <c r="W253" s="1085">
        <f ca="1">+W258*Assumptions!$P$92</f>
        <v>1149902.3332434127</v>
      </c>
      <c r="X253" s="1085">
        <f ca="1">+X258*Assumptions!$P$92</f>
        <v>1171230.6341348479</v>
      </c>
      <c r="Y253" s="1085">
        <f ca="1">+Y258*Assumptions!$P$92</f>
        <v>1206367.5531588935</v>
      </c>
      <c r="Z253" s="1085">
        <f ca="1">+Z258*Assumptions!$P$92</f>
        <v>1228994.7475746176</v>
      </c>
      <c r="AA253" s="699"/>
      <c r="AB253" s="699"/>
      <c r="AC253" s="699"/>
    </row>
    <row r="254" spans="2:29">
      <c r="B254" s="52" t="s">
        <v>1131</v>
      </c>
      <c r="C254" s="1052"/>
      <c r="D254" s="1052"/>
      <c r="E254" s="1052"/>
      <c r="F254" s="1086">
        <f ca="1">SUM(F251:F253)</f>
        <v>0</v>
      </c>
      <c r="G254" s="1086">
        <f t="shared" ref="G254:Z254" ca="1" si="78">SUM(G251:G253)</f>
        <v>0</v>
      </c>
      <c r="H254" s="1086">
        <f t="shared" ca="1" si="78"/>
        <v>0</v>
      </c>
      <c r="I254" s="1086">
        <f t="shared" ca="1" si="78"/>
        <v>1494813.6971682799</v>
      </c>
      <c r="J254" s="1086">
        <f t="shared" ca="1" si="78"/>
        <v>3015087.4097339921</v>
      </c>
      <c r="K254" s="1086">
        <f t="shared" ca="1" si="78"/>
        <v>3029610.944805793</v>
      </c>
      <c r="L254" s="1086">
        <f t="shared" ca="1" si="78"/>
        <v>3365714.2180930679</v>
      </c>
      <c r="M254" s="1086">
        <f t="shared" ca="1" si="78"/>
        <v>3392822.5172382961</v>
      </c>
      <c r="N254" s="1086">
        <f t="shared" ca="1" si="78"/>
        <v>3408692.7761466997</v>
      </c>
      <c r="O254" s="1086">
        <f t="shared" ca="1" si="78"/>
        <v>3425039.1428223555</v>
      </c>
      <c r="P254" s="1086">
        <f t="shared" ca="1" si="78"/>
        <v>3453927.1897094622</v>
      </c>
      <c r="Q254" s="1086">
        <f t="shared" ca="1" si="78"/>
        <v>3840584.6871034838</v>
      </c>
      <c r="R254" s="1086">
        <f t="shared" ca="1" si="78"/>
        <v>3858446.8033218733</v>
      </c>
      <c r="S254" s="1086">
        <f t="shared" ca="1" si="78"/>
        <v>3889257.6109143309</v>
      </c>
      <c r="T254" s="1086">
        <f t="shared" ca="1" si="78"/>
        <v>3908207.5300104204</v>
      </c>
      <c r="U254" s="1086">
        <f t="shared" ca="1" si="78"/>
        <v>3927725.9466793924</v>
      </c>
      <c r="V254" s="1086">
        <f t="shared" ca="1" si="78"/>
        <v>4385328.1111085666</v>
      </c>
      <c r="W254" s="1086">
        <f t="shared" ca="1" si="78"/>
        <v>4406035.1993526788</v>
      </c>
      <c r="X254" s="1086">
        <f t="shared" ca="1" si="78"/>
        <v>4427363.5002441145</v>
      </c>
      <c r="Y254" s="1086">
        <f t="shared" ca="1" si="78"/>
        <v>4462500.4192681601</v>
      </c>
      <c r="Z254" s="1086">
        <f t="shared" ca="1" si="78"/>
        <v>4485127.613683884</v>
      </c>
      <c r="AA254" s="699"/>
      <c r="AB254" s="699"/>
      <c r="AC254" s="699"/>
    </row>
    <row r="255" spans="2:29">
      <c r="B255" s="49"/>
      <c r="C255" s="699"/>
      <c r="D255" s="699"/>
      <c r="E255" s="699"/>
      <c r="F255" s="699"/>
      <c r="G255" s="699"/>
      <c r="H255" s="699"/>
      <c r="I255" s="699"/>
      <c r="J255" s="699"/>
      <c r="K255" s="699"/>
      <c r="L255" s="699"/>
      <c r="M255" s="699"/>
      <c r="N255" s="699"/>
      <c r="O255" s="699"/>
      <c r="P255" s="699"/>
      <c r="Q255" s="699"/>
      <c r="R255" s="699"/>
      <c r="S255" s="699"/>
      <c r="T255" s="699"/>
      <c r="U255" s="699"/>
      <c r="V255" s="699"/>
      <c r="W255" s="699"/>
      <c r="X255" s="699"/>
      <c r="Y255" s="699"/>
      <c r="Z255" s="699"/>
      <c r="AA255" s="699"/>
      <c r="AB255" s="699"/>
      <c r="AC255" s="699"/>
    </row>
    <row r="256" spans="2:29">
      <c r="B256" s="699" t="s">
        <v>1132</v>
      </c>
      <c r="C256" s="699"/>
      <c r="D256" s="699"/>
      <c r="E256" s="699"/>
      <c r="F256" s="1087">
        <f>+F245*Assumptions!$P$105*F249</f>
        <v>0</v>
      </c>
      <c r="G256" s="1087">
        <f>+G245*Assumptions!$P$105*G249</f>
        <v>0</v>
      </c>
      <c r="H256" s="1087">
        <f>+H245*Assumptions!$P$105*H249</f>
        <v>0</v>
      </c>
      <c r="I256" s="1087">
        <f>+I245*Assumptions!$P$105*I249</f>
        <v>261120.73124416985</v>
      </c>
      <c r="J256" s="1087">
        <f>+J245*Assumptions!$P$105*J249</f>
        <v>537908.70636298996</v>
      </c>
      <c r="K256" s="1087">
        <f>+K245*Assumptions!$P$105*K249</f>
        <v>554045.9675538796</v>
      </c>
      <c r="L256" s="1087">
        <f>+L245*Assumptions!$P$105*L249</f>
        <v>570667.34658049594</v>
      </c>
      <c r="M256" s="1087">
        <f>+M245*Assumptions!$P$105*M249</f>
        <v>587787.36697791086</v>
      </c>
      <c r="N256" s="1087">
        <f>+N245*Assumptions!$P$105*N249</f>
        <v>605420.98798724823</v>
      </c>
      <c r="O256" s="1087">
        <f>+O245*Assumptions!$P$105*O249</f>
        <v>623583.61762686574</v>
      </c>
      <c r="P256" s="1087">
        <f>+P245*Assumptions!$P$105*P249</f>
        <v>642291.12615567166</v>
      </c>
      <c r="Q256" s="1087">
        <f>+Q245*Assumptions!$P$105*Q249</f>
        <v>661559.85994034191</v>
      </c>
      <c r="R256" s="1087">
        <f>+R245*Assumptions!$P$105*R249</f>
        <v>681406.6557385521</v>
      </c>
      <c r="S256" s="1087">
        <f>+S245*Assumptions!$P$105*S249</f>
        <v>701848.8554107087</v>
      </c>
      <c r="T256" s="1087">
        <f>+T245*Assumptions!$P$105*T249</f>
        <v>722904.32107303012</v>
      </c>
      <c r="U256" s="1087">
        <f>+U245*Assumptions!$P$105*U249</f>
        <v>744591.45070522104</v>
      </c>
      <c r="V256" s="1087">
        <f>+V245*Assumptions!$P$105*V249</f>
        <v>766929.19422637764</v>
      </c>
      <c r="W256" s="1087">
        <f>+W245*Assumptions!$P$105*W249</f>
        <v>789937.07005316904</v>
      </c>
      <c r="X256" s="1087">
        <f>+X245*Assumptions!$P$105*X249</f>
        <v>813635.18215476407</v>
      </c>
      <c r="Y256" s="1087">
        <f>+Y245*Assumptions!$P$105*Y249</f>
        <v>838044.23761940701</v>
      </c>
      <c r="Z256" s="1087">
        <f>+Z245*Assumptions!$P$105*Z249</f>
        <v>863185.56474798929</v>
      </c>
      <c r="AA256" s="699"/>
      <c r="AB256" s="699"/>
      <c r="AC256" s="699"/>
    </row>
    <row r="257" spans="1:26">
      <c r="A257" s="699"/>
      <c r="B257" s="699" t="s">
        <v>1133</v>
      </c>
      <c r="C257" s="699"/>
      <c r="D257" s="699"/>
      <c r="E257" s="699"/>
      <c r="F257" s="1050">
        <f ca="1">+IFERROR(INDEX('Taxes and TIF'!$AS$11:$AS$45,MATCH('Phase 3 Pro Forma'!F$7,'Taxes and TIF'!$AH$11:$AH$45,0)),0)*'Loan Sizing'!$M$27*'Phase 3 Pro Forma'!F246</f>
        <v>0</v>
      </c>
      <c r="G257" s="1050">
        <f ca="1">+IFERROR(INDEX('Taxes and TIF'!$AS$11:$AS$45,MATCH('Phase 3 Pro Forma'!G$7,'Taxes and TIF'!$AH$11:$AH$45,0)),0)*'Loan Sizing'!$M$27*'Phase 3 Pro Forma'!G246</f>
        <v>0</v>
      </c>
      <c r="H257" s="1050">
        <f ca="1">+IFERROR(INDEX('Taxes and TIF'!$AS$11:$AS$45,MATCH('Phase 3 Pro Forma'!H$7,'Taxes and TIF'!$AH$11:$AH$45,0)),0)*'Loan Sizing'!$M$27*'Phase 3 Pro Forma'!H246</f>
        <v>0</v>
      </c>
      <c r="I257" s="1050">
        <f ca="1">+IFERROR(INDEX('Taxes and TIF'!$AS$11:$AS$45,MATCH('Phase 3 Pro Forma'!I$7,'Taxes and TIF'!$AH$11:$AH$45,0)),0)*'Loan Sizing'!$M$27*'Phase 3 Pro Forma'!I246</f>
        <v>210361.03537495379</v>
      </c>
      <c r="J257" s="1050">
        <f ca="1">+IFERROR(INDEX('Taxes and TIF'!$AS$11:$AS$45,MATCH('Phase 3 Pro Forma'!J$7,'Taxes and TIF'!$AH$11:$AH$45,0)),0)*'Loan Sizing'!$M$27*'Phase 3 Pro Forma'!J246</f>
        <v>433343.73287240474</v>
      </c>
      <c r="K257" s="1050">
        <f ca="1">+IFERROR(INDEX('Taxes and TIF'!$AS$11:$AS$45,MATCH('Phase 3 Pro Forma'!K$7,'Taxes and TIF'!$AH$11:$AH$45,0)),0)*'Loan Sizing'!$M$27*'Phase 3 Pro Forma'!K246</f>
        <v>433343.73287240474</v>
      </c>
      <c r="L257" s="1050">
        <f ca="1">+IFERROR(INDEX('Taxes and TIF'!$AS$11:$AS$45,MATCH('Phase 3 Pro Forma'!L$7,'Taxes and TIF'!$AH$11:$AH$45,0)),0)*'Loan Sizing'!$M$27*'Phase 3 Pro Forma'!L246</f>
        <v>433343.73287240474</v>
      </c>
      <c r="M257" s="1050">
        <f ca="1">+IFERROR(INDEX('Taxes and TIF'!$AS$11:$AS$45,MATCH('Phase 3 Pro Forma'!M$7,'Taxes and TIF'!$AH$11:$AH$45,0)),0)*'Loan Sizing'!$M$27*'Phase 3 Pro Forma'!M246</f>
        <v>446344.04485857685</v>
      </c>
      <c r="N257" s="1050">
        <f ca="1">+IFERROR(INDEX('Taxes and TIF'!$AS$11:$AS$45,MATCH('Phase 3 Pro Forma'!N$7,'Taxes and TIF'!$AH$11:$AH$45,0)),0)*'Loan Sizing'!$M$27*'Phase 3 Pro Forma'!N246</f>
        <v>446344.04485857685</v>
      </c>
      <c r="O257" s="1050">
        <f ca="1">+IFERROR(INDEX('Taxes and TIF'!$AS$11:$AS$45,MATCH('Phase 3 Pro Forma'!O$7,'Taxes and TIF'!$AH$11:$AH$45,0)),0)*'Loan Sizing'!$M$27*'Phase 3 Pro Forma'!O246</f>
        <v>446344.04485857685</v>
      </c>
      <c r="P257" s="1050">
        <f ca="1">+IFERROR(INDEX('Taxes and TIF'!$AS$11:$AS$45,MATCH('Phase 3 Pro Forma'!P$7,'Taxes and TIF'!$AH$11:$AH$45,0)),0)*'Loan Sizing'!$M$27*'Phase 3 Pro Forma'!P246</f>
        <v>459734.36620433419</v>
      </c>
      <c r="Q257" s="1050">
        <f ca="1">+IFERROR(INDEX('Taxes and TIF'!$AS$11:$AS$45,MATCH('Phase 3 Pro Forma'!Q$7,'Taxes and TIF'!$AH$11:$AH$45,0)),0)*'Loan Sizing'!$M$27*'Phase 3 Pro Forma'!Q246</f>
        <v>459734.36620433419</v>
      </c>
      <c r="R257" s="1050">
        <f ca="1">+IFERROR(INDEX('Taxes and TIF'!$AS$11:$AS$45,MATCH('Phase 3 Pro Forma'!R$7,'Taxes and TIF'!$AH$11:$AH$45,0)),0)*'Loan Sizing'!$M$27*'Phase 3 Pro Forma'!R246</f>
        <v>459734.36620433419</v>
      </c>
      <c r="S257" s="1050">
        <f ca="1">+IFERROR(INDEX('Taxes and TIF'!$AS$11:$AS$45,MATCH('Phase 3 Pro Forma'!S$7,'Taxes and TIF'!$AH$11:$AH$45,0)),0)*'Loan Sizing'!$M$27*'Phase 3 Pro Forma'!S246</f>
        <v>473526.39719046425</v>
      </c>
      <c r="T257" s="1050">
        <f ca="1">+IFERROR(INDEX('Taxes and TIF'!$AS$11:$AS$45,MATCH('Phase 3 Pro Forma'!T$7,'Taxes and TIF'!$AH$11:$AH$45,0)),0)*'Loan Sizing'!$M$27*'Phase 3 Pro Forma'!T246</f>
        <v>473526.39719046425</v>
      </c>
      <c r="U257" s="1050">
        <f ca="1">+IFERROR(INDEX('Taxes and TIF'!$AS$11:$AS$45,MATCH('Phase 3 Pro Forma'!U$7,'Taxes and TIF'!$AH$11:$AH$45,0)),0)*'Loan Sizing'!$M$27*'Phase 3 Pro Forma'!U246</f>
        <v>473526.39719046425</v>
      </c>
      <c r="V257" s="1050">
        <f ca="1">+IFERROR(INDEX('Taxes and TIF'!$AS$11:$AS$45,MATCH('Phase 3 Pro Forma'!V$7,'Taxes and TIF'!$AH$11:$AH$45,0)),0)*'Loan Sizing'!$M$27*'Phase 3 Pro Forma'!V246</f>
        <v>487732.18910617818</v>
      </c>
      <c r="W257" s="1050">
        <f ca="1">+IFERROR(INDEX('Taxes and TIF'!$AS$11:$AS$45,MATCH('Phase 3 Pro Forma'!W$7,'Taxes and TIF'!$AH$11:$AH$45,0)),0)*'Loan Sizing'!$M$27*'Phase 3 Pro Forma'!W246</f>
        <v>487732.18910617818</v>
      </c>
      <c r="X257" s="1050">
        <f ca="1">+IFERROR(INDEX('Taxes and TIF'!$AS$11:$AS$45,MATCH('Phase 3 Pro Forma'!X$7,'Taxes and TIF'!$AH$11:$AH$45,0)),0)*'Loan Sizing'!$M$27*'Phase 3 Pro Forma'!X246</f>
        <v>487732.18910617818</v>
      </c>
      <c r="Y257" s="1050">
        <f ca="1">+IFERROR(INDEX('Taxes and TIF'!$AS$11:$AS$45,MATCH('Phase 3 Pro Forma'!Y$7,'Taxes and TIF'!$AH$11:$AH$45,0)),0)*'Loan Sizing'!$M$27*'Phase 3 Pro Forma'!Y246</f>
        <v>502364.15477936348</v>
      </c>
      <c r="Z257" s="1050">
        <f ca="1">+IFERROR(INDEX('Taxes and TIF'!$AS$11:$AS$45,MATCH('Phase 3 Pro Forma'!Z$7,'Taxes and TIF'!$AH$11:$AH$45,0)),0)*'Loan Sizing'!$M$27*'Phase 3 Pro Forma'!Z246</f>
        <v>502364.15477936348</v>
      </c>
    </row>
    <row r="258" spans="1:26">
      <c r="A258" s="699"/>
      <c r="B258" s="52" t="s">
        <v>1134</v>
      </c>
      <c r="C258" s="1052"/>
      <c r="D258" s="1052"/>
      <c r="E258" s="1052"/>
      <c r="F258" s="1088">
        <f ca="1">+SUM(F256:F257)</f>
        <v>0</v>
      </c>
      <c r="G258" s="1088">
        <f t="shared" ref="G258:Z258" ca="1" si="79">+SUM(G256:G257)</f>
        <v>0</v>
      </c>
      <c r="H258" s="1088">
        <f t="shared" ca="1" si="79"/>
        <v>0</v>
      </c>
      <c r="I258" s="1088">
        <f t="shared" ca="1" si="79"/>
        <v>471481.76661912363</v>
      </c>
      <c r="J258" s="1088">
        <f t="shared" ca="1" si="79"/>
        <v>971252.4392353947</v>
      </c>
      <c r="K258" s="1088">
        <f t="shared" ca="1" si="79"/>
        <v>987389.70042628434</v>
      </c>
      <c r="L258" s="1088">
        <f t="shared" ca="1" si="79"/>
        <v>1004011.0794529007</v>
      </c>
      <c r="M258" s="1088">
        <f t="shared" ca="1" si="79"/>
        <v>1034131.4118364877</v>
      </c>
      <c r="N258" s="1088">
        <f t="shared" ca="1" si="79"/>
        <v>1051765.032845825</v>
      </c>
      <c r="O258" s="1088">
        <f t="shared" ca="1" si="79"/>
        <v>1069927.6624854426</v>
      </c>
      <c r="P258" s="1088">
        <f t="shared" ca="1" si="79"/>
        <v>1102025.4923600059</v>
      </c>
      <c r="Q258" s="1088">
        <f t="shared" ca="1" si="79"/>
        <v>1121294.2261446761</v>
      </c>
      <c r="R258" s="1088">
        <f t="shared" ca="1" si="79"/>
        <v>1141141.0219428863</v>
      </c>
      <c r="S258" s="1088">
        <f t="shared" ca="1" si="79"/>
        <v>1175375.252601173</v>
      </c>
      <c r="T258" s="1088">
        <f t="shared" ca="1" si="79"/>
        <v>1196430.7182634943</v>
      </c>
      <c r="U258" s="1088">
        <f t="shared" ca="1" si="79"/>
        <v>1218117.8478956854</v>
      </c>
      <c r="V258" s="1088">
        <f t="shared" ca="1" si="79"/>
        <v>1254661.3833325559</v>
      </c>
      <c r="W258" s="1088">
        <f t="shared" ca="1" si="79"/>
        <v>1277669.2591593473</v>
      </c>
      <c r="X258" s="1088">
        <f t="shared" ca="1" si="79"/>
        <v>1301367.3712609422</v>
      </c>
      <c r="Y258" s="1088">
        <f t="shared" ca="1" si="79"/>
        <v>1340408.3923987704</v>
      </c>
      <c r="Z258" s="1088">
        <f t="shared" ca="1" si="79"/>
        <v>1365549.7195273528</v>
      </c>
    </row>
    <row r="260" spans="1:26" ht="15.75">
      <c r="A260" s="699"/>
      <c r="B260" s="50" t="s">
        <v>1135</v>
      </c>
      <c r="C260" s="50"/>
      <c r="D260" s="50"/>
      <c r="E260" s="50"/>
      <c r="F260" s="55">
        <f ca="1">+F254-F258</f>
        <v>0</v>
      </c>
      <c r="G260" s="55">
        <f t="shared" ref="G260:Z260" ca="1" si="80">+G254-G258</f>
        <v>0</v>
      </c>
      <c r="H260" s="55">
        <f t="shared" ca="1" si="80"/>
        <v>0</v>
      </c>
      <c r="I260" s="55">
        <f t="shared" ca="1" si="80"/>
        <v>1023331.9305491563</v>
      </c>
      <c r="J260" s="55">
        <f t="shared" ca="1" si="80"/>
        <v>2043834.9704985972</v>
      </c>
      <c r="K260" s="55">
        <f t="shared" ca="1" si="80"/>
        <v>2042221.2443795088</v>
      </c>
      <c r="L260" s="55">
        <f t="shared" ca="1" si="80"/>
        <v>2361703.1386401672</v>
      </c>
      <c r="M260" s="55">
        <f t="shared" ca="1" si="80"/>
        <v>2358691.1054018084</v>
      </c>
      <c r="N260" s="55">
        <f t="shared" ca="1" si="80"/>
        <v>2356927.7433008747</v>
      </c>
      <c r="O260" s="55">
        <f t="shared" ca="1" si="80"/>
        <v>2355111.4803369129</v>
      </c>
      <c r="P260" s="55">
        <f t="shared" ca="1" si="80"/>
        <v>2351901.6973494561</v>
      </c>
      <c r="Q260" s="55">
        <f t="shared" ca="1" si="80"/>
        <v>2719290.4609588077</v>
      </c>
      <c r="R260" s="55">
        <f t="shared" ca="1" si="80"/>
        <v>2717305.7813789872</v>
      </c>
      <c r="S260" s="55">
        <f t="shared" ca="1" si="80"/>
        <v>2713882.3583131582</v>
      </c>
      <c r="T260" s="55">
        <f t="shared" ca="1" si="80"/>
        <v>2711776.811746926</v>
      </c>
      <c r="U260" s="55">
        <f t="shared" ca="1" si="80"/>
        <v>2709608.0987837072</v>
      </c>
      <c r="V260" s="55">
        <f t="shared" ca="1" si="80"/>
        <v>3130666.7277760105</v>
      </c>
      <c r="W260" s="55">
        <f t="shared" ca="1" si="80"/>
        <v>3128365.9401933318</v>
      </c>
      <c r="X260" s="55">
        <f t="shared" ca="1" si="80"/>
        <v>3125996.1289831726</v>
      </c>
      <c r="Y260" s="55">
        <f t="shared" ca="1" si="80"/>
        <v>3122092.0268693897</v>
      </c>
      <c r="Z260" s="55">
        <f t="shared" ca="1" si="80"/>
        <v>3119577.8941565314</v>
      </c>
    </row>
    <row r="261" spans="1:26">
      <c r="A261" s="699"/>
      <c r="B261" s="51" t="s">
        <v>1136</v>
      </c>
      <c r="C261" s="51"/>
      <c r="D261" s="51"/>
      <c r="E261" s="51"/>
      <c r="F261" s="56" t="str">
        <f ca="1">+IFERROR(F260/F254,"")</f>
        <v/>
      </c>
      <c r="G261" s="56" t="str">
        <f t="shared" ref="G261:Z261" ca="1" si="81">+IFERROR(G260/G254,"")</f>
        <v/>
      </c>
      <c r="H261" s="56" t="str">
        <f t="shared" ca="1" si="81"/>
        <v/>
      </c>
      <c r="I261" s="56">
        <f t="shared" ca="1" si="81"/>
        <v>0.68458827510593367</v>
      </c>
      <c r="J261" s="56">
        <f t="shared" ca="1" si="81"/>
        <v>0.67786922657705495</v>
      </c>
      <c r="K261" s="56">
        <f t="shared" ca="1" si="81"/>
        <v>0.6740869641631233</v>
      </c>
      <c r="L261" s="56">
        <f t="shared" ca="1" si="81"/>
        <v>0.70169449501813341</v>
      </c>
      <c r="M261" s="56">
        <f t="shared" ca="1" si="81"/>
        <v>0.69520026273633251</v>
      </c>
      <c r="N261" s="56">
        <f t="shared" ca="1" si="81"/>
        <v>0.69144622237420428</v>
      </c>
      <c r="O261" s="56">
        <f t="shared" ca="1" si="81"/>
        <v>0.68761593141858701</v>
      </c>
      <c r="P261" s="56">
        <f t="shared" ca="1" si="81"/>
        <v>0.68093551721548984</v>
      </c>
      <c r="Q261" s="56">
        <f t="shared" ca="1" si="81"/>
        <v>0.70804074965201702</v>
      </c>
      <c r="R261" s="56">
        <f t="shared" ca="1" si="81"/>
        <v>0.70424860569272651</v>
      </c>
      <c r="S261" s="56">
        <f t="shared" ca="1" si="81"/>
        <v>0.69778930320718657</v>
      </c>
      <c r="T261" s="56">
        <f t="shared" ca="1" si="81"/>
        <v>0.69386714777137126</v>
      </c>
      <c r="U261" s="56">
        <f t="shared" ca="1" si="81"/>
        <v>0.68986689386373423</v>
      </c>
      <c r="V261" s="56">
        <f t="shared" ca="1" si="81"/>
        <v>0.71389566492086487</v>
      </c>
      <c r="W261" s="56">
        <f t="shared" ca="1" si="81"/>
        <v>0.71001837222111652</v>
      </c>
      <c r="X261" s="56">
        <f t="shared" ca="1" si="81"/>
        <v>0.70606267789189037</v>
      </c>
      <c r="Y261" s="56">
        <f t="shared" ca="1" si="81"/>
        <v>0.69962839967226398</v>
      </c>
      <c r="Z261" s="56">
        <f t="shared" ca="1" si="81"/>
        <v>0.69553826844053812</v>
      </c>
    </row>
    <row r="262" spans="1:26">
      <c r="A262" s="699"/>
      <c r="B262" s="223"/>
      <c r="C262" s="223"/>
      <c r="D262" s="223"/>
      <c r="E262" s="223"/>
      <c r="F262" s="641"/>
      <c r="G262" s="641"/>
      <c r="H262" s="641"/>
      <c r="I262" s="641"/>
      <c r="J262" s="641"/>
      <c r="K262" s="641"/>
      <c r="L262" s="641"/>
      <c r="M262" s="641"/>
      <c r="N262" s="641"/>
      <c r="O262" s="641"/>
      <c r="P262" s="641"/>
      <c r="Q262" s="641"/>
      <c r="R262" s="641"/>
      <c r="S262" s="641"/>
      <c r="T262" s="641"/>
      <c r="U262" s="641"/>
      <c r="V262" s="641"/>
      <c r="W262" s="641"/>
      <c r="X262" s="641"/>
      <c r="Y262" s="641"/>
      <c r="Z262" s="641"/>
    </row>
    <row r="263" spans="1:26">
      <c r="A263" s="699"/>
      <c r="B263" s="49" t="s">
        <v>1140</v>
      </c>
      <c r="C263" s="223"/>
      <c r="D263" s="223"/>
      <c r="E263" s="223"/>
      <c r="F263" s="642">
        <f>+F244*Assumptions!$P$110</f>
        <v>0</v>
      </c>
      <c r="G263" s="642">
        <f>+G244*Assumptions!$P$110</f>
        <v>0</v>
      </c>
      <c r="H263" s="642">
        <f>+H244*Assumptions!$P$110</f>
        <v>0</v>
      </c>
      <c r="I263" s="642">
        <f>+I244*Assumptions!$P$110</f>
        <v>2139126.6772701908</v>
      </c>
      <c r="J263" s="642">
        <f>+J244*Assumptions!$P$110</f>
        <v>2139126.6772701908</v>
      </c>
      <c r="K263" s="642">
        <f>+K244*Assumptions!$P$110</f>
        <v>0</v>
      </c>
      <c r="L263" s="642">
        <f>+L244*Assumptions!$P$110</f>
        <v>0</v>
      </c>
      <c r="M263" s="642">
        <f>+M244*Assumptions!$P$110</f>
        <v>0</v>
      </c>
      <c r="N263" s="642">
        <f>+N244*Assumptions!$P$110</f>
        <v>0</v>
      </c>
      <c r="O263" s="642">
        <f>+O244*Assumptions!$P$110</f>
        <v>0</v>
      </c>
      <c r="P263" s="642">
        <f>+P244*Assumptions!$P$110</f>
        <v>0</v>
      </c>
      <c r="Q263" s="642">
        <f>+Q244*Assumptions!$P$110</f>
        <v>0</v>
      </c>
      <c r="R263" s="642">
        <f>+R244*Assumptions!$P$110</f>
        <v>0</v>
      </c>
      <c r="S263" s="642">
        <f>+S244*Assumptions!$P$110</f>
        <v>0</v>
      </c>
      <c r="T263" s="642">
        <f>+T244*Assumptions!$P$110</f>
        <v>0</v>
      </c>
      <c r="U263" s="642">
        <f>+U244*Assumptions!$P$110</f>
        <v>0</v>
      </c>
      <c r="V263" s="642">
        <f>+V244*Assumptions!$P$110</f>
        <v>0</v>
      </c>
      <c r="W263" s="642">
        <f>+W244*Assumptions!$P$110</f>
        <v>0</v>
      </c>
      <c r="X263" s="642">
        <f>+X244*Assumptions!$P$110</f>
        <v>0</v>
      </c>
      <c r="Y263" s="642">
        <f>+Y244*Assumptions!$P$110</f>
        <v>0</v>
      </c>
      <c r="Z263" s="642">
        <f>+Z244*Assumptions!$P$110</f>
        <v>0</v>
      </c>
    </row>
    <row r="264" spans="1:26">
      <c r="A264" s="699"/>
      <c r="B264" s="49" t="s">
        <v>1141</v>
      </c>
      <c r="C264" s="223"/>
      <c r="D264" s="223"/>
      <c r="E264" s="223"/>
      <c r="F264" s="642">
        <f>IF(F243=P3_Const_Completion,SUM('Phase 3 Pro Forma'!F251:O251)*Assumptions!$P$112,0)</f>
        <v>0</v>
      </c>
      <c r="G264" s="642">
        <f>IF(G243=P3_Const_Completion,SUM('Phase 3 Pro Forma'!G251:P251)*Assumptions!$P$112,0)</f>
        <v>0</v>
      </c>
      <c r="H264" s="642">
        <f>IF(H243=P3_Const_Completion,SUM('Phase 3 Pro Forma'!H251:Q251)*Assumptions!$P$112,0)</f>
        <v>0</v>
      </c>
      <c r="I264" s="642">
        <f>IF(I243=P3_Const_Completion,SUM('Phase 3 Pro Forma'!I251:R251)*Assumptions!$P$112,0)</f>
        <v>1504887.8410405922</v>
      </c>
      <c r="J264" s="642">
        <f>IF(J243=P3_Const_Completion,SUM('Phase 3 Pro Forma'!J251:S251)*Assumptions!$P$112,0)</f>
        <v>0</v>
      </c>
      <c r="K264" s="642">
        <f>IF(K243=P3_Const_Completion,SUM('Phase 3 Pro Forma'!K251:T251)*Assumptions!$P$112,0)</f>
        <v>0</v>
      </c>
      <c r="L264" s="642">
        <f>IF(L243=P3_Const_Completion,SUM('Phase 3 Pro Forma'!L251:U251)*Assumptions!$P$112,0)</f>
        <v>0</v>
      </c>
      <c r="M264" s="642">
        <f>IF(M243=P3_Const_Completion,SUM('Phase 3 Pro Forma'!M251:V251)*Assumptions!$P$112,0)</f>
        <v>0</v>
      </c>
      <c r="N264" s="642">
        <f>IF(N243=P3_Const_Completion,SUM('Phase 3 Pro Forma'!N251:W251)*Assumptions!$P$112,0)</f>
        <v>0</v>
      </c>
      <c r="O264" s="642">
        <f>IF(O243=P3_Const_Completion,SUM('Phase 3 Pro Forma'!O251:X251)*Assumptions!$P$112,0)</f>
        <v>0</v>
      </c>
      <c r="P264" s="642">
        <f>IF(P243=P3_Const_Completion,SUM('Phase 3 Pro Forma'!P251:Y251)*Assumptions!$P$112,0)</f>
        <v>0</v>
      </c>
      <c r="Q264" s="642">
        <f>IF(Q243=P3_Const_Completion,SUM('Phase 3 Pro Forma'!Q251:Z251)*Assumptions!$P$112,0)</f>
        <v>0</v>
      </c>
      <c r="R264" s="642">
        <f>IF(R243=P3_Const_Completion,SUM('Phase 3 Pro Forma'!R251:AA251)*Assumptions!$P$112,0)</f>
        <v>0</v>
      </c>
      <c r="S264" s="642">
        <f>IF(S243=P3_Const_Completion,SUM('Phase 3 Pro Forma'!S251:AB251)*Assumptions!$P$112,0)</f>
        <v>0</v>
      </c>
      <c r="T264" s="642">
        <f>IF(T243=P3_Const_Completion,SUM('Phase 3 Pro Forma'!T251:AC251)*Assumptions!$P$112,0)</f>
        <v>0</v>
      </c>
      <c r="U264" s="642">
        <f>IF(U243=P3_Const_Completion,SUM('Phase 3 Pro Forma'!U251:AD251)*Assumptions!$P$112,0)</f>
        <v>0</v>
      </c>
      <c r="V264" s="642">
        <f>IF(V243=P3_Const_Completion,SUM('Phase 3 Pro Forma'!V251:AE251)*Assumptions!$P$112,0)</f>
        <v>0</v>
      </c>
      <c r="W264" s="642">
        <f>IF(W243=P3_Const_Completion,SUM('Phase 3 Pro Forma'!W251:AF251)*Assumptions!$P$112,0)</f>
        <v>0</v>
      </c>
      <c r="X264" s="642">
        <f>IF(X243=P3_Const_Completion,SUM('Phase 3 Pro Forma'!X251:AG251)*Assumptions!$P$112,0)</f>
        <v>0</v>
      </c>
      <c r="Y264" s="642">
        <f>IF(Y243=P3_Const_Completion,SUM('Phase 3 Pro Forma'!Y251:AH251)*Assumptions!$P$112,0)</f>
        <v>0</v>
      </c>
      <c r="Z264" s="642">
        <f>IF(Z243=P3_Const_Completion,SUM('Phase 3 Pro Forma'!Z251:AI251)*Assumptions!$P$112,0)</f>
        <v>0</v>
      </c>
    </row>
    <row r="265" spans="1:26" ht="15.75">
      <c r="A265" s="699"/>
      <c r="B265" s="81"/>
      <c r="C265" s="223"/>
      <c r="D265" s="223"/>
      <c r="E265" s="223"/>
      <c r="F265" s="641"/>
      <c r="G265" s="641"/>
      <c r="H265" s="641"/>
      <c r="I265" s="641"/>
      <c r="J265" s="641"/>
      <c r="K265" s="641"/>
      <c r="L265" s="641"/>
      <c r="M265" s="641"/>
      <c r="N265" s="641"/>
      <c r="O265" s="641"/>
      <c r="P265" s="641"/>
      <c r="Q265" s="641"/>
      <c r="R265" s="641"/>
      <c r="S265" s="641"/>
      <c r="T265" s="641"/>
      <c r="U265" s="641"/>
      <c r="V265" s="641"/>
      <c r="W265" s="641"/>
      <c r="X265" s="641"/>
      <c r="Y265" s="641"/>
      <c r="Z265" s="641"/>
    </row>
    <row r="266" spans="1:26" ht="15.75">
      <c r="A266" s="699"/>
      <c r="B266" s="50" t="s">
        <v>1142</v>
      </c>
      <c r="C266" s="50"/>
      <c r="D266" s="50"/>
      <c r="E266" s="50"/>
      <c r="F266" s="55">
        <f ca="1">+F260-SUM(F263:F264)</f>
        <v>0</v>
      </c>
      <c r="G266" s="55">
        <f t="shared" ref="G266:Z266" ca="1" si="82">+G260-SUM(G263:G264)</f>
        <v>0</v>
      </c>
      <c r="H266" s="55">
        <f t="shared" ca="1" si="82"/>
        <v>0</v>
      </c>
      <c r="I266" s="55">
        <f t="shared" ca="1" si="82"/>
        <v>-2620682.5877616266</v>
      </c>
      <c r="J266" s="55">
        <f t="shared" ca="1" si="82"/>
        <v>-95291.706771593541</v>
      </c>
      <c r="K266" s="55">
        <f t="shared" ca="1" si="82"/>
        <v>2042221.2443795088</v>
      </c>
      <c r="L266" s="55">
        <f t="shared" ca="1" si="82"/>
        <v>2361703.1386401672</v>
      </c>
      <c r="M266" s="55">
        <f t="shared" ca="1" si="82"/>
        <v>2358691.1054018084</v>
      </c>
      <c r="N266" s="55">
        <f t="shared" ca="1" si="82"/>
        <v>2356927.7433008747</v>
      </c>
      <c r="O266" s="55">
        <f t="shared" ca="1" si="82"/>
        <v>2355111.4803369129</v>
      </c>
      <c r="P266" s="55">
        <f t="shared" ca="1" si="82"/>
        <v>2351901.6973494561</v>
      </c>
      <c r="Q266" s="55">
        <f t="shared" ca="1" si="82"/>
        <v>2719290.4609588077</v>
      </c>
      <c r="R266" s="55">
        <f t="shared" ca="1" si="82"/>
        <v>2717305.7813789872</v>
      </c>
      <c r="S266" s="55">
        <f t="shared" ca="1" si="82"/>
        <v>2713882.3583131582</v>
      </c>
      <c r="T266" s="55">
        <f t="shared" ca="1" si="82"/>
        <v>2711776.811746926</v>
      </c>
      <c r="U266" s="55">
        <f t="shared" ca="1" si="82"/>
        <v>2709608.0987837072</v>
      </c>
      <c r="V266" s="55">
        <f t="shared" ca="1" si="82"/>
        <v>3130666.7277760105</v>
      </c>
      <c r="W266" s="55">
        <f t="shared" ca="1" si="82"/>
        <v>3128365.9401933318</v>
      </c>
      <c r="X266" s="55">
        <f t="shared" ca="1" si="82"/>
        <v>3125996.1289831726</v>
      </c>
      <c r="Y266" s="55">
        <f t="shared" ca="1" si="82"/>
        <v>3122092.0268693897</v>
      </c>
      <c r="Z266" s="55">
        <f t="shared" ca="1" si="82"/>
        <v>3119577.8941565314</v>
      </c>
    </row>
    <row r="267" spans="1:26">
      <c r="A267" s="699"/>
      <c r="B267" s="51" t="s">
        <v>1064</v>
      </c>
      <c r="C267" s="51"/>
      <c r="D267" s="51"/>
      <c r="E267" s="51"/>
      <c r="F267" s="57">
        <f ca="1">+F260/Assumptions!$H$49</f>
        <v>0</v>
      </c>
      <c r="G267" s="57">
        <f ca="1">+G260/Assumptions!$H$49</f>
        <v>0</v>
      </c>
      <c r="H267" s="57">
        <f ca="1">+H260/Assumptions!$H$49</f>
        <v>0</v>
      </c>
      <c r="I267" s="57">
        <f ca="1">+I260/Assumptions!$H$49</f>
        <v>19870522.92328459</v>
      </c>
      <c r="J267" s="57">
        <f ca="1">+J260/Assumptions!$H$49</f>
        <v>39686115.932011597</v>
      </c>
      <c r="K267" s="57">
        <f ca="1">+K260/Assumptions!$H$49</f>
        <v>39654781.444262311</v>
      </c>
      <c r="L267" s="57">
        <f ca="1">+L260/Assumptions!$H$49</f>
        <v>45858313.371653736</v>
      </c>
      <c r="M267" s="57">
        <f ca="1">+M260/Assumptions!$H$49</f>
        <v>45799827.289355509</v>
      </c>
      <c r="N267" s="57">
        <f ca="1">+N260/Assumptions!$H$49</f>
        <v>45765587.248560674</v>
      </c>
      <c r="O267" s="57">
        <f ca="1">+O260/Assumptions!$H$49</f>
        <v>45730320.006541997</v>
      </c>
      <c r="P267" s="57">
        <f ca="1">+P260/Assumptions!$H$49</f>
        <v>45667994.123290412</v>
      </c>
      <c r="Q267" s="57">
        <f ca="1">+Q260/Assumptions!$H$49</f>
        <v>52801756.523471996</v>
      </c>
      <c r="R267" s="57">
        <f ca="1">+R260/Assumptions!$H$49</f>
        <v>52763219.055902667</v>
      </c>
      <c r="S267" s="57">
        <f ca="1">+S260/Assumptions!$H$49</f>
        <v>52696744.821614727</v>
      </c>
      <c r="T267" s="57">
        <f ca="1">+T260/Assumptions!$H$49</f>
        <v>52655860.42227041</v>
      </c>
      <c r="U267" s="57">
        <f ca="1">+U260/Assumptions!$H$49</f>
        <v>52613749.490945771</v>
      </c>
      <c r="V267" s="57">
        <f ca="1">+V260/Assumptions!$H$49</f>
        <v>60789645.199534185</v>
      </c>
      <c r="W267" s="57">
        <f ca="1">+W260/Assumptions!$H$49</f>
        <v>60744969.712491885</v>
      </c>
      <c r="X267" s="57">
        <f ca="1">+X260/Assumptions!$H$49</f>
        <v>60698953.960838303</v>
      </c>
      <c r="Y267" s="57">
        <f ca="1">+Y260/Assumptions!$H$49</f>
        <v>60623146.152803689</v>
      </c>
      <c r="Z267" s="57">
        <f ca="1">+Z260/Assumptions!$H$49</f>
        <v>60574328.041874401</v>
      </c>
    </row>
    <row r="269" spans="1:26" ht="15.75">
      <c r="A269" s="699" t="s">
        <v>511</v>
      </c>
      <c r="B269" s="53" t="s">
        <v>161</v>
      </c>
      <c r="C269" s="699"/>
      <c r="D269" s="699"/>
      <c r="E269" s="699"/>
      <c r="F269" s="54">
        <f>+Assumptions!$H$27</f>
        <v>47118</v>
      </c>
      <c r="G269" s="54">
        <f>+EOMONTH(F269,12)</f>
        <v>47483</v>
      </c>
      <c r="H269" s="54">
        <f t="shared" ref="H269:Z269" si="83">+EOMONTH(G269,12)</f>
        <v>47848</v>
      </c>
      <c r="I269" s="54">
        <f t="shared" si="83"/>
        <v>48213</v>
      </c>
      <c r="J269" s="54">
        <f t="shared" si="83"/>
        <v>48579</v>
      </c>
      <c r="K269" s="54">
        <f t="shared" si="83"/>
        <v>48944</v>
      </c>
      <c r="L269" s="54">
        <f t="shared" si="83"/>
        <v>49309</v>
      </c>
      <c r="M269" s="54">
        <f t="shared" si="83"/>
        <v>49674</v>
      </c>
      <c r="N269" s="54">
        <f t="shared" si="83"/>
        <v>50040</v>
      </c>
      <c r="O269" s="54">
        <f t="shared" si="83"/>
        <v>50405</v>
      </c>
      <c r="P269" s="54">
        <f t="shared" si="83"/>
        <v>50770</v>
      </c>
      <c r="Q269" s="54">
        <f t="shared" si="83"/>
        <v>51135</v>
      </c>
      <c r="R269" s="54">
        <f t="shared" si="83"/>
        <v>51501</v>
      </c>
      <c r="S269" s="54">
        <f t="shared" si="83"/>
        <v>51866</v>
      </c>
      <c r="T269" s="54">
        <f t="shared" si="83"/>
        <v>52231</v>
      </c>
      <c r="U269" s="54">
        <f t="shared" si="83"/>
        <v>52596</v>
      </c>
      <c r="V269" s="54">
        <f t="shared" si="83"/>
        <v>52962</v>
      </c>
      <c r="W269" s="54">
        <f t="shared" si="83"/>
        <v>53327</v>
      </c>
      <c r="X269" s="54">
        <f t="shared" si="83"/>
        <v>53692</v>
      </c>
      <c r="Y269" s="54">
        <f t="shared" si="83"/>
        <v>54057</v>
      </c>
      <c r="Z269" s="54">
        <f t="shared" si="83"/>
        <v>54423</v>
      </c>
    </row>
    <row r="270" spans="1:26">
      <c r="A270" s="699"/>
      <c r="B270" s="699" t="s">
        <v>1138</v>
      </c>
      <c r="C270" s="699"/>
      <c r="D270" s="699"/>
      <c r="E270" s="1050"/>
      <c r="F270" s="1050">
        <f>+IF(AND(F269&gt;=Assumptions!$H$31,F269&lt;Assumptions!$H$33),Assumptions!$AG$232/ROUNDUP((Assumptions!$H$32/12),0),)</f>
        <v>0</v>
      </c>
      <c r="G270" s="1050">
        <f>+IF(AND(G269&gt;=Assumptions!$H$31,G269&lt;Assumptions!$H$33),Assumptions!$AG$232/ROUNDUP((Assumptions!$H$32/12),0),)</f>
        <v>0</v>
      </c>
      <c r="H270" s="1050">
        <f>+IF(AND(H269&gt;=Assumptions!$H$31,H269&lt;Assumptions!$H$33),Assumptions!$AG$232/ROUNDUP((Assumptions!$H$32/12),0),)</f>
        <v>0</v>
      </c>
      <c r="I270" s="1050">
        <f>+IF(AND(I269&gt;=Assumptions!$H$31,I269&lt;Assumptions!$H$33),Assumptions!$AG$232/ROUNDUP((Assumptions!$H$32/12),0),)</f>
        <v>0</v>
      </c>
      <c r="J270" s="1050">
        <f>+IF(AND(J269&gt;=Assumptions!$H$31,J269&lt;Assumptions!$H$33),Assumptions!$AG$232/ROUNDUP((Assumptions!$H$32/12),0),)</f>
        <v>0</v>
      </c>
      <c r="K270" s="1050">
        <f>+IF(AND(K269&gt;=Assumptions!$H$31,K269&lt;Assumptions!$H$33),Assumptions!$AG$232/ROUNDUP((Assumptions!$H$32/12),0),)</f>
        <v>0</v>
      </c>
      <c r="L270" s="1050">
        <f>+IF(AND(L269&gt;=Assumptions!$H$31,L269&lt;Assumptions!$H$33),Assumptions!$AG$232/ROUNDUP((Assumptions!$H$32/12),0),)</f>
        <v>0</v>
      </c>
      <c r="M270" s="1050">
        <f>+IF(AND(M269&gt;=Assumptions!$H$31,M269&lt;Assumptions!$H$33),Assumptions!$AG$232/ROUNDUP((Assumptions!$H$32/12),0),)</f>
        <v>0</v>
      </c>
      <c r="N270" s="1050">
        <f>+IF(AND(N269&gt;=Assumptions!$H$31,N269&lt;Assumptions!$H$33),Assumptions!$AG$232/ROUNDUP((Assumptions!$H$32/12),0),)</f>
        <v>0</v>
      </c>
      <c r="O270" s="1050">
        <f>+IF(AND(O269&gt;=Assumptions!$H$31,O269&lt;Assumptions!$H$33),Assumptions!$AG$232/ROUNDUP((Assumptions!$H$32/12),0),)</f>
        <v>0</v>
      </c>
      <c r="P270" s="1050">
        <f>+IF(AND(P269&gt;=Assumptions!$H$31,P269&lt;Assumptions!$H$33),Assumptions!$AG$232/ROUNDUP((Assumptions!$H$32/12),0),)</f>
        <v>0</v>
      </c>
      <c r="Q270" s="1050">
        <f>+IF(AND(Q269&gt;=Assumptions!$H$31,Q269&lt;Assumptions!$H$33),Assumptions!$AG$232/ROUNDUP((Assumptions!$H$32/12),0),)</f>
        <v>0</v>
      </c>
      <c r="R270" s="1050">
        <f>+IF(AND(R269&gt;=Assumptions!$H$31,R269&lt;Assumptions!$H$33),Assumptions!$AG$232/ROUNDUP((Assumptions!$H$32/12),0),)</f>
        <v>0</v>
      </c>
      <c r="S270" s="1050">
        <f>+IF(AND(S269&gt;=Assumptions!$H$31,S269&lt;Assumptions!$H$33),Assumptions!$AG$232/ROUNDUP((Assumptions!$H$32/12),0),)</f>
        <v>0</v>
      </c>
      <c r="T270" s="1050">
        <f>+IF(AND(T269&gt;=Assumptions!$H$31,T269&lt;Assumptions!$H$33),Assumptions!$AG$232/ROUNDUP((Assumptions!$H$32/12),0),)</f>
        <v>0</v>
      </c>
      <c r="U270" s="1050">
        <f>+IF(AND(U269&gt;=Assumptions!$H$31,U269&lt;Assumptions!$H$33),Assumptions!$AG$232/ROUNDUP((Assumptions!$H$32/12),0),)</f>
        <v>0</v>
      </c>
      <c r="V270" s="1050">
        <f>+IF(AND(V269&gt;=Assumptions!$H$31,V269&lt;Assumptions!$H$33),Assumptions!$AG$232/ROUNDUP((Assumptions!$H$32/12),0),)</f>
        <v>0</v>
      </c>
      <c r="W270" s="1050">
        <f>+IF(AND(W269&gt;=Assumptions!$H$31,W269&lt;Assumptions!$H$33),Assumptions!$AG$232/ROUNDUP((Assumptions!$H$32/12),0),)</f>
        <v>0</v>
      </c>
      <c r="X270" s="1050">
        <f>+IF(AND(X269&gt;=Assumptions!$H$31,X269&lt;Assumptions!$H$33),Assumptions!$AG$232/ROUNDUP((Assumptions!$H$32/12),0),)</f>
        <v>0</v>
      </c>
      <c r="Y270" s="1050">
        <f>+IF(AND(Y269&gt;=Assumptions!$H$31,Y269&lt;Assumptions!$H$33),Assumptions!$AG$232/ROUNDUP((Assumptions!$H$32/12),0),)</f>
        <v>0</v>
      </c>
      <c r="Z270" s="1050">
        <f>+IF(AND(Z269&gt;=Assumptions!$H$31,Z269&lt;Assumptions!$H$33),Assumptions!$AG$232/ROUNDUP((Assumptions!$H$32/12),0),)</f>
        <v>0</v>
      </c>
    </row>
    <row r="271" spans="1:26">
      <c r="A271" s="699"/>
      <c r="B271" s="699" t="s">
        <v>1121</v>
      </c>
      <c r="C271" s="699"/>
      <c r="D271" s="699"/>
      <c r="E271" s="1050">
        <v>0</v>
      </c>
      <c r="F271" s="1050">
        <f>+E271+F270</f>
        <v>0</v>
      </c>
      <c r="G271" s="1050">
        <f t="shared" ref="G271:Z271" si="84">+F271+G270</f>
        <v>0</v>
      </c>
      <c r="H271" s="1050">
        <f t="shared" si="84"/>
        <v>0</v>
      </c>
      <c r="I271" s="1050">
        <f t="shared" si="84"/>
        <v>0</v>
      </c>
      <c r="J271" s="1050">
        <f t="shared" si="84"/>
        <v>0</v>
      </c>
      <c r="K271" s="1050">
        <f t="shared" si="84"/>
        <v>0</v>
      </c>
      <c r="L271" s="1050">
        <f t="shared" si="84"/>
        <v>0</v>
      </c>
      <c r="M271" s="1050">
        <f t="shared" si="84"/>
        <v>0</v>
      </c>
      <c r="N271" s="1050">
        <f t="shared" si="84"/>
        <v>0</v>
      </c>
      <c r="O271" s="1050">
        <f t="shared" si="84"/>
        <v>0</v>
      </c>
      <c r="P271" s="1050">
        <f t="shared" si="84"/>
        <v>0</v>
      </c>
      <c r="Q271" s="1050">
        <f t="shared" si="84"/>
        <v>0</v>
      </c>
      <c r="R271" s="1050">
        <f t="shared" si="84"/>
        <v>0</v>
      </c>
      <c r="S271" s="1050">
        <f t="shared" si="84"/>
        <v>0</v>
      </c>
      <c r="T271" s="1050">
        <f t="shared" si="84"/>
        <v>0</v>
      </c>
      <c r="U271" s="1050">
        <f t="shared" si="84"/>
        <v>0</v>
      </c>
      <c r="V271" s="1050">
        <f t="shared" si="84"/>
        <v>0</v>
      </c>
      <c r="W271" s="1050">
        <f t="shared" si="84"/>
        <v>0</v>
      </c>
      <c r="X271" s="1050">
        <f t="shared" si="84"/>
        <v>0</v>
      </c>
      <c r="Y271" s="1050">
        <f t="shared" si="84"/>
        <v>0</v>
      </c>
      <c r="Z271" s="1050">
        <f t="shared" si="84"/>
        <v>0</v>
      </c>
    </row>
    <row r="272" spans="1:26">
      <c r="A272" s="699"/>
      <c r="B272" s="699" t="s">
        <v>1125</v>
      </c>
      <c r="C272" s="699"/>
      <c r="D272" s="699"/>
      <c r="E272" s="699"/>
      <c r="F272" s="1074">
        <f>+IFERROR(F271/SUM($F$270:$Z$270),0)</f>
        <v>0</v>
      </c>
      <c r="G272" s="1074">
        <f t="shared" ref="G272:Z272" si="85">+IFERROR(G271/SUM($F$270:$Z$270),0)</f>
        <v>0</v>
      </c>
      <c r="H272" s="1074">
        <f t="shared" si="85"/>
        <v>0</v>
      </c>
      <c r="I272" s="1074">
        <f t="shared" si="85"/>
        <v>0</v>
      </c>
      <c r="J272" s="1074">
        <f t="shared" si="85"/>
        <v>0</v>
      </c>
      <c r="K272" s="1074">
        <f t="shared" si="85"/>
        <v>0</v>
      </c>
      <c r="L272" s="1074">
        <f t="shared" si="85"/>
        <v>0</v>
      </c>
      <c r="M272" s="1074">
        <f t="shared" si="85"/>
        <v>0</v>
      </c>
      <c r="N272" s="1074">
        <f t="shared" si="85"/>
        <v>0</v>
      </c>
      <c r="O272" s="1074">
        <f t="shared" si="85"/>
        <v>0</v>
      </c>
      <c r="P272" s="1074">
        <f t="shared" si="85"/>
        <v>0</v>
      </c>
      <c r="Q272" s="1074">
        <f t="shared" si="85"/>
        <v>0</v>
      </c>
      <c r="R272" s="1074">
        <f t="shared" si="85"/>
        <v>0</v>
      </c>
      <c r="S272" s="1074">
        <f t="shared" si="85"/>
        <v>0</v>
      </c>
      <c r="T272" s="1074">
        <f t="shared" si="85"/>
        <v>0</v>
      </c>
      <c r="U272" s="1074">
        <f t="shared" si="85"/>
        <v>0</v>
      </c>
      <c r="V272" s="1074">
        <f t="shared" si="85"/>
        <v>0</v>
      </c>
      <c r="W272" s="1074">
        <f t="shared" si="85"/>
        <v>0</v>
      </c>
      <c r="X272" s="1074">
        <f t="shared" si="85"/>
        <v>0</v>
      </c>
      <c r="Y272" s="1074">
        <f t="shared" si="85"/>
        <v>0</v>
      </c>
      <c r="Z272" s="1074">
        <f t="shared" si="85"/>
        <v>0</v>
      </c>
    </row>
    <row r="274" spans="2:26">
      <c r="B274" s="699" t="s">
        <v>1126</v>
      </c>
      <c r="C274" s="699"/>
      <c r="D274" s="699"/>
      <c r="E274" s="699"/>
      <c r="F274" s="1074">
        <v>1</v>
      </c>
      <c r="G274" s="1074">
        <f>+IF(MOD(G$2,Assumptions!$AR$90)=(Assumptions!$AR$90-1),'Phase 3 Pro Forma'!F274*(1+Assumptions!$AR$89),'Phase 3 Pro Forma'!F274)</f>
        <v>1</v>
      </c>
      <c r="H274" s="1074">
        <f>+IF(MOD(H$2,Assumptions!$AR$90)=(Assumptions!$AR$90-1),'Phase 3 Pro Forma'!G274*(1+Assumptions!$AR$89),'Phase 3 Pro Forma'!G274)</f>
        <v>1</v>
      </c>
      <c r="I274" s="1074">
        <f>+IF(MOD(I$2,Assumptions!$AR$90)=(Assumptions!$AR$90-1),'Phase 3 Pro Forma'!H274*(1+Assumptions!$AR$89),'Phase 3 Pro Forma'!H274)</f>
        <v>1</v>
      </c>
      <c r="J274" s="1074">
        <f>+IF(MOD(J$2,Assumptions!$AR$90)=(Assumptions!$AR$90-1),'Phase 3 Pro Forma'!I274*(1+Assumptions!$AR$89),'Phase 3 Pro Forma'!I274)</f>
        <v>1</v>
      </c>
      <c r="K274" s="1074">
        <f>+IF(MOD(K$2,Assumptions!$AR$90)=(Assumptions!$AR$90-1),'Phase 3 Pro Forma'!J274*(1+Assumptions!$AR$89),'Phase 3 Pro Forma'!J274)</f>
        <v>1</v>
      </c>
      <c r="L274" s="1074">
        <f>+IF(MOD(L$2,Assumptions!$AR$90)=(Assumptions!$AR$90-1),'Phase 3 Pro Forma'!K274*(1+Assumptions!$AR$89),'Phase 3 Pro Forma'!K274)</f>
        <v>1.1000000000000001</v>
      </c>
      <c r="M274" s="1074">
        <f>+IF(MOD(M$2,Assumptions!$AR$90)=(Assumptions!$AR$90-1),'Phase 3 Pro Forma'!L274*(1+Assumptions!$AR$89),'Phase 3 Pro Forma'!L274)</f>
        <v>1.1000000000000001</v>
      </c>
      <c r="N274" s="1074">
        <f>+IF(MOD(N$2,Assumptions!$AR$90)=(Assumptions!$AR$90-1),'Phase 3 Pro Forma'!M274*(1+Assumptions!$AR$89),'Phase 3 Pro Forma'!M274)</f>
        <v>1.1000000000000001</v>
      </c>
      <c r="O274" s="1074">
        <f>+IF(MOD(O$2,Assumptions!$AR$90)=(Assumptions!$AR$90-1),'Phase 3 Pro Forma'!N274*(1+Assumptions!$AR$89),'Phase 3 Pro Forma'!N274)</f>
        <v>1.1000000000000001</v>
      </c>
      <c r="P274" s="1074">
        <f>+IF(MOD(P$2,Assumptions!$AR$90)=(Assumptions!$AR$90-1),'Phase 3 Pro Forma'!O274*(1+Assumptions!$AR$89),'Phase 3 Pro Forma'!O274)</f>
        <v>1.1000000000000001</v>
      </c>
      <c r="Q274" s="1074">
        <f>+IF(MOD(Q$2,Assumptions!$AR$90)=(Assumptions!$AR$90-1),'Phase 3 Pro Forma'!P274*(1+Assumptions!$AR$89),'Phase 3 Pro Forma'!P274)</f>
        <v>1.2100000000000002</v>
      </c>
      <c r="R274" s="1074">
        <f>+IF(MOD(R$2,Assumptions!$AR$90)=(Assumptions!$AR$90-1),'Phase 3 Pro Forma'!Q274*(1+Assumptions!$AR$89),'Phase 3 Pro Forma'!Q274)</f>
        <v>1.2100000000000002</v>
      </c>
      <c r="S274" s="1074">
        <f>+IF(MOD(S$2,Assumptions!$AR$90)=(Assumptions!$AR$90-1),'Phase 3 Pro Forma'!R274*(1+Assumptions!$AR$89),'Phase 3 Pro Forma'!R274)</f>
        <v>1.2100000000000002</v>
      </c>
      <c r="T274" s="1074">
        <f>+IF(MOD(T$2,Assumptions!$AR$90)=(Assumptions!$AR$90-1),'Phase 3 Pro Forma'!S274*(1+Assumptions!$AR$89),'Phase 3 Pro Forma'!S274)</f>
        <v>1.2100000000000002</v>
      </c>
      <c r="U274" s="1074">
        <f>+IF(MOD(U$2,Assumptions!$AR$90)=(Assumptions!$AR$90-1),'Phase 3 Pro Forma'!T274*(1+Assumptions!$AR$89),'Phase 3 Pro Forma'!T274)</f>
        <v>1.2100000000000002</v>
      </c>
      <c r="V274" s="1074">
        <f>+IF(MOD(V$2,Assumptions!$AR$90)=(Assumptions!$AR$90-1),'Phase 3 Pro Forma'!U274*(1+Assumptions!$AR$89),'Phase 3 Pro Forma'!U274)</f>
        <v>1.3310000000000004</v>
      </c>
      <c r="W274" s="1074">
        <f>+IF(MOD(W$2,Assumptions!$AR$90)=(Assumptions!$AR$90-1),'Phase 3 Pro Forma'!V274*(1+Assumptions!$AR$89),'Phase 3 Pro Forma'!V274)</f>
        <v>1.3310000000000004</v>
      </c>
      <c r="X274" s="1074">
        <f>+IF(MOD(X$2,Assumptions!$AR$90)=(Assumptions!$AR$90-1),'Phase 3 Pro Forma'!W274*(1+Assumptions!$AR$89),'Phase 3 Pro Forma'!W274)</f>
        <v>1.3310000000000004</v>
      </c>
      <c r="Y274" s="1074">
        <f>+IF(MOD(Y$2,Assumptions!$AR$90)=(Assumptions!$AR$90-1),'Phase 3 Pro Forma'!X274*(1+Assumptions!$AR$89),'Phase 3 Pro Forma'!X274)</f>
        <v>1.3310000000000004</v>
      </c>
      <c r="Z274" s="1074">
        <f>+IF(MOD(Z$2,Assumptions!$AR$90)=(Assumptions!$AR$90-1),'Phase 3 Pro Forma'!Y274*(1+Assumptions!$AR$89),'Phase 3 Pro Forma'!Y274)</f>
        <v>1.3310000000000004</v>
      </c>
    </row>
    <row r="275" spans="2:26">
      <c r="B275" s="699" t="s">
        <v>1127</v>
      </c>
      <c r="C275" s="699"/>
      <c r="D275" s="699"/>
      <c r="E275" s="699"/>
      <c r="F275" s="1074">
        <v>1</v>
      </c>
      <c r="G275" s="1074">
        <f>+F275*(1+Assumptions!$AR$100)</f>
        <v>1.03</v>
      </c>
      <c r="H275" s="1074">
        <f>+G275*(1+Assumptions!$AR$100)</f>
        <v>1.0609</v>
      </c>
      <c r="I275" s="1074">
        <f>+H275*(1+Assumptions!$AR$100)</f>
        <v>1.092727</v>
      </c>
      <c r="J275" s="1074">
        <f>+I275*(1+Assumptions!$AR$100)</f>
        <v>1.1255088100000001</v>
      </c>
      <c r="K275" s="1074">
        <f>+J275*(1+Assumptions!$AR$100)</f>
        <v>1.1592740743000001</v>
      </c>
      <c r="L275" s="1074">
        <f>+K275*(1+Assumptions!$AR$100)</f>
        <v>1.1940522965290001</v>
      </c>
      <c r="M275" s="1074">
        <f>+L275*(1+Assumptions!$AR$100)</f>
        <v>1.2298738654248702</v>
      </c>
      <c r="N275" s="1074">
        <f>+M275*(1+Assumptions!$AR$100)</f>
        <v>1.2667700813876164</v>
      </c>
      <c r="O275" s="1074">
        <f>+N275*(1+Assumptions!$AR$100)</f>
        <v>1.3047731838292449</v>
      </c>
      <c r="P275" s="1074">
        <f>+O275*(1+Assumptions!$AR$100)</f>
        <v>1.3439163793441222</v>
      </c>
      <c r="Q275" s="1074">
        <f>+P275*(1+Assumptions!$AR$100)</f>
        <v>1.3842338707244459</v>
      </c>
      <c r="R275" s="1074">
        <f>+Q275*(1+Assumptions!$AR$100)</f>
        <v>1.4257608868461793</v>
      </c>
      <c r="S275" s="1074">
        <f>+R275*(1+Assumptions!$AR$100)</f>
        <v>1.4685337134515648</v>
      </c>
      <c r="T275" s="1074">
        <f>+S275*(1+Assumptions!$AR$100)</f>
        <v>1.5125897248551119</v>
      </c>
      <c r="U275" s="1074">
        <f>+T275*(1+Assumptions!$AR$100)</f>
        <v>1.5579674166007653</v>
      </c>
      <c r="V275" s="1074">
        <f>+U275*(1+Assumptions!$AR$100)</f>
        <v>1.6047064390987884</v>
      </c>
      <c r="W275" s="1074">
        <f>+V275*(1+Assumptions!$AR$100)</f>
        <v>1.652847632271752</v>
      </c>
      <c r="X275" s="1074">
        <f>+W275*(1+Assumptions!$AR$100)</f>
        <v>1.7024330612399046</v>
      </c>
      <c r="Y275" s="1074">
        <f>+X275*(1+Assumptions!$AR$100)</f>
        <v>1.7535060530771018</v>
      </c>
      <c r="Z275" s="1074">
        <f>+Y275*(1+Assumptions!$AR$100)</f>
        <v>1.806111234669415</v>
      </c>
    </row>
    <row r="277" spans="2:26">
      <c r="B277" s="699" t="s">
        <v>1128</v>
      </c>
      <c r="C277" s="699"/>
      <c r="D277" s="699"/>
      <c r="E277" s="699"/>
      <c r="F277" s="1028">
        <f>+F272*Assumptions!$AG$231*F274</f>
        <v>0</v>
      </c>
      <c r="G277" s="1028">
        <f>+G272*Assumptions!$AG$231*G274</f>
        <v>0</v>
      </c>
      <c r="H277" s="1028">
        <f>+H272*Assumptions!$AG$231*H274</f>
        <v>0</v>
      </c>
      <c r="I277" s="1028">
        <f>+I272*Assumptions!$AG$231*I274</f>
        <v>0</v>
      </c>
      <c r="J277" s="1028">
        <f>+J272*Assumptions!$AG$231*J274</f>
        <v>0</v>
      </c>
      <c r="K277" s="1028">
        <f>+K272*Assumptions!$AG$231*K274</f>
        <v>0</v>
      </c>
      <c r="L277" s="1028">
        <f>+L272*Assumptions!$AG$231*L274</f>
        <v>0</v>
      </c>
      <c r="M277" s="1028">
        <f>+M272*Assumptions!$AG$231*M274</f>
        <v>0</v>
      </c>
      <c r="N277" s="1028">
        <f>+N272*Assumptions!$AG$231*N274</f>
        <v>0</v>
      </c>
      <c r="O277" s="1028">
        <f>+O272*Assumptions!$AG$231*O274</f>
        <v>0</v>
      </c>
      <c r="P277" s="1028">
        <f>+P272*Assumptions!$AG$231*P274</f>
        <v>0</v>
      </c>
      <c r="Q277" s="1028">
        <f>+Q272*Assumptions!$AG$231*Q274</f>
        <v>0</v>
      </c>
      <c r="R277" s="1028">
        <f>+R272*Assumptions!$AG$231*R274</f>
        <v>0</v>
      </c>
      <c r="S277" s="1028">
        <f>+S272*Assumptions!$AG$231*S274</f>
        <v>0</v>
      </c>
      <c r="T277" s="1028">
        <f>+T272*Assumptions!$AG$231*T274</f>
        <v>0</v>
      </c>
      <c r="U277" s="1028">
        <f>+U272*Assumptions!$AG$231*U274</f>
        <v>0</v>
      </c>
      <c r="V277" s="1028">
        <f>+V272*Assumptions!$AG$231*V274</f>
        <v>0</v>
      </c>
      <c r="W277" s="1028">
        <f>+W272*Assumptions!$AG$231*W274</f>
        <v>0</v>
      </c>
      <c r="X277" s="1028">
        <f>+X272*Assumptions!$AG$231*X274</f>
        <v>0</v>
      </c>
      <c r="Y277" s="1028">
        <f>+Y272*Assumptions!$AG$231*Y274</f>
        <v>0</v>
      </c>
      <c r="Z277" s="1028">
        <f>+Z272*Assumptions!$AG$231*Z274</f>
        <v>0</v>
      </c>
    </row>
    <row r="278" spans="2:26">
      <c r="B278" s="699" t="s">
        <v>1130</v>
      </c>
      <c r="C278" s="699"/>
      <c r="D278" s="699"/>
      <c r="E278" s="699"/>
      <c r="F278" s="1085">
        <f>-F277*Assumptions!$AR$80</f>
        <v>0</v>
      </c>
      <c r="G278" s="1085">
        <f>-G277*Assumptions!$AR$80</f>
        <v>0</v>
      </c>
      <c r="H278" s="1085">
        <f>-H277*Assumptions!$AR$80</f>
        <v>0</v>
      </c>
      <c r="I278" s="1085">
        <f>-I277*Assumptions!$AR$80</f>
        <v>0</v>
      </c>
      <c r="J278" s="1085">
        <f>-J277*Assumptions!$AR$80</f>
        <v>0</v>
      </c>
      <c r="K278" s="1085">
        <f>-K277*Assumptions!$AR$80</f>
        <v>0</v>
      </c>
      <c r="L278" s="1085">
        <f>-L277*Assumptions!$AR$80</f>
        <v>0</v>
      </c>
      <c r="M278" s="1085">
        <f>-M277*Assumptions!$AR$80</f>
        <v>0</v>
      </c>
      <c r="N278" s="1085">
        <f>-N277*Assumptions!$AR$80</f>
        <v>0</v>
      </c>
      <c r="O278" s="1085">
        <f>-O277*Assumptions!$AR$80</f>
        <v>0</v>
      </c>
      <c r="P278" s="1085">
        <f>-P277*Assumptions!$AR$80</f>
        <v>0</v>
      </c>
      <c r="Q278" s="1085">
        <f>-Q277*Assumptions!$AR$80</f>
        <v>0</v>
      </c>
      <c r="R278" s="1085">
        <f>-R277*Assumptions!$AR$80</f>
        <v>0</v>
      </c>
      <c r="S278" s="1085">
        <f>-S277*Assumptions!$AR$80</f>
        <v>0</v>
      </c>
      <c r="T278" s="1085">
        <f>-T277*Assumptions!$AR$80</f>
        <v>0</v>
      </c>
      <c r="U278" s="1085">
        <f>-U277*Assumptions!$AR$80</f>
        <v>0</v>
      </c>
      <c r="V278" s="1085">
        <f>-V277*Assumptions!$AR$80</f>
        <v>0</v>
      </c>
      <c r="W278" s="1085">
        <f>-W277*Assumptions!$AR$80</f>
        <v>0</v>
      </c>
      <c r="X278" s="1085">
        <f>-X277*Assumptions!$AR$80</f>
        <v>0</v>
      </c>
      <c r="Y278" s="1085">
        <f>-Y277*Assumptions!$AR$80</f>
        <v>0</v>
      </c>
      <c r="Z278" s="1085">
        <f>-Z277*Assumptions!$AR$80</f>
        <v>0</v>
      </c>
    </row>
    <row r="279" spans="2:26">
      <c r="B279" s="699" t="s">
        <v>1139</v>
      </c>
      <c r="C279" s="699"/>
      <c r="D279" s="699"/>
      <c r="E279" s="699"/>
      <c r="F279" s="1085">
        <f ca="1">+F284*Assumptions!$AR$108</f>
        <v>0</v>
      </c>
      <c r="G279" s="1085">
        <f ca="1">+G284*Assumptions!$AR$108</f>
        <v>0</v>
      </c>
      <c r="H279" s="1085">
        <f ca="1">+H284*Assumptions!$AR$108</f>
        <v>0</v>
      </c>
      <c r="I279" s="1085">
        <f ca="1">+I284*Assumptions!$AR$108</f>
        <v>0</v>
      </c>
      <c r="J279" s="1085">
        <f ca="1">+J284*Assumptions!$AR$108</f>
        <v>0</v>
      </c>
      <c r="K279" s="1085">
        <f ca="1">+K284*Assumptions!$AR$108</f>
        <v>0</v>
      </c>
      <c r="L279" s="1085">
        <f ca="1">+L284*Assumptions!$AR$108</f>
        <v>0</v>
      </c>
      <c r="M279" s="1085">
        <f ca="1">+M284*Assumptions!$AR$108</f>
        <v>0</v>
      </c>
      <c r="N279" s="1085">
        <f ca="1">+N284*Assumptions!$AR$108</f>
        <v>0</v>
      </c>
      <c r="O279" s="1085">
        <f ca="1">+O284*Assumptions!$AR$108</f>
        <v>0</v>
      </c>
      <c r="P279" s="1085">
        <f ca="1">+P284*Assumptions!$AR$108</f>
        <v>0</v>
      </c>
      <c r="Q279" s="1085">
        <f ca="1">+Q284*Assumptions!$AR$108</f>
        <v>0</v>
      </c>
      <c r="R279" s="1085">
        <f ca="1">+R284*Assumptions!$AR$108</f>
        <v>0</v>
      </c>
      <c r="S279" s="1085">
        <f ca="1">+S284*Assumptions!$AR$108</f>
        <v>0</v>
      </c>
      <c r="T279" s="1085">
        <f ca="1">+T284*Assumptions!$AR$108</f>
        <v>0</v>
      </c>
      <c r="U279" s="1085">
        <f ca="1">+U284*Assumptions!$AR$108</f>
        <v>0</v>
      </c>
      <c r="V279" s="1085">
        <f ca="1">+V284*Assumptions!$AR$108</f>
        <v>0</v>
      </c>
      <c r="W279" s="1085">
        <f ca="1">+W284*Assumptions!$AR$108</f>
        <v>0</v>
      </c>
      <c r="X279" s="1085">
        <f ca="1">+X284*Assumptions!$AR$108</f>
        <v>0</v>
      </c>
      <c r="Y279" s="1085">
        <f ca="1">+Y284*Assumptions!$AR$108</f>
        <v>0</v>
      </c>
      <c r="Z279" s="1085">
        <f ca="1">+Z284*Assumptions!$AR$108</f>
        <v>0</v>
      </c>
    </row>
    <row r="280" spans="2:26">
      <c r="B280" s="52" t="s">
        <v>1131</v>
      </c>
      <c r="C280" s="1052"/>
      <c r="D280" s="1052"/>
      <c r="E280" s="1052"/>
      <c r="F280" s="1086">
        <f ca="1">SUM(F277:F279)</f>
        <v>0</v>
      </c>
      <c r="G280" s="1086">
        <f t="shared" ref="G280:Z280" ca="1" si="86">SUM(G277:G279)</f>
        <v>0</v>
      </c>
      <c r="H280" s="1086">
        <f t="shared" ca="1" si="86"/>
        <v>0</v>
      </c>
      <c r="I280" s="1086">
        <f t="shared" ca="1" si="86"/>
        <v>0</v>
      </c>
      <c r="J280" s="1086">
        <f t="shared" ca="1" si="86"/>
        <v>0</v>
      </c>
      <c r="K280" s="1086">
        <f t="shared" ca="1" si="86"/>
        <v>0</v>
      </c>
      <c r="L280" s="1086">
        <f t="shared" ca="1" si="86"/>
        <v>0</v>
      </c>
      <c r="M280" s="1086">
        <f t="shared" ca="1" si="86"/>
        <v>0</v>
      </c>
      <c r="N280" s="1086">
        <f t="shared" ca="1" si="86"/>
        <v>0</v>
      </c>
      <c r="O280" s="1086">
        <f t="shared" ca="1" si="86"/>
        <v>0</v>
      </c>
      <c r="P280" s="1086">
        <f t="shared" ca="1" si="86"/>
        <v>0</v>
      </c>
      <c r="Q280" s="1086">
        <f t="shared" ca="1" si="86"/>
        <v>0</v>
      </c>
      <c r="R280" s="1086">
        <f t="shared" ca="1" si="86"/>
        <v>0</v>
      </c>
      <c r="S280" s="1086">
        <f t="shared" ca="1" si="86"/>
        <v>0</v>
      </c>
      <c r="T280" s="1086">
        <f t="shared" ca="1" si="86"/>
        <v>0</v>
      </c>
      <c r="U280" s="1086">
        <f t="shared" ca="1" si="86"/>
        <v>0</v>
      </c>
      <c r="V280" s="1086">
        <f t="shared" ca="1" si="86"/>
        <v>0</v>
      </c>
      <c r="W280" s="1086">
        <f t="shared" ca="1" si="86"/>
        <v>0</v>
      </c>
      <c r="X280" s="1086">
        <f t="shared" ca="1" si="86"/>
        <v>0</v>
      </c>
      <c r="Y280" s="1086">
        <f t="shared" ca="1" si="86"/>
        <v>0</v>
      </c>
      <c r="Z280" s="1086">
        <f t="shared" ca="1" si="86"/>
        <v>0</v>
      </c>
    </row>
    <row r="281" spans="2:26">
      <c r="B281" s="49"/>
      <c r="C281" s="699"/>
      <c r="D281" s="699"/>
      <c r="E281" s="699"/>
      <c r="F281" s="699"/>
      <c r="G281" s="699"/>
      <c r="H281" s="699"/>
      <c r="I281" s="699"/>
      <c r="J281" s="699"/>
      <c r="K281" s="699"/>
      <c r="L281" s="699"/>
      <c r="M281" s="699"/>
      <c r="N281" s="699"/>
      <c r="O281" s="699"/>
      <c r="P281" s="699"/>
      <c r="Q281" s="699"/>
      <c r="R281" s="699"/>
      <c r="S281" s="699"/>
      <c r="T281" s="699"/>
      <c r="U281" s="699"/>
      <c r="V281" s="699"/>
      <c r="W281" s="699"/>
      <c r="X281" s="699"/>
      <c r="Y281" s="699"/>
      <c r="Z281" s="699"/>
    </row>
    <row r="282" spans="2:26">
      <c r="B282" s="699" t="s">
        <v>1132</v>
      </c>
      <c r="C282" s="699"/>
      <c r="D282" s="699"/>
      <c r="E282" s="699"/>
      <c r="F282" s="1087">
        <f>+F271*Assumptions!$AR$106*F275</f>
        <v>0</v>
      </c>
      <c r="G282" s="1087">
        <f>+G271*Assumptions!$AR$106*G275</f>
        <v>0</v>
      </c>
      <c r="H282" s="1087">
        <f>+H271*Assumptions!$AR$106*H275</f>
        <v>0</v>
      </c>
      <c r="I282" s="1087">
        <f>+I271*Assumptions!$AR$106*I275</f>
        <v>0</v>
      </c>
      <c r="J282" s="1087">
        <f>+J271*Assumptions!$AR$106*J275</f>
        <v>0</v>
      </c>
      <c r="K282" s="1087">
        <f>+K271*Assumptions!$AR$106*K275</f>
        <v>0</v>
      </c>
      <c r="L282" s="1087">
        <f>+L271*Assumptions!$AR$106*L275</f>
        <v>0</v>
      </c>
      <c r="M282" s="1087">
        <f>+M271*Assumptions!$AR$106*M275</f>
        <v>0</v>
      </c>
      <c r="N282" s="1087">
        <f>+N271*Assumptions!$AR$106*N275</f>
        <v>0</v>
      </c>
      <c r="O282" s="1087">
        <f>+O271*Assumptions!$AR$106*O275</f>
        <v>0</v>
      </c>
      <c r="P282" s="1087">
        <f>+P271*Assumptions!$AR$106*P275</f>
        <v>0</v>
      </c>
      <c r="Q282" s="1087">
        <f>+Q271*Assumptions!$AR$106*Q275</f>
        <v>0</v>
      </c>
      <c r="R282" s="1087">
        <f>+R271*Assumptions!$AR$106*R275</f>
        <v>0</v>
      </c>
      <c r="S282" s="1087">
        <f>+S271*Assumptions!$AR$106*S275</f>
        <v>0</v>
      </c>
      <c r="T282" s="1087">
        <f>+T271*Assumptions!$AR$106*T275</f>
        <v>0</v>
      </c>
      <c r="U282" s="1087">
        <f>+U271*Assumptions!$AR$106*U275</f>
        <v>0</v>
      </c>
      <c r="V282" s="1087">
        <f>+V271*Assumptions!$AR$106*V275</f>
        <v>0</v>
      </c>
      <c r="W282" s="1087">
        <f>+W271*Assumptions!$AR$106*W275</f>
        <v>0</v>
      </c>
      <c r="X282" s="1087">
        <f>+X271*Assumptions!$AR$106*X275</f>
        <v>0</v>
      </c>
      <c r="Y282" s="1087">
        <f>+Y271*Assumptions!$AR$106*Y275</f>
        <v>0</v>
      </c>
      <c r="Z282" s="1087">
        <f>+Z271*Assumptions!$AR$106*Z275</f>
        <v>0</v>
      </c>
    </row>
    <row r="283" spans="2:26">
      <c r="B283" s="699" t="s">
        <v>1133</v>
      </c>
      <c r="C283" s="699"/>
      <c r="D283" s="699"/>
      <c r="E283" s="699"/>
      <c r="F283" s="1050">
        <f ca="1">+IFERROR(INDEX('Taxes and TIF'!$AS$11:$AS$45,MATCH('Phase 3 Pro Forma'!F$7,'Taxes and TIF'!$AH$11:$AH$45,0)),0)*'Loan Sizing'!$M$28*'Phase 3 Pro Forma'!F272</f>
        <v>0</v>
      </c>
      <c r="G283" s="1050">
        <f ca="1">+IFERROR(INDEX('Taxes and TIF'!$AS$11:$AS$45,MATCH('Phase 3 Pro Forma'!G$7,'Taxes and TIF'!$AH$11:$AH$45,0)),0)*'Loan Sizing'!$M$28*'Phase 3 Pro Forma'!G272</f>
        <v>0</v>
      </c>
      <c r="H283" s="1050">
        <f ca="1">+IFERROR(INDEX('Taxes and TIF'!$AS$11:$AS$45,MATCH('Phase 3 Pro Forma'!H$7,'Taxes and TIF'!$AH$11:$AH$45,0)),0)*'Loan Sizing'!$M$28*'Phase 3 Pro Forma'!H272</f>
        <v>0</v>
      </c>
      <c r="I283" s="1050">
        <f ca="1">+IFERROR(INDEX('Taxes and TIF'!$AS$11:$AS$45,MATCH('Phase 3 Pro Forma'!I$7,'Taxes and TIF'!$AH$11:$AH$45,0)),0)*'Loan Sizing'!$M$28*'Phase 3 Pro Forma'!I272</f>
        <v>0</v>
      </c>
      <c r="J283" s="1050">
        <f ca="1">+IFERROR(INDEX('Taxes and TIF'!$AS$11:$AS$45,MATCH('Phase 3 Pro Forma'!J$7,'Taxes and TIF'!$AH$11:$AH$45,0)),0)*'Loan Sizing'!$M$28*'Phase 3 Pro Forma'!J272</f>
        <v>0</v>
      </c>
      <c r="K283" s="1050">
        <f ca="1">+IFERROR(INDEX('Taxes and TIF'!$AS$11:$AS$45,MATCH('Phase 3 Pro Forma'!K$7,'Taxes and TIF'!$AH$11:$AH$45,0)),0)*'Loan Sizing'!$M$28*'Phase 3 Pro Forma'!K272</f>
        <v>0</v>
      </c>
      <c r="L283" s="1050">
        <f ca="1">+IFERROR(INDEX('Taxes and TIF'!$AS$11:$AS$45,MATCH('Phase 3 Pro Forma'!L$7,'Taxes and TIF'!$AH$11:$AH$45,0)),0)*'Loan Sizing'!$M$28*'Phase 3 Pro Forma'!L272</f>
        <v>0</v>
      </c>
      <c r="M283" s="1050">
        <f ca="1">+IFERROR(INDEX('Taxes and TIF'!$AS$11:$AS$45,MATCH('Phase 3 Pro Forma'!M$7,'Taxes and TIF'!$AH$11:$AH$45,0)),0)*'Loan Sizing'!$M$28*'Phase 3 Pro Forma'!M272</f>
        <v>0</v>
      </c>
      <c r="N283" s="1050">
        <f ca="1">+IFERROR(INDEX('Taxes and TIF'!$AS$11:$AS$45,MATCH('Phase 3 Pro Forma'!N$7,'Taxes and TIF'!$AH$11:$AH$45,0)),0)*'Loan Sizing'!$M$28*'Phase 3 Pro Forma'!N272</f>
        <v>0</v>
      </c>
      <c r="O283" s="1050">
        <f ca="1">+IFERROR(INDEX('Taxes and TIF'!$AS$11:$AS$45,MATCH('Phase 3 Pro Forma'!O$7,'Taxes and TIF'!$AH$11:$AH$45,0)),0)*'Loan Sizing'!$M$28*'Phase 3 Pro Forma'!O272</f>
        <v>0</v>
      </c>
      <c r="P283" s="1050">
        <f ca="1">+IFERROR(INDEX('Taxes and TIF'!$AS$11:$AS$45,MATCH('Phase 3 Pro Forma'!P$7,'Taxes and TIF'!$AH$11:$AH$45,0)),0)*'Loan Sizing'!$M$28*'Phase 3 Pro Forma'!P272</f>
        <v>0</v>
      </c>
      <c r="Q283" s="1050">
        <f ca="1">+IFERROR(INDEX('Taxes and TIF'!$AS$11:$AS$45,MATCH('Phase 3 Pro Forma'!Q$7,'Taxes and TIF'!$AH$11:$AH$45,0)),0)*'Loan Sizing'!$M$28*'Phase 3 Pro Forma'!Q272</f>
        <v>0</v>
      </c>
      <c r="R283" s="1050">
        <f ca="1">+IFERROR(INDEX('Taxes and TIF'!$AS$11:$AS$45,MATCH('Phase 3 Pro Forma'!R$7,'Taxes and TIF'!$AH$11:$AH$45,0)),0)*'Loan Sizing'!$M$28*'Phase 3 Pro Forma'!R272</f>
        <v>0</v>
      </c>
      <c r="S283" s="1050">
        <f ca="1">+IFERROR(INDEX('Taxes and TIF'!$AS$11:$AS$45,MATCH('Phase 3 Pro Forma'!S$7,'Taxes and TIF'!$AH$11:$AH$45,0)),0)*'Loan Sizing'!$M$28*'Phase 3 Pro Forma'!S272</f>
        <v>0</v>
      </c>
      <c r="T283" s="1050">
        <f ca="1">+IFERROR(INDEX('Taxes and TIF'!$AS$11:$AS$45,MATCH('Phase 3 Pro Forma'!T$7,'Taxes and TIF'!$AH$11:$AH$45,0)),0)*'Loan Sizing'!$M$28*'Phase 3 Pro Forma'!T272</f>
        <v>0</v>
      </c>
      <c r="U283" s="1050">
        <f ca="1">+IFERROR(INDEX('Taxes and TIF'!$AS$11:$AS$45,MATCH('Phase 3 Pro Forma'!U$7,'Taxes and TIF'!$AH$11:$AH$45,0)),0)*'Loan Sizing'!$M$28*'Phase 3 Pro Forma'!U272</f>
        <v>0</v>
      </c>
      <c r="V283" s="1050">
        <f ca="1">+IFERROR(INDEX('Taxes and TIF'!$AS$11:$AS$45,MATCH('Phase 3 Pro Forma'!V$7,'Taxes and TIF'!$AH$11:$AH$45,0)),0)*'Loan Sizing'!$M$28*'Phase 3 Pro Forma'!V272</f>
        <v>0</v>
      </c>
      <c r="W283" s="1050">
        <f ca="1">+IFERROR(INDEX('Taxes and TIF'!$AS$11:$AS$45,MATCH('Phase 3 Pro Forma'!W$7,'Taxes and TIF'!$AH$11:$AH$45,0)),0)*'Loan Sizing'!$M$28*'Phase 3 Pro Forma'!W272</f>
        <v>0</v>
      </c>
      <c r="X283" s="1050">
        <f ca="1">+IFERROR(INDEX('Taxes and TIF'!$AS$11:$AS$45,MATCH('Phase 3 Pro Forma'!X$7,'Taxes and TIF'!$AH$11:$AH$45,0)),0)*'Loan Sizing'!$M$28*'Phase 3 Pro Forma'!X272</f>
        <v>0</v>
      </c>
      <c r="Y283" s="1050">
        <f ca="1">+IFERROR(INDEX('Taxes and TIF'!$AS$11:$AS$45,MATCH('Phase 3 Pro Forma'!Y$7,'Taxes and TIF'!$AH$11:$AH$45,0)),0)*'Loan Sizing'!$M$28*'Phase 3 Pro Forma'!Y272</f>
        <v>0</v>
      </c>
      <c r="Z283" s="1050">
        <f ca="1">+IFERROR(INDEX('Taxes and TIF'!$AS$11:$AS$45,MATCH('Phase 3 Pro Forma'!Z$7,'Taxes and TIF'!$AH$11:$AH$45,0)),0)*'Loan Sizing'!$M$28*'Phase 3 Pro Forma'!Z272</f>
        <v>0</v>
      </c>
    </row>
    <row r="284" spans="2:26">
      <c r="B284" s="52" t="s">
        <v>1134</v>
      </c>
      <c r="C284" s="1052"/>
      <c r="D284" s="1052"/>
      <c r="E284" s="1052"/>
      <c r="F284" s="1088">
        <f ca="1">+SUM(F282:F283)</f>
        <v>0</v>
      </c>
      <c r="G284" s="1088">
        <f t="shared" ref="G284:Z284" ca="1" si="87">+SUM(G282:G283)</f>
        <v>0</v>
      </c>
      <c r="H284" s="1088">
        <f t="shared" ca="1" si="87"/>
        <v>0</v>
      </c>
      <c r="I284" s="1088">
        <f t="shared" ca="1" si="87"/>
        <v>0</v>
      </c>
      <c r="J284" s="1088">
        <f t="shared" ca="1" si="87"/>
        <v>0</v>
      </c>
      <c r="K284" s="1088">
        <f t="shared" ca="1" si="87"/>
        <v>0</v>
      </c>
      <c r="L284" s="1088">
        <f t="shared" ca="1" si="87"/>
        <v>0</v>
      </c>
      <c r="M284" s="1088">
        <f t="shared" ca="1" si="87"/>
        <v>0</v>
      </c>
      <c r="N284" s="1088">
        <f t="shared" ca="1" si="87"/>
        <v>0</v>
      </c>
      <c r="O284" s="1088">
        <f t="shared" ca="1" si="87"/>
        <v>0</v>
      </c>
      <c r="P284" s="1088">
        <f t="shared" ca="1" si="87"/>
        <v>0</v>
      </c>
      <c r="Q284" s="1088">
        <f t="shared" ca="1" si="87"/>
        <v>0</v>
      </c>
      <c r="R284" s="1088">
        <f t="shared" ca="1" si="87"/>
        <v>0</v>
      </c>
      <c r="S284" s="1088">
        <f t="shared" ca="1" si="87"/>
        <v>0</v>
      </c>
      <c r="T284" s="1088">
        <f t="shared" ca="1" si="87"/>
        <v>0</v>
      </c>
      <c r="U284" s="1088">
        <f t="shared" ca="1" si="87"/>
        <v>0</v>
      </c>
      <c r="V284" s="1088">
        <f t="shared" ca="1" si="87"/>
        <v>0</v>
      </c>
      <c r="W284" s="1088">
        <f t="shared" ca="1" si="87"/>
        <v>0</v>
      </c>
      <c r="X284" s="1088">
        <f t="shared" ca="1" si="87"/>
        <v>0</v>
      </c>
      <c r="Y284" s="1088">
        <f t="shared" ca="1" si="87"/>
        <v>0</v>
      </c>
      <c r="Z284" s="1088">
        <f t="shared" ca="1" si="87"/>
        <v>0</v>
      </c>
    </row>
    <row r="286" spans="2:26" ht="15.75">
      <c r="B286" s="50" t="s">
        <v>1135</v>
      </c>
      <c r="C286" s="50"/>
      <c r="D286" s="50"/>
      <c r="E286" s="50"/>
      <c r="F286" s="55">
        <f ca="1">+F280-F284</f>
        <v>0</v>
      </c>
      <c r="G286" s="55">
        <f t="shared" ref="G286:Z286" ca="1" si="88">+G280-G284</f>
        <v>0</v>
      </c>
      <c r="H286" s="55">
        <f t="shared" ca="1" si="88"/>
        <v>0</v>
      </c>
      <c r="I286" s="55">
        <f t="shared" ca="1" si="88"/>
        <v>0</v>
      </c>
      <c r="J286" s="55">
        <f t="shared" ca="1" si="88"/>
        <v>0</v>
      </c>
      <c r="K286" s="55">
        <f t="shared" ca="1" si="88"/>
        <v>0</v>
      </c>
      <c r="L286" s="55">
        <f t="shared" ca="1" si="88"/>
        <v>0</v>
      </c>
      <c r="M286" s="55">
        <f t="shared" ca="1" si="88"/>
        <v>0</v>
      </c>
      <c r="N286" s="55">
        <f t="shared" ca="1" si="88"/>
        <v>0</v>
      </c>
      <c r="O286" s="55">
        <f t="shared" ca="1" si="88"/>
        <v>0</v>
      </c>
      <c r="P286" s="55">
        <f t="shared" ca="1" si="88"/>
        <v>0</v>
      </c>
      <c r="Q286" s="55">
        <f t="shared" ca="1" si="88"/>
        <v>0</v>
      </c>
      <c r="R286" s="55">
        <f t="shared" ca="1" si="88"/>
        <v>0</v>
      </c>
      <c r="S286" s="55">
        <f t="shared" ca="1" si="88"/>
        <v>0</v>
      </c>
      <c r="T286" s="55">
        <f t="shared" ca="1" si="88"/>
        <v>0</v>
      </c>
      <c r="U286" s="55">
        <f t="shared" ca="1" si="88"/>
        <v>0</v>
      </c>
      <c r="V286" s="55">
        <f t="shared" ca="1" si="88"/>
        <v>0</v>
      </c>
      <c r="W286" s="55">
        <f t="shared" ca="1" si="88"/>
        <v>0</v>
      </c>
      <c r="X286" s="55">
        <f t="shared" ca="1" si="88"/>
        <v>0</v>
      </c>
      <c r="Y286" s="55">
        <f t="shared" ca="1" si="88"/>
        <v>0</v>
      </c>
      <c r="Z286" s="55">
        <f t="shared" ca="1" si="88"/>
        <v>0</v>
      </c>
    </row>
    <row r="287" spans="2:26">
      <c r="B287" s="51" t="s">
        <v>1136</v>
      </c>
      <c r="C287" s="51"/>
      <c r="D287" s="51"/>
      <c r="E287" s="51"/>
      <c r="F287" s="56" t="str">
        <f ca="1">+IFERROR(F286/F280,"")</f>
        <v/>
      </c>
      <c r="G287" s="56" t="str">
        <f t="shared" ref="G287:Z287" ca="1" si="89">+IFERROR(G286/G280,"")</f>
        <v/>
      </c>
      <c r="H287" s="56" t="str">
        <f t="shared" ca="1" si="89"/>
        <v/>
      </c>
      <c r="I287" s="56" t="str">
        <f t="shared" ca="1" si="89"/>
        <v/>
      </c>
      <c r="J287" s="56" t="str">
        <f t="shared" ca="1" si="89"/>
        <v/>
      </c>
      <c r="K287" s="56" t="str">
        <f t="shared" ca="1" si="89"/>
        <v/>
      </c>
      <c r="L287" s="56" t="str">
        <f t="shared" ca="1" si="89"/>
        <v/>
      </c>
      <c r="M287" s="56" t="str">
        <f t="shared" ca="1" si="89"/>
        <v/>
      </c>
      <c r="N287" s="56" t="str">
        <f t="shared" ca="1" si="89"/>
        <v/>
      </c>
      <c r="O287" s="56" t="str">
        <f t="shared" ca="1" si="89"/>
        <v/>
      </c>
      <c r="P287" s="56" t="str">
        <f t="shared" ca="1" si="89"/>
        <v/>
      </c>
      <c r="Q287" s="56" t="str">
        <f t="shared" ca="1" si="89"/>
        <v/>
      </c>
      <c r="R287" s="56" t="str">
        <f t="shared" ca="1" si="89"/>
        <v/>
      </c>
      <c r="S287" s="56" t="str">
        <f t="shared" ca="1" si="89"/>
        <v/>
      </c>
      <c r="T287" s="56" t="str">
        <f t="shared" ca="1" si="89"/>
        <v/>
      </c>
      <c r="U287" s="56" t="str">
        <f t="shared" ca="1" si="89"/>
        <v/>
      </c>
      <c r="V287" s="56" t="str">
        <f t="shared" ca="1" si="89"/>
        <v/>
      </c>
      <c r="W287" s="56" t="str">
        <f t="shared" ca="1" si="89"/>
        <v/>
      </c>
      <c r="X287" s="56" t="str">
        <f t="shared" ca="1" si="89"/>
        <v/>
      </c>
      <c r="Y287" s="56" t="str">
        <f t="shared" ca="1" si="89"/>
        <v/>
      </c>
      <c r="Z287" s="56" t="str">
        <f t="shared" ca="1" si="89"/>
        <v/>
      </c>
    </row>
    <row r="288" spans="2:26">
      <c r="B288" s="51" t="s">
        <v>1064</v>
      </c>
      <c r="C288" s="51"/>
      <c r="D288" s="51"/>
      <c r="E288" s="51"/>
      <c r="F288" s="57">
        <f ca="1">+F286/Assumptions!$AG$212</f>
        <v>0</v>
      </c>
      <c r="G288" s="57">
        <f ca="1">+G286/Assumptions!$AG$212</f>
        <v>0</v>
      </c>
      <c r="H288" s="57">
        <f ca="1">+H286/Assumptions!$AG$212</f>
        <v>0</v>
      </c>
      <c r="I288" s="57">
        <f ca="1">+I286/Assumptions!$AG$212</f>
        <v>0</v>
      </c>
      <c r="J288" s="57">
        <f ca="1">+J286/Assumptions!$AG$212</f>
        <v>0</v>
      </c>
      <c r="K288" s="57">
        <f ca="1">+K286/Assumptions!$AG$212</f>
        <v>0</v>
      </c>
      <c r="L288" s="57">
        <f ca="1">+L286/Assumptions!$AG$212</f>
        <v>0</v>
      </c>
      <c r="M288" s="57">
        <f ca="1">+M286/Assumptions!$AG$212</f>
        <v>0</v>
      </c>
      <c r="N288" s="57">
        <f ca="1">+N286/Assumptions!$AG$212</f>
        <v>0</v>
      </c>
      <c r="O288" s="57">
        <f ca="1">+O286/Assumptions!$AG$212</f>
        <v>0</v>
      </c>
      <c r="P288" s="57">
        <f ca="1">+P286/Assumptions!$AG$212</f>
        <v>0</v>
      </c>
      <c r="Q288" s="57">
        <f ca="1">+Q286/Assumptions!$AG$212</f>
        <v>0</v>
      </c>
      <c r="R288" s="57">
        <f ca="1">+R286/Assumptions!$AG$212</f>
        <v>0</v>
      </c>
      <c r="S288" s="57">
        <f ca="1">+S286/Assumptions!$AG$212</f>
        <v>0</v>
      </c>
      <c r="T288" s="57">
        <f ca="1">+T286/Assumptions!$AG$212</f>
        <v>0</v>
      </c>
      <c r="U288" s="57">
        <f ca="1">+U286/Assumptions!$AG$212</f>
        <v>0</v>
      </c>
      <c r="V288" s="57">
        <f ca="1">+V286/Assumptions!$AG$212</f>
        <v>0</v>
      </c>
      <c r="W288" s="57">
        <f ca="1">+W286/Assumptions!$AG$212</f>
        <v>0</v>
      </c>
      <c r="X288" s="57">
        <f ca="1">+X286/Assumptions!$AG$212</f>
        <v>0</v>
      </c>
      <c r="Y288" s="57">
        <f ca="1">+Y286/Assumptions!$AG$212</f>
        <v>0</v>
      </c>
      <c r="Z288" s="57">
        <f ca="1">+Z286/Assumptions!$AG$212</f>
        <v>0</v>
      </c>
    </row>
    <row r="289" spans="2:26">
      <c r="B289" s="699"/>
      <c r="C289" s="699"/>
      <c r="D289" s="699"/>
      <c r="E289" s="699"/>
      <c r="F289" s="699"/>
      <c r="G289" s="699"/>
      <c r="H289" s="699"/>
      <c r="I289" s="151">
        <v>1</v>
      </c>
      <c r="J289" s="151">
        <v>2</v>
      </c>
      <c r="K289" s="151">
        <v>3</v>
      </c>
      <c r="L289" s="151">
        <v>4</v>
      </c>
      <c r="M289" s="151">
        <v>5</v>
      </c>
      <c r="N289" s="151">
        <v>5.88</v>
      </c>
      <c r="O289" s="151">
        <v>5.88</v>
      </c>
      <c r="P289" s="151">
        <v>5.88</v>
      </c>
      <c r="Q289" s="151">
        <v>5.88</v>
      </c>
      <c r="R289" s="151">
        <v>5.88</v>
      </c>
      <c r="S289" s="151">
        <v>5.88</v>
      </c>
      <c r="T289" s="151">
        <v>5.88</v>
      </c>
      <c r="U289" s="151">
        <v>5.88</v>
      </c>
      <c r="V289" s="151">
        <v>5.88</v>
      </c>
      <c r="W289" s="151">
        <v>5.88</v>
      </c>
      <c r="X289" s="151">
        <v>5.88</v>
      </c>
      <c r="Y289" s="151">
        <v>5.88</v>
      </c>
      <c r="Z289" s="151">
        <v>5.88</v>
      </c>
    </row>
    <row r="290" spans="2:26" ht="15.75">
      <c r="B290" s="53" t="s">
        <v>708</v>
      </c>
      <c r="C290" s="699"/>
      <c r="D290" s="699"/>
      <c r="E290" s="699"/>
      <c r="F290" s="54">
        <f>+Assumptions!$H$27</f>
        <v>47118</v>
      </c>
      <c r="G290" s="54">
        <f>+EOMONTH(F290,12)</f>
        <v>47483</v>
      </c>
      <c r="H290" s="54">
        <f t="shared" ref="H290" si="90">+EOMONTH(G290,12)</f>
        <v>47848</v>
      </c>
      <c r="I290" s="54">
        <f t="shared" ref="I290" si="91">+EOMONTH(H290,12)</f>
        <v>48213</v>
      </c>
      <c r="J290" s="54">
        <f t="shared" ref="J290" si="92">+EOMONTH(I290,12)</f>
        <v>48579</v>
      </c>
      <c r="K290" s="54">
        <f t="shared" ref="K290" si="93">+EOMONTH(J290,12)</f>
        <v>48944</v>
      </c>
      <c r="L290" s="54">
        <f t="shared" ref="L290" si="94">+EOMONTH(K290,12)</f>
        <v>49309</v>
      </c>
      <c r="M290" s="54">
        <f t="shared" ref="M290" si="95">+EOMONTH(L290,12)</f>
        <v>49674</v>
      </c>
      <c r="N290" s="54">
        <f t="shared" ref="N290" si="96">+EOMONTH(M290,12)</f>
        <v>50040</v>
      </c>
      <c r="O290" s="54">
        <f t="shared" ref="O290" si="97">+EOMONTH(N290,12)</f>
        <v>50405</v>
      </c>
      <c r="P290" s="54">
        <f t="shared" ref="P290" si="98">+EOMONTH(O290,12)</f>
        <v>50770</v>
      </c>
      <c r="Q290" s="54">
        <f t="shared" ref="Q290" si="99">+EOMONTH(P290,12)</f>
        <v>51135</v>
      </c>
      <c r="R290" s="54">
        <f t="shared" ref="R290" si="100">+EOMONTH(Q290,12)</f>
        <v>51501</v>
      </c>
      <c r="S290" s="54">
        <f t="shared" ref="S290" si="101">+EOMONTH(R290,12)</f>
        <v>51866</v>
      </c>
      <c r="T290" s="54">
        <f t="shared" ref="T290" si="102">+EOMONTH(S290,12)</f>
        <v>52231</v>
      </c>
      <c r="U290" s="54">
        <f t="shared" ref="U290" si="103">+EOMONTH(T290,12)</f>
        <v>52596</v>
      </c>
      <c r="V290" s="54">
        <f t="shared" ref="V290" si="104">+EOMONTH(U290,12)</f>
        <v>52962</v>
      </c>
      <c r="W290" s="54">
        <f t="shared" ref="W290" si="105">+EOMONTH(V290,12)</f>
        <v>53327</v>
      </c>
      <c r="X290" s="54">
        <f t="shared" ref="X290" si="106">+EOMONTH(W290,12)</f>
        <v>53692</v>
      </c>
      <c r="Y290" s="54">
        <f t="shared" ref="Y290" si="107">+EOMONTH(X290,12)</f>
        <v>54057</v>
      </c>
      <c r="Z290" s="54">
        <f t="shared" ref="Z290" si="108">+EOMONTH(Y290,12)</f>
        <v>54423</v>
      </c>
    </row>
    <row r="291" spans="2:26">
      <c r="B291" s="699" t="s">
        <v>1138</v>
      </c>
      <c r="C291" s="699"/>
      <c r="D291" s="699"/>
      <c r="E291" s="1050"/>
      <c r="F291" s="1050">
        <f>+IF(F290&gt;=Assumptions!$H$31,F289*Assumptions!$AG$184,0)</f>
        <v>0</v>
      </c>
      <c r="G291" s="1050">
        <f>+IF(G290&gt;=Assumptions!$H$31,G289*Assumptions!$AG$184,0)</f>
        <v>0</v>
      </c>
      <c r="H291" s="1050">
        <f>+IF(H290&gt;=Assumptions!$H$31,H289*Assumptions!$AG$184,0)</f>
        <v>0</v>
      </c>
      <c r="I291" s="1050">
        <f>+IF(I290&gt;=Assumptions!$H$31,I289*Assumptions!$AG$184,0)</f>
        <v>2</v>
      </c>
      <c r="J291" s="1050">
        <v>2</v>
      </c>
      <c r="K291" s="1050">
        <v>2</v>
      </c>
      <c r="L291" s="1050">
        <v>2</v>
      </c>
      <c r="M291" s="1050">
        <v>2</v>
      </c>
      <c r="N291" s="1050">
        <f>Assumptions!$AG$182-10</f>
        <v>-10</v>
      </c>
      <c r="O291" s="1050">
        <v>0</v>
      </c>
      <c r="P291" s="1050">
        <v>0</v>
      </c>
      <c r="Q291" s="1050">
        <v>0</v>
      </c>
      <c r="R291" s="1050">
        <v>0</v>
      </c>
      <c r="S291" s="1050">
        <v>0</v>
      </c>
      <c r="T291" s="1050">
        <v>0</v>
      </c>
      <c r="U291" s="1050">
        <v>0</v>
      </c>
      <c r="V291" s="1050">
        <v>0</v>
      </c>
      <c r="W291" s="1050">
        <v>0</v>
      </c>
      <c r="X291" s="1050">
        <v>0</v>
      </c>
      <c r="Y291" s="1050">
        <v>0</v>
      </c>
      <c r="Z291" s="1050">
        <v>0</v>
      </c>
    </row>
    <row r="292" spans="2:26">
      <c r="B292" s="699" t="s">
        <v>1121</v>
      </c>
      <c r="C292" s="699"/>
      <c r="D292" s="699"/>
      <c r="E292" s="1050">
        <v>0</v>
      </c>
      <c r="F292" s="1050">
        <f>+E292+F291</f>
        <v>0</v>
      </c>
      <c r="G292" s="1050">
        <f t="shared" ref="G292" si="109">+F292+G291</f>
        <v>0</v>
      </c>
      <c r="H292" s="1050">
        <f t="shared" ref="H292" si="110">+G292+H291</f>
        <v>0</v>
      </c>
      <c r="I292" s="1050">
        <f t="shared" ref="I292" si="111">+H292+I291</f>
        <v>2</v>
      </c>
      <c r="J292" s="1050">
        <f t="shared" ref="J292" si="112">+I292+J291</f>
        <v>4</v>
      </c>
      <c r="K292" s="1050">
        <f t="shared" ref="K292" si="113">+J292+K291</f>
        <v>6</v>
      </c>
      <c r="L292" s="1050">
        <f t="shared" ref="L292" si="114">+K292+L291</f>
        <v>8</v>
      </c>
      <c r="M292" s="1050">
        <f t="shared" ref="M292" si="115">+L292+M291</f>
        <v>10</v>
      </c>
      <c r="N292" s="1050">
        <f t="shared" ref="N292" si="116">+M292+N291</f>
        <v>0</v>
      </c>
      <c r="O292" s="1050">
        <f t="shared" ref="O292" si="117">+N292+O291</f>
        <v>0</v>
      </c>
      <c r="P292" s="1050">
        <f t="shared" ref="P292" si="118">+O292+P291</f>
        <v>0</v>
      </c>
      <c r="Q292" s="1050">
        <f t="shared" ref="Q292" si="119">+P292+Q291</f>
        <v>0</v>
      </c>
      <c r="R292" s="1050">
        <f t="shared" ref="R292" si="120">+Q292+R291</f>
        <v>0</v>
      </c>
      <c r="S292" s="1050">
        <f t="shared" ref="S292" si="121">+R292+S291</f>
        <v>0</v>
      </c>
      <c r="T292" s="1050">
        <f t="shared" ref="T292" si="122">+S292+T291</f>
        <v>0</v>
      </c>
      <c r="U292" s="1050">
        <f t="shared" ref="U292" si="123">+T292+U291</f>
        <v>0</v>
      </c>
      <c r="V292" s="1050">
        <f t="shared" ref="V292" si="124">+U292+V291</f>
        <v>0</v>
      </c>
      <c r="W292" s="1050">
        <f t="shared" ref="W292" si="125">+V292+W291</f>
        <v>0</v>
      </c>
      <c r="X292" s="1050">
        <f t="shared" ref="X292" si="126">+W292+X291</f>
        <v>0</v>
      </c>
      <c r="Y292" s="1050">
        <f t="shared" ref="Y292" si="127">+X292+Y291</f>
        <v>0</v>
      </c>
      <c r="Z292" s="1050">
        <f t="shared" ref="Z292" si="128">+Y292+Z291</f>
        <v>0</v>
      </c>
    </row>
    <row r="293" spans="2:26">
      <c r="B293" s="699" t="s">
        <v>1125</v>
      </c>
      <c r="C293" s="699"/>
      <c r="D293" s="699"/>
      <c r="E293" s="699"/>
      <c r="F293" s="1074">
        <f>+IFERROR(F292/SUM($F$291:$Z$291),0)</f>
        <v>0</v>
      </c>
      <c r="G293" s="1074">
        <f t="shared" ref="G293:U293" si="129">+IFERROR(G292/SUM($F$291:$Z$291),0)</f>
        <v>0</v>
      </c>
      <c r="H293" s="1074">
        <f t="shared" si="129"/>
        <v>0</v>
      </c>
      <c r="I293" s="1074">
        <f t="shared" si="129"/>
        <v>0</v>
      </c>
      <c r="J293" s="1074">
        <f t="shared" si="129"/>
        <v>0</v>
      </c>
      <c r="K293" s="1074">
        <f t="shared" si="129"/>
        <v>0</v>
      </c>
      <c r="L293" s="1074">
        <f t="shared" si="129"/>
        <v>0</v>
      </c>
      <c r="M293" s="1074">
        <f t="shared" si="129"/>
        <v>0</v>
      </c>
      <c r="N293" s="1074">
        <f t="shared" si="129"/>
        <v>0</v>
      </c>
      <c r="O293" s="1074">
        <f t="shared" si="129"/>
        <v>0</v>
      </c>
      <c r="P293" s="1074">
        <f t="shared" si="129"/>
        <v>0</v>
      </c>
      <c r="Q293" s="1074">
        <f t="shared" si="129"/>
        <v>0</v>
      </c>
      <c r="R293" s="1074">
        <f t="shared" si="129"/>
        <v>0</v>
      </c>
      <c r="S293" s="1074">
        <f t="shared" si="129"/>
        <v>0</v>
      </c>
      <c r="T293" s="1074">
        <f t="shared" si="129"/>
        <v>0</v>
      </c>
      <c r="U293" s="1074">
        <f t="shared" si="129"/>
        <v>0</v>
      </c>
      <c r="V293" s="1074">
        <f t="shared" ref="V293" si="130">+IFERROR(V292/SUM($F$291:$Z$291),0)</f>
        <v>0</v>
      </c>
      <c r="W293" s="1074">
        <f t="shared" ref="W293" si="131">+IFERROR(W292/SUM($F$291:$Z$291),0)</f>
        <v>0</v>
      </c>
      <c r="X293" s="1074">
        <f t="shared" ref="X293" si="132">+IFERROR(X292/SUM($F$291:$Z$291),0)</f>
        <v>0</v>
      </c>
      <c r="Y293" s="1074">
        <f t="shared" ref="Y293" si="133">+IFERROR(Y292/SUM($F$291:$Z$291),0)</f>
        <v>0</v>
      </c>
      <c r="Z293" s="1074">
        <f t="shared" ref="Z293" si="134">+IFERROR(Z292/SUM($F$291:$Z$291),0)</f>
        <v>0</v>
      </c>
    </row>
    <row r="295" spans="2:26">
      <c r="B295" s="699" t="s">
        <v>1126</v>
      </c>
      <c r="C295" s="699"/>
      <c r="D295" s="699"/>
      <c r="E295" s="699"/>
      <c r="F295" s="1074">
        <v>1</v>
      </c>
      <c r="G295" s="1074">
        <f>+IF(MOD(G$2,Assumptions!$AR$93)=(Assumptions!$AR$93-1),'Phase 3 Pro Forma'!F295*(1+Assumptions!$AR$92),'Phase 3 Pro Forma'!F295)</f>
        <v>1</v>
      </c>
      <c r="H295" s="1074">
        <f>+IF(MOD(H$2,Assumptions!$AR$93)=(Assumptions!$AR$93-1),'Phase 3 Pro Forma'!G295*(1+Assumptions!$AR$92),'Phase 3 Pro Forma'!G295)</f>
        <v>1</v>
      </c>
      <c r="I295" s="1074">
        <f>+IF(MOD(I$2,Assumptions!$AR$93)=(Assumptions!$AR$93-1),'Phase 3 Pro Forma'!H295*(1+Assumptions!$AR$92),'Phase 3 Pro Forma'!H295)</f>
        <v>1</v>
      </c>
      <c r="J295" s="1074">
        <f>+IF(MOD(J$2,Assumptions!$AR$93)=(Assumptions!$AR$93-1),'Phase 3 Pro Forma'!I295*(1+Assumptions!$AR$92),'Phase 3 Pro Forma'!I295)</f>
        <v>1.03</v>
      </c>
      <c r="K295" s="1074">
        <f>+IF(MOD(K$2,Assumptions!$AR$93)=(Assumptions!$AR$93-1),'Phase 3 Pro Forma'!J295*(1+Assumptions!$AR$92),'Phase 3 Pro Forma'!J295)</f>
        <v>1.03</v>
      </c>
      <c r="L295" s="1074">
        <f>+IF(MOD(L$2,Assumptions!$AR$93)=(Assumptions!$AR$93-1),'Phase 3 Pro Forma'!K295*(1+Assumptions!$AR$92),'Phase 3 Pro Forma'!K295)</f>
        <v>1.03</v>
      </c>
      <c r="M295" s="1074">
        <f>+IF(MOD(M$2,Assumptions!$AR$93)=(Assumptions!$AR$93-1),'Phase 3 Pro Forma'!L295*(1+Assumptions!$AR$92),'Phase 3 Pro Forma'!L295)</f>
        <v>1.0609</v>
      </c>
      <c r="N295" s="1074">
        <f>+IF(MOD(N$2,Assumptions!$AR$93)=(Assumptions!$AR$93-1),'Phase 3 Pro Forma'!M295*(1+Assumptions!$AR$92),'Phase 3 Pro Forma'!M295)</f>
        <v>1.0609</v>
      </c>
      <c r="O295" s="1074">
        <f>+IF(MOD(O$2,Assumptions!$AR$93)=(Assumptions!$AR$93-1),'Phase 3 Pro Forma'!N295*(1+Assumptions!$AR$92),'Phase 3 Pro Forma'!N295)</f>
        <v>1.0609</v>
      </c>
      <c r="P295" s="1074">
        <f>+IF(MOD(P$2,Assumptions!$AR$93)=(Assumptions!$AR$93-1),'Phase 3 Pro Forma'!O295*(1+Assumptions!$AR$92),'Phase 3 Pro Forma'!O295)</f>
        <v>1.092727</v>
      </c>
      <c r="Q295" s="1074">
        <f>+IF(MOD(Q$2,Assumptions!$AR$93)=(Assumptions!$AR$93-1),'Phase 3 Pro Forma'!P295*(1+Assumptions!$AR$92),'Phase 3 Pro Forma'!P295)</f>
        <v>1.092727</v>
      </c>
      <c r="R295" s="1074">
        <f>+IF(MOD(R$2,Assumptions!$AR$93)=(Assumptions!$AR$93-1),'Phase 3 Pro Forma'!Q295*(1+Assumptions!$AR$92),'Phase 3 Pro Forma'!Q295)</f>
        <v>1.092727</v>
      </c>
      <c r="S295" s="1074">
        <f>+IF(MOD(S$2,Assumptions!$AR$93)=(Assumptions!$AR$93-1),'Phase 3 Pro Forma'!R295*(1+Assumptions!$AR$92),'Phase 3 Pro Forma'!R295)</f>
        <v>1.1255088100000001</v>
      </c>
      <c r="T295" s="1074">
        <f>+IF(MOD(T$2,Assumptions!$AR$93)=(Assumptions!$AR$93-1),'Phase 3 Pro Forma'!S295*(1+Assumptions!$AR$92),'Phase 3 Pro Forma'!S295)</f>
        <v>1.1255088100000001</v>
      </c>
      <c r="U295" s="1074">
        <f>+IF(MOD(U$2,Assumptions!$AR$93)=(Assumptions!$AR$93-1),'Phase 3 Pro Forma'!T295*(1+Assumptions!$AR$92),'Phase 3 Pro Forma'!T295)</f>
        <v>1.1255088100000001</v>
      </c>
      <c r="V295" s="1074">
        <f>+IF(MOD(V$2,Assumptions!$AR$93)=(Assumptions!$AR$93-1),'Phase 3 Pro Forma'!U295*(1+Assumptions!$AR$92),'Phase 3 Pro Forma'!U295)</f>
        <v>1.1592740743000001</v>
      </c>
      <c r="W295" s="1074">
        <f>+IF(MOD(W$2,Assumptions!$AR$93)=(Assumptions!$AR$93-1),'Phase 3 Pro Forma'!V295*(1+Assumptions!$AR$92),'Phase 3 Pro Forma'!V295)</f>
        <v>1.1592740743000001</v>
      </c>
      <c r="X295" s="1074">
        <f>+IF(MOD(X$2,Assumptions!$AR$93)=(Assumptions!$AR$93-1),'Phase 3 Pro Forma'!W295*(1+Assumptions!$AR$92),'Phase 3 Pro Forma'!W295)</f>
        <v>1.1592740743000001</v>
      </c>
      <c r="Y295" s="1074">
        <f>+IF(MOD(Y$2,Assumptions!$AR$93)=(Assumptions!$AR$93-1),'Phase 3 Pro Forma'!X295*(1+Assumptions!$AR$92),'Phase 3 Pro Forma'!X295)</f>
        <v>1.1940522965290001</v>
      </c>
      <c r="Z295" s="1074">
        <f>+IF(MOD(Z$2,Assumptions!$AR$93)=(Assumptions!$AR$93-1),'Phase 3 Pro Forma'!Y295*(1+Assumptions!$AR$92),'Phase 3 Pro Forma'!Y295)</f>
        <v>1.1940522965290001</v>
      </c>
    </row>
    <row r="296" spans="2:26">
      <c r="B296" s="699" t="s">
        <v>1127</v>
      </c>
      <c r="C296" s="699"/>
      <c r="D296" s="699"/>
      <c r="E296" s="699"/>
      <c r="F296" s="1074">
        <v>1</v>
      </c>
      <c r="G296" s="1074">
        <f>+F296*(1+Assumptions!$AR$102)</f>
        <v>1.03</v>
      </c>
      <c r="H296" s="1074">
        <f>+G296*(1+Assumptions!$AR$102)</f>
        <v>1.0609</v>
      </c>
      <c r="I296" s="1074">
        <f>+H296*(1+Assumptions!$AR$102)</f>
        <v>1.092727</v>
      </c>
      <c r="J296" s="1074">
        <f>+I296*(1+Assumptions!$AR$102)</f>
        <v>1.1255088100000001</v>
      </c>
      <c r="K296" s="1074">
        <f>+J296*(1+Assumptions!$AR$102)</f>
        <v>1.1592740743000001</v>
      </c>
      <c r="L296" s="1074">
        <f>+K296*(1+Assumptions!$AR$102)</f>
        <v>1.1940522965290001</v>
      </c>
      <c r="M296" s="1074">
        <f>+L296*(1+Assumptions!$AR$102)</f>
        <v>1.2298738654248702</v>
      </c>
      <c r="N296" s="1074">
        <f>+M296*(1+Assumptions!$AR$102)</f>
        <v>1.2667700813876164</v>
      </c>
      <c r="O296" s="1074">
        <f>+N296*(1+Assumptions!$AR$102)</f>
        <v>1.3047731838292449</v>
      </c>
      <c r="P296" s="1074">
        <f>+O296*(1+Assumptions!$AR$102)</f>
        <v>1.3439163793441222</v>
      </c>
      <c r="Q296" s="1074">
        <f>+P296*(1+Assumptions!$AR$102)</f>
        <v>1.3842338707244459</v>
      </c>
      <c r="R296" s="1074">
        <f>+Q296*(1+Assumptions!$AR$102)</f>
        <v>1.4257608868461793</v>
      </c>
      <c r="S296" s="1074">
        <f>+R296*(1+Assumptions!$AR$102)</f>
        <v>1.4685337134515648</v>
      </c>
      <c r="T296" s="1074">
        <f>+S296*(1+Assumptions!$AR$102)</f>
        <v>1.5125897248551119</v>
      </c>
      <c r="U296" s="1074">
        <f>+T296*(1+Assumptions!$AR$102)</f>
        <v>1.5579674166007653</v>
      </c>
      <c r="V296" s="1074">
        <f>+U296*(1+Assumptions!$AR$102)</f>
        <v>1.6047064390987884</v>
      </c>
      <c r="W296" s="1074">
        <f>+V296*(1+Assumptions!$AR$102)</f>
        <v>1.652847632271752</v>
      </c>
      <c r="X296" s="1074">
        <f>+W296*(1+Assumptions!$AR$102)</f>
        <v>1.7024330612399046</v>
      </c>
      <c r="Y296" s="1074">
        <f>+X296*(1+Assumptions!$AR$102)</f>
        <v>1.7535060530771018</v>
      </c>
      <c r="Z296" s="1074">
        <f>+Y296*(1+Assumptions!$AR$102)</f>
        <v>1.806111234669415</v>
      </c>
    </row>
    <row r="298" spans="2:26">
      <c r="B298" s="699" t="s">
        <v>1128</v>
      </c>
      <c r="C298" s="699"/>
      <c r="D298" s="699"/>
      <c r="E298" s="699"/>
      <c r="F298" s="1028">
        <f>+F293*Assumptions!$AG$193*F295</f>
        <v>0</v>
      </c>
      <c r="G298" s="1028">
        <f>+G293*Assumptions!$AG$193*G295</f>
        <v>0</v>
      </c>
      <c r="H298" s="1028">
        <f>+H293*Assumptions!$AG$193*H295</f>
        <v>0</v>
      </c>
      <c r="I298" s="1028">
        <f>+I293*Assumptions!$AG$193*I295</f>
        <v>0</v>
      </c>
      <c r="J298" s="1028">
        <f>+J293*Assumptions!$AG$193*J295</f>
        <v>0</v>
      </c>
      <c r="K298" s="1028">
        <f>+K293*Assumptions!$AG$193*K295</f>
        <v>0</v>
      </c>
      <c r="L298" s="1028">
        <f>+L293*Assumptions!$AG$193*L295</f>
        <v>0</v>
      </c>
      <c r="M298" s="1028">
        <f>+M293*Assumptions!$AG$193*M295</f>
        <v>0</v>
      </c>
      <c r="N298" s="1028">
        <f>+N293*Assumptions!$AG$193*N295</f>
        <v>0</v>
      </c>
      <c r="O298" s="1028">
        <f>+O293*Assumptions!$AG$193*O295</f>
        <v>0</v>
      </c>
      <c r="P298" s="1028">
        <f>+P293*Assumptions!$AG$193*P295</f>
        <v>0</v>
      </c>
      <c r="Q298" s="1028">
        <f>+Q293*Assumptions!$AG$193*Q295</f>
        <v>0</v>
      </c>
      <c r="R298" s="1028">
        <f>+R293*Assumptions!$AG$193*R295</f>
        <v>0</v>
      </c>
      <c r="S298" s="1028">
        <f>+S293*Assumptions!$AG$193*S295</f>
        <v>0</v>
      </c>
      <c r="T298" s="1028">
        <f>+T293*Assumptions!$AG$193*T295</f>
        <v>0</v>
      </c>
      <c r="U298" s="1028">
        <f>+U293*Assumptions!$AG$193*U295</f>
        <v>0</v>
      </c>
      <c r="V298" s="1028">
        <f>+V293*Assumptions!$AG$193*V295</f>
        <v>0</v>
      </c>
      <c r="W298" s="1028">
        <f>+W293*Assumptions!$AG$193*W295</f>
        <v>0</v>
      </c>
      <c r="X298" s="1028">
        <f>+X293*Assumptions!$AG$193*X295</f>
        <v>0</v>
      </c>
      <c r="Y298" s="1028">
        <f>+Y293*Assumptions!$AG$193*Y295</f>
        <v>0</v>
      </c>
      <c r="Z298" s="1028">
        <f>+Z293*Assumptions!$AG$193*Z295</f>
        <v>0</v>
      </c>
    </row>
    <row r="299" spans="2:26">
      <c r="B299" s="699" t="s">
        <v>1130</v>
      </c>
      <c r="C299" s="699"/>
      <c r="D299" s="699"/>
      <c r="E299" s="699"/>
      <c r="F299" s="1085">
        <f>-F298*Assumptions!$AR$82</f>
        <v>0</v>
      </c>
      <c r="G299" s="1085">
        <f>-G298*Assumptions!$AR$82</f>
        <v>0</v>
      </c>
      <c r="H299" s="1085">
        <f>-H298*Assumptions!$AR$82</f>
        <v>0</v>
      </c>
      <c r="I299" s="1085">
        <f>-I298*Assumptions!$AR$82</f>
        <v>0</v>
      </c>
      <c r="J299" s="1085">
        <f>-J298*Assumptions!$AR$82</f>
        <v>0</v>
      </c>
      <c r="K299" s="1085">
        <f>-K298*Assumptions!$AR$82</f>
        <v>0</v>
      </c>
      <c r="L299" s="1085">
        <f>-L298*Assumptions!$AR$82</f>
        <v>0</v>
      </c>
      <c r="M299" s="1085">
        <f>-M298*Assumptions!$AR$82</f>
        <v>0</v>
      </c>
      <c r="N299" s="1085">
        <f>-N298*Assumptions!$AR$82</f>
        <v>0</v>
      </c>
      <c r="O299" s="1085">
        <f>-O298*Assumptions!$AR$82</f>
        <v>0</v>
      </c>
      <c r="P299" s="1085">
        <f>-P298*Assumptions!$AR$82</f>
        <v>0</v>
      </c>
      <c r="Q299" s="1085">
        <f>-Q298*Assumptions!$AR$82</f>
        <v>0</v>
      </c>
      <c r="R299" s="1085">
        <f>-R298*Assumptions!$AR$82</f>
        <v>0</v>
      </c>
      <c r="S299" s="1085">
        <f>-S298*Assumptions!$AR$82</f>
        <v>0</v>
      </c>
      <c r="T299" s="1085">
        <f>-T298*Assumptions!$AR$82</f>
        <v>0</v>
      </c>
      <c r="U299" s="1085">
        <f>-U298*Assumptions!$AR$82</f>
        <v>0</v>
      </c>
      <c r="V299" s="1085">
        <f>-V298*Assumptions!$AR$82</f>
        <v>0</v>
      </c>
      <c r="W299" s="1085">
        <f>-W298*Assumptions!$AR$82</f>
        <v>0</v>
      </c>
      <c r="X299" s="1085">
        <f>-X298*Assumptions!$AR$82</f>
        <v>0</v>
      </c>
      <c r="Y299" s="1085">
        <f>-Y298*Assumptions!$AR$82</f>
        <v>0</v>
      </c>
      <c r="Z299" s="1085">
        <f>-Z298*Assumptions!$AR$82</f>
        <v>0</v>
      </c>
    </row>
    <row r="300" spans="2:26">
      <c r="B300" s="699" t="s">
        <v>1139</v>
      </c>
      <c r="C300" s="699"/>
      <c r="D300" s="699"/>
      <c r="E300" s="699"/>
      <c r="F300" s="1085">
        <f ca="1">F305*Assumptions!$AG$269</f>
        <v>0</v>
      </c>
      <c r="G300" s="1085">
        <f ca="1">G305*Assumptions!$AG$269</f>
        <v>0</v>
      </c>
      <c r="H300" s="1085">
        <f ca="1">H305*Assumptions!$AG$269</f>
        <v>0</v>
      </c>
      <c r="I300" s="1085">
        <f ca="1">I305*Assumptions!$AG$269</f>
        <v>0</v>
      </c>
      <c r="J300" s="1085">
        <f ca="1">J305*Assumptions!$AG$269</f>
        <v>0</v>
      </c>
      <c r="K300" s="1085">
        <f ca="1">K305*Assumptions!$AG$269</f>
        <v>0</v>
      </c>
      <c r="L300" s="1085">
        <f ca="1">L305*Assumptions!$AG$269</f>
        <v>0</v>
      </c>
      <c r="M300" s="1085">
        <f ca="1">M305*Assumptions!$AG$269</f>
        <v>0</v>
      </c>
      <c r="N300" s="1085">
        <f ca="1">N305*Assumptions!$AG$269</f>
        <v>0</v>
      </c>
      <c r="O300" s="1085">
        <f ca="1">O305*Assumptions!$AG$269</f>
        <v>0</v>
      </c>
      <c r="P300" s="1085">
        <f ca="1">P305*Assumptions!$AG$269</f>
        <v>0</v>
      </c>
      <c r="Q300" s="1085">
        <f ca="1">Q305*Assumptions!$AG$269</f>
        <v>0</v>
      </c>
      <c r="R300" s="1085">
        <f ca="1">R305*Assumptions!$AG$269</f>
        <v>0</v>
      </c>
      <c r="S300" s="1085">
        <f ca="1">S305*Assumptions!$AG$269</f>
        <v>0</v>
      </c>
      <c r="T300" s="1085">
        <f ca="1">T305*Assumptions!$AG$269</f>
        <v>0</v>
      </c>
      <c r="U300" s="1085">
        <f ca="1">U305*Assumptions!$AG$269</f>
        <v>0</v>
      </c>
      <c r="V300" s="1085">
        <f ca="1">V305*Assumptions!$AG$269</f>
        <v>0</v>
      </c>
      <c r="W300" s="1085">
        <f ca="1">W305*Assumptions!$AG$269</f>
        <v>0</v>
      </c>
      <c r="X300" s="1085">
        <f ca="1">X305*Assumptions!$AG$269</f>
        <v>0</v>
      </c>
      <c r="Y300" s="1085">
        <f ca="1">Y305*Assumptions!$AG$269</f>
        <v>0</v>
      </c>
      <c r="Z300" s="1085">
        <f ca="1">Z305*Assumptions!$AG$269</f>
        <v>0</v>
      </c>
    </row>
    <row r="301" spans="2:26">
      <c r="B301" s="52" t="s">
        <v>1131</v>
      </c>
      <c r="C301" s="1052"/>
      <c r="D301" s="1052"/>
      <c r="E301" s="1052"/>
      <c r="F301" s="1086">
        <f ca="1">SUM(F298:F300)</f>
        <v>0</v>
      </c>
      <c r="G301" s="1086">
        <f t="shared" ref="G301:Z301" ca="1" si="135">SUM(G298:G300)</f>
        <v>0</v>
      </c>
      <c r="H301" s="1086">
        <f t="shared" ca="1" si="135"/>
        <v>0</v>
      </c>
      <c r="I301" s="1086">
        <f t="shared" ca="1" si="135"/>
        <v>0</v>
      </c>
      <c r="J301" s="1086">
        <f t="shared" ca="1" si="135"/>
        <v>0</v>
      </c>
      <c r="K301" s="1086">
        <f t="shared" ca="1" si="135"/>
        <v>0</v>
      </c>
      <c r="L301" s="1086">
        <f t="shared" ca="1" si="135"/>
        <v>0</v>
      </c>
      <c r="M301" s="1086">
        <f t="shared" ca="1" si="135"/>
        <v>0</v>
      </c>
      <c r="N301" s="1086">
        <f t="shared" ca="1" si="135"/>
        <v>0</v>
      </c>
      <c r="O301" s="1086">
        <f t="shared" ca="1" si="135"/>
        <v>0</v>
      </c>
      <c r="P301" s="1086">
        <f t="shared" ca="1" si="135"/>
        <v>0</v>
      </c>
      <c r="Q301" s="1086">
        <f t="shared" ca="1" si="135"/>
        <v>0</v>
      </c>
      <c r="R301" s="1086">
        <f t="shared" ca="1" si="135"/>
        <v>0</v>
      </c>
      <c r="S301" s="1086">
        <f t="shared" ca="1" si="135"/>
        <v>0</v>
      </c>
      <c r="T301" s="1086">
        <f t="shared" ca="1" si="135"/>
        <v>0</v>
      </c>
      <c r="U301" s="1086">
        <f t="shared" ca="1" si="135"/>
        <v>0</v>
      </c>
      <c r="V301" s="1086">
        <f t="shared" ca="1" si="135"/>
        <v>0</v>
      </c>
      <c r="W301" s="1086">
        <f t="shared" ca="1" si="135"/>
        <v>0</v>
      </c>
      <c r="X301" s="1086">
        <f t="shared" ca="1" si="135"/>
        <v>0</v>
      </c>
      <c r="Y301" s="1086">
        <f t="shared" ca="1" si="135"/>
        <v>0</v>
      </c>
      <c r="Z301" s="1086">
        <f t="shared" ca="1" si="135"/>
        <v>0</v>
      </c>
    </row>
    <row r="302" spans="2:26">
      <c r="B302" s="49"/>
      <c r="C302" s="699"/>
      <c r="D302" s="699"/>
      <c r="E302" s="699"/>
      <c r="F302" s="699"/>
      <c r="G302" s="699"/>
      <c r="H302" s="699"/>
      <c r="I302" s="699"/>
      <c r="J302" s="699"/>
      <c r="K302" s="699"/>
      <c r="L302" s="699"/>
      <c r="M302" s="699"/>
      <c r="N302" s="699"/>
      <c r="O302" s="699"/>
      <c r="P302" s="699"/>
      <c r="Q302" s="699"/>
      <c r="R302" s="699"/>
      <c r="S302" s="699"/>
      <c r="T302" s="699"/>
      <c r="U302" s="699"/>
      <c r="V302" s="699"/>
      <c r="W302" s="699"/>
      <c r="X302" s="699"/>
      <c r="Y302" s="699"/>
      <c r="Z302" s="699"/>
    </row>
    <row r="303" spans="2:26">
      <c r="B303" s="699" t="s">
        <v>1132</v>
      </c>
      <c r="C303" s="699"/>
      <c r="D303" s="699"/>
      <c r="E303" s="699"/>
      <c r="F303" s="1087">
        <f>Assumptions!$AG$267*F298</f>
        <v>0</v>
      </c>
      <c r="G303" s="1087">
        <f>Assumptions!$AG$267*G298</f>
        <v>0</v>
      </c>
      <c r="H303" s="1087">
        <f>Assumptions!$AG$267*H298</f>
        <v>0</v>
      </c>
      <c r="I303" s="1087">
        <f>Assumptions!$AG$267*I298</f>
        <v>0</v>
      </c>
      <c r="J303" s="1087">
        <f>Assumptions!$AG$267*J298</f>
        <v>0</v>
      </c>
      <c r="K303" s="1087">
        <f>Assumptions!$AG$267*K298</f>
        <v>0</v>
      </c>
      <c r="L303" s="1087">
        <f>Assumptions!$AG$267*L298</f>
        <v>0</v>
      </c>
      <c r="M303" s="1087">
        <f>Assumptions!$AG$267*M298</f>
        <v>0</v>
      </c>
      <c r="N303" s="1087">
        <f>Assumptions!$AG$267*N298</f>
        <v>0</v>
      </c>
      <c r="O303" s="1087">
        <f>Assumptions!$AG$267*O298</f>
        <v>0</v>
      </c>
      <c r="P303" s="1087">
        <f>Assumptions!$AG$267*P298</f>
        <v>0</v>
      </c>
      <c r="Q303" s="1087">
        <f>Assumptions!$AG$267*Q298</f>
        <v>0</v>
      </c>
      <c r="R303" s="1087">
        <f>Assumptions!$AG$267*R298</f>
        <v>0</v>
      </c>
      <c r="S303" s="1087">
        <f>Assumptions!$AG$267*S298</f>
        <v>0</v>
      </c>
      <c r="T303" s="1087">
        <f>Assumptions!$AG$267*T298</f>
        <v>0</v>
      </c>
      <c r="U303" s="1087">
        <f>Assumptions!$AG$267*U298</f>
        <v>0</v>
      </c>
      <c r="V303" s="1087">
        <f>Assumptions!$AG$267*V298</f>
        <v>0</v>
      </c>
      <c r="W303" s="1087">
        <f>Assumptions!$AG$267*W298</f>
        <v>0</v>
      </c>
      <c r="X303" s="1087">
        <f>Assumptions!$AG$267*X298</f>
        <v>0</v>
      </c>
      <c r="Y303" s="1087">
        <f>Assumptions!$AG$267*Y298</f>
        <v>0</v>
      </c>
      <c r="Z303" s="1087">
        <f>Assumptions!$AG$267*Z298</f>
        <v>0</v>
      </c>
    </row>
    <row r="304" spans="2:26">
      <c r="B304" s="699" t="s">
        <v>1133</v>
      </c>
      <c r="C304" s="699"/>
      <c r="D304" s="699"/>
      <c r="E304" s="699"/>
      <c r="F304" s="1050">
        <f ca="1">+IFERROR(INDEX('Taxes and TIF'!$AS$11:$AS$45,MATCH('Phase 3 Pro Forma'!F$7,'Taxes and TIF'!$AH$11:$AH$45,0)),0)*'Loan Sizing'!$M$34*'Phase 3 Pro Forma'!F293</f>
        <v>0</v>
      </c>
      <c r="G304" s="1050">
        <f ca="1">+IFERROR(INDEX('Taxes and TIF'!$AS$11:$AS$45,MATCH('Phase 3 Pro Forma'!G$7,'Taxes and TIF'!$AH$11:$AH$45,0)),0)*'Loan Sizing'!$M$34*'Phase 3 Pro Forma'!G293</f>
        <v>0</v>
      </c>
      <c r="H304" s="1050">
        <f ca="1">+IFERROR(INDEX('Taxes and TIF'!$AS$11:$AS$45,MATCH('Phase 3 Pro Forma'!H$7,'Taxes and TIF'!$AH$11:$AH$45,0)),0)*'Loan Sizing'!$M$34*'Phase 3 Pro Forma'!H293</f>
        <v>0</v>
      </c>
      <c r="I304" s="1050">
        <f ca="1">+IFERROR(INDEX('Taxes and TIF'!$AS$11:$AS$45,MATCH('Phase 3 Pro Forma'!I$7,'Taxes and TIF'!$AH$11:$AH$45,0)),0)*'Loan Sizing'!$M$34*'Phase 3 Pro Forma'!I293</f>
        <v>0</v>
      </c>
      <c r="J304" s="1050">
        <f ca="1">+IFERROR(INDEX('Taxes and TIF'!$AS$11:$AS$45,MATCH('Phase 3 Pro Forma'!J$7,'Taxes and TIF'!$AH$11:$AH$45,0)),0)*'Loan Sizing'!$M$34*'Phase 3 Pro Forma'!J293</f>
        <v>0</v>
      </c>
      <c r="K304" s="1050">
        <f ca="1">+IFERROR(INDEX('Taxes and TIF'!$AS$11:$AS$45,MATCH('Phase 3 Pro Forma'!K$7,'Taxes and TIF'!$AH$11:$AH$45,0)),0)*'Loan Sizing'!$M$34*'Phase 3 Pro Forma'!K293</f>
        <v>0</v>
      </c>
      <c r="L304" s="1050">
        <f ca="1">+IFERROR(INDEX('Taxes and TIF'!$AS$11:$AS$45,MATCH('Phase 3 Pro Forma'!L$7,'Taxes and TIF'!$AH$11:$AH$45,0)),0)*'Loan Sizing'!$M$34*'Phase 3 Pro Forma'!L293</f>
        <v>0</v>
      </c>
      <c r="M304" s="1050">
        <f ca="1">+IFERROR(INDEX('Taxes and TIF'!$AS$11:$AS$45,MATCH('Phase 3 Pro Forma'!M$7,'Taxes and TIF'!$AH$11:$AH$45,0)),0)*'Loan Sizing'!$M$34*'Phase 3 Pro Forma'!M293</f>
        <v>0</v>
      </c>
      <c r="N304" s="1050">
        <f ca="1">+IFERROR(INDEX('Taxes and TIF'!$AS$11:$AS$45,MATCH('Phase 3 Pro Forma'!N$7,'Taxes and TIF'!$AH$11:$AH$45,0)),0)*'Loan Sizing'!$M$34*'Phase 3 Pro Forma'!N293</f>
        <v>0</v>
      </c>
      <c r="O304" s="1050">
        <f ca="1">+IFERROR(INDEX('Taxes and TIF'!$AS$11:$AS$45,MATCH('Phase 3 Pro Forma'!O$7,'Taxes and TIF'!$AH$11:$AH$45,0)),0)*'Loan Sizing'!$M$34*'Phase 3 Pro Forma'!O293</f>
        <v>0</v>
      </c>
      <c r="P304" s="1050">
        <f ca="1">+IFERROR(INDEX('Taxes and TIF'!$AS$11:$AS$45,MATCH('Phase 3 Pro Forma'!P$7,'Taxes and TIF'!$AH$11:$AH$45,0)),0)*'Loan Sizing'!$M$34*'Phase 3 Pro Forma'!P293</f>
        <v>0</v>
      </c>
      <c r="Q304" s="1050">
        <f ca="1">+IFERROR(INDEX('Taxes and TIF'!$AS$11:$AS$45,MATCH('Phase 3 Pro Forma'!Q$7,'Taxes and TIF'!$AH$11:$AH$45,0)),0)*'Loan Sizing'!$M$34*'Phase 3 Pro Forma'!Q293</f>
        <v>0</v>
      </c>
      <c r="R304" s="1050">
        <f ca="1">+IFERROR(INDEX('Taxes and TIF'!$AS$11:$AS$45,MATCH('Phase 3 Pro Forma'!R$7,'Taxes and TIF'!$AH$11:$AH$45,0)),0)*'Loan Sizing'!$M$34*'Phase 3 Pro Forma'!R293</f>
        <v>0</v>
      </c>
      <c r="S304" s="1050">
        <f ca="1">+IFERROR(INDEX('Taxes and TIF'!$AS$11:$AS$45,MATCH('Phase 3 Pro Forma'!S$7,'Taxes and TIF'!$AH$11:$AH$45,0)),0)*'Loan Sizing'!$M$34*'Phase 3 Pro Forma'!S293</f>
        <v>0</v>
      </c>
      <c r="T304" s="1050">
        <f ca="1">+IFERROR(INDEX('Taxes and TIF'!$AS$11:$AS$45,MATCH('Phase 3 Pro Forma'!T$7,'Taxes and TIF'!$AH$11:$AH$45,0)),0)*'Loan Sizing'!$M$34*'Phase 3 Pro Forma'!T293</f>
        <v>0</v>
      </c>
      <c r="U304" s="1050">
        <f ca="1">+IFERROR(INDEX('Taxes and TIF'!$AS$11:$AS$45,MATCH('Phase 3 Pro Forma'!U$7,'Taxes and TIF'!$AH$11:$AH$45,0)),0)*'Loan Sizing'!$M$34*'Phase 3 Pro Forma'!U293</f>
        <v>0</v>
      </c>
      <c r="V304" s="1050">
        <f ca="1">+IFERROR(INDEX('Taxes and TIF'!$AS$11:$AS$45,MATCH('Phase 3 Pro Forma'!V$7,'Taxes and TIF'!$AH$11:$AH$45,0)),0)*'Loan Sizing'!$M$34*'Phase 3 Pro Forma'!V293</f>
        <v>0</v>
      </c>
      <c r="W304" s="1050">
        <f ca="1">+IFERROR(INDEX('Taxes and TIF'!$AS$11:$AS$45,MATCH('Phase 3 Pro Forma'!W$7,'Taxes and TIF'!$AH$11:$AH$45,0)),0)*'Loan Sizing'!$M$34*'Phase 3 Pro Forma'!W293</f>
        <v>0</v>
      </c>
      <c r="X304" s="1050">
        <f ca="1">+IFERROR(INDEX('Taxes and TIF'!$AS$11:$AS$45,MATCH('Phase 3 Pro Forma'!X$7,'Taxes and TIF'!$AH$11:$AH$45,0)),0)*'Loan Sizing'!$M$34*'Phase 3 Pro Forma'!X293</f>
        <v>0</v>
      </c>
      <c r="Y304" s="1050">
        <f ca="1">+IFERROR(INDEX('Taxes and TIF'!$AS$11:$AS$45,MATCH('Phase 3 Pro Forma'!Y$7,'Taxes and TIF'!$AH$11:$AH$45,0)),0)*'Loan Sizing'!$M$34*'Phase 3 Pro Forma'!Y293</f>
        <v>0</v>
      </c>
      <c r="Z304" s="1050">
        <f ca="1">+IFERROR(INDEX('Taxes and TIF'!$AS$11:$AS$45,MATCH('Phase 3 Pro Forma'!Z$7,'Taxes and TIF'!$AH$11:$AH$45,0)),0)*'Loan Sizing'!$M$34*'Phase 3 Pro Forma'!Z293</f>
        <v>0</v>
      </c>
    </row>
    <row r="305" spans="2:26">
      <c r="B305" s="52" t="s">
        <v>1134</v>
      </c>
      <c r="C305" s="1052"/>
      <c r="D305" s="1052"/>
      <c r="E305" s="1052"/>
      <c r="F305" s="1088">
        <f ca="1">+SUM(F303:F304)</f>
        <v>0</v>
      </c>
      <c r="G305" s="1088">
        <f t="shared" ref="G305:Z305" ca="1" si="136">+SUM(G303:G304)</f>
        <v>0</v>
      </c>
      <c r="H305" s="1088">
        <f t="shared" ca="1" si="136"/>
        <v>0</v>
      </c>
      <c r="I305" s="1088">
        <f t="shared" ca="1" si="136"/>
        <v>0</v>
      </c>
      <c r="J305" s="1088">
        <f t="shared" ca="1" si="136"/>
        <v>0</v>
      </c>
      <c r="K305" s="1088">
        <f t="shared" ca="1" si="136"/>
        <v>0</v>
      </c>
      <c r="L305" s="1088">
        <f t="shared" ca="1" si="136"/>
        <v>0</v>
      </c>
      <c r="M305" s="1088">
        <f t="shared" ca="1" si="136"/>
        <v>0</v>
      </c>
      <c r="N305" s="1088">
        <f t="shared" ca="1" si="136"/>
        <v>0</v>
      </c>
      <c r="O305" s="1088">
        <f t="shared" ca="1" si="136"/>
        <v>0</v>
      </c>
      <c r="P305" s="1088">
        <f t="shared" ca="1" si="136"/>
        <v>0</v>
      </c>
      <c r="Q305" s="1088">
        <f t="shared" ca="1" si="136"/>
        <v>0</v>
      </c>
      <c r="R305" s="1088">
        <f t="shared" ca="1" si="136"/>
        <v>0</v>
      </c>
      <c r="S305" s="1088">
        <f t="shared" ca="1" si="136"/>
        <v>0</v>
      </c>
      <c r="T305" s="1088">
        <f t="shared" ca="1" si="136"/>
        <v>0</v>
      </c>
      <c r="U305" s="1088">
        <f t="shared" ca="1" si="136"/>
        <v>0</v>
      </c>
      <c r="V305" s="1088">
        <f t="shared" ca="1" si="136"/>
        <v>0</v>
      </c>
      <c r="W305" s="1088">
        <f t="shared" ca="1" si="136"/>
        <v>0</v>
      </c>
      <c r="X305" s="1088">
        <f t="shared" ca="1" si="136"/>
        <v>0</v>
      </c>
      <c r="Y305" s="1088">
        <f t="shared" ca="1" si="136"/>
        <v>0</v>
      </c>
      <c r="Z305" s="1088">
        <f t="shared" ca="1" si="136"/>
        <v>0</v>
      </c>
    </row>
    <row r="307" spans="2:26" ht="15.75">
      <c r="B307" s="50" t="s">
        <v>1135</v>
      </c>
      <c r="C307" s="50"/>
      <c r="D307" s="50"/>
      <c r="E307" s="50"/>
      <c r="F307" s="55">
        <f ca="1">+F301-F305</f>
        <v>0</v>
      </c>
      <c r="G307" s="55">
        <f t="shared" ref="G307:Z307" ca="1" si="137">+G301-G305</f>
        <v>0</v>
      </c>
      <c r="H307" s="55">
        <f t="shared" ca="1" si="137"/>
        <v>0</v>
      </c>
      <c r="I307" s="55">
        <f t="shared" ca="1" si="137"/>
        <v>0</v>
      </c>
      <c r="J307" s="55">
        <f t="shared" ca="1" si="137"/>
        <v>0</v>
      </c>
      <c r="K307" s="55">
        <f t="shared" ca="1" si="137"/>
        <v>0</v>
      </c>
      <c r="L307" s="55">
        <f t="shared" ca="1" si="137"/>
        <v>0</v>
      </c>
      <c r="M307" s="55">
        <f t="shared" ca="1" si="137"/>
        <v>0</v>
      </c>
      <c r="N307" s="55">
        <f t="shared" ca="1" si="137"/>
        <v>0</v>
      </c>
      <c r="O307" s="55">
        <f t="shared" ca="1" si="137"/>
        <v>0</v>
      </c>
      <c r="P307" s="55">
        <f t="shared" ca="1" si="137"/>
        <v>0</v>
      </c>
      <c r="Q307" s="55">
        <f t="shared" ca="1" si="137"/>
        <v>0</v>
      </c>
      <c r="R307" s="55">
        <f t="shared" ca="1" si="137"/>
        <v>0</v>
      </c>
      <c r="S307" s="55">
        <f t="shared" ca="1" si="137"/>
        <v>0</v>
      </c>
      <c r="T307" s="55">
        <f t="shared" ca="1" si="137"/>
        <v>0</v>
      </c>
      <c r="U307" s="55">
        <f t="shared" ca="1" si="137"/>
        <v>0</v>
      </c>
      <c r="V307" s="55">
        <f t="shared" ca="1" si="137"/>
        <v>0</v>
      </c>
      <c r="W307" s="55">
        <f t="shared" ca="1" si="137"/>
        <v>0</v>
      </c>
      <c r="X307" s="55">
        <f t="shared" ca="1" si="137"/>
        <v>0</v>
      </c>
      <c r="Y307" s="55">
        <f t="shared" ca="1" si="137"/>
        <v>0</v>
      </c>
      <c r="Z307" s="55">
        <f t="shared" ca="1" si="137"/>
        <v>0</v>
      </c>
    </row>
    <row r="308" spans="2:26">
      <c r="B308" s="51" t="s">
        <v>1136</v>
      </c>
      <c r="C308" s="51"/>
      <c r="D308" s="51"/>
      <c r="E308" s="51"/>
      <c r="F308" s="56" t="str">
        <f ca="1">+IFERROR(F307/F301,"")</f>
        <v/>
      </c>
      <c r="G308" s="56" t="str">
        <f t="shared" ref="G308:Z308" ca="1" si="138">+IFERROR(G307/G301,"")</f>
        <v/>
      </c>
      <c r="H308" s="56" t="str">
        <f t="shared" ca="1" si="138"/>
        <v/>
      </c>
      <c r="I308" s="56" t="str">
        <f t="shared" ca="1" si="138"/>
        <v/>
      </c>
      <c r="J308" s="56" t="str">
        <f t="shared" ca="1" si="138"/>
        <v/>
      </c>
      <c r="K308" s="56" t="str">
        <f t="shared" ca="1" si="138"/>
        <v/>
      </c>
      <c r="L308" s="56" t="str">
        <f t="shared" ca="1" si="138"/>
        <v/>
      </c>
      <c r="M308" s="56" t="str">
        <f t="shared" ca="1" si="138"/>
        <v/>
      </c>
      <c r="N308" s="56" t="str">
        <f t="shared" ca="1" si="138"/>
        <v/>
      </c>
      <c r="O308" s="56" t="str">
        <f t="shared" ca="1" si="138"/>
        <v/>
      </c>
      <c r="P308" s="56" t="str">
        <f t="shared" ca="1" si="138"/>
        <v/>
      </c>
      <c r="Q308" s="56" t="str">
        <f t="shared" ca="1" si="138"/>
        <v/>
      </c>
      <c r="R308" s="56" t="str">
        <f t="shared" ca="1" si="138"/>
        <v/>
      </c>
      <c r="S308" s="56" t="str">
        <f t="shared" ca="1" si="138"/>
        <v/>
      </c>
      <c r="T308" s="56" t="str">
        <f t="shared" ca="1" si="138"/>
        <v/>
      </c>
      <c r="U308" s="56" t="str">
        <f t="shared" ca="1" si="138"/>
        <v/>
      </c>
      <c r="V308" s="56" t="str">
        <f t="shared" ca="1" si="138"/>
        <v/>
      </c>
      <c r="W308" s="56" t="str">
        <f t="shared" ca="1" si="138"/>
        <v/>
      </c>
      <c r="X308" s="56" t="str">
        <f t="shared" ca="1" si="138"/>
        <v/>
      </c>
      <c r="Y308" s="56" t="str">
        <f t="shared" ca="1" si="138"/>
        <v/>
      </c>
      <c r="Z308" s="56" t="str">
        <f t="shared" ca="1" si="138"/>
        <v/>
      </c>
    </row>
    <row r="309" spans="2:26">
      <c r="B309" s="51" t="s">
        <v>1064</v>
      </c>
      <c r="C309" s="51"/>
      <c r="D309" s="51"/>
      <c r="E309" s="51"/>
      <c r="F309" s="57">
        <f ca="1">+F307/Assumptions!$AG$36</f>
        <v>0</v>
      </c>
      <c r="G309" s="57">
        <f ca="1">+G307/Assumptions!$AG$36</f>
        <v>0</v>
      </c>
      <c r="H309" s="57">
        <f ca="1">+H307/Assumptions!$AG$36</f>
        <v>0</v>
      </c>
      <c r="I309" s="57">
        <f ca="1">+I307/Assumptions!$AG$36</f>
        <v>0</v>
      </c>
      <c r="J309" s="57">
        <f ca="1">+J307/Assumptions!$AG$36</f>
        <v>0</v>
      </c>
      <c r="K309" s="57">
        <f ca="1">+K307/Assumptions!$AG$36</f>
        <v>0</v>
      </c>
      <c r="L309" s="57">
        <f ca="1">+L307/Assumptions!$AG$36</f>
        <v>0</v>
      </c>
      <c r="M309" s="57">
        <f ca="1">+M307/Assumptions!$AG$36</f>
        <v>0</v>
      </c>
      <c r="N309" s="57">
        <f ca="1">+N307/Assumptions!$AG$36</f>
        <v>0</v>
      </c>
      <c r="O309" s="57">
        <f ca="1">+O307/Assumptions!$AG$36</f>
        <v>0</v>
      </c>
      <c r="P309" s="57">
        <f ca="1">+P307/Assumptions!$AG$36</f>
        <v>0</v>
      </c>
      <c r="Q309" s="57">
        <f ca="1">+Q307/Assumptions!$AG$36</f>
        <v>0</v>
      </c>
      <c r="R309" s="57">
        <f ca="1">+R307/Assumptions!$AG$36</f>
        <v>0</v>
      </c>
      <c r="S309" s="57">
        <f ca="1">+S307/Assumptions!$AG$36</f>
        <v>0</v>
      </c>
      <c r="T309" s="57">
        <f ca="1">+T307/Assumptions!$AG$36</f>
        <v>0</v>
      </c>
      <c r="U309" s="57">
        <f ca="1">+U307/Assumptions!$AG$36</f>
        <v>0</v>
      </c>
      <c r="V309" s="57">
        <f ca="1">+V307/Assumptions!$AG$36</f>
        <v>0</v>
      </c>
      <c r="W309" s="57">
        <f ca="1">+W307/Assumptions!$AG$36</f>
        <v>0</v>
      </c>
      <c r="X309" s="57">
        <f ca="1">+X307/Assumptions!$AG$36</f>
        <v>0</v>
      </c>
      <c r="Y309" s="57">
        <f ca="1">+Y307/Assumptions!$AG$36</f>
        <v>0</v>
      </c>
      <c r="Z309" s="57">
        <f ca="1">+Z307/Assumptions!$AG$36</f>
        <v>0</v>
      </c>
    </row>
    <row r="311" spans="2:26" ht="15.75">
      <c r="B311" s="53" t="s">
        <v>543</v>
      </c>
      <c r="C311" s="699"/>
      <c r="D311" s="699"/>
      <c r="E311" s="699"/>
      <c r="F311" s="54">
        <f>+Assumptions!$H$27</f>
        <v>47118</v>
      </c>
      <c r="G311" s="54">
        <f>+EOMONTH(F311,12)</f>
        <v>47483</v>
      </c>
      <c r="H311" s="54">
        <f t="shared" ref="H311:Z311" si="139">+EOMONTH(G311,12)</f>
        <v>47848</v>
      </c>
      <c r="I311" s="54">
        <f t="shared" si="139"/>
        <v>48213</v>
      </c>
      <c r="J311" s="54">
        <f t="shared" si="139"/>
        <v>48579</v>
      </c>
      <c r="K311" s="54">
        <f t="shared" si="139"/>
        <v>48944</v>
      </c>
      <c r="L311" s="54">
        <f t="shared" si="139"/>
        <v>49309</v>
      </c>
      <c r="M311" s="54">
        <f t="shared" si="139"/>
        <v>49674</v>
      </c>
      <c r="N311" s="54">
        <f t="shared" si="139"/>
        <v>50040</v>
      </c>
      <c r="O311" s="54">
        <f t="shared" si="139"/>
        <v>50405</v>
      </c>
      <c r="P311" s="54">
        <f t="shared" si="139"/>
        <v>50770</v>
      </c>
      <c r="Q311" s="54">
        <f t="shared" si="139"/>
        <v>51135</v>
      </c>
      <c r="R311" s="54">
        <f t="shared" si="139"/>
        <v>51501</v>
      </c>
      <c r="S311" s="54">
        <f t="shared" si="139"/>
        <v>51866</v>
      </c>
      <c r="T311" s="54">
        <f t="shared" si="139"/>
        <v>52231</v>
      </c>
      <c r="U311" s="54">
        <f t="shared" si="139"/>
        <v>52596</v>
      </c>
      <c r="V311" s="54">
        <f t="shared" si="139"/>
        <v>52962</v>
      </c>
      <c r="W311" s="54">
        <f t="shared" si="139"/>
        <v>53327</v>
      </c>
      <c r="X311" s="54">
        <f t="shared" si="139"/>
        <v>53692</v>
      </c>
      <c r="Y311" s="54">
        <f t="shared" si="139"/>
        <v>54057</v>
      </c>
      <c r="Z311" s="54">
        <f t="shared" si="139"/>
        <v>54423</v>
      </c>
    </row>
    <row r="312" spans="2:26">
      <c r="B312" s="699" t="s">
        <v>1120</v>
      </c>
      <c r="C312" s="699"/>
      <c r="D312" s="699"/>
      <c r="E312" s="1050"/>
      <c r="F312" s="1050">
        <f>+IF(AND(F311&gt;=Assumptions!$H$31,F311&lt;Assumptions!$H$33),SUM(Assumptions!$H$199:$H$199)/ROUNDUP((Assumptions!$H$32/12),0),0)</f>
        <v>0</v>
      </c>
      <c r="G312" s="1050">
        <f>+IF(AND(G311&gt;=Assumptions!$H$31,G311&lt;Assumptions!$H$33),SUM(Assumptions!$H$199:$H$199)/ROUNDUP((Assumptions!$H$32/12),0),0)</f>
        <v>0</v>
      </c>
      <c r="H312" s="1050">
        <f>+IF(AND(H311&gt;=Assumptions!$H$31,H311&lt;Assumptions!$H$33),SUM(Assumptions!$H$199:$H$199)/ROUNDUP((Assumptions!$H$32/12),0),0)</f>
        <v>0</v>
      </c>
      <c r="I312" s="1050">
        <f>+IF(AND(I311&gt;=Assumptions!$H$31,I311&lt;Assumptions!$H$33),SUM(Assumptions!$H$199:$H$199)/ROUNDUP((Assumptions!$H$32/12),0),0)</f>
        <v>38475</v>
      </c>
      <c r="J312" s="1050">
        <f>+IF(AND(J311&gt;=Assumptions!$H$31,J311&lt;Assumptions!$H$33),SUM(Assumptions!$H$199:$H$199)/ROUNDUP((Assumptions!$H$32/12),0),0)</f>
        <v>38475</v>
      </c>
      <c r="K312" s="1050">
        <f>+IF(AND(K311&gt;=Assumptions!$H$31,K311&lt;Assumptions!$H$33),SUM(Assumptions!$H$199:$H$199)/ROUNDUP((Assumptions!$H$32/12),0),0)</f>
        <v>0</v>
      </c>
      <c r="L312" s="1050">
        <f>+IF(AND(L311&gt;=Assumptions!$H$31,L311&lt;Assumptions!$H$33),SUM(Assumptions!$H$199:$H$199)/ROUNDUP((Assumptions!$H$32/12),0),0)</f>
        <v>0</v>
      </c>
      <c r="M312" s="1050">
        <f>+IF(AND(M311&gt;=Assumptions!$H$31,M311&lt;Assumptions!$H$33),SUM(Assumptions!$H$199:$H$199)/ROUNDUP((Assumptions!$H$32/12),0),0)</f>
        <v>0</v>
      </c>
      <c r="N312" s="1050">
        <f>+IF(AND(N311&gt;=Assumptions!$H$31,N311&lt;Assumptions!$H$33),SUM(Assumptions!$H$199:$H$199)/ROUNDUP((Assumptions!$H$32/12),0),0)</f>
        <v>0</v>
      </c>
      <c r="O312" s="1050">
        <f>+IF(AND(O311&gt;=Assumptions!$H$31,O311&lt;Assumptions!$H$33),SUM(Assumptions!$H$199:$H$199)/ROUNDUP((Assumptions!$H$32/12),0),0)</f>
        <v>0</v>
      </c>
      <c r="P312" s="1050">
        <f>+IF(AND(P311&gt;=Assumptions!$H$31,P311&lt;Assumptions!$H$33),SUM(Assumptions!$H$199:$H$199)/ROUNDUP((Assumptions!$H$32/12),0),0)</f>
        <v>0</v>
      </c>
      <c r="Q312" s="1050">
        <f>+IF(AND(Q311&gt;=Assumptions!$H$31,Q311&lt;Assumptions!$H$33),SUM(Assumptions!$H$199:$H$199)/ROUNDUP((Assumptions!$H$32/12),0),0)</f>
        <v>0</v>
      </c>
      <c r="R312" s="1050">
        <f>+IF(AND(R311&gt;=Assumptions!$H$31,R311&lt;Assumptions!$H$33),SUM(Assumptions!$H$199:$H$199)/ROUNDUP((Assumptions!$H$32/12),0),0)</f>
        <v>0</v>
      </c>
      <c r="S312" s="1050">
        <f>+IF(AND(S311&gt;=Assumptions!$H$31,S311&lt;Assumptions!$H$33),SUM(Assumptions!$H$199:$H$199)/ROUNDUP((Assumptions!$H$32/12),0),0)</f>
        <v>0</v>
      </c>
      <c r="T312" s="1050">
        <f>+IF(AND(T311&gt;=Assumptions!$H$31,T311&lt;Assumptions!$H$33),SUM(Assumptions!$H$199:$H$199)/ROUNDUP((Assumptions!$H$32/12),0),0)</f>
        <v>0</v>
      </c>
      <c r="U312" s="1050">
        <f>+IF(AND(U311&gt;=Assumptions!$H$31,U311&lt;Assumptions!$H$33),SUM(Assumptions!$H$199:$H$199)/ROUNDUP((Assumptions!$H$32/12),0),0)</f>
        <v>0</v>
      </c>
      <c r="V312" s="1050">
        <f>+IF(AND(V311&gt;=Assumptions!$H$31,V311&lt;Assumptions!$H$33),SUM(Assumptions!$H$199:$H$199)/ROUNDUP((Assumptions!$H$32/12),0),0)</f>
        <v>0</v>
      </c>
      <c r="W312" s="1050">
        <f>+IF(AND(W311&gt;=Assumptions!$H$31,W311&lt;Assumptions!$H$33),SUM(Assumptions!$H$199:$H$199)/ROUNDUP((Assumptions!$H$32/12),0),0)</f>
        <v>0</v>
      </c>
      <c r="X312" s="1050">
        <f>+IF(AND(X311&gt;=Assumptions!$H$31,X311&lt;Assumptions!$H$33),SUM(Assumptions!$H$199:$H$199)/ROUNDUP((Assumptions!$H$32/12),0),0)</f>
        <v>0</v>
      </c>
      <c r="Y312" s="1050">
        <f>+IF(AND(Y311&gt;=Assumptions!$H$31,Y311&lt;Assumptions!$H$33),SUM(Assumptions!$H$199:$H$199)/ROUNDUP((Assumptions!$H$32/12),0),0)</f>
        <v>0</v>
      </c>
      <c r="Z312" s="1050">
        <f>+IF(AND(Z311&gt;=Assumptions!$H$31,Z311&lt;Assumptions!$H$33),SUM(Assumptions!$H$199:$H$199)/ROUNDUP((Assumptions!$H$32/12),0),0)</f>
        <v>0</v>
      </c>
    </row>
    <row r="313" spans="2:26">
      <c r="B313" s="699" t="s">
        <v>1123</v>
      </c>
      <c r="C313" s="699"/>
      <c r="D313" s="699"/>
      <c r="E313" s="1050">
        <v>0</v>
      </c>
      <c r="F313" s="1050">
        <f>+F314-E314</f>
        <v>0</v>
      </c>
      <c r="G313" s="1050">
        <f t="shared" ref="G313:Z313" si="140">+G314-F314</f>
        <v>0</v>
      </c>
      <c r="H313" s="1050">
        <f t="shared" si="140"/>
        <v>0</v>
      </c>
      <c r="I313" s="1050">
        <f t="shared" si="140"/>
        <v>118.38461538461539</v>
      </c>
      <c r="J313" s="1050">
        <f t="shared" si="140"/>
        <v>118.38461538461539</v>
      </c>
      <c r="K313" s="1050">
        <f t="shared" si="140"/>
        <v>0</v>
      </c>
      <c r="L313" s="1050">
        <f t="shared" si="140"/>
        <v>0</v>
      </c>
      <c r="M313" s="1050">
        <f t="shared" si="140"/>
        <v>0</v>
      </c>
      <c r="N313" s="1050">
        <f t="shared" si="140"/>
        <v>0</v>
      </c>
      <c r="O313" s="1050">
        <f t="shared" si="140"/>
        <v>0</v>
      </c>
      <c r="P313" s="1050">
        <f t="shared" si="140"/>
        <v>0</v>
      </c>
      <c r="Q313" s="1050">
        <f t="shared" si="140"/>
        <v>0</v>
      </c>
      <c r="R313" s="1050">
        <f t="shared" si="140"/>
        <v>0</v>
      </c>
      <c r="S313" s="1050">
        <f t="shared" si="140"/>
        <v>0</v>
      </c>
      <c r="T313" s="1050">
        <f t="shared" si="140"/>
        <v>0</v>
      </c>
      <c r="U313" s="1050">
        <f t="shared" si="140"/>
        <v>0</v>
      </c>
      <c r="V313" s="1050">
        <f t="shared" si="140"/>
        <v>0</v>
      </c>
      <c r="W313" s="1050">
        <f t="shared" si="140"/>
        <v>0</v>
      </c>
      <c r="X313" s="1050">
        <f t="shared" si="140"/>
        <v>0</v>
      </c>
      <c r="Y313" s="1050">
        <f t="shared" si="140"/>
        <v>0</v>
      </c>
      <c r="Z313" s="1050">
        <f t="shared" si="140"/>
        <v>0</v>
      </c>
    </row>
    <row r="314" spans="2:26">
      <c r="B314" s="699" t="s">
        <v>1124</v>
      </c>
      <c r="C314" s="699"/>
      <c r="D314" s="699"/>
      <c r="E314" s="699"/>
      <c r="F314" s="1084">
        <f>+F316*SUM(Assumptions!$P$55:$P$55)</f>
        <v>0</v>
      </c>
      <c r="G314" s="1084">
        <f>+G316*SUM(Assumptions!$P$55:$P$55)</f>
        <v>0</v>
      </c>
      <c r="H314" s="1084">
        <f>+H316*SUM(Assumptions!$P$55:$P$55)</f>
        <v>0</v>
      </c>
      <c r="I314" s="1084">
        <f>+I316*SUM(Assumptions!$P$55:$P$55)</f>
        <v>118.38461538461539</v>
      </c>
      <c r="J314" s="1084">
        <f>+J316*SUM(Assumptions!$P$55:$P$55)</f>
        <v>236.76923076923077</v>
      </c>
      <c r="K314" s="1084">
        <f>+K316*SUM(Assumptions!$P$55:$P$55)</f>
        <v>236.76923076923077</v>
      </c>
      <c r="L314" s="1084">
        <f>+L316*SUM(Assumptions!$P$55:$P$55)</f>
        <v>236.76923076923077</v>
      </c>
      <c r="M314" s="1084">
        <f>+M316*SUM(Assumptions!$P$55:$P$55)</f>
        <v>236.76923076923077</v>
      </c>
      <c r="N314" s="1084">
        <f>+N316*SUM(Assumptions!$P$55:$P$55)</f>
        <v>236.76923076923077</v>
      </c>
      <c r="O314" s="1084">
        <f>+O316*SUM(Assumptions!$P$55:$P$55)</f>
        <v>236.76923076923077</v>
      </c>
      <c r="P314" s="1084">
        <f>+P316*SUM(Assumptions!$P$55:$P$55)</f>
        <v>236.76923076923077</v>
      </c>
      <c r="Q314" s="1084">
        <f>+Q316*SUM(Assumptions!$P$55:$P$55)</f>
        <v>236.76923076923077</v>
      </c>
      <c r="R314" s="1084">
        <f>+R316*SUM(Assumptions!$P$55:$P$55)</f>
        <v>236.76923076923077</v>
      </c>
      <c r="S314" s="1084">
        <f>+S316*SUM(Assumptions!$P$55:$P$55)</f>
        <v>236.76923076923077</v>
      </c>
      <c r="T314" s="1084">
        <f>+T316*SUM(Assumptions!$P$55:$P$55)</f>
        <v>236.76923076923077</v>
      </c>
      <c r="U314" s="1084">
        <f>+U316*SUM(Assumptions!$P$55:$P$55)</f>
        <v>236.76923076923077</v>
      </c>
      <c r="V314" s="1084">
        <f>+V316*SUM(Assumptions!$P$55:$P$55)</f>
        <v>236.76923076923077</v>
      </c>
      <c r="W314" s="1084">
        <f>+W316*SUM(Assumptions!$P$55:$P$55)</f>
        <v>236.76923076923077</v>
      </c>
      <c r="X314" s="1084">
        <f>+X316*SUM(Assumptions!$P$55:$P$55)</f>
        <v>236.76923076923077</v>
      </c>
      <c r="Y314" s="1084">
        <f>+Y316*SUM(Assumptions!$P$55:$P$55)</f>
        <v>236.76923076923077</v>
      </c>
      <c r="Z314" s="1084">
        <f>+Z316*SUM(Assumptions!$P$55:$P$55)</f>
        <v>236.76923076923077</v>
      </c>
    </row>
    <row r="315" spans="2:26">
      <c r="B315" s="699" t="s">
        <v>1121</v>
      </c>
      <c r="C315" s="699"/>
      <c r="D315" s="699"/>
      <c r="E315" s="699"/>
      <c r="F315" s="1050">
        <f>+E315+F312</f>
        <v>0</v>
      </c>
      <c r="G315" s="1050">
        <f t="shared" ref="G315:Z315" si="141">+F315+G312</f>
        <v>0</v>
      </c>
      <c r="H315" s="1050">
        <f t="shared" si="141"/>
        <v>0</v>
      </c>
      <c r="I315" s="1050">
        <f t="shared" si="141"/>
        <v>38475</v>
      </c>
      <c r="J315" s="1050">
        <f t="shared" si="141"/>
        <v>76950</v>
      </c>
      <c r="K315" s="1050">
        <f t="shared" si="141"/>
        <v>76950</v>
      </c>
      <c r="L315" s="1050">
        <f t="shared" si="141"/>
        <v>76950</v>
      </c>
      <c r="M315" s="1050">
        <f t="shared" si="141"/>
        <v>76950</v>
      </c>
      <c r="N315" s="1050">
        <f t="shared" si="141"/>
        <v>76950</v>
      </c>
      <c r="O315" s="1050">
        <f t="shared" si="141"/>
        <v>76950</v>
      </c>
      <c r="P315" s="1050">
        <f t="shared" si="141"/>
        <v>76950</v>
      </c>
      <c r="Q315" s="1050">
        <f t="shared" si="141"/>
        <v>76950</v>
      </c>
      <c r="R315" s="1050">
        <f t="shared" si="141"/>
        <v>76950</v>
      </c>
      <c r="S315" s="1050">
        <f t="shared" si="141"/>
        <v>76950</v>
      </c>
      <c r="T315" s="1050">
        <f t="shared" si="141"/>
        <v>76950</v>
      </c>
      <c r="U315" s="1050">
        <f t="shared" si="141"/>
        <v>76950</v>
      </c>
      <c r="V315" s="1050">
        <f t="shared" si="141"/>
        <v>76950</v>
      </c>
      <c r="W315" s="1050">
        <f t="shared" si="141"/>
        <v>76950</v>
      </c>
      <c r="X315" s="1050">
        <f t="shared" si="141"/>
        <v>76950</v>
      </c>
      <c r="Y315" s="1050">
        <f t="shared" si="141"/>
        <v>76950</v>
      </c>
      <c r="Z315" s="1050">
        <f t="shared" si="141"/>
        <v>76950</v>
      </c>
    </row>
    <row r="316" spans="2:26">
      <c r="B316" s="699" t="s">
        <v>1125</v>
      </c>
      <c r="C316" s="699"/>
      <c r="D316" s="699"/>
      <c r="E316" s="699"/>
      <c r="F316" s="1074">
        <f>+IFERROR(F315/SUM($F$312:$Z$312),0)</f>
        <v>0</v>
      </c>
      <c r="G316" s="1074">
        <f t="shared" ref="G316:Z316" si="142">+IFERROR(G315/SUM($F$312:$Z$312),0)</f>
        <v>0</v>
      </c>
      <c r="H316" s="1074">
        <f t="shared" si="142"/>
        <v>0</v>
      </c>
      <c r="I316" s="1074">
        <f t="shared" si="142"/>
        <v>0.5</v>
      </c>
      <c r="J316" s="1074">
        <f t="shared" si="142"/>
        <v>1</v>
      </c>
      <c r="K316" s="1074">
        <f t="shared" si="142"/>
        <v>1</v>
      </c>
      <c r="L316" s="1074">
        <f t="shared" si="142"/>
        <v>1</v>
      </c>
      <c r="M316" s="1074">
        <f t="shared" si="142"/>
        <v>1</v>
      </c>
      <c r="N316" s="1074">
        <f t="shared" si="142"/>
        <v>1</v>
      </c>
      <c r="O316" s="1074">
        <f t="shared" si="142"/>
        <v>1</v>
      </c>
      <c r="P316" s="1074">
        <f t="shared" si="142"/>
        <v>1</v>
      </c>
      <c r="Q316" s="1074">
        <f t="shared" si="142"/>
        <v>1</v>
      </c>
      <c r="R316" s="1074">
        <f t="shared" si="142"/>
        <v>1</v>
      </c>
      <c r="S316" s="1074">
        <f t="shared" si="142"/>
        <v>1</v>
      </c>
      <c r="T316" s="1074">
        <f t="shared" si="142"/>
        <v>1</v>
      </c>
      <c r="U316" s="1074">
        <f t="shared" si="142"/>
        <v>1</v>
      </c>
      <c r="V316" s="1074">
        <f t="shared" si="142"/>
        <v>1</v>
      </c>
      <c r="W316" s="1074">
        <f t="shared" si="142"/>
        <v>1</v>
      </c>
      <c r="X316" s="1074">
        <f t="shared" si="142"/>
        <v>1</v>
      </c>
      <c r="Y316" s="1074">
        <f t="shared" si="142"/>
        <v>1</v>
      </c>
      <c r="Z316" s="1074">
        <f t="shared" si="142"/>
        <v>1</v>
      </c>
    </row>
    <row r="318" spans="2:26">
      <c r="B318" s="699" t="s">
        <v>1126</v>
      </c>
      <c r="C318" s="699"/>
      <c r="D318" s="699"/>
      <c r="E318" s="699"/>
      <c r="F318" s="1074">
        <v>1</v>
      </c>
      <c r="G318" s="1074">
        <f>+F318*(1+Assumptions!$P$77)</f>
        <v>1.03</v>
      </c>
      <c r="H318" s="1074">
        <f>+G318*(1+Assumptions!$P$77)</f>
        <v>1.0609</v>
      </c>
      <c r="I318" s="1074">
        <f>+H318*(1+Assumptions!$P$77)</f>
        <v>1.092727</v>
      </c>
      <c r="J318" s="1074">
        <f>+I318*(1+Assumptions!$P$77)</f>
        <v>1.1255088100000001</v>
      </c>
      <c r="K318" s="1074">
        <f>+J318*(1+Assumptions!$P$77)</f>
        <v>1.1592740743000001</v>
      </c>
      <c r="L318" s="1074">
        <f>+K318*(1+Assumptions!$P$77)</f>
        <v>1.1940522965290001</v>
      </c>
      <c r="M318" s="1074">
        <f>+L318*(1+Assumptions!$P$77)</f>
        <v>1.2298738654248702</v>
      </c>
      <c r="N318" s="1074">
        <f>+M318*(1+Assumptions!$P$77)</f>
        <v>1.2667700813876164</v>
      </c>
      <c r="O318" s="1074">
        <f>+N318*(1+Assumptions!$P$77)</f>
        <v>1.3047731838292449</v>
      </c>
      <c r="P318" s="1074">
        <f>+O318*(1+Assumptions!$P$77)</f>
        <v>1.3439163793441222</v>
      </c>
      <c r="Q318" s="1074">
        <f>+P318*(1+Assumptions!$P$77)</f>
        <v>1.3842338707244459</v>
      </c>
      <c r="R318" s="1074">
        <f>+Q318*(1+Assumptions!$P$77)</f>
        <v>1.4257608868461793</v>
      </c>
      <c r="S318" s="1074">
        <f>+R318*(1+Assumptions!$P$77)</f>
        <v>1.4685337134515648</v>
      </c>
      <c r="T318" s="1074">
        <f>+S318*(1+Assumptions!$P$77)</f>
        <v>1.5125897248551119</v>
      </c>
      <c r="U318" s="1074">
        <f>+T318*(1+Assumptions!$P$77)</f>
        <v>1.5579674166007653</v>
      </c>
      <c r="V318" s="1074">
        <f>+U318*(1+Assumptions!$P$77)</f>
        <v>1.6047064390987884</v>
      </c>
      <c r="W318" s="1074">
        <f>+V318*(1+Assumptions!$P$77)</f>
        <v>1.652847632271752</v>
      </c>
      <c r="X318" s="1074">
        <f>+W318*(1+Assumptions!$P$77)</f>
        <v>1.7024330612399046</v>
      </c>
      <c r="Y318" s="1074">
        <f>+X318*(1+Assumptions!$P$77)</f>
        <v>1.7535060530771018</v>
      </c>
      <c r="Z318" s="1074">
        <f>+Y318*(1+Assumptions!$P$77)</f>
        <v>1.806111234669415</v>
      </c>
    </row>
    <row r="319" spans="2:26">
      <c r="B319" s="699" t="s">
        <v>1127</v>
      </c>
      <c r="C319" s="699"/>
      <c r="D319" s="699"/>
      <c r="E319" s="699"/>
      <c r="F319" s="1074">
        <v>1</v>
      </c>
      <c r="G319" s="1074">
        <f>+F319*(1+Assumptions!$P$85)</f>
        <v>1.03</v>
      </c>
      <c r="H319" s="1074">
        <f>+G319*(1+Assumptions!$P$85)</f>
        <v>1.0609</v>
      </c>
      <c r="I319" s="1074">
        <f>+H319*(1+Assumptions!$P$85)</f>
        <v>1.092727</v>
      </c>
      <c r="J319" s="1074">
        <f>+I319*(1+Assumptions!$P$85)</f>
        <v>1.1255088100000001</v>
      </c>
      <c r="K319" s="1074">
        <f>+J319*(1+Assumptions!$P$85)</f>
        <v>1.1592740743000001</v>
      </c>
      <c r="L319" s="1074">
        <f>+K319*(1+Assumptions!$P$85)</f>
        <v>1.1940522965290001</v>
      </c>
      <c r="M319" s="1074">
        <f>+L319*(1+Assumptions!$P$85)</f>
        <v>1.2298738654248702</v>
      </c>
      <c r="N319" s="1074">
        <f>+M319*(1+Assumptions!$P$85)</f>
        <v>1.2667700813876164</v>
      </c>
      <c r="O319" s="1074">
        <f>+N319*(1+Assumptions!$P$85)</f>
        <v>1.3047731838292449</v>
      </c>
      <c r="P319" s="1074">
        <f>+O319*(1+Assumptions!$P$85)</f>
        <v>1.3439163793441222</v>
      </c>
      <c r="Q319" s="1074">
        <f>+P319*(1+Assumptions!$P$85)</f>
        <v>1.3842338707244459</v>
      </c>
      <c r="R319" s="1074">
        <f>+Q319*(1+Assumptions!$P$85)</f>
        <v>1.4257608868461793</v>
      </c>
      <c r="S319" s="1074">
        <f>+R319*(1+Assumptions!$P$85)</f>
        <v>1.4685337134515648</v>
      </c>
      <c r="T319" s="1074">
        <f>+S319*(1+Assumptions!$P$85)</f>
        <v>1.5125897248551119</v>
      </c>
      <c r="U319" s="1074">
        <f>+T319*(1+Assumptions!$P$85)</f>
        <v>1.5579674166007653</v>
      </c>
      <c r="V319" s="1074">
        <f>+U319*(1+Assumptions!$P$85)</f>
        <v>1.6047064390987884</v>
      </c>
      <c r="W319" s="1074">
        <f>+V319*(1+Assumptions!$P$85)</f>
        <v>1.652847632271752</v>
      </c>
      <c r="X319" s="1074">
        <f>+W319*(1+Assumptions!$P$85)</f>
        <v>1.7024330612399046</v>
      </c>
      <c r="Y319" s="1074">
        <f>+X319*(1+Assumptions!$P$85)</f>
        <v>1.7535060530771018</v>
      </c>
      <c r="Z319" s="1074">
        <f>+Y319*(1+Assumptions!$P$85)</f>
        <v>1.806111234669415</v>
      </c>
    </row>
    <row r="321" spans="1:26">
      <c r="A321" s="699"/>
      <c r="B321" s="699" t="s">
        <v>1128</v>
      </c>
      <c r="C321" s="699"/>
      <c r="D321" s="699"/>
      <c r="E321" s="699"/>
      <c r="F321" s="1028">
        <f>+F316*Assumptions!$H$198*F318</f>
        <v>0</v>
      </c>
      <c r="G321" s="1028">
        <f>+G316*Assumptions!$H$198*G318</f>
        <v>0</v>
      </c>
      <c r="H321" s="1028">
        <f>+H316*Assumptions!$H$198*H318</f>
        <v>0</v>
      </c>
      <c r="I321" s="1028">
        <f>+I316*Assumptions!$H$198*I318</f>
        <v>537202.05843508046</v>
      </c>
      <c r="J321" s="1028">
        <f>+J316*Assumptions!$H$198*J318</f>
        <v>1106636.240376266</v>
      </c>
      <c r="K321" s="1028">
        <f>+K316*Assumptions!$H$198*K318</f>
        <v>1139835.3275875538</v>
      </c>
      <c r="L321" s="1028">
        <f>+L316*Assumptions!$H$198*L318</f>
        <v>1174030.3874151804</v>
      </c>
      <c r="M321" s="1028">
        <f>+M316*Assumptions!$H$198*M318</f>
        <v>1209251.299037636</v>
      </c>
      <c r="N321" s="1028">
        <f>+N316*Assumptions!$H$198*N318</f>
        <v>1245528.8380087651</v>
      </c>
      <c r="O321" s="1028">
        <f>+O316*Assumptions!$H$198*O318</f>
        <v>1282894.7031490281</v>
      </c>
      <c r="P321" s="1028">
        <f>+P316*Assumptions!$H$198*P318</f>
        <v>1321381.5442434989</v>
      </c>
      <c r="Q321" s="1028">
        <f>+Q316*Assumptions!$H$198*Q318</f>
        <v>1361022.9905708039</v>
      </c>
      <c r="R321" s="1028">
        <f>+R316*Assumptions!$H$198*R318</f>
        <v>1401853.6802879281</v>
      </c>
      <c r="S321" s="1028">
        <f>+S316*Assumptions!$H$198*S318</f>
        <v>1443909.290696566</v>
      </c>
      <c r="T321" s="1028">
        <f>+T316*Assumptions!$H$198*T318</f>
        <v>1487226.5694174631</v>
      </c>
      <c r="U321" s="1028">
        <f>+U316*Assumptions!$H$198*U318</f>
        <v>1531843.3664999872</v>
      </c>
      <c r="V321" s="1028">
        <f>+V316*Assumptions!$H$198*V318</f>
        <v>1577798.6674949869</v>
      </c>
      <c r="W321" s="1028">
        <f>+W316*Assumptions!$H$198*W318</f>
        <v>1625132.6275198364</v>
      </c>
      <c r="X321" s="1028">
        <f>+X316*Assumptions!$H$198*X318</f>
        <v>1673886.6063454314</v>
      </c>
      <c r="Y321" s="1028">
        <f>+Y316*Assumptions!$H$198*Y318</f>
        <v>1724103.2045357947</v>
      </c>
      <c r="Z321" s="1028">
        <f>+Z316*Assumptions!$H$198*Z318</f>
        <v>1775826.3006718685</v>
      </c>
    </row>
    <row r="322" spans="1:26">
      <c r="A322" s="699"/>
      <c r="B322" s="699" t="s">
        <v>1130</v>
      </c>
      <c r="C322" s="699"/>
      <c r="D322" s="699"/>
      <c r="E322" s="699"/>
      <c r="F322" s="1085">
        <f>-F321*Assumptions!$P$65</f>
        <v>0</v>
      </c>
      <c r="G322" s="1085">
        <f>-G321*Assumptions!$P$65</f>
        <v>0</v>
      </c>
      <c r="H322" s="1085">
        <f>-H321*Assumptions!$P$65</f>
        <v>0</v>
      </c>
      <c r="I322" s="1085">
        <f>-I321*Assumptions!$P$65</f>
        <v>-53720.205843508047</v>
      </c>
      <c r="J322" s="1085">
        <f>-J321*Assumptions!$P$65</f>
        <v>-110663.62403762661</v>
      </c>
      <c r="K322" s="1085">
        <f>-K321*Assumptions!$P$65</f>
        <v>-113983.53275875538</v>
      </c>
      <c r="L322" s="1085">
        <f>-L321*Assumptions!$P$65</f>
        <v>-117403.03874151804</v>
      </c>
      <c r="M322" s="1085">
        <f>-M321*Assumptions!$P$65</f>
        <v>-120925.12990376361</v>
      </c>
      <c r="N322" s="1085">
        <f>-N321*Assumptions!$P$65</f>
        <v>-124552.88380087652</v>
      </c>
      <c r="O322" s="1085">
        <f>-O321*Assumptions!$P$65</f>
        <v>-128289.47031490282</v>
      </c>
      <c r="P322" s="1085">
        <f>-P321*Assumptions!$P$65</f>
        <v>-132138.15442434989</v>
      </c>
      <c r="Q322" s="1085">
        <f>-Q321*Assumptions!$P$65</f>
        <v>-136102.29905708038</v>
      </c>
      <c r="R322" s="1085">
        <f>-R321*Assumptions!$P$65</f>
        <v>-140185.36802879281</v>
      </c>
      <c r="S322" s="1085">
        <f>-S321*Assumptions!$P$65</f>
        <v>-144390.92906965662</v>
      </c>
      <c r="T322" s="1085">
        <f>-T321*Assumptions!$P$65</f>
        <v>-148722.65694174633</v>
      </c>
      <c r="U322" s="1085">
        <f>-U321*Assumptions!$P$65</f>
        <v>-153184.33664999873</v>
      </c>
      <c r="V322" s="1085">
        <f>-V321*Assumptions!$P$65</f>
        <v>-157779.8667494987</v>
      </c>
      <c r="W322" s="1085">
        <f>-W321*Assumptions!$P$65</f>
        <v>-162513.26275198365</v>
      </c>
      <c r="X322" s="1085">
        <f>-X321*Assumptions!$P$65</f>
        <v>-167388.66063454316</v>
      </c>
      <c r="Y322" s="1085">
        <f>-Y321*Assumptions!$P$65</f>
        <v>-172410.32045357948</v>
      </c>
      <c r="Z322" s="1085">
        <f>-Z321*Assumptions!$P$65</f>
        <v>-177582.63006718687</v>
      </c>
    </row>
    <row r="323" spans="1:26">
      <c r="A323" s="699"/>
      <c r="B323" s="52" t="s">
        <v>1131</v>
      </c>
      <c r="C323" s="1052"/>
      <c r="D323" s="1052"/>
      <c r="E323" s="1052"/>
      <c r="F323" s="1086">
        <f>SUM(F321:F322)</f>
        <v>0</v>
      </c>
      <c r="G323" s="1086">
        <f t="shared" ref="G323:Z323" si="143">SUM(G321:G322)</f>
        <v>0</v>
      </c>
      <c r="H323" s="1086">
        <f t="shared" si="143"/>
        <v>0</v>
      </c>
      <c r="I323" s="1086">
        <f t="shared" si="143"/>
        <v>483481.85259157239</v>
      </c>
      <c r="J323" s="1086">
        <f t="shared" si="143"/>
        <v>995972.61633863929</v>
      </c>
      <c r="K323" s="1086">
        <f t="shared" si="143"/>
        <v>1025851.7948287984</v>
      </c>
      <c r="L323" s="1086">
        <f t="shared" si="143"/>
        <v>1056627.3486736624</v>
      </c>
      <c r="M323" s="1086">
        <f t="shared" si="143"/>
        <v>1088326.1691338725</v>
      </c>
      <c r="N323" s="1086">
        <f t="shared" si="143"/>
        <v>1120975.9542078886</v>
      </c>
      <c r="O323" s="1086">
        <f t="shared" si="143"/>
        <v>1154605.2328341254</v>
      </c>
      <c r="P323" s="1086">
        <f t="shared" si="143"/>
        <v>1189243.3898191489</v>
      </c>
      <c r="Q323" s="1086">
        <f t="shared" si="143"/>
        <v>1224920.6915137235</v>
      </c>
      <c r="R323" s="1086">
        <f t="shared" si="143"/>
        <v>1261668.3122591353</v>
      </c>
      <c r="S323" s="1086">
        <f t="shared" si="143"/>
        <v>1299518.3616269093</v>
      </c>
      <c r="T323" s="1086">
        <f t="shared" si="143"/>
        <v>1338503.9124757168</v>
      </c>
      <c r="U323" s="1086">
        <f t="shared" si="143"/>
        <v>1378659.0298499884</v>
      </c>
      <c r="V323" s="1086">
        <f t="shared" si="143"/>
        <v>1420018.8007454881</v>
      </c>
      <c r="W323" s="1086">
        <f t="shared" si="143"/>
        <v>1462619.3647678527</v>
      </c>
      <c r="X323" s="1086">
        <f t="shared" si="143"/>
        <v>1506497.9457108881</v>
      </c>
      <c r="Y323" s="1086">
        <f t="shared" si="143"/>
        <v>1551692.8840822151</v>
      </c>
      <c r="Z323" s="1086">
        <f t="shared" si="143"/>
        <v>1598243.6706046816</v>
      </c>
    </row>
    <row r="324" spans="1:26">
      <c r="A324" s="699"/>
      <c r="B324" s="49"/>
      <c r="C324" s="699"/>
      <c r="D324" s="699"/>
      <c r="E324" s="699"/>
      <c r="F324" s="699"/>
      <c r="G324" s="699"/>
      <c r="H324" s="699"/>
      <c r="I324" s="699"/>
      <c r="J324" s="699"/>
      <c r="K324" s="699"/>
      <c r="L324" s="699"/>
      <c r="M324" s="699"/>
      <c r="N324" s="699"/>
      <c r="O324" s="699"/>
      <c r="P324" s="699"/>
      <c r="Q324" s="699"/>
      <c r="R324" s="699"/>
      <c r="S324" s="699"/>
      <c r="T324" s="699"/>
      <c r="U324" s="699"/>
      <c r="V324" s="699"/>
      <c r="W324" s="699"/>
      <c r="X324" s="699"/>
      <c r="Y324" s="699"/>
      <c r="Z324" s="699"/>
    </row>
    <row r="325" spans="1:26">
      <c r="A325" s="699"/>
      <c r="B325" s="699" t="s">
        <v>1132</v>
      </c>
      <c r="C325" s="699"/>
      <c r="D325" s="699"/>
      <c r="E325" s="699"/>
      <c r="F325" s="1087">
        <f>+F314*Assumptions!$P$100*F319</f>
        <v>0</v>
      </c>
      <c r="G325" s="1087">
        <f>+G314*Assumptions!$P$100*G319</f>
        <v>0</v>
      </c>
      <c r="H325" s="1087">
        <f>+H314*Assumptions!$P$100*H319</f>
        <v>0</v>
      </c>
      <c r="I325" s="1087">
        <f>+I314*Assumptions!$P$100*I319</f>
        <v>72799.072264956718</v>
      </c>
      <c r="J325" s="1087">
        <f>+J314*Assumptions!$P$100*J319</f>
        <v>149966.08886581086</v>
      </c>
      <c r="K325" s="1087">
        <f>+K314*Assumptions!$P$100*K319</f>
        <v>154465.07153178519</v>
      </c>
      <c r="L325" s="1087">
        <f>+L314*Assumptions!$P$100*L319</f>
        <v>159099.02367773876</v>
      </c>
      <c r="M325" s="1087">
        <f>+M314*Assumptions!$P$100*M319</f>
        <v>163871.99438807092</v>
      </c>
      <c r="N325" s="1087">
        <f>+N314*Assumptions!$P$100*N319</f>
        <v>168788.15421971306</v>
      </c>
      <c r="O325" s="1087">
        <f>+O314*Assumptions!$P$100*O319</f>
        <v>173851.79884630445</v>
      </c>
      <c r="P325" s="1087">
        <f>+P314*Assumptions!$P$100*P319</f>
        <v>179067.35281169359</v>
      </c>
      <c r="Q325" s="1087">
        <f>+Q314*Assumptions!$P$100*Q319</f>
        <v>184439.37339604439</v>
      </c>
      <c r="R325" s="1087">
        <f>+R314*Assumptions!$P$100*R319</f>
        <v>189972.55459792571</v>
      </c>
      <c r="S325" s="1087">
        <f>+S314*Assumptions!$P$100*S319</f>
        <v>195671.73123586352</v>
      </c>
      <c r="T325" s="1087">
        <f>+T314*Assumptions!$P$100*T319</f>
        <v>201541.88317293944</v>
      </c>
      <c r="U325" s="1087">
        <f>+U314*Assumptions!$P$100*U319</f>
        <v>207588.13966812764</v>
      </c>
      <c r="V325" s="1087">
        <f>+V314*Assumptions!$P$100*V319</f>
        <v>213815.78385817149</v>
      </c>
      <c r="W325" s="1087">
        <f>+W314*Assumptions!$P$100*W319</f>
        <v>220230.25737391663</v>
      </c>
      <c r="X325" s="1087">
        <f>+X314*Assumptions!$P$100*X319</f>
        <v>226837.16509513411</v>
      </c>
      <c r="Y325" s="1087">
        <f>+Y314*Assumptions!$P$100*Y319</f>
        <v>233642.28004798817</v>
      </c>
      <c r="Z325" s="1087">
        <f>+Z314*Assumptions!$P$100*Z319</f>
        <v>240651.54844942782</v>
      </c>
    </row>
    <row r="326" spans="1:26">
      <c r="A326" s="699"/>
      <c r="B326" s="699" t="s">
        <v>1133</v>
      </c>
      <c r="C326" s="699"/>
      <c r="D326" s="699"/>
      <c r="E326" s="699"/>
      <c r="F326" s="1050">
        <f ca="1">+IFERROR(INDEX('Taxes and TIF'!$AS$11:$AS$45,MATCH('Phase 3 Pro Forma'!F$7,'Taxes and TIF'!$AH$11:$AH$45,0)),0)*'Loan Sizing'!$M$29*'Phase 3 Pro Forma'!F316</f>
        <v>0</v>
      </c>
      <c r="G326" s="1050">
        <f ca="1">+IFERROR(INDEX('Taxes and TIF'!$AS$11:$AS$45,MATCH('Phase 3 Pro Forma'!G$7,'Taxes and TIF'!$AH$11:$AH$45,0)),0)*'Loan Sizing'!$M$29*'Phase 3 Pro Forma'!G316</f>
        <v>0</v>
      </c>
      <c r="H326" s="1050">
        <f ca="1">+IFERROR(INDEX('Taxes and TIF'!$AS$11:$AS$45,MATCH('Phase 3 Pro Forma'!H$7,'Taxes and TIF'!$AH$11:$AH$45,0)),0)*'Loan Sizing'!$M$29*'Phase 3 Pro Forma'!H316</f>
        <v>0</v>
      </c>
      <c r="I326" s="1050">
        <f ca="1">+IFERROR(INDEX('Taxes and TIF'!$AS$11:$AS$45,MATCH('Phase 3 Pro Forma'!I$7,'Taxes and TIF'!$AH$11:$AH$45,0)),0)*'Loan Sizing'!$M$29*'Phase 3 Pro Forma'!I316</f>
        <v>74046.052117053696</v>
      </c>
      <c r="J326" s="1050">
        <f ca="1">+IFERROR(INDEX('Taxes and TIF'!$AS$11:$AS$45,MATCH('Phase 3 Pro Forma'!J$7,'Taxes and TIF'!$AH$11:$AH$45,0)),0)*'Loan Sizing'!$M$29*'Phase 3 Pro Forma'!J316</f>
        <v>152534.8673611306</v>
      </c>
      <c r="K326" s="1050">
        <f ca="1">+IFERROR(INDEX('Taxes and TIF'!$AS$11:$AS$45,MATCH('Phase 3 Pro Forma'!K$7,'Taxes and TIF'!$AH$11:$AH$45,0)),0)*'Loan Sizing'!$M$29*'Phase 3 Pro Forma'!K316</f>
        <v>152534.8673611306</v>
      </c>
      <c r="L326" s="1050">
        <f ca="1">+IFERROR(INDEX('Taxes and TIF'!$AS$11:$AS$45,MATCH('Phase 3 Pro Forma'!L$7,'Taxes and TIF'!$AH$11:$AH$45,0)),0)*'Loan Sizing'!$M$29*'Phase 3 Pro Forma'!L316</f>
        <v>152534.8673611306</v>
      </c>
      <c r="M326" s="1050">
        <f ca="1">+IFERROR(INDEX('Taxes and TIF'!$AS$11:$AS$45,MATCH('Phase 3 Pro Forma'!M$7,'Taxes and TIF'!$AH$11:$AH$45,0)),0)*'Loan Sizing'!$M$29*'Phase 3 Pro Forma'!M316</f>
        <v>157110.91338196452</v>
      </c>
      <c r="N326" s="1050">
        <f ca="1">+IFERROR(INDEX('Taxes and TIF'!$AS$11:$AS$45,MATCH('Phase 3 Pro Forma'!N$7,'Taxes and TIF'!$AH$11:$AH$45,0)),0)*'Loan Sizing'!$M$29*'Phase 3 Pro Forma'!N316</f>
        <v>157110.91338196452</v>
      </c>
      <c r="O326" s="1050">
        <f ca="1">+IFERROR(INDEX('Taxes and TIF'!$AS$11:$AS$45,MATCH('Phase 3 Pro Forma'!O$7,'Taxes and TIF'!$AH$11:$AH$45,0)),0)*'Loan Sizing'!$M$29*'Phase 3 Pro Forma'!O316</f>
        <v>157110.91338196452</v>
      </c>
      <c r="P326" s="1050">
        <f ca="1">+IFERROR(INDEX('Taxes and TIF'!$AS$11:$AS$45,MATCH('Phase 3 Pro Forma'!P$7,'Taxes and TIF'!$AH$11:$AH$45,0)),0)*'Loan Sizing'!$M$29*'Phase 3 Pro Forma'!P316</f>
        <v>161824.24078342345</v>
      </c>
      <c r="Q326" s="1050">
        <f ca="1">+IFERROR(INDEX('Taxes and TIF'!$AS$11:$AS$45,MATCH('Phase 3 Pro Forma'!Q$7,'Taxes and TIF'!$AH$11:$AH$45,0)),0)*'Loan Sizing'!$M$29*'Phase 3 Pro Forma'!Q316</f>
        <v>161824.24078342345</v>
      </c>
      <c r="R326" s="1050">
        <f ca="1">+IFERROR(INDEX('Taxes and TIF'!$AS$11:$AS$45,MATCH('Phase 3 Pro Forma'!R$7,'Taxes and TIF'!$AH$11:$AH$45,0)),0)*'Loan Sizing'!$M$29*'Phase 3 Pro Forma'!R316</f>
        <v>161824.24078342345</v>
      </c>
      <c r="S326" s="1050">
        <f ca="1">+IFERROR(INDEX('Taxes and TIF'!$AS$11:$AS$45,MATCH('Phase 3 Pro Forma'!S$7,'Taxes and TIF'!$AH$11:$AH$45,0)),0)*'Loan Sizing'!$M$29*'Phase 3 Pro Forma'!S316</f>
        <v>166678.96800692618</v>
      </c>
      <c r="T326" s="1050">
        <f ca="1">+IFERROR(INDEX('Taxes and TIF'!$AS$11:$AS$45,MATCH('Phase 3 Pro Forma'!T$7,'Taxes and TIF'!$AH$11:$AH$45,0)),0)*'Loan Sizing'!$M$29*'Phase 3 Pro Forma'!T316</f>
        <v>166678.96800692618</v>
      </c>
      <c r="U326" s="1050">
        <f ca="1">+IFERROR(INDEX('Taxes and TIF'!$AS$11:$AS$45,MATCH('Phase 3 Pro Forma'!U$7,'Taxes and TIF'!$AH$11:$AH$45,0)),0)*'Loan Sizing'!$M$29*'Phase 3 Pro Forma'!U316</f>
        <v>166678.96800692618</v>
      </c>
      <c r="V326" s="1050">
        <f ca="1">+IFERROR(INDEX('Taxes and TIF'!$AS$11:$AS$45,MATCH('Phase 3 Pro Forma'!V$7,'Taxes and TIF'!$AH$11:$AH$45,0)),0)*'Loan Sizing'!$M$29*'Phase 3 Pro Forma'!V316</f>
        <v>171679.33704713394</v>
      </c>
      <c r="W326" s="1050">
        <f ca="1">+IFERROR(INDEX('Taxes and TIF'!$AS$11:$AS$45,MATCH('Phase 3 Pro Forma'!W$7,'Taxes and TIF'!$AH$11:$AH$45,0)),0)*'Loan Sizing'!$M$29*'Phase 3 Pro Forma'!W316</f>
        <v>171679.33704713394</v>
      </c>
      <c r="X326" s="1050">
        <f ca="1">+IFERROR(INDEX('Taxes and TIF'!$AS$11:$AS$45,MATCH('Phase 3 Pro Forma'!X$7,'Taxes and TIF'!$AH$11:$AH$45,0)),0)*'Loan Sizing'!$M$29*'Phase 3 Pro Forma'!X316</f>
        <v>171679.33704713394</v>
      </c>
      <c r="Y326" s="1050">
        <f ca="1">+IFERROR(INDEX('Taxes and TIF'!$AS$11:$AS$45,MATCH('Phase 3 Pro Forma'!Y$7,'Taxes and TIF'!$AH$11:$AH$45,0)),0)*'Loan Sizing'!$M$29*'Phase 3 Pro Forma'!Y316</f>
        <v>176829.71715854798</v>
      </c>
      <c r="Z326" s="1050">
        <f ca="1">+IFERROR(INDEX('Taxes and TIF'!$AS$11:$AS$45,MATCH('Phase 3 Pro Forma'!Z$7,'Taxes and TIF'!$AH$11:$AH$45,0)),0)*'Loan Sizing'!$M$29*'Phase 3 Pro Forma'!Z316</f>
        <v>176829.71715854798</v>
      </c>
    </row>
    <row r="327" spans="1:26">
      <c r="A327" s="699"/>
      <c r="B327" s="52" t="s">
        <v>1134</v>
      </c>
      <c r="C327" s="1052"/>
      <c r="D327" s="1052"/>
      <c r="E327" s="1052"/>
      <c r="F327" s="1088">
        <f ca="1">+SUM(F325:F326)</f>
        <v>0</v>
      </c>
      <c r="G327" s="1088">
        <f t="shared" ref="G327:Z327" ca="1" si="144">+SUM(G325:G326)</f>
        <v>0</v>
      </c>
      <c r="H327" s="1088">
        <f t="shared" ca="1" si="144"/>
        <v>0</v>
      </c>
      <c r="I327" s="1088">
        <f t="shared" ca="1" si="144"/>
        <v>146845.12438201043</v>
      </c>
      <c r="J327" s="1088">
        <f t="shared" ca="1" si="144"/>
        <v>302500.95622694143</v>
      </c>
      <c r="K327" s="1088">
        <f t="shared" ca="1" si="144"/>
        <v>306999.93889291579</v>
      </c>
      <c r="L327" s="1088">
        <f t="shared" ca="1" si="144"/>
        <v>311633.89103886939</v>
      </c>
      <c r="M327" s="1088">
        <f t="shared" ca="1" si="144"/>
        <v>320982.90777003544</v>
      </c>
      <c r="N327" s="1088">
        <f t="shared" ca="1" si="144"/>
        <v>325899.06760167761</v>
      </c>
      <c r="O327" s="1088">
        <f t="shared" ca="1" si="144"/>
        <v>330962.71222826897</v>
      </c>
      <c r="P327" s="1088">
        <f t="shared" ca="1" si="144"/>
        <v>340891.59359511704</v>
      </c>
      <c r="Q327" s="1088">
        <f t="shared" ca="1" si="144"/>
        <v>346263.61417946784</v>
      </c>
      <c r="R327" s="1088">
        <f t="shared" ca="1" si="144"/>
        <v>351796.79538134916</v>
      </c>
      <c r="S327" s="1088">
        <f t="shared" ca="1" si="144"/>
        <v>362350.69924278971</v>
      </c>
      <c r="T327" s="1088">
        <f t="shared" ca="1" si="144"/>
        <v>368220.85117986565</v>
      </c>
      <c r="U327" s="1088">
        <f t="shared" ca="1" si="144"/>
        <v>374267.10767505382</v>
      </c>
      <c r="V327" s="1088">
        <f t="shared" ca="1" si="144"/>
        <v>385495.12090530543</v>
      </c>
      <c r="W327" s="1088">
        <f t="shared" ca="1" si="144"/>
        <v>391909.59442105057</v>
      </c>
      <c r="X327" s="1088">
        <f t="shared" ca="1" si="144"/>
        <v>398516.50214226806</v>
      </c>
      <c r="Y327" s="1088">
        <f t="shared" ca="1" si="144"/>
        <v>410471.99720653612</v>
      </c>
      <c r="Z327" s="1088">
        <f t="shared" ca="1" si="144"/>
        <v>417481.26560797577</v>
      </c>
    </row>
    <row r="329" spans="1:26" ht="15.75">
      <c r="A329" s="699"/>
      <c r="B329" s="50" t="s">
        <v>1135</v>
      </c>
      <c r="C329" s="50"/>
      <c r="D329" s="50"/>
      <c r="E329" s="50"/>
      <c r="F329" s="55">
        <f ca="1">+F323-F327</f>
        <v>0</v>
      </c>
      <c r="G329" s="55">
        <f t="shared" ref="G329:Z329" ca="1" si="145">+G323-G327</f>
        <v>0</v>
      </c>
      <c r="H329" s="55">
        <f t="shared" ca="1" si="145"/>
        <v>0</v>
      </c>
      <c r="I329" s="55">
        <f t="shared" ca="1" si="145"/>
        <v>336636.72820956196</v>
      </c>
      <c r="J329" s="55">
        <f t="shared" ca="1" si="145"/>
        <v>693471.66011169786</v>
      </c>
      <c r="K329" s="55">
        <f t="shared" ca="1" si="145"/>
        <v>718851.85593588254</v>
      </c>
      <c r="L329" s="55">
        <f t="shared" ca="1" si="145"/>
        <v>744993.45763479301</v>
      </c>
      <c r="M329" s="55">
        <f t="shared" ca="1" si="145"/>
        <v>767343.26136383705</v>
      </c>
      <c r="N329" s="55">
        <f t="shared" ca="1" si="145"/>
        <v>795076.88660621096</v>
      </c>
      <c r="O329" s="55">
        <f t="shared" ca="1" si="145"/>
        <v>823642.52060585644</v>
      </c>
      <c r="P329" s="55">
        <f t="shared" ca="1" si="145"/>
        <v>848351.79622403183</v>
      </c>
      <c r="Q329" s="55">
        <f t="shared" ca="1" si="145"/>
        <v>878657.07733425568</v>
      </c>
      <c r="R329" s="55">
        <f t="shared" ca="1" si="145"/>
        <v>909871.51687778614</v>
      </c>
      <c r="S329" s="55">
        <f t="shared" ca="1" si="145"/>
        <v>937167.66238411958</v>
      </c>
      <c r="T329" s="55">
        <f t="shared" ca="1" si="145"/>
        <v>970283.06129585113</v>
      </c>
      <c r="U329" s="55">
        <f t="shared" ca="1" si="145"/>
        <v>1004391.9221749345</v>
      </c>
      <c r="V329" s="55">
        <f t="shared" ca="1" si="145"/>
        <v>1034523.6798401827</v>
      </c>
      <c r="W329" s="55">
        <f t="shared" ca="1" si="145"/>
        <v>1070709.7703468022</v>
      </c>
      <c r="X329" s="55">
        <f t="shared" ca="1" si="145"/>
        <v>1107981.4435686201</v>
      </c>
      <c r="Y329" s="55">
        <f t="shared" ca="1" si="145"/>
        <v>1141220.886875679</v>
      </c>
      <c r="Z329" s="55">
        <f t="shared" ca="1" si="145"/>
        <v>1180762.4049967057</v>
      </c>
    </row>
    <row r="330" spans="1:26">
      <c r="A330" s="699"/>
      <c r="B330" s="51" t="s">
        <v>1136</v>
      </c>
      <c r="C330" s="51"/>
      <c r="D330" s="51"/>
      <c r="E330" s="51"/>
      <c r="F330" s="56" t="str">
        <f ca="1">+IFERROR(F329/F323,"")</f>
        <v/>
      </c>
      <c r="G330" s="56" t="str">
        <f t="shared" ref="G330:Z330" ca="1" si="146">+IFERROR(G329/G323,"")</f>
        <v/>
      </c>
      <c r="H330" s="56" t="str">
        <f t="shared" ca="1" si="146"/>
        <v/>
      </c>
      <c r="I330" s="56">
        <f t="shared" ca="1" si="146"/>
        <v>0.69627583001329363</v>
      </c>
      <c r="J330" s="56">
        <f t="shared" ca="1" si="146"/>
        <v>0.69627583001329374</v>
      </c>
      <c r="K330" s="56">
        <f t="shared" ca="1" si="146"/>
        <v>0.70073655820415048</v>
      </c>
      <c r="L330" s="56">
        <f t="shared" ca="1" si="146"/>
        <v>0.70506736227294364</v>
      </c>
      <c r="M330" s="56">
        <f t="shared" ca="1" si="146"/>
        <v>0.70506736227294364</v>
      </c>
      <c r="N330" s="56">
        <f t="shared" ca="1" si="146"/>
        <v>0.70927202641740295</v>
      </c>
      <c r="O330" s="56">
        <f t="shared" ca="1" si="146"/>
        <v>0.71335422461590714</v>
      </c>
      <c r="P330" s="56">
        <f t="shared" ca="1" si="146"/>
        <v>0.71335422461590703</v>
      </c>
      <c r="Q330" s="56">
        <f t="shared" ca="1" si="146"/>
        <v>0.71731752383775582</v>
      </c>
      <c r="R330" s="56">
        <f t="shared" ca="1" si="146"/>
        <v>0.72116538715993905</v>
      </c>
      <c r="S330" s="56">
        <f t="shared" ca="1" si="146"/>
        <v>0.72116538715993894</v>
      </c>
      <c r="T330" s="56">
        <f t="shared" ca="1" si="146"/>
        <v>0.72490117679312649</v>
      </c>
      <c r="U330" s="56">
        <f t="shared" ca="1" si="146"/>
        <v>0.72852815701952223</v>
      </c>
      <c r="V330" s="56">
        <f t="shared" ca="1" si="146"/>
        <v>0.72852815701952223</v>
      </c>
      <c r="W330" s="56">
        <f t="shared" ca="1" si="146"/>
        <v>0.73204949704514921</v>
      </c>
      <c r="X330" s="56">
        <f t="shared" ca="1" si="146"/>
        <v>0.73546827376905877</v>
      </c>
      <c r="Y330" s="56">
        <f t="shared" ca="1" si="146"/>
        <v>0.73546827376905877</v>
      </c>
      <c r="Z330" s="56">
        <f t="shared" ca="1" si="146"/>
        <v>0.73878747447188353</v>
      </c>
    </row>
    <row r="331" spans="1:26">
      <c r="A331" s="699"/>
      <c r="B331" s="51" t="s">
        <v>1064</v>
      </c>
      <c r="C331" s="51"/>
      <c r="D331" s="51"/>
      <c r="E331" s="51"/>
      <c r="F331" s="57">
        <f ca="1">+F329/Assumptions!$H$51</f>
        <v>0</v>
      </c>
      <c r="G331" s="57">
        <f ca="1">+G329/Assumptions!$H$51</f>
        <v>0</v>
      </c>
      <c r="H331" s="57">
        <f ca="1">+H329/Assumptions!$H$51</f>
        <v>0</v>
      </c>
      <c r="I331" s="57">
        <f ca="1">+I329/Assumptions!$H$51</f>
        <v>5854551.7949489038</v>
      </c>
      <c r="J331" s="57">
        <f ca="1">+J329/Assumptions!$H$51</f>
        <v>12060376.697594745</v>
      </c>
      <c r="K331" s="57">
        <f ca="1">+K329/Assumptions!$H$51</f>
        <v>12501771.407580566</v>
      </c>
      <c r="L331" s="57">
        <f ca="1">+L329/Assumptions!$H$51</f>
        <v>12956407.958865965</v>
      </c>
      <c r="M331" s="57">
        <f ca="1">+M329/Assumptions!$H$51</f>
        <v>13345100.197631948</v>
      </c>
      <c r="N331" s="57">
        <f ca="1">+N329/Assumptions!$H$51</f>
        <v>13827424.114890626</v>
      </c>
      <c r="O331" s="57">
        <f ca="1">+O329/Assumptions!$H$51</f>
        <v>14324217.749667067</v>
      </c>
      <c r="P331" s="57">
        <f ca="1">+P329/Assumptions!$H$51</f>
        <v>14753944.282157075</v>
      </c>
      <c r="Q331" s="57">
        <f ca="1">+Q329/Assumptions!$H$51</f>
        <v>15280992.649291402</v>
      </c>
      <c r="R331" s="57">
        <f ca="1">+R329/Assumptions!$H$51</f>
        <v>15823852.467439758</v>
      </c>
      <c r="S331" s="57">
        <f ca="1">+S329/Assumptions!$H$51</f>
        <v>16298568.041462949</v>
      </c>
      <c r="T331" s="57">
        <f ca="1">+T329/Assumptions!$H$51</f>
        <v>16874488.022536542</v>
      </c>
      <c r="U331" s="57">
        <f ca="1">+U329/Assumptions!$H$51</f>
        <v>17467685.603042338</v>
      </c>
      <c r="V331" s="57">
        <f ca="1">+V329/Assumptions!$H$51</f>
        <v>17991716.171133611</v>
      </c>
      <c r="W331" s="57">
        <f ca="1">+W329/Assumptions!$H$51</f>
        <v>18621039.484292213</v>
      </c>
      <c r="X331" s="57">
        <f ca="1">+X329/Assumptions!$H$51</f>
        <v>19269242.496845566</v>
      </c>
      <c r="Y331" s="57">
        <f ca="1">+Y329/Assumptions!$H$51</f>
        <v>19847319.771750938</v>
      </c>
      <c r="Z331" s="57">
        <f ca="1">+Z329/Assumptions!$H$51</f>
        <v>20534998.347768795</v>
      </c>
    </row>
    <row r="332" spans="1:26">
      <c r="A332" s="699" t="s">
        <v>511</v>
      </c>
      <c r="B332" s="699"/>
      <c r="C332" s="699"/>
      <c r="D332" s="699"/>
      <c r="E332" s="699"/>
      <c r="F332" s="699"/>
      <c r="G332" s="699"/>
      <c r="H332" s="699"/>
      <c r="I332" s="699"/>
      <c r="J332" s="699"/>
      <c r="K332" s="699"/>
      <c r="L332" s="699"/>
      <c r="M332" s="699"/>
      <c r="N332" s="699"/>
      <c r="O332" s="699"/>
      <c r="P332" s="699"/>
      <c r="Q332" s="699"/>
      <c r="R332" s="699"/>
      <c r="S332" s="699"/>
      <c r="T332" s="699"/>
      <c r="U332" s="699"/>
      <c r="V332" s="699"/>
      <c r="W332" s="699"/>
      <c r="X332" s="699"/>
      <c r="Y332" s="699"/>
      <c r="Z332" s="699"/>
    </row>
    <row r="333" spans="1:26" ht="15.75">
      <c r="A333" s="699"/>
      <c r="B333" s="50" t="s">
        <v>1122</v>
      </c>
      <c r="C333" s="50"/>
      <c r="D333" s="50"/>
      <c r="E333" s="50"/>
      <c r="F333" s="55">
        <f ca="1">+F30+F57+F189+F165+F138+F111+F84+F213+F240+F266+F286+F329+F307</f>
        <v>0</v>
      </c>
      <c r="G333" s="55">
        <f t="shared" ref="G333:Z333" ca="1" si="147">+G30+G57+G189+G165+G138+G111+G84+G213+G240+G266+G286+G329+G307</f>
        <v>0</v>
      </c>
      <c r="H333" s="55">
        <f t="shared" ca="1" si="147"/>
        <v>0</v>
      </c>
      <c r="I333" s="55">
        <f t="shared" ca="1" si="147"/>
        <v>2402736.656224661</v>
      </c>
      <c r="J333" s="55">
        <f t="shared" ca="1" si="147"/>
        <v>6295254.4271969739</v>
      </c>
      <c r="K333" s="55">
        <f t="shared" ca="1" si="147"/>
        <v>9435030.9569732696</v>
      </c>
      <c r="L333" s="55">
        <f t="shared" ca="1" si="147"/>
        <v>10098849.064376472</v>
      </c>
      <c r="M333" s="55">
        <f t="shared" ca="1" si="147"/>
        <v>10296369.770259857</v>
      </c>
      <c r="N333" s="55">
        <f t="shared" ca="1" si="147"/>
        <v>10545572.170234278</v>
      </c>
      <c r="O333" s="55">
        <f t="shared" ca="1" si="147"/>
        <v>10802250.64220793</v>
      </c>
      <c r="P333" s="55">
        <f t="shared" ca="1" si="147"/>
        <v>11020873.395426255</v>
      </c>
      <c r="Q333" s="55">
        <f t="shared" ca="1" si="147"/>
        <v>11786442.672680255</v>
      </c>
      <c r="R333" s="55">
        <f t="shared" ca="1" si="147"/>
        <v>12066922.16932461</v>
      </c>
      <c r="S333" s="55">
        <f t="shared" ca="1" si="147"/>
        <v>12308687.29576632</v>
      </c>
      <c r="T333" s="55">
        <f t="shared" ca="1" si="147"/>
        <v>12606247.99375632</v>
      </c>
      <c r="U333" s="55">
        <f t="shared" ca="1" si="147"/>
        <v>12912735.512686012</v>
      </c>
      <c r="V333" s="55">
        <f t="shared" ca="1" si="147"/>
        <v>13747122.988716291</v>
      </c>
      <c r="W333" s="55">
        <f t="shared" ca="1" si="147"/>
        <v>14072275.597548801</v>
      </c>
      <c r="X333" s="55">
        <f t="shared" ca="1" si="147"/>
        <v>14407182.784646295</v>
      </c>
      <c r="Y333" s="55">
        <f t="shared" ca="1" si="147"/>
        <v>14702138.291069025</v>
      </c>
      <c r="Z333" s="55">
        <f t="shared" ca="1" si="147"/>
        <v>15057441.325860748</v>
      </c>
    </row>
    <row r="335" spans="1:26" ht="15.75">
      <c r="A335" s="699"/>
      <c r="B335" s="53" t="s">
        <v>1146</v>
      </c>
      <c r="C335" s="699"/>
      <c r="D335" s="699"/>
      <c r="E335" s="699"/>
      <c r="F335" s="54">
        <f>+Assumptions!$H$27</f>
        <v>47118</v>
      </c>
      <c r="G335" s="54">
        <f>+EOMONTH(F335,12)</f>
        <v>47483</v>
      </c>
      <c r="H335" s="54">
        <f t="shared" ref="H335:Z335" si="148">+EOMONTH(G335,12)</f>
        <v>47848</v>
      </c>
      <c r="I335" s="54">
        <f t="shared" si="148"/>
        <v>48213</v>
      </c>
      <c r="J335" s="54">
        <f t="shared" si="148"/>
        <v>48579</v>
      </c>
      <c r="K335" s="54">
        <f t="shared" si="148"/>
        <v>48944</v>
      </c>
      <c r="L335" s="54">
        <f t="shared" si="148"/>
        <v>49309</v>
      </c>
      <c r="M335" s="54">
        <f t="shared" si="148"/>
        <v>49674</v>
      </c>
      <c r="N335" s="54">
        <f t="shared" si="148"/>
        <v>50040</v>
      </c>
      <c r="O335" s="54">
        <f t="shared" si="148"/>
        <v>50405</v>
      </c>
      <c r="P335" s="54">
        <f t="shared" si="148"/>
        <v>50770</v>
      </c>
      <c r="Q335" s="54">
        <f t="shared" si="148"/>
        <v>51135</v>
      </c>
      <c r="R335" s="54">
        <f t="shared" si="148"/>
        <v>51501</v>
      </c>
      <c r="S335" s="54">
        <f t="shared" si="148"/>
        <v>51866</v>
      </c>
      <c r="T335" s="54">
        <f t="shared" si="148"/>
        <v>52231</v>
      </c>
      <c r="U335" s="54">
        <f t="shared" si="148"/>
        <v>52596</v>
      </c>
      <c r="V335" s="54">
        <f t="shared" si="148"/>
        <v>52962</v>
      </c>
      <c r="W335" s="54">
        <f t="shared" si="148"/>
        <v>53327</v>
      </c>
      <c r="X335" s="54">
        <f t="shared" si="148"/>
        <v>53692</v>
      </c>
      <c r="Y335" s="54">
        <f t="shared" si="148"/>
        <v>54057</v>
      </c>
      <c r="Z335" s="54">
        <f t="shared" si="148"/>
        <v>54423</v>
      </c>
    </row>
    <row r="336" spans="1:26" ht="16.5">
      <c r="A336" s="699"/>
      <c r="B336" s="1" t="s">
        <v>1147</v>
      </c>
      <c r="C336" s="699"/>
      <c r="D336" s="699"/>
      <c r="E336" s="699"/>
      <c r="F336" s="1028">
        <v>0</v>
      </c>
      <c r="G336" s="1028">
        <f ca="1">+F339</f>
        <v>0</v>
      </c>
      <c r="H336" s="1028">
        <f t="shared" ref="H336:Z336" ca="1" si="149">+G339</f>
        <v>0</v>
      </c>
      <c r="I336" s="1028">
        <f t="shared" ca="1" si="149"/>
        <v>0</v>
      </c>
      <c r="J336" s="1028">
        <f t="shared" ca="1" si="149"/>
        <v>120933611.40658511</v>
      </c>
      <c r="K336" s="1028">
        <f t="shared" ca="1" si="149"/>
        <v>118827599.15430284</v>
      </c>
      <c r="L336" s="1028">
        <f t="shared" ca="1" si="149"/>
        <v>116626816.35066786</v>
      </c>
      <c r="M336" s="1028">
        <f t="shared" ca="1" si="149"/>
        <v>114326998.32086931</v>
      </c>
      <c r="N336" s="1028">
        <f t="shared" ca="1" si="149"/>
        <v>111923688.47972983</v>
      </c>
      <c r="O336" s="1028">
        <f t="shared" ca="1" si="149"/>
        <v>109412229.69573906</v>
      </c>
      <c r="P336" s="1028">
        <f t="shared" ca="1" si="149"/>
        <v>106787755.26646872</v>
      </c>
      <c r="Q336" s="1028">
        <f t="shared" ca="1" si="149"/>
        <v>104045179.4878812</v>
      </c>
      <c r="R336" s="1028">
        <f t="shared" ca="1" si="149"/>
        <v>101179187.79925725</v>
      </c>
      <c r="S336" s="1028">
        <f t="shared" ca="1" si="149"/>
        <v>98184226.484645218</v>
      </c>
      <c r="T336" s="1028">
        <f t="shared" ca="1" si="149"/>
        <v>95054491.910875648</v>
      </c>
      <c r="U336" s="1028">
        <f t="shared" ca="1" si="149"/>
        <v>91783919.281286448</v>
      </c>
      <c r="V336" s="1028">
        <f t="shared" ca="1" si="149"/>
        <v>88366170.883365735</v>
      </c>
      <c r="W336" s="1028">
        <f t="shared" ca="1" si="149"/>
        <v>84794623.807538584</v>
      </c>
      <c r="X336" s="1028">
        <f t="shared" ca="1" si="149"/>
        <v>81062357.113299221</v>
      </c>
      <c r="Y336" s="1028">
        <f t="shared" ca="1" si="149"/>
        <v>77162138.417819083</v>
      </c>
      <c r="Z336" s="1028">
        <f t="shared" ca="1" si="149"/>
        <v>73086409.881042331</v>
      </c>
    </row>
    <row r="337" spans="2:26" ht="16.5">
      <c r="B337" s="1" t="s">
        <v>1148</v>
      </c>
      <c r="C337" s="699"/>
      <c r="D337" s="699"/>
      <c r="E337" s="699"/>
      <c r="F337" s="90">
        <f>+IF(YEAR(F$335)=YEAR(Assumptions!$H$31),'S&amp;U'!$T$17,0)</f>
        <v>0</v>
      </c>
      <c r="G337" s="90">
        <f>+IF(YEAR(G$335)=YEAR(Assumptions!$H$31),'S&amp;U'!$T$17,0)</f>
        <v>0</v>
      </c>
      <c r="H337" s="90">
        <f>+IF(YEAR(H$335)=YEAR(Assumptions!$H$31),'S&amp;U'!$T$17,0)</f>
        <v>0</v>
      </c>
      <c r="I337" s="90">
        <f ca="1">+IF(YEAR(I$335)=YEAR(Assumptions!$H$31),'S&amp;U'!$T$17,0)</f>
        <v>122948934.13604183</v>
      </c>
      <c r="J337" s="90">
        <f>+IF(YEAR(J$335)=YEAR(Assumptions!$H$31),'S&amp;U'!$T$17,0)</f>
        <v>0</v>
      </c>
      <c r="K337" s="90">
        <f>+IF(YEAR(K$335)=YEAR(Assumptions!$H$31),'S&amp;U'!$T$17,0)</f>
        <v>0</v>
      </c>
      <c r="L337" s="90">
        <f>+IF(YEAR(L$335)=YEAR(Assumptions!$H$31),'S&amp;U'!$T$17,0)</f>
        <v>0</v>
      </c>
      <c r="M337" s="90">
        <f>+IF(YEAR(M$335)=YEAR(Assumptions!$H$31),'S&amp;U'!$T$17,0)</f>
        <v>0</v>
      </c>
      <c r="N337" s="90">
        <f>+IF(YEAR(N$335)=YEAR(Assumptions!$H$31),'S&amp;U'!$T$17,0)</f>
        <v>0</v>
      </c>
      <c r="O337" s="90">
        <f>+IF(YEAR(O$335)=YEAR(Assumptions!$H$31),'S&amp;U'!$T$17,0)</f>
        <v>0</v>
      </c>
      <c r="P337" s="90">
        <f>+IF(YEAR(P$335)=YEAR(Assumptions!$H$31),'S&amp;U'!$T$17,0)</f>
        <v>0</v>
      </c>
      <c r="Q337" s="90">
        <f>+IF(YEAR(Q$335)=YEAR(Assumptions!$H$31),'S&amp;U'!$T$17,0)</f>
        <v>0</v>
      </c>
      <c r="R337" s="90">
        <f>+IF(YEAR(R$335)=YEAR(Assumptions!$H$31),'S&amp;U'!$T$17,0)</f>
        <v>0</v>
      </c>
      <c r="S337" s="90">
        <f>+IF(YEAR(S$335)=YEAR(Assumptions!$H$31),'S&amp;U'!$T$17,0)</f>
        <v>0</v>
      </c>
      <c r="T337" s="90">
        <f>+IF(YEAR(T$335)=YEAR(Assumptions!$H$31),'S&amp;U'!$T$17,0)</f>
        <v>0</v>
      </c>
      <c r="U337" s="90">
        <f>+IF(YEAR(U$335)=YEAR(Assumptions!$H$31),'S&amp;U'!$T$17,0)</f>
        <v>0</v>
      </c>
      <c r="V337" s="90">
        <f>+IF(YEAR(V$335)=YEAR(Assumptions!$H$31),'S&amp;U'!$T$17,0)</f>
        <v>0</v>
      </c>
      <c r="W337" s="90">
        <f>+IF(YEAR(W$335)=YEAR(Assumptions!$H$31),'S&amp;U'!$T$17,0)</f>
        <v>0</v>
      </c>
      <c r="X337" s="90">
        <f>+IF(YEAR(X$335)=YEAR(Assumptions!$H$31),'S&amp;U'!$T$17,0)</f>
        <v>0</v>
      </c>
      <c r="Y337" s="90">
        <f>+IF(YEAR(Y$335)=YEAR(Assumptions!$H$31),'S&amp;U'!$T$17,0)</f>
        <v>0</v>
      </c>
      <c r="Z337" s="90">
        <f>+IF(YEAR(Z$335)=YEAR(Assumptions!$H$31),'S&amp;U'!$T$17,0)</f>
        <v>0</v>
      </c>
    </row>
    <row r="338" spans="2:26" ht="16.5">
      <c r="B338" s="1" t="s">
        <v>682</v>
      </c>
      <c r="C338" s="699"/>
      <c r="D338" s="699"/>
      <c r="E338" s="699"/>
      <c r="F338" s="90">
        <f ca="1">+IFERROR(PPMT(Assumptions!$P$145,'Phase 3 Pro Forma'!F2,Assumptions!$P$147,'S&amp;U'!$T$17),0)</f>
        <v>0</v>
      </c>
      <c r="G338" s="90">
        <f ca="1">+IFERROR(PPMT(Assumptions!$P$145,'Phase 3 Pro Forma'!G2,Assumptions!$P$147,'S&amp;U'!$T$17),0)</f>
        <v>0</v>
      </c>
      <c r="H338" s="90">
        <f ca="1">+IFERROR(PPMT(Assumptions!$P$145,'Phase 3 Pro Forma'!H2,Assumptions!$P$147,'S&amp;U'!$T$17),0)</f>
        <v>0</v>
      </c>
      <c r="I338" s="90">
        <f ca="1">+IFERROR(PPMT(Assumptions!$P$145,'Phase 3 Pro Forma'!I2,Assumptions!$P$147,'S&amp;U'!$T$17),0)</f>
        <v>-2015322.729456723</v>
      </c>
      <c r="J338" s="90">
        <f ca="1">+IFERROR(PPMT(Assumptions!$P$145,'Phase 3 Pro Forma'!J2,Assumptions!$P$147,'S&amp;U'!$T$17),0)</f>
        <v>-2106012.2522822754</v>
      </c>
      <c r="K338" s="90">
        <f ca="1">+IFERROR(PPMT(Assumptions!$P$145,'Phase 3 Pro Forma'!K2,Assumptions!$P$147,'S&amp;U'!$T$17),0)</f>
        <v>-2200782.8036349779</v>
      </c>
      <c r="L338" s="90">
        <f ca="1">+IFERROR(PPMT(Assumptions!$P$145,'Phase 3 Pro Forma'!L2,Assumptions!$P$147,'S&amp;U'!$T$17),0)</f>
        <v>-2299818.0297985519</v>
      </c>
      <c r="M338" s="90">
        <f ca="1">+IFERROR(PPMT(Assumptions!$P$145,'Phase 3 Pro Forma'!M2,Assumptions!$P$147,'S&amp;U'!$T$17),0)</f>
        <v>-2403309.841139487</v>
      </c>
      <c r="N338" s="90">
        <f ca="1">+IFERROR(PPMT(Assumptions!$P$145,'Phase 3 Pro Forma'!N2,Assumptions!$P$147,'S&amp;U'!$T$17),0)</f>
        <v>-2511458.7839907641</v>
      </c>
      <c r="O338" s="90">
        <f ca="1">+IFERROR(PPMT(Assumptions!$P$145,'Phase 3 Pro Forma'!O2,Assumptions!$P$147,'S&amp;U'!$T$17),0)</f>
        <v>-2624474.4292703485</v>
      </c>
      <c r="P338" s="90">
        <f ca="1">+IFERROR(PPMT(Assumptions!$P$145,'Phase 3 Pro Forma'!P2,Assumptions!$P$147,'S&amp;U'!$T$17),0)</f>
        <v>-2742575.7785875141</v>
      </c>
      <c r="Q338" s="90">
        <f ca="1">+IFERROR(PPMT(Assumptions!$P$145,'Phase 3 Pro Forma'!Q2,Assumptions!$P$147,'S&amp;U'!$T$17),0)</f>
        <v>-2865991.6886239517</v>
      </c>
      <c r="R338" s="90">
        <f ca="1">+IFERROR(PPMT(Assumptions!$P$145,'Phase 3 Pro Forma'!R2,Assumptions!$P$147,'S&amp;U'!$T$17),0)</f>
        <v>-2994961.3146120296</v>
      </c>
      <c r="S338" s="90">
        <f ca="1">+IFERROR(PPMT(Assumptions!$P$145,'Phase 3 Pro Forma'!S2,Assumptions!$P$147,'S&amp;U'!$T$17),0)</f>
        <v>-3129734.5737695713</v>
      </c>
      <c r="T338" s="90">
        <f ca="1">+IFERROR(PPMT(Assumptions!$P$145,'Phase 3 Pro Forma'!T2,Assumptions!$P$147,'S&amp;U'!$T$17),0)</f>
        <v>-3270572.6295892019</v>
      </c>
      <c r="U338" s="90">
        <f ca="1">+IFERROR(PPMT(Assumptions!$P$145,'Phase 3 Pro Forma'!U2,Assumptions!$P$147,'S&amp;U'!$T$17),0)</f>
        <v>-3417748.3979207161</v>
      </c>
      <c r="V338" s="90">
        <f ca="1">+IFERROR(PPMT(Assumptions!$P$145,'Phase 3 Pro Forma'!V2,Assumptions!$P$147,'S&amp;U'!$T$17),0)</f>
        <v>-3571547.0758271483</v>
      </c>
      <c r="W338" s="90">
        <f ca="1">+IFERROR(PPMT(Assumptions!$P$145,'Phase 3 Pro Forma'!W2,Assumptions!$P$147,'S&amp;U'!$T$17),0)</f>
        <v>-3732266.6942393701</v>
      </c>
      <c r="X338" s="90">
        <f ca="1">+IFERROR(PPMT(Assumptions!$P$145,'Phase 3 Pro Forma'!X2,Assumptions!$P$147,'S&amp;U'!$T$17),0)</f>
        <v>-3900218.6954801413</v>
      </c>
      <c r="Y338" s="90">
        <f ca="1">+IFERROR(PPMT(Assumptions!$P$145,'Phase 3 Pro Forma'!Y2,Assumptions!$P$147,'S&amp;U'!$T$17),0)</f>
        <v>-4075728.536776748</v>
      </c>
      <c r="Z338" s="90">
        <f ca="1">+IFERROR(PPMT(Assumptions!$P$145,'Phase 3 Pro Forma'!Z2,Assumptions!$P$147,'S&amp;U'!$T$17),0)</f>
        <v>-4259136.320931701</v>
      </c>
    </row>
    <row r="339" spans="2:26" ht="16.5">
      <c r="B339" s="1" t="s">
        <v>1149</v>
      </c>
      <c r="C339" s="699"/>
      <c r="D339" s="699"/>
      <c r="E339" s="699"/>
      <c r="F339" s="90">
        <f ca="1">+SUM(F336:F338)</f>
        <v>0</v>
      </c>
      <c r="G339" s="90">
        <f t="shared" ref="G339:Z339" ca="1" si="150">+SUM(G336:G338)</f>
        <v>0</v>
      </c>
      <c r="H339" s="90">
        <f t="shared" ca="1" si="150"/>
        <v>0</v>
      </c>
      <c r="I339" s="90">
        <f t="shared" ca="1" si="150"/>
        <v>120933611.40658511</v>
      </c>
      <c r="J339" s="90">
        <f t="shared" ca="1" si="150"/>
        <v>118827599.15430284</v>
      </c>
      <c r="K339" s="90">
        <f t="shared" ca="1" si="150"/>
        <v>116626816.35066786</v>
      </c>
      <c r="L339" s="90">
        <f t="shared" ca="1" si="150"/>
        <v>114326998.32086931</v>
      </c>
      <c r="M339" s="90">
        <f t="shared" ca="1" si="150"/>
        <v>111923688.47972983</v>
      </c>
      <c r="N339" s="90">
        <f t="shared" ca="1" si="150"/>
        <v>109412229.69573906</v>
      </c>
      <c r="O339" s="90">
        <f t="shared" ca="1" si="150"/>
        <v>106787755.26646872</v>
      </c>
      <c r="P339" s="90">
        <f t="shared" ca="1" si="150"/>
        <v>104045179.4878812</v>
      </c>
      <c r="Q339" s="90">
        <f t="shared" ca="1" si="150"/>
        <v>101179187.79925725</v>
      </c>
      <c r="R339" s="90">
        <f t="shared" ca="1" si="150"/>
        <v>98184226.484645218</v>
      </c>
      <c r="S339" s="90">
        <f t="shared" ca="1" si="150"/>
        <v>95054491.910875648</v>
      </c>
      <c r="T339" s="90">
        <f t="shared" ca="1" si="150"/>
        <v>91783919.281286448</v>
      </c>
      <c r="U339" s="90">
        <f t="shared" ca="1" si="150"/>
        <v>88366170.883365735</v>
      </c>
      <c r="V339" s="90">
        <f t="shared" ca="1" si="150"/>
        <v>84794623.807538584</v>
      </c>
      <c r="W339" s="90">
        <f t="shared" ca="1" si="150"/>
        <v>81062357.113299221</v>
      </c>
      <c r="X339" s="90">
        <f t="shared" ca="1" si="150"/>
        <v>77162138.417819083</v>
      </c>
      <c r="Y339" s="90">
        <f t="shared" ca="1" si="150"/>
        <v>73086409.881042331</v>
      </c>
      <c r="Z339" s="90">
        <f t="shared" ca="1" si="150"/>
        <v>68827273.560110629</v>
      </c>
    </row>
    <row r="340" spans="2:26" ht="16.5">
      <c r="B340" s="47"/>
      <c r="C340" s="699"/>
      <c r="D340" s="699"/>
      <c r="E340" s="699"/>
      <c r="F340" s="699"/>
      <c r="G340" s="699"/>
      <c r="H340" s="699"/>
      <c r="I340" s="699"/>
      <c r="J340" s="699"/>
      <c r="K340" s="699"/>
      <c r="L340" s="699"/>
      <c r="M340" s="699"/>
      <c r="N340" s="699"/>
      <c r="O340" s="699"/>
      <c r="P340" s="699"/>
      <c r="Q340" s="699"/>
      <c r="R340" s="699"/>
      <c r="S340" s="699"/>
      <c r="T340" s="699"/>
      <c r="U340" s="699"/>
      <c r="V340" s="699"/>
      <c r="W340" s="699"/>
      <c r="X340" s="699"/>
      <c r="Y340" s="699"/>
      <c r="Z340" s="699"/>
    </row>
    <row r="341" spans="2:26" ht="16.5">
      <c r="B341" s="47" t="s">
        <v>1150</v>
      </c>
      <c r="C341" s="699"/>
      <c r="D341" s="699"/>
      <c r="E341" s="699"/>
      <c r="F341" s="1028">
        <f ca="1">-IFERROR(IPMT(Assumptions!$P$145,F2,Assumptions!$P$147,'S&amp;U'!$T$17),0)</f>
        <v>0</v>
      </c>
      <c r="G341" s="1028">
        <f ca="1">-IFERROR(IPMT(Assumptions!$P$145,G2,Assumptions!$P$147,'S&amp;U'!$T$17),0)</f>
        <v>0</v>
      </c>
      <c r="H341" s="1028">
        <f ca="1">-IFERROR(IPMT(Assumptions!$P$145,H2,Assumptions!$P$147,'S&amp;U'!$T$17),0)</f>
        <v>0</v>
      </c>
      <c r="I341" s="1028">
        <f ca="1">-IFERROR(IPMT(Assumptions!$P$145,I2,Assumptions!$P$147,'S&amp;U'!$T$17),0)</f>
        <v>5532702.0361218825</v>
      </c>
      <c r="J341" s="1028">
        <f ca="1">-IFERROR(IPMT(Assumptions!$P$145,J2,Assumptions!$P$147,'S&amp;U'!$T$17),0)</f>
        <v>5442012.5132963303</v>
      </c>
      <c r="K341" s="1028">
        <f ca="1">-IFERROR(IPMT(Assumptions!$P$145,K2,Assumptions!$P$147,'S&amp;U'!$T$17),0)</f>
        <v>5347241.9619436264</v>
      </c>
      <c r="L341" s="1028">
        <f ca="1">-IFERROR(IPMT(Assumptions!$P$145,L2,Assumptions!$P$147,'S&amp;U'!$T$17),0)</f>
        <v>5248206.7357800538</v>
      </c>
      <c r="M341" s="1028">
        <f ca="1">-IFERROR(IPMT(Assumptions!$P$145,M2,Assumptions!$P$147,'S&amp;U'!$T$17),0)</f>
        <v>5144714.9244391192</v>
      </c>
      <c r="N341" s="1028">
        <f ca="1">-IFERROR(IPMT(Assumptions!$P$145,N2,Assumptions!$P$147,'S&amp;U'!$T$17),0)</f>
        <v>5036565.9815878412</v>
      </c>
      <c r="O341" s="1028">
        <f ca="1">-IFERROR(IPMT(Assumptions!$P$145,O2,Assumptions!$P$147,'S&amp;U'!$T$17),0)</f>
        <v>4923550.3363082567</v>
      </c>
      <c r="P341" s="1028">
        <f ca="1">-IFERROR(IPMT(Assumptions!$P$145,P2,Assumptions!$P$147,'S&amp;U'!$T$17),0)</f>
        <v>4805448.9869910907</v>
      </c>
      <c r="Q341" s="1028">
        <f ca="1">-IFERROR(IPMT(Assumptions!$P$145,Q2,Assumptions!$P$147,'S&amp;U'!$T$17),0)</f>
        <v>4682033.0769546535</v>
      </c>
      <c r="R341" s="1028">
        <f ca="1">-IFERROR(IPMT(Assumptions!$P$145,R2,Assumptions!$P$147,'S&amp;U'!$T$17),0)</f>
        <v>4553063.4509665752</v>
      </c>
      <c r="S341" s="1028">
        <f ca="1">-IFERROR(IPMT(Assumptions!$P$145,S2,Assumptions!$P$147,'S&amp;U'!$T$17),0)</f>
        <v>4418290.1918090349</v>
      </c>
      <c r="T341" s="1028">
        <f ca="1">-IFERROR(IPMT(Assumptions!$P$145,T2,Assumptions!$P$147,'S&amp;U'!$T$17),0)</f>
        <v>4277452.1359894034</v>
      </c>
      <c r="U341" s="1028">
        <f ca="1">-IFERROR(IPMT(Assumptions!$P$145,U2,Assumptions!$P$147,'S&amp;U'!$T$17),0)</f>
        <v>4130276.3676578891</v>
      </c>
      <c r="V341" s="1028">
        <f ca="1">-IFERROR(IPMT(Assumptions!$P$145,V2,Assumptions!$P$147,'S&amp;U'!$T$17),0)</f>
        <v>3976477.6897514574</v>
      </c>
      <c r="W341" s="1028">
        <f ca="1">-IFERROR(IPMT(Assumptions!$P$145,W2,Assumptions!$P$147,'S&amp;U'!$T$17),0)</f>
        <v>3815758.0713392361</v>
      </c>
      <c r="X341" s="1028">
        <f ca="1">-IFERROR(IPMT(Assumptions!$P$145,X2,Assumptions!$P$147,'S&amp;U'!$T$17),0)</f>
        <v>3647806.0700984639</v>
      </c>
      <c r="Y341" s="1028">
        <f ca="1">-IFERROR(IPMT(Assumptions!$P$145,Y2,Assumptions!$P$147,'S&amp;U'!$T$17),0)</f>
        <v>3472296.2288018567</v>
      </c>
      <c r="Z341" s="1028">
        <f ca="1">-IFERROR(IPMT(Assumptions!$P$145,Z2,Assumptions!$P$147,'S&amp;U'!$T$17),0)</f>
        <v>3288888.4446469042</v>
      </c>
    </row>
    <row r="342" spans="2:26" ht="16.5">
      <c r="B342" s="59" t="s">
        <v>1151</v>
      </c>
      <c r="C342" s="59"/>
      <c r="D342" s="59"/>
      <c r="E342" s="59"/>
      <c r="F342" s="145">
        <f ca="1">+F341-F338</f>
        <v>0</v>
      </c>
      <c r="G342" s="145">
        <f t="shared" ref="G342:Z342" ca="1" si="151">+G341-G338</f>
        <v>0</v>
      </c>
      <c r="H342" s="145">
        <f t="shared" ca="1" si="151"/>
        <v>0</v>
      </c>
      <c r="I342" s="145">
        <f t="shared" ca="1" si="151"/>
        <v>7548024.7655786052</v>
      </c>
      <c r="J342" s="145">
        <f t="shared" ca="1" si="151"/>
        <v>7548024.7655786052</v>
      </c>
      <c r="K342" s="145">
        <f t="shared" ca="1" si="151"/>
        <v>7548024.7655786043</v>
      </c>
      <c r="L342" s="145">
        <f t="shared" ca="1" si="151"/>
        <v>7548024.7655786052</v>
      </c>
      <c r="M342" s="145">
        <f t="shared" ca="1" si="151"/>
        <v>7548024.7655786062</v>
      </c>
      <c r="N342" s="145">
        <f t="shared" ca="1" si="151"/>
        <v>7548024.7655786052</v>
      </c>
      <c r="O342" s="145">
        <f t="shared" ca="1" si="151"/>
        <v>7548024.7655786052</v>
      </c>
      <c r="P342" s="145">
        <f t="shared" ca="1" si="151"/>
        <v>7548024.7655786052</v>
      </c>
      <c r="Q342" s="145">
        <f t="shared" ca="1" si="151"/>
        <v>7548024.7655786052</v>
      </c>
      <c r="R342" s="145">
        <f t="shared" ca="1" si="151"/>
        <v>7548024.7655786052</v>
      </c>
      <c r="S342" s="145">
        <f t="shared" ca="1" si="151"/>
        <v>7548024.7655786062</v>
      </c>
      <c r="T342" s="145">
        <f t="shared" ca="1" si="151"/>
        <v>7548024.7655786052</v>
      </c>
      <c r="U342" s="145">
        <f t="shared" ca="1" si="151"/>
        <v>7548024.7655786052</v>
      </c>
      <c r="V342" s="145">
        <f t="shared" ca="1" si="151"/>
        <v>7548024.7655786052</v>
      </c>
      <c r="W342" s="145">
        <f t="shared" ca="1" si="151"/>
        <v>7548024.7655786062</v>
      </c>
      <c r="X342" s="145">
        <f t="shared" ca="1" si="151"/>
        <v>7548024.7655786052</v>
      </c>
      <c r="Y342" s="145">
        <f t="shared" ca="1" si="151"/>
        <v>7548024.7655786052</v>
      </c>
      <c r="Z342" s="145">
        <f t="shared" ca="1" si="151"/>
        <v>7548024.7655786052</v>
      </c>
    </row>
    <row r="343" spans="2:26" ht="16.5">
      <c r="B343" s="60" t="s">
        <v>670</v>
      </c>
      <c r="C343" s="699"/>
      <c r="D343" s="699"/>
      <c r="E343" s="699"/>
      <c r="F343" s="146" t="str">
        <f ca="1">+IFERROR(F333/F342,"")</f>
        <v/>
      </c>
      <c r="G343" s="146" t="str">
        <f t="shared" ref="G343:Z343" ca="1" si="152">+IFERROR(G333/G342,"")</f>
        <v/>
      </c>
      <c r="H343" s="146" t="str">
        <f t="shared" ca="1" si="152"/>
        <v/>
      </c>
      <c r="I343" s="146">
        <f ca="1">+IFERROR(I333/I342,"")</f>
        <v>0.31832654646046005</v>
      </c>
      <c r="J343" s="146">
        <f t="shared" ca="1" si="152"/>
        <v>0.83402673185511222</v>
      </c>
      <c r="K343" s="146">
        <f t="shared" ca="1" si="152"/>
        <v>1.2500000000000018</v>
      </c>
      <c r="L343" s="146">
        <f t="shared" ca="1" si="152"/>
        <v>1.3379459365886606</v>
      </c>
      <c r="M343" s="146">
        <f t="shared" ca="1" si="152"/>
        <v>1.3641144657095692</v>
      </c>
      <c r="N343" s="146">
        <f t="shared" ca="1" si="152"/>
        <v>1.3971300436539957</v>
      </c>
      <c r="O343" s="146">
        <f t="shared" ca="1" si="152"/>
        <v>1.4311360889367548</v>
      </c>
      <c r="P343" s="146">
        <f t="shared" ca="1" si="152"/>
        <v>1.460100322628106</v>
      </c>
      <c r="Q343" s="146">
        <f t="shared" ca="1" si="152"/>
        <v>1.5615267621312245</v>
      </c>
      <c r="R343" s="146">
        <f t="shared" ca="1" si="152"/>
        <v>1.5986860859749183</v>
      </c>
      <c r="S343" s="146">
        <f t="shared" ca="1" si="152"/>
        <v>1.6307163367955348</v>
      </c>
      <c r="T343" s="146">
        <f t="shared" ca="1" si="152"/>
        <v>1.67013866346131</v>
      </c>
      <c r="U343" s="146">
        <f t="shared" ca="1" si="152"/>
        <v>1.7107436599270573</v>
      </c>
      <c r="V343" s="146">
        <f t="shared" ca="1" si="152"/>
        <v>1.8212874779382742</v>
      </c>
      <c r="W343" s="146">
        <f t="shared" ca="1" si="152"/>
        <v>1.8643653186887852</v>
      </c>
      <c r="X343" s="146">
        <f t="shared" ca="1" si="152"/>
        <v>1.9087354946618131</v>
      </c>
      <c r="Y343" s="146">
        <f t="shared" ca="1" si="152"/>
        <v>1.9478126725438758</v>
      </c>
      <c r="Z343" s="146">
        <f t="shared" ca="1" si="152"/>
        <v>1.9948849922336598</v>
      </c>
    </row>
    <row r="344" spans="2:26" ht="16.5">
      <c r="B344" s="47"/>
      <c r="C344" s="699"/>
      <c r="D344" s="699"/>
      <c r="E344" s="699"/>
      <c r="F344" s="699"/>
      <c r="G344" s="699"/>
      <c r="H344" s="699"/>
      <c r="I344" s="699"/>
      <c r="J344" s="699"/>
      <c r="K344" s="699"/>
      <c r="L344" s="699"/>
      <c r="M344" s="699"/>
      <c r="N344" s="699"/>
      <c r="O344" s="699"/>
      <c r="P344" s="699"/>
      <c r="Q344" s="699"/>
      <c r="R344" s="699"/>
      <c r="S344" s="699"/>
      <c r="T344" s="699"/>
      <c r="U344" s="699"/>
      <c r="V344" s="699"/>
      <c r="W344" s="699"/>
      <c r="X344" s="699"/>
      <c r="Y344" s="699"/>
      <c r="Z344" s="699"/>
    </row>
    <row r="345" spans="2:26" ht="16.5">
      <c r="B345" s="47" t="s">
        <v>1152</v>
      </c>
      <c r="C345" s="699"/>
      <c r="D345" s="699"/>
      <c r="E345" s="699"/>
      <c r="F345" s="1087">
        <f>+F337*Assumptions!$P$146</f>
        <v>0</v>
      </c>
      <c r="G345" s="1087">
        <f>+G337*Assumptions!$P$146</f>
        <v>0</v>
      </c>
      <c r="H345" s="1087">
        <f>+H337*Assumptions!$P$146</f>
        <v>0</v>
      </c>
      <c r="I345" s="1087">
        <f ca="1">+I337*Assumptions!$P$146</f>
        <v>1229489.3413604184</v>
      </c>
      <c r="J345" s="1087">
        <f>+J337*Assumptions!$P$146</f>
        <v>0</v>
      </c>
      <c r="K345" s="1087">
        <f>+K337*Assumptions!$P$146</f>
        <v>0</v>
      </c>
      <c r="L345" s="1087">
        <f>+L337*Assumptions!$P$146</f>
        <v>0</v>
      </c>
      <c r="M345" s="1087">
        <f>+M337*Assumptions!$P$146</f>
        <v>0</v>
      </c>
      <c r="N345" s="1087">
        <f>+N337*Assumptions!$P$146</f>
        <v>0</v>
      </c>
      <c r="O345" s="1087">
        <f>+O337*Assumptions!$P$146</f>
        <v>0</v>
      </c>
      <c r="P345" s="1087">
        <f>+P337*Assumptions!$P$146</f>
        <v>0</v>
      </c>
      <c r="Q345" s="1087">
        <f>+Q337*Assumptions!$P$146</f>
        <v>0</v>
      </c>
      <c r="R345" s="1087">
        <f>+R337*Assumptions!$P$146</f>
        <v>0</v>
      </c>
      <c r="S345" s="1087">
        <f>+S337*Assumptions!$P$146</f>
        <v>0</v>
      </c>
      <c r="T345" s="1087">
        <f>+T337*Assumptions!$P$146</f>
        <v>0</v>
      </c>
      <c r="U345" s="1087">
        <f>+U337*Assumptions!$P$146</f>
        <v>0</v>
      </c>
      <c r="V345" s="1087">
        <f>+V337*Assumptions!$P$146</f>
        <v>0</v>
      </c>
      <c r="W345" s="1087">
        <f>+W337*Assumptions!$P$146</f>
        <v>0</v>
      </c>
      <c r="X345" s="1087">
        <f>+X337*Assumptions!$P$146</f>
        <v>0</v>
      </c>
      <c r="Y345" s="1087">
        <f>+Y337*Assumptions!$P$146</f>
        <v>0</v>
      </c>
      <c r="Z345" s="1087">
        <f>+Z337*Assumptions!$P$146</f>
        <v>0</v>
      </c>
    </row>
    <row r="346" spans="2:26" ht="16.5">
      <c r="B346" s="47"/>
      <c r="C346" s="699"/>
      <c r="D346" s="699"/>
      <c r="E346" s="699"/>
      <c r="F346" s="699"/>
      <c r="G346" s="699"/>
      <c r="H346" s="699"/>
      <c r="I346" s="699"/>
      <c r="J346" s="699"/>
      <c r="K346" s="699"/>
      <c r="L346" s="699"/>
      <c r="M346" s="699"/>
      <c r="N346" s="699"/>
      <c r="O346" s="699"/>
      <c r="P346" s="699"/>
      <c r="Q346" s="699"/>
      <c r="R346" s="699"/>
      <c r="S346" s="699"/>
      <c r="T346" s="699"/>
      <c r="U346" s="699"/>
      <c r="V346" s="699"/>
      <c r="W346" s="699"/>
      <c r="X346" s="699"/>
      <c r="Y346" s="699"/>
      <c r="Z346" s="699"/>
    </row>
    <row r="347" spans="2:26" ht="16.5">
      <c r="B347" s="59" t="s">
        <v>1153</v>
      </c>
      <c r="C347" s="59"/>
      <c r="D347" s="59"/>
      <c r="E347" s="59"/>
      <c r="F347" s="144">
        <f ca="1">+F333-F342-F345</f>
        <v>0</v>
      </c>
      <c r="G347" s="144">
        <f t="shared" ref="G347:Z347" ca="1" si="153">+G333-G342-G345</f>
        <v>0</v>
      </c>
      <c r="H347" s="144">
        <f t="shared" ca="1" si="153"/>
        <v>0</v>
      </c>
      <c r="I347" s="144">
        <f t="shared" ca="1" si="153"/>
        <v>-6374777.4507143628</v>
      </c>
      <c r="J347" s="144">
        <f t="shared" ca="1" si="153"/>
        <v>-1252770.3383816313</v>
      </c>
      <c r="K347" s="144">
        <f t="shared" ca="1" si="153"/>
        <v>1887006.1913946653</v>
      </c>
      <c r="L347" s="144">
        <f t="shared" ca="1" si="153"/>
        <v>2550824.2987978663</v>
      </c>
      <c r="M347" s="144">
        <f t="shared" ca="1" si="153"/>
        <v>2748345.004681251</v>
      </c>
      <c r="N347" s="144">
        <f t="shared" ca="1" si="153"/>
        <v>2997547.4046556726</v>
      </c>
      <c r="O347" s="144">
        <f t="shared" ca="1" si="153"/>
        <v>3254225.8766293246</v>
      </c>
      <c r="P347" s="144">
        <f t="shared" ca="1" si="153"/>
        <v>3472848.6298476495</v>
      </c>
      <c r="Q347" s="144">
        <f t="shared" ca="1" si="153"/>
        <v>4238417.9071016498</v>
      </c>
      <c r="R347" s="144">
        <f t="shared" ca="1" si="153"/>
        <v>4518897.4037460051</v>
      </c>
      <c r="S347" s="144">
        <f t="shared" ca="1" si="153"/>
        <v>4760662.5301877139</v>
      </c>
      <c r="T347" s="144">
        <f t="shared" ca="1" si="153"/>
        <v>5058223.2281777151</v>
      </c>
      <c r="U347" s="144">
        <f t="shared" ca="1" si="153"/>
        <v>5364710.7471074071</v>
      </c>
      <c r="V347" s="144">
        <f t="shared" ca="1" si="153"/>
        <v>6199098.223137686</v>
      </c>
      <c r="W347" s="144">
        <f t="shared" ca="1" si="153"/>
        <v>6524250.8319701953</v>
      </c>
      <c r="X347" s="144">
        <f t="shared" ca="1" si="153"/>
        <v>6859158.0190676898</v>
      </c>
      <c r="Y347" s="144">
        <f t="shared" ca="1" si="153"/>
        <v>7154113.5254904199</v>
      </c>
      <c r="Z347" s="144">
        <f t="shared" ca="1" si="153"/>
        <v>7509416.5602821428</v>
      </c>
    </row>
    <row r="348" spans="2:26" ht="16.5">
      <c r="B348" s="47"/>
      <c r="C348" s="699"/>
      <c r="D348" s="699"/>
      <c r="E348" s="699"/>
      <c r="F348" s="699"/>
      <c r="G348" s="699"/>
      <c r="H348" s="699"/>
      <c r="I348" s="699"/>
      <c r="J348" s="699"/>
      <c r="K348" s="699"/>
      <c r="L348" s="699"/>
      <c r="M348" s="699"/>
      <c r="N348" s="699"/>
      <c r="O348" s="699"/>
      <c r="P348" s="699"/>
      <c r="Q348" s="699"/>
      <c r="R348" s="699"/>
      <c r="S348" s="699"/>
      <c r="T348" s="699"/>
      <c r="U348" s="699"/>
      <c r="V348" s="699"/>
      <c r="W348" s="699"/>
      <c r="X348" s="699"/>
      <c r="Y348" s="699"/>
      <c r="Z348" s="699"/>
    </row>
    <row r="349" spans="2:26" ht="16.5">
      <c r="B349" s="58" t="s">
        <v>1155</v>
      </c>
      <c r="C349" s="699"/>
      <c r="D349" s="699"/>
      <c r="E349" s="699"/>
      <c r="F349" s="699"/>
      <c r="G349" s="699"/>
      <c r="H349" s="699"/>
      <c r="I349" s="699"/>
      <c r="J349" s="699"/>
      <c r="K349" s="699"/>
      <c r="L349" s="699"/>
      <c r="M349" s="699"/>
      <c r="N349" s="699"/>
      <c r="O349" s="699"/>
      <c r="P349" s="699"/>
      <c r="Q349" s="699"/>
      <c r="R349" s="699"/>
      <c r="S349" s="699"/>
      <c r="T349" s="699"/>
      <c r="U349" s="699"/>
      <c r="V349" s="699"/>
      <c r="W349" s="699"/>
      <c r="X349" s="699"/>
      <c r="Y349" s="699"/>
      <c r="Z349" s="699"/>
    </row>
    <row r="350" spans="2:26" ht="16.5">
      <c r="B350" s="1" t="s">
        <v>1156</v>
      </c>
      <c r="C350" s="699"/>
      <c r="D350" s="699"/>
      <c r="E350" s="699"/>
      <c r="F350" s="83">
        <f>+IF(YEAR(F$335)=YEAR(Assumptions!$H$35),F331+F309+F288+F267+F241+F215+F191+F167+F140+F113+F86+F59+F32,0)</f>
        <v>0</v>
      </c>
      <c r="G350" s="83">
        <f>+IF(YEAR(G$335)=YEAR(Assumptions!$H$35),G331+G309+G288+G267+G241+G215+G191+G167+G140+G113+G86+G59+G32,0)</f>
        <v>0</v>
      </c>
      <c r="H350" s="83">
        <f>+IF(YEAR(H$335)=YEAR(Assumptions!$H$35),H331+H309+H288+H267+H241+H215+H191+H167+H140+H113+H86+H59+H32,0)</f>
        <v>0</v>
      </c>
      <c r="I350" s="83">
        <f>+IF(YEAR(I$335)=YEAR(Assumptions!$H$35),I331+I309+I288+I267+I241+I215+I191+I167+I140+I113+I86+I59+I32,0)</f>
        <v>0</v>
      </c>
      <c r="J350" s="83">
        <f>+IF(YEAR(J$335)=YEAR(Assumptions!$H$35),J331+J309+J288+J267+J241+J215+J191+J167+J140+J113+J86+J59+J32,0)</f>
        <v>0</v>
      </c>
      <c r="K350" s="83">
        <f ca="1">+IF(YEAR(K$335)=YEAR(Assumptions!$H$35),K331+K309+K288+K267+K241+K215+K191+K167+K140+K113+K86+K59+K32,0)</f>
        <v>206287492.70282981</v>
      </c>
      <c r="L350" s="83">
        <f>+IF(YEAR(L$335)=YEAR(Assumptions!$H$35),L331+L309+L288+L267+L241+L215+L191+L167+L140+L113+L86+L59+L32,0)</f>
        <v>0</v>
      </c>
      <c r="M350" s="83">
        <f>+IF(YEAR(M$335)=YEAR(Assumptions!$H$35),M331+M309+M288+M267+M241+M215+M191+M167+M140+M113+M86+M59+M32,0)</f>
        <v>0</v>
      </c>
      <c r="N350" s="83">
        <f>+IF(YEAR(N$335)=YEAR(Assumptions!$H$35),N331+N309+N288+N267+N241+N215+N191+N167+N140+N113+N86+N59+N32,0)</f>
        <v>0</v>
      </c>
      <c r="O350" s="83">
        <f>+IF(YEAR(O$335)=YEAR(Assumptions!$H$35),O331+O309+O288+O267+O241+O215+O191+O167+O140+O113+O86+O59+O32,0)</f>
        <v>0</v>
      </c>
      <c r="P350" s="83">
        <f>+IF(YEAR(P$335)=YEAR(Assumptions!$H$35),P331+P309+P288+P267+P241+P215+P191+P167+P140+P113+P86+P59+P32,0)</f>
        <v>0</v>
      </c>
      <c r="Q350" s="83">
        <f>+IF(YEAR(Q$335)=YEAR(Assumptions!$H$35),Q331+Q309+Q288+Q267+Q241+Q215+Q191+Q167+Q140+Q113+Q86+Q59+Q32,0)</f>
        <v>0</v>
      </c>
      <c r="R350" s="83">
        <f>+IF(YEAR(R$335)=YEAR(Assumptions!$H$35),R331+R309+R288+R267+R241+R215+R191+R167+R140+R113+R86+R59+R32,0)</f>
        <v>0</v>
      </c>
      <c r="S350" s="83">
        <f>+IF(YEAR(S$335)=YEAR(Assumptions!$H$35),S331+S309+S288+S267+S241+S215+S191+S167+S140+S113+S86+S59+S32,0)</f>
        <v>0</v>
      </c>
      <c r="T350" s="83">
        <f>+IF(YEAR(T$335)=YEAR(Assumptions!$H$35),T331+T309+T288+T267+T241+T215+T191+T167+T140+T113+T86+T59+T32,0)</f>
        <v>0</v>
      </c>
      <c r="U350" s="83">
        <f>+IF(YEAR(U$335)=YEAR(Assumptions!$H$35),U331+U309+U288+U267+U241+U215+U191+U167+U140+U113+U86+U59+U32,0)</f>
        <v>0</v>
      </c>
      <c r="V350" s="83">
        <f>+IF(YEAR(V$335)=YEAR(Assumptions!$H$35),V331+V309+V288+V267+V241+V215+V191+V167+V140+V113+V86+V59+V32,0)</f>
        <v>0</v>
      </c>
      <c r="W350" s="83">
        <f>+IF(YEAR(W$335)=YEAR(Assumptions!$H$35),W331+W309+W288+W267+W241+W215+W191+W167+W140+W113+W86+W59+W32,0)</f>
        <v>0</v>
      </c>
      <c r="X350" s="83">
        <f>+IF(YEAR(X$335)=YEAR(Assumptions!$H$35),X331+X309+X288+X267+X241+X215+X191+X167+X140+X113+X86+X59+X32,0)</f>
        <v>0</v>
      </c>
      <c r="Y350" s="83">
        <f>+IF(YEAR(Y$335)=YEAR(Assumptions!$H$35),Y331+Y309+Y288+Y267+Y241+Y215+Y191+Y167+Y140+Y113+Y86+Y59+Y32,0)</f>
        <v>0</v>
      </c>
      <c r="Z350" s="83">
        <f>+IF(YEAR(Z$335)=YEAR(Assumptions!$H$35),Z331+Z309+Z288+Z267+Z241+Z215+Z191+Z167+Z140+Z113+Z86+Z59+Z32,0)</f>
        <v>0</v>
      </c>
    </row>
    <row r="351" spans="2:26" ht="16.5">
      <c r="B351" s="47" t="s">
        <v>1246</v>
      </c>
      <c r="C351" s="699"/>
      <c r="D351" s="699"/>
      <c r="E351" s="699"/>
      <c r="F351" s="90">
        <f>+IF(YEAR(F$335)=YEAR(Assumptions!$H$31),('S&amp;U'!$J$23-'S&amp;U'!$T$25),0)</f>
        <v>0</v>
      </c>
      <c r="G351" s="90">
        <f>+IF(YEAR(G$335)=YEAR(Assumptions!$H$31),('S&amp;U'!$J$23-'S&amp;U'!$T$25),0)</f>
        <v>0</v>
      </c>
      <c r="H351" s="90">
        <f>+IF(YEAR(H$335)=YEAR(Assumptions!$H$31),('S&amp;U'!$J$23-'S&amp;U'!$T$25),0)</f>
        <v>0</v>
      </c>
      <c r="I351" s="90">
        <f ca="1">+IF(YEAR(I$335)=YEAR(Assumptions!$H$31),('S&amp;U'!$J$23-'S&amp;U'!$T$25),0)</f>
        <v>0</v>
      </c>
      <c r="J351" s="90">
        <f>+IF(YEAR(J$335)=YEAR(Assumptions!$H$31),('S&amp;U'!$J$23-'S&amp;U'!$T$25),0)</f>
        <v>0</v>
      </c>
      <c r="K351" s="90">
        <f>+IF(YEAR(K$335)=YEAR(Assumptions!$H$31),('S&amp;U'!$J$23-'S&amp;U'!$T$25),0)</f>
        <v>0</v>
      </c>
      <c r="L351" s="90">
        <f>+IF(YEAR(L$335)=YEAR(Assumptions!$H$31),('S&amp;U'!$J$23-'S&amp;U'!$T$25),0)</f>
        <v>0</v>
      </c>
      <c r="M351" s="90">
        <f>+IF(YEAR(M$335)=YEAR(Assumptions!$H$31),('S&amp;U'!$J$23-'S&amp;U'!$T$25),0)</f>
        <v>0</v>
      </c>
      <c r="N351" s="90">
        <f>+IF(YEAR(N$335)=YEAR(Assumptions!$H$31),('S&amp;U'!$J$23-'S&amp;U'!$T$25),0)</f>
        <v>0</v>
      </c>
      <c r="O351" s="90">
        <f>+IF(YEAR(O$335)=YEAR(Assumptions!$H$31),('S&amp;U'!$J$23-'S&amp;U'!$T$25),0)</f>
        <v>0</v>
      </c>
      <c r="P351" s="90">
        <f>+IF(YEAR(P$335)=YEAR(Assumptions!$H$31),('S&amp;U'!$J$23-'S&amp;U'!$T$25),0)</f>
        <v>0</v>
      </c>
      <c r="Q351" s="90">
        <f>+IF(YEAR(Q$335)=YEAR(Assumptions!$H$31),('S&amp;U'!$J$23-'S&amp;U'!$T$25),0)</f>
        <v>0</v>
      </c>
      <c r="R351" s="90">
        <f>+IF(YEAR(R$335)=YEAR(Assumptions!$H$31),('S&amp;U'!$J$23-'S&amp;U'!$T$25),0)</f>
        <v>0</v>
      </c>
      <c r="S351" s="90">
        <f>+IF(YEAR(S$335)=YEAR(Assumptions!$H$31),('S&amp;U'!$J$23-'S&amp;U'!$T$25),0)</f>
        <v>0</v>
      </c>
      <c r="T351" s="90">
        <f>+IF(YEAR(T$335)=YEAR(Assumptions!$H$31),('S&amp;U'!$J$23-'S&amp;U'!$T$25),0)</f>
        <v>0</v>
      </c>
      <c r="U351" s="90">
        <f>+IF(YEAR(U$335)=YEAR(Assumptions!$H$31),('S&amp;U'!$J$23-'S&amp;U'!$T$25),0)</f>
        <v>0</v>
      </c>
      <c r="V351" s="90">
        <f>+IF(YEAR(V$335)=YEAR(Assumptions!$H$31),('S&amp;U'!$J$23-'S&amp;U'!$T$25),0)</f>
        <v>0</v>
      </c>
      <c r="W351" s="90">
        <f>+IF(YEAR(W$335)=YEAR(Assumptions!$H$31),('S&amp;U'!$J$23-'S&amp;U'!$T$25),0)</f>
        <v>0</v>
      </c>
      <c r="X351" s="90">
        <f>+IF(YEAR(X$335)=YEAR(Assumptions!$H$31),('S&amp;U'!$J$23-'S&amp;U'!$T$25),0)</f>
        <v>0</v>
      </c>
      <c r="Y351" s="90">
        <f>+IF(YEAR(Y$335)=YEAR(Assumptions!$H$31),('S&amp;U'!$J$23-'S&amp;U'!$T$25),0)</f>
        <v>0</v>
      </c>
      <c r="Z351" s="90">
        <f>+IF(YEAR(Z$335)=YEAR(Assumptions!$H$31),('S&amp;U'!$J$23-'S&amp;U'!$T$25),0)</f>
        <v>0</v>
      </c>
    </row>
    <row r="352" spans="2:26" ht="16.5">
      <c r="B352" s="1" t="s">
        <v>1158</v>
      </c>
      <c r="C352" s="699"/>
      <c r="D352" s="699"/>
      <c r="E352" s="699"/>
      <c r="F352" s="90">
        <f>-F350*Assumptions!$H$42</f>
        <v>0</v>
      </c>
      <c r="G352" s="90">
        <f>-G350*Assumptions!$H$42</f>
        <v>0</v>
      </c>
      <c r="H352" s="90">
        <f>-H350*Assumptions!$H$42</f>
        <v>0</v>
      </c>
      <c r="I352" s="90">
        <f>-I350*Assumptions!$H$42</f>
        <v>0</v>
      </c>
      <c r="J352" s="90">
        <f>-J350*Assumptions!$H$42</f>
        <v>0</v>
      </c>
      <c r="K352" s="90">
        <f ca="1">-K350*Assumptions!$H$42</f>
        <v>-2062874.9270282981</v>
      </c>
      <c r="L352" s="90">
        <f>-L350*Assumptions!$H$42</f>
        <v>0</v>
      </c>
      <c r="M352" s="90">
        <f>-M350*Assumptions!$H$42</f>
        <v>0</v>
      </c>
      <c r="N352" s="90">
        <f>-N350*Assumptions!$H$42</f>
        <v>0</v>
      </c>
      <c r="O352" s="90">
        <f>-O350*Assumptions!$H$42</f>
        <v>0</v>
      </c>
      <c r="P352" s="90">
        <f>-P350*Assumptions!$H$42</f>
        <v>0</v>
      </c>
      <c r="Q352" s="90">
        <f>-Q350*Assumptions!$H$42</f>
        <v>0</v>
      </c>
      <c r="R352" s="90">
        <f>-R350*Assumptions!$H$42</f>
        <v>0</v>
      </c>
      <c r="S352" s="90">
        <f>-S350*Assumptions!$H$42</f>
        <v>0</v>
      </c>
      <c r="T352" s="90">
        <f>-T350*Assumptions!$H$42</f>
        <v>0</v>
      </c>
      <c r="U352" s="90">
        <f>-U350*Assumptions!$H$42</f>
        <v>0</v>
      </c>
      <c r="V352" s="90">
        <f>-V350*Assumptions!$H$42</f>
        <v>0</v>
      </c>
      <c r="W352" s="90">
        <f>-W350*Assumptions!$H$42</f>
        <v>0</v>
      </c>
      <c r="X352" s="90">
        <f>-X350*Assumptions!$H$42</f>
        <v>0</v>
      </c>
      <c r="Y352" s="90">
        <f>-Y350*Assumptions!$H$42</f>
        <v>0</v>
      </c>
      <c r="Z352" s="90">
        <f>-Z350*Assumptions!$H$42</f>
        <v>0</v>
      </c>
    </row>
    <row r="353" spans="1:26" ht="16.5">
      <c r="A353" s="699"/>
      <c r="B353" s="1" t="s">
        <v>1159</v>
      </c>
      <c r="C353" s="699"/>
      <c r="D353" s="699"/>
      <c r="E353" s="699"/>
      <c r="F353" s="90">
        <f>+IF(YEAR(F$335)=YEAR(Assumptions!$H$35),-'Phase 3 Pro Forma'!F339,0)</f>
        <v>0</v>
      </c>
      <c r="G353" s="90">
        <f>+IF(YEAR(G$335)=YEAR(Assumptions!$H$35),-'Phase 3 Pro Forma'!G339,0)</f>
        <v>0</v>
      </c>
      <c r="H353" s="90">
        <f>+IF(YEAR(H$335)=YEAR(Assumptions!$H$35),-'Phase 3 Pro Forma'!H339,0)</f>
        <v>0</v>
      </c>
      <c r="I353" s="90">
        <f>+IF(YEAR(I$335)=YEAR(Assumptions!$H$35),-'Phase 3 Pro Forma'!I339,0)</f>
        <v>0</v>
      </c>
      <c r="J353" s="90">
        <f>+IF(YEAR(J$335)=YEAR(Assumptions!$H$35),-'Phase 3 Pro Forma'!J339,0)</f>
        <v>0</v>
      </c>
      <c r="K353" s="90">
        <f ca="1">+IF(YEAR(K$335)=YEAR(Assumptions!$H$35),-'Phase 3 Pro Forma'!K339,0)</f>
        <v>-116626816.35066786</v>
      </c>
      <c r="L353" s="90">
        <f>+IF(YEAR(L$335)=YEAR(Assumptions!$H$35),-'Phase 3 Pro Forma'!L339,0)</f>
        <v>0</v>
      </c>
      <c r="M353" s="90">
        <f>+IF(YEAR(M$335)=YEAR(Assumptions!$H$35),-'Phase 3 Pro Forma'!M339,0)</f>
        <v>0</v>
      </c>
      <c r="N353" s="90">
        <f>+IF(YEAR(N$335)=YEAR(Assumptions!$H$35),-'Phase 3 Pro Forma'!N339,0)</f>
        <v>0</v>
      </c>
      <c r="O353" s="90">
        <f>+IF(YEAR(O$335)=YEAR(Assumptions!$H$35),-'Phase 3 Pro Forma'!O339,0)</f>
        <v>0</v>
      </c>
      <c r="P353" s="90">
        <f>+IF(YEAR(P$335)=YEAR(Assumptions!$H$35),-'Phase 3 Pro Forma'!P339,0)</f>
        <v>0</v>
      </c>
      <c r="Q353" s="90">
        <f>+IF(YEAR(Q$335)=YEAR(Assumptions!$H$35),-'Phase 3 Pro Forma'!Q339,0)</f>
        <v>0</v>
      </c>
      <c r="R353" s="90">
        <f>+IF(YEAR(R$335)=YEAR(Assumptions!$H$35),-'Phase 3 Pro Forma'!R339,0)</f>
        <v>0</v>
      </c>
      <c r="S353" s="90">
        <f>+IF(YEAR(S$335)=YEAR(Assumptions!$H$35),-'Phase 3 Pro Forma'!S339,0)</f>
        <v>0</v>
      </c>
      <c r="T353" s="90">
        <f>+IF(YEAR(T$335)=YEAR(Assumptions!$H$35),-'Phase 3 Pro Forma'!T339,0)</f>
        <v>0</v>
      </c>
      <c r="U353" s="90">
        <f>+IF(YEAR(U$335)=YEAR(Assumptions!$H$35),-'Phase 3 Pro Forma'!U339,0)</f>
        <v>0</v>
      </c>
      <c r="V353" s="90">
        <f>+IF(YEAR(V$335)=YEAR(Assumptions!$H$35),-'Phase 3 Pro Forma'!V339,0)</f>
        <v>0</v>
      </c>
      <c r="W353" s="90">
        <f>+IF(YEAR(W$335)=YEAR(Assumptions!$H$35),-'Phase 3 Pro Forma'!W339,0)</f>
        <v>0</v>
      </c>
      <c r="X353" s="90">
        <f>+IF(YEAR(X$335)=YEAR(Assumptions!$H$35),-'Phase 3 Pro Forma'!X339,0)</f>
        <v>0</v>
      </c>
      <c r="Y353" s="90">
        <f>+IF(YEAR(Y$335)=YEAR(Assumptions!$H$35),-'Phase 3 Pro Forma'!Y339,0)</f>
        <v>0</v>
      </c>
      <c r="Z353" s="90">
        <f>+IF(YEAR(Z$335)=YEAR(Assumptions!$H$35),-'Phase 3 Pro Forma'!Z339,0)</f>
        <v>0</v>
      </c>
    </row>
    <row r="354" spans="1:26" ht="16.5">
      <c r="A354" s="699"/>
      <c r="B354" s="59" t="s">
        <v>1160</v>
      </c>
      <c r="C354" s="59"/>
      <c r="D354" s="59"/>
      <c r="E354" s="59"/>
      <c r="F354" s="64">
        <f>+SUM(F350:F353)</f>
        <v>0</v>
      </c>
      <c r="G354" s="64">
        <f t="shared" ref="G354:Z354" si="154">+SUM(G350:G353)</f>
        <v>0</v>
      </c>
      <c r="H354" s="64">
        <f t="shared" si="154"/>
        <v>0</v>
      </c>
      <c r="I354" s="64">
        <f t="shared" ca="1" si="154"/>
        <v>0</v>
      </c>
      <c r="J354" s="64">
        <f t="shared" si="154"/>
        <v>0</v>
      </c>
      <c r="K354" s="64">
        <f t="shared" ca="1" si="154"/>
        <v>87597801.425133646</v>
      </c>
      <c r="L354" s="64">
        <f t="shared" si="154"/>
        <v>0</v>
      </c>
      <c r="M354" s="64">
        <f t="shared" si="154"/>
        <v>0</v>
      </c>
      <c r="N354" s="64">
        <f t="shared" si="154"/>
        <v>0</v>
      </c>
      <c r="O354" s="64">
        <f t="shared" si="154"/>
        <v>0</v>
      </c>
      <c r="P354" s="64">
        <f t="shared" si="154"/>
        <v>0</v>
      </c>
      <c r="Q354" s="64">
        <f t="shared" si="154"/>
        <v>0</v>
      </c>
      <c r="R354" s="64">
        <f t="shared" si="154"/>
        <v>0</v>
      </c>
      <c r="S354" s="64">
        <f t="shared" si="154"/>
        <v>0</v>
      </c>
      <c r="T354" s="64">
        <f t="shared" si="154"/>
        <v>0</v>
      </c>
      <c r="U354" s="64">
        <f t="shared" si="154"/>
        <v>0</v>
      </c>
      <c r="V354" s="64">
        <f t="shared" si="154"/>
        <v>0</v>
      </c>
      <c r="W354" s="64">
        <f t="shared" si="154"/>
        <v>0</v>
      </c>
      <c r="X354" s="64">
        <f t="shared" si="154"/>
        <v>0</v>
      </c>
      <c r="Y354" s="64">
        <f t="shared" si="154"/>
        <v>0</v>
      </c>
      <c r="Z354" s="64">
        <f t="shared" si="154"/>
        <v>0</v>
      </c>
    </row>
    <row r="356" spans="1:26" ht="15.75">
      <c r="A356" s="699"/>
      <c r="B356" s="50" t="s">
        <v>1242</v>
      </c>
      <c r="C356" s="50"/>
      <c r="D356" s="50"/>
      <c r="E356" s="50"/>
      <c r="F356" s="55">
        <f ca="1">+IF(YEAR(F$335)&lt;=YEAR(Assumptions!$H$35),'Phase 3 Pro Forma'!F354+'Phase 3 Pro Forma'!F347,0)</f>
        <v>0</v>
      </c>
      <c r="G356" s="55">
        <f ca="1">+IF(YEAR(G$335)&lt;=YEAR(Assumptions!$H$35),'Phase 3 Pro Forma'!G354+'Phase 3 Pro Forma'!G347,0)</f>
        <v>0</v>
      </c>
      <c r="H356" s="55">
        <f ca="1">+IF(YEAR(H$335)&lt;=YEAR(Assumptions!$H$35),'Phase 3 Pro Forma'!H354+'Phase 3 Pro Forma'!H347,0)</f>
        <v>0</v>
      </c>
      <c r="I356" s="55">
        <f ca="1">+IF(YEAR(I$335)&lt;=YEAR(Assumptions!$H$35),'Phase 3 Pro Forma'!I354+'Phase 3 Pro Forma'!I347,0)</f>
        <v>-6374777.4507143628</v>
      </c>
      <c r="J356" s="55">
        <f ca="1">+IF(YEAR(J$335)&lt;=YEAR(Assumptions!$H$35),'Phase 3 Pro Forma'!J354+'Phase 3 Pro Forma'!J347,0)</f>
        <v>-1252770.3383816313</v>
      </c>
      <c r="K356" s="55">
        <f ca="1">+IF(YEAR(K$335)&lt;=YEAR(Assumptions!$H$35),'Phase 3 Pro Forma'!K354+'Phase 3 Pro Forma'!K347,0)</f>
        <v>89484807.616528317</v>
      </c>
      <c r="L356" s="55">
        <f>+IF(YEAR(L$335)&lt;=YEAR(Assumptions!$H$35),'Phase 3 Pro Forma'!L354+'Phase 3 Pro Forma'!L347,0)</f>
        <v>0</v>
      </c>
      <c r="M356" s="55">
        <f>+IF(YEAR(M$335)&lt;=YEAR(Assumptions!$H$35),'Phase 3 Pro Forma'!M354+'Phase 3 Pro Forma'!M347,0)</f>
        <v>0</v>
      </c>
      <c r="N356" s="55">
        <f>+IF(YEAR(N$335)&lt;=YEAR(Assumptions!$H$35),'Phase 3 Pro Forma'!N354+'Phase 3 Pro Forma'!N347,0)</f>
        <v>0</v>
      </c>
      <c r="O356" s="55">
        <f>+IF(YEAR(O$335)&lt;=YEAR(Assumptions!$H$35),'Phase 3 Pro Forma'!O354+'Phase 3 Pro Forma'!O347,0)</f>
        <v>0</v>
      </c>
      <c r="P356" s="55">
        <f>+IF(YEAR(P$335)&lt;=YEAR(Assumptions!$H$35),'Phase 3 Pro Forma'!P354+'Phase 3 Pro Forma'!P347,0)</f>
        <v>0</v>
      </c>
      <c r="Q356" s="55">
        <f>+IF(YEAR(Q$335)&lt;=YEAR(Assumptions!$H$35),'Phase 3 Pro Forma'!Q354+'Phase 3 Pro Forma'!Q347,0)</f>
        <v>0</v>
      </c>
      <c r="R356" s="55">
        <f>+IF(YEAR(R$335)&lt;=YEAR(Assumptions!$H$35),'Phase 3 Pro Forma'!R354+'Phase 3 Pro Forma'!R347,0)</f>
        <v>0</v>
      </c>
      <c r="S356" s="55">
        <f>+IF(YEAR(S$335)&lt;=YEAR(Assumptions!$H$35),'Phase 3 Pro Forma'!S354+'Phase 3 Pro Forma'!S347,0)</f>
        <v>0</v>
      </c>
      <c r="T356" s="55">
        <f>+IF(YEAR(T$335)&lt;=YEAR(Assumptions!$H$35),'Phase 3 Pro Forma'!T354+'Phase 3 Pro Forma'!T347,0)</f>
        <v>0</v>
      </c>
      <c r="U356" s="55">
        <f>+IF(YEAR(U$335)&lt;=YEAR(Assumptions!$H$35),'Phase 3 Pro Forma'!U354+'Phase 3 Pro Forma'!U347,0)</f>
        <v>0</v>
      </c>
      <c r="V356" s="55">
        <f>+IF(YEAR(V$335)&lt;=YEAR(Assumptions!$H$35),'Phase 3 Pro Forma'!V354+'Phase 3 Pro Forma'!V347,0)</f>
        <v>0</v>
      </c>
      <c r="W356" s="55">
        <f>+IF(YEAR(W$335)&lt;=YEAR(Assumptions!$H$35),'Phase 3 Pro Forma'!W354+'Phase 3 Pro Forma'!W347,0)</f>
        <v>0</v>
      </c>
      <c r="X356" s="55">
        <f>+IF(YEAR(X$335)&lt;=YEAR(Assumptions!$H$35),'Phase 3 Pro Forma'!X354+'Phase 3 Pro Forma'!X347,0)</f>
        <v>0</v>
      </c>
      <c r="Y356" s="55">
        <f>+IF(YEAR(Y$335)&lt;=YEAR(Assumptions!$H$35),'Phase 3 Pro Forma'!Y354+'Phase 3 Pro Forma'!Y347,0)</f>
        <v>0</v>
      </c>
      <c r="Z356" s="55">
        <f>+IF(YEAR(Z$335)&lt;=YEAR(Assumptions!$H$35),'Phase 3 Pro Forma'!Z354+'Phase 3 Pro Forma'!Z347,0)</f>
        <v>0</v>
      </c>
    </row>
    <row r="357" spans="1:26" ht="15.75">
      <c r="A357" s="699"/>
      <c r="B357" s="81"/>
      <c r="C357" s="81"/>
      <c r="D357" s="81"/>
      <c r="E357" s="81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</row>
    <row r="359" spans="1:26" ht="15.75">
      <c r="A359" s="699" t="s">
        <v>511</v>
      </c>
      <c r="B359" s="468" t="s">
        <v>1162</v>
      </c>
      <c r="C359" s="540"/>
      <c r="D359" s="540"/>
      <c r="E359" s="540"/>
      <c r="F359" s="759"/>
      <c r="G359" s="759"/>
      <c r="H359" s="759"/>
      <c r="I359" s="759"/>
      <c r="J359" s="759"/>
      <c r="K359" s="759"/>
      <c r="L359" s="759"/>
      <c r="M359" s="759"/>
      <c r="N359" s="759"/>
      <c r="O359" s="759"/>
      <c r="P359" s="759"/>
      <c r="Q359" s="759"/>
      <c r="R359" s="759"/>
      <c r="S359" s="759"/>
      <c r="T359" s="759"/>
      <c r="U359" s="759"/>
      <c r="V359" s="759"/>
      <c r="W359" s="759"/>
      <c r="X359" s="759"/>
      <c r="Y359" s="759"/>
      <c r="Z359" s="759"/>
    </row>
    <row r="360" spans="1:26">
      <c r="A360" s="699"/>
      <c r="B360" s="49"/>
      <c r="C360" s="49"/>
      <c r="D360" s="49"/>
      <c r="E360" s="49"/>
      <c r="F360" s="49"/>
      <c r="G360" s="49"/>
      <c r="H360" s="49"/>
      <c r="I360" s="49"/>
      <c r="J360" s="49"/>
      <c r="K360" s="49"/>
      <c r="L360" s="49"/>
      <c r="M360" s="49"/>
      <c r="N360" s="49"/>
      <c r="O360" s="49"/>
      <c r="P360" s="49"/>
      <c r="Q360" s="49"/>
      <c r="R360" s="49"/>
      <c r="S360" s="49"/>
      <c r="T360" s="49"/>
      <c r="U360" s="49"/>
      <c r="V360" s="49"/>
      <c r="W360" s="49"/>
      <c r="X360" s="49"/>
      <c r="Y360" s="49"/>
      <c r="Z360" s="49"/>
    </row>
    <row r="361" spans="1:26" ht="15.75">
      <c r="A361" s="699"/>
      <c r="B361" s="112" t="s">
        <v>212</v>
      </c>
      <c r="C361" s="147"/>
      <c r="D361" s="147"/>
      <c r="E361" s="147"/>
      <c r="F361" s="148">
        <f>+Assumptions!$H$27</f>
        <v>47118</v>
      </c>
      <c r="G361" s="148">
        <f>+EOMONTH(F361,12)</f>
        <v>47483</v>
      </c>
      <c r="H361" s="148">
        <f t="shared" ref="H361:Z361" si="155">+EOMONTH(G361,12)</f>
        <v>47848</v>
      </c>
      <c r="I361" s="148">
        <f t="shared" si="155"/>
        <v>48213</v>
      </c>
      <c r="J361" s="148">
        <f t="shared" si="155"/>
        <v>48579</v>
      </c>
      <c r="K361" s="148">
        <f t="shared" si="155"/>
        <v>48944</v>
      </c>
      <c r="L361" s="148">
        <f t="shared" si="155"/>
        <v>49309</v>
      </c>
      <c r="M361" s="148">
        <f t="shared" si="155"/>
        <v>49674</v>
      </c>
      <c r="N361" s="148">
        <f t="shared" si="155"/>
        <v>50040</v>
      </c>
      <c r="O361" s="148">
        <f t="shared" si="155"/>
        <v>50405</v>
      </c>
      <c r="P361" s="148">
        <f t="shared" si="155"/>
        <v>50770</v>
      </c>
      <c r="Q361" s="148">
        <f t="shared" si="155"/>
        <v>51135</v>
      </c>
      <c r="R361" s="148">
        <f t="shared" si="155"/>
        <v>51501</v>
      </c>
      <c r="S361" s="148">
        <f t="shared" si="155"/>
        <v>51866</v>
      </c>
      <c r="T361" s="148">
        <f t="shared" si="155"/>
        <v>52231</v>
      </c>
      <c r="U361" s="148">
        <f t="shared" si="155"/>
        <v>52596</v>
      </c>
      <c r="V361" s="148">
        <f t="shared" si="155"/>
        <v>52962</v>
      </c>
      <c r="W361" s="148">
        <f t="shared" si="155"/>
        <v>53327</v>
      </c>
      <c r="X361" s="148">
        <f t="shared" si="155"/>
        <v>53692</v>
      </c>
      <c r="Y361" s="148">
        <f t="shared" si="155"/>
        <v>54057</v>
      </c>
      <c r="Z361" s="148">
        <f t="shared" si="155"/>
        <v>54423</v>
      </c>
    </row>
    <row r="362" spans="1:26">
      <c r="A362" s="699"/>
      <c r="B362" s="699" t="s">
        <v>1164</v>
      </c>
      <c r="C362" s="699"/>
      <c r="D362" s="103"/>
      <c r="E362" s="103"/>
      <c r="F362" s="90">
        <f>+IF(AND(F361&gt;=Assumptions!$H$31,F361&lt;Assumptions!$H$33),Assumptions!$H$162/ROUNDUP((Assumptions!$H$32/12),0),0)</f>
        <v>0</v>
      </c>
      <c r="G362" s="90">
        <f>+IF(AND(G361&gt;=Assumptions!$H$31,G361&lt;Assumptions!$H$33),Assumptions!$H$162/ROUNDUP((Assumptions!$H$32/12),0),0)</f>
        <v>0</v>
      </c>
      <c r="H362" s="90">
        <f>+IF(AND(H361&gt;=Assumptions!$H$31,H361&lt;Assumptions!$H$33),Assumptions!$H$162/ROUNDUP((Assumptions!$H$32/12),0),0)</f>
        <v>0</v>
      </c>
      <c r="I362" s="90">
        <f>+IF(AND(I361&gt;=Assumptions!$H$31,I361&lt;Assumptions!$H$33),Assumptions!$H$162/ROUNDUP((Assumptions!$H$32/12),0),0)</f>
        <v>182.35166666666666</v>
      </c>
      <c r="J362" s="90">
        <f>+IF(AND(J361&gt;=Assumptions!$H$31,J361&lt;Assumptions!$H$33),Assumptions!$H$162/ROUNDUP((Assumptions!$H$32/12),0),0)</f>
        <v>182.35166666666666</v>
      </c>
      <c r="K362" s="90">
        <f>+IF(AND(K361&gt;=Assumptions!$H$31,K361&lt;Assumptions!$H$33),Assumptions!$H$162/ROUNDUP((Assumptions!$H$32/12),0),0)</f>
        <v>0</v>
      </c>
      <c r="L362" s="90">
        <f>+IF(AND(L361&gt;=Assumptions!$H$31,L361&lt;Assumptions!$H$33),Assumptions!$H$162/ROUNDUP((Assumptions!$H$32/12),0),0)</f>
        <v>0</v>
      </c>
      <c r="M362" s="90">
        <f>+IF(AND(M361&gt;=Assumptions!$H$31,M361&lt;Assumptions!$H$33),Assumptions!$H$162/ROUNDUP((Assumptions!$H$32/12),0),0)</f>
        <v>0</v>
      </c>
      <c r="N362" s="90">
        <f>+IF(AND(N361&gt;=Assumptions!$H$31,N361&lt;Assumptions!$H$33),Assumptions!$H$162/ROUNDUP((Assumptions!$H$32/12),0),0)</f>
        <v>0</v>
      </c>
      <c r="O362" s="90">
        <f>+IF(AND(O361&gt;=Assumptions!$H$31,O361&lt;Assumptions!$H$33),Assumptions!$H$162/ROUNDUP((Assumptions!$H$32/12),0),0)</f>
        <v>0</v>
      </c>
      <c r="P362" s="90">
        <f>+IF(AND(P361&gt;=Assumptions!$H$31,P361&lt;Assumptions!$H$33),Assumptions!$H$162/ROUNDUP((Assumptions!$H$32/12),0),0)</f>
        <v>0</v>
      </c>
      <c r="Q362" s="90">
        <f>+IF(AND(Q361&gt;=Assumptions!$H$31,Q361&lt;Assumptions!$H$33),Assumptions!$H$162/ROUNDUP((Assumptions!$H$32/12),0),0)</f>
        <v>0</v>
      </c>
      <c r="R362" s="90">
        <f>+IF(AND(R361&gt;=Assumptions!$H$31,R361&lt;Assumptions!$H$33),Assumptions!$H$162/ROUNDUP((Assumptions!$H$32/12),0),0)</f>
        <v>0</v>
      </c>
      <c r="S362" s="90">
        <f>+IF(AND(S361&gt;=Assumptions!$H$31,S361&lt;Assumptions!$H$33),Assumptions!$H$162/ROUNDUP((Assumptions!$H$32/12),0),0)</f>
        <v>0</v>
      </c>
      <c r="T362" s="90">
        <f>+IF(AND(T361&gt;=Assumptions!$H$31,T361&lt;Assumptions!$H$33),Assumptions!$H$162/ROUNDUP((Assumptions!$H$32/12),0),0)</f>
        <v>0</v>
      </c>
      <c r="U362" s="90">
        <f>+IF(AND(U361&gt;=Assumptions!$H$31,U361&lt;Assumptions!$H$33),Assumptions!$H$162/ROUNDUP((Assumptions!$H$32/12),0),0)</f>
        <v>0</v>
      </c>
      <c r="V362" s="90">
        <f>+IF(AND(V361&gt;=Assumptions!$H$31,V361&lt;Assumptions!$H$33),Assumptions!$H$162/ROUNDUP((Assumptions!$H$32/12),0),0)</f>
        <v>0</v>
      </c>
      <c r="W362" s="90">
        <f>+IF(AND(W361&gt;=Assumptions!$H$31,W361&lt;Assumptions!$H$33),Assumptions!$H$162/ROUNDUP((Assumptions!$H$32/12),0),0)</f>
        <v>0</v>
      </c>
      <c r="X362" s="90">
        <f>+IF(AND(X361&gt;=Assumptions!$H$31,X361&lt;Assumptions!$H$33),Assumptions!$H$162/ROUNDUP((Assumptions!$H$32/12),0),0)</f>
        <v>0</v>
      </c>
      <c r="Y362" s="90">
        <f>+IF(AND(Y361&gt;=Assumptions!$H$31,Y361&lt;Assumptions!$H$33),Assumptions!$H$162/ROUNDUP((Assumptions!$H$32/12),0),0)</f>
        <v>0</v>
      </c>
      <c r="Z362" s="90">
        <f>+IF(AND(Z361&gt;=Assumptions!$H$31,Z361&lt;Assumptions!$H$33),Assumptions!$H$162/ROUNDUP((Assumptions!$H$32/12),0),0)</f>
        <v>0</v>
      </c>
    </row>
    <row r="363" spans="1:26">
      <c r="A363" s="699"/>
      <c r="B363" s="699" t="s">
        <v>1165</v>
      </c>
      <c r="C363" s="699"/>
      <c r="D363" s="103"/>
      <c r="E363" s="103"/>
      <c r="F363" s="90">
        <f>+E363+F362</f>
        <v>0</v>
      </c>
      <c r="G363" s="90">
        <f t="shared" ref="G363:Z363" si="156">+F363+G362</f>
        <v>0</v>
      </c>
      <c r="H363" s="90">
        <f t="shared" si="156"/>
        <v>0</v>
      </c>
      <c r="I363" s="90">
        <f t="shared" si="156"/>
        <v>182.35166666666666</v>
      </c>
      <c r="J363" s="90">
        <f t="shared" si="156"/>
        <v>364.70333333333332</v>
      </c>
      <c r="K363" s="90">
        <f t="shared" si="156"/>
        <v>364.70333333333332</v>
      </c>
      <c r="L363" s="90">
        <f t="shared" si="156"/>
        <v>364.70333333333332</v>
      </c>
      <c r="M363" s="90">
        <f t="shared" si="156"/>
        <v>364.70333333333332</v>
      </c>
      <c r="N363" s="90">
        <f t="shared" si="156"/>
        <v>364.70333333333332</v>
      </c>
      <c r="O363" s="90">
        <f t="shared" si="156"/>
        <v>364.70333333333332</v>
      </c>
      <c r="P363" s="90">
        <f t="shared" si="156"/>
        <v>364.70333333333332</v>
      </c>
      <c r="Q363" s="90">
        <f t="shared" si="156"/>
        <v>364.70333333333332</v>
      </c>
      <c r="R363" s="90">
        <f t="shared" si="156"/>
        <v>364.70333333333332</v>
      </c>
      <c r="S363" s="90">
        <f t="shared" si="156"/>
        <v>364.70333333333332</v>
      </c>
      <c r="T363" s="90">
        <f t="shared" si="156"/>
        <v>364.70333333333332</v>
      </c>
      <c r="U363" s="90">
        <f t="shared" si="156"/>
        <v>364.70333333333332</v>
      </c>
      <c r="V363" s="90">
        <f t="shared" si="156"/>
        <v>364.70333333333332</v>
      </c>
      <c r="W363" s="90">
        <f t="shared" si="156"/>
        <v>364.70333333333332</v>
      </c>
      <c r="X363" s="90">
        <f t="shared" si="156"/>
        <v>364.70333333333332</v>
      </c>
      <c r="Y363" s="90">
        <f t="shared" si="156"/>
        <v>364.70333333333332</v>
      </c>
      <c r="Z363" s="90">
        <f t="shared" si="156"/>
        <v>364.70333333333332</v>
      </c>
    </row>
    <row r="364" spans="1:26">
      <c r="A364" s="699"/>
      <c r="B364" s="699" t="s">
        <v>1166</v>
      </c>
      <c r="C364" s="699"/>
      <c r="D364" s="90"/>
      <c r="E364" s="90"/>
      <c r="F364" s="87">
        <f>+IFERROR(F363/SUM($F$362:$Z$362),0)</f>
        <v>0</v>
      </c>
      <c r="G364" s="87">
        <f t="shared" ref="G364:Z364" si="157">+IFERROR(G363/SUM($F$362:$Z$362),0)</f>
        <v>0</v>
      </c>
      <c r="H364" s="87">
        <f t="shared" si="157"/>
        <v>0</v>
      </c>
      <c r="I364" s="87">
        <f t="shared" si="157"/>
        <v>0.5</v>
      </c>
      <c r="J364" s="87">
        <f t="shared" si="157"/>
        <v>1</v>
      </c>
      <c r="K364" s="87">
        <f t="shared" si="157"/>
        <v>1</v>
      </c>
      <c r="L364" s="87">
        <f t="shared" si="157"/>
        <v>1</v>
      </c>
      <c r="M364" s="87">
        <f t="shared" si="157"/>
        <v>1</v>
      </c>
      <c r="N364" s="87">
        <f t="shared" si="157"/>
        <v>1</v>
      </c>
      <c r="O364" s="87">
        <f t="shared" si="157"/>
        <v>1</v>
      </c>
      <c r="P364" s="87">
        <f t="shared" si="157"/>
        <v>1</v>
      </c>
      <c r="Q364" s="87">
        <f t="shared" si="157"/>
        <v>1</v>
      </c>
      <c r="R364" s="87">
        <f t="shared" si="157"/>
        <v>1</v>
      </c>
      <c r="S364" s="87">
        <f t="shared" si="157"/>
        <v>1</v>
      </c>
      <c r="T364" s="87">
        <f t="shared" si="157"/>
        <v>1</v>
      </c>
      <c r="U364" s="87">
        <f t="shared" si="157"/>
        <v>1</v>
      </c>
      <c r="V364" s="87">
        <f t="shared" si="157"/>
        <v>1</v>
      </c>
      <c r="W364" s="87">
        <f t="shared" si="157"/>
        <v>1</v>
      </c>
      <c r="X364" s="87">
        <f t="shared" si="157"/>
        <v>1</v>
      </c>
      <c r="Y364" s="87">
        <f t="shared" si="157"/>
        <v>1</v>
      </c>
      <c r="Z364" s="87">
        <f t="shared" si="157"/>
        <v>1</v>
      </c>
    </row>
    <row r="365" spans="1:26">
      <c r="A365" s="699"/>
      <c r="B365" s="699"/>
      <c r="C365" s="699"/>
      <c r="D365" s="90"/>
      <c r="E365" s="90"/>
      <c r="F365" s="87"/>
      <c r="G365" s="87"/>
      <c r="H365" s="87"/>
      <c r="I365" s="87"/>
      <c r="J365" s="87"/>
      <c r="K365" s="87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</row>
    <row r="366" spans="1:26">
      <c r="A366" s="699"/>
      <c r="B366" s="699" t="s">
        <v>1167</v>
      </c>
      <c r="C366" s="49"/>
      <c r="D366" s="49"/>
      <c r="E366" s="49"/>
      <c r="F366" s="83">
        <f>+IF(F2=1,Assumptions!$H$187,IF(F2=2,Assumptions!$H$189,IF(F2&gt;2,Assumptions!$H$166,0)))</f>
        <v>0</v>
      </c>
      <c r="G366" s="83">
        <f>+IF(G2=1,Assumptions!$H$187,IF(G2=2,Assumptions!$H$189,IF(G2&gt;2,Assumptions!$H$166,0)))</f>
        <v>0</v>
      </c>
      <c r="H366" s="83">
        <f>+IF(H2=1,Assumptions!$H$187,IF(H2=2,Assumptions!$H$189,IF(H2&gt;2,Assumptions!$H$166,0)))</f>
        <v>0</v>
      </c>
      <c r="I366" s="83">
        <f>+IF(I2=1,Assumptions!$H$187,IF(I2=2,Assumptions!$H$189,IF(I2&gt;2,Assumptions!$H$166,0)))</f>
        <v>254.70320184964442</v>
      </c>
      <c r="J366" s="83">
        <f>+IF(J2=1,Assumptions!$H$187,IF(J2=2,Assumptions!$H$189,IF(J2&gt;2,Assumptions!$H$166,0)))</f>
        <v>259.70320184964442</v>
      </c>
      <c r="K366" s="83">
        <f>+IF(K2=1,Assumptions!$H$187,IF(K2=2,Assumptions!$H$189,IF(K2&gt;2,Assumptions!$H$166,0)))</f>
        <v>264.70320184964442</v>
      </c>
      <c r="L366" s="83">
        <f>+IF(L2=1,Assumptions!$H$187,IF(L2=2,Assumptions!$H$189,IF(L2&gt;2,Assumptions!$H$166,0)))</f>
        <v>264.70320184964442</v>
      </c>
      <c r="M366" s="83">
        <f>+IF(M2=1,Assumptions!$H$187,IF(M2=2,Assumptions!$H$189,IF(M2&gt;2,Assumptions!$H$166,0)))</f>
        <v>264.70320184964442</v>
      </c>
      <c r="N366" s="83">
        <f>+IF(N2=1,Assumptions!$H$187,IF(N2=2,Assumptions!$H$189,IF(N2&gt;2,Assumptions!$H$166,0)))</f>
        <v>264.70320184964442</v>
      </c>
      <c r="O366" s="83">
        <f>+IF(O2=1,Assumptions!$H$187,IF(O2=2,Assumptions!$H$189,IF(O2&gt;2,Assumptions!$H$166,0)))</f>
        <v>264.70320184964442</v>
      </c>
      <c r="P366" s="83">
        <f>+IF(P2=1,Assumptions!$H$187,IF(P2=2,Assumptions!$H$189,IF(P2&gt;2,Assumptions!$H$166,0)))</f>
        <v>264.70320184964442</v>
      </c>
      <c r="Q366" s="83">
        <f>+IF(Q2=1,Assumptions!$H$187,IF(Q2=2,Assumptions!$H$189,IF(Q2&gt;2,Assumptions!$H$166,0)))</f>
        <v>264.70320184964442</v>
      </c>
      <c r="R366" s="83">
        <f>+IF(R2=1,Assumptions!$H$187,IF(R2=2,Assumptions!$H$189,IF(R2&gt;2,Assumptions!$H$166,0)))</f>
        <v>264.70320184964442</v>
      </c>
      <c r="S366" s="83">
        <f>+IF(S2=1,Assumptions!$H$187,IF(S2=2,Assumptions!$H$189,IF(S2&gt;2,Assumptions!$H$166,0)))</f>
        <v>264.70320184964442</v>
      </c>
      <c r="T366" s="83">
        <f>+IF(T2=1,Assumptions!$H$187,IF(T2=2,Assumptions!$H$189,IF(T2&gt;2,Assumptions!$H$166,0)))</f>
        <v>264.70320184964442</v>
      </c>
      <c r="U366" s="83">
        <f>+IF(U2=1,Assumptions!$H$187,IF(U2=2,Assumptions!$H$189,IF(U2&gt;2,Assumptions!$H$166,0)))</f>
        <v>264.70320184964442</v>
      </c>
      <c r="V366" s="83">
        <f>+IF(V2=1,Assumptions!$H$187,IF(V2=2,Assumptions!$H$189,IF(V2&gt;2,Assumptions!$H$166,0)))</f>
        <v>264.70320184964442</v>
      </c>
      <c r="W366" s="83">
        <f>+IF(W2=1,Assumptions!$H$187,IF(W2=2,Assumptions!$H$189,IF(W2&gt;2,Assumptions!$H$166,0)))</f>
        <v>264.70320184964442</v>
      </c>
      <c r="X366" s="83">
        <f>+IF(X2=1,Assumptions!$H$187,IF(X2=2,Assumptions!$H$189,IF(X2&gt;2,Assumptions!$H$166,0)))</f>
        <v>264.70320184964442</v>
      </c>
      <c r="Y366" s="83">
        <f>+IF(Y2=1,Assumptions!$H$187,IF(Y2=2,Assumptions!$H$189,IF(Y2&gt;2,Assumptions!$H$166,0)))</f>
        <v>264.70320184964442</v>
      </c>
      <c r="Z366" s="83">
        <f>+IF(Z2=1,Assumptions!$H$187,IF(Z2=2,Assumptions!$H$189,IF(Z2&gt;2,Assumptions!$H$166,0)))</f>
        <v>264.70320184964442</v>
      </c>
    </row>
    <row r="367" spans="1:26">
      <c r="A367" s="699"/>
      <c r="B367" s="699" t="s">
        <v>1168</v>
      </c>
      <c r="C367" s="699"/>
      <c r="D367" s="90"/>
      <c r="E367" s="90"/>
      <c r="F367" s="87">
        <v>1</v>
      </c>
      <c r="G367" s="87">
        <f>F367*(1+Assumptions!$P$74)</f>
        <v>1.03</v>
      </c>
      <c r="H367" s="87">
        <f>G367*(1+Assumptions!$P$74)</f>
        <v>1.0609</v>
      </c>
      <c r="I367" s="87">
        <f>H367*(1+Assumptions!$P$74)</f>
        <v>1.092727</v>
      </c>
      <c r="J367" s="87">
        <f>I367*(1+Assumptions!$P$74)</f>
        <v>1.1255088100000001</v>
      </c>
      <c r="K367" s="87">
        <f>J367*(1+Assumptions!$P$74)</f>
        <v>1.1592740743000001</v>
      </c>
      <c r="L367" s="87">
        <f>K367*(1+Assumptions!$P$74)</f>
        <v>1.1940522965290001</v>
      </c>
      <c r="M367" s="87">
        <f>L367*(1+Assumptions!$P$74)</f>
        <v>1.2298738654248702</v>
      </c>
      <c r="N367" s="87">
        <f>M367*(1+Assumptions!$P$74)</f>
        <v>1.2667700813876164</v>
      </c>
      <c r="O367" s="87">
        <f>N367*(1+Assumptions!$P$74)</f>
        <v>1.3047731838292449</v>
      </c>
      <c r="P367" s="87">
        <f>O367*(1+Assumptions!$P$74)</f>
        <v>1.3439163793441222</v>
      </c>
      <c r="Q367" s="87">
        <f>P367*(1+Assumptions!$P$74)</f>
        <v>1.3842338707244459</v>
      </c>
      <c r="R367" s="87">
        <f>Q367*(1+Assumptions!$P$74)</f>
        <v>1.4257608868461793</v>
      </c>
      <c r="S367" s="87">
        <f>R367*(1+Assumptions!$P$74)</f>
        <v>1.4685337134515648</v>
      </c>
      <c r="T367" s="87">
        <f>S367*(1+Assumptions!$P$74)</f>
        <v>1.5125897248551119</v>
      </c>
      <c r="U367" s="87">
        <f>T367*(1+Assumptions!$P$74)</f>
        <v>1.5579674166007653</v>
      </c>
      <c r="V367" s="87">
        <f>U367*(1+Assumptions!$P$74)</f>
        <v>1.6047064390987884</v>
      </c>
      <c r="W367" s="87">
        <f>V367*(1+Assumptions!$P$74)</f>
        <v>1.652847632271752</v>
      </c>
      <c r="X367" s="87">
        <f>W367*(1+Assumptions!$P$74)</f>
        <v>1.7024330612399046</v>
      </c>
      <c r="Y367" s="87">
        <f>X367*(1+Assumptions!$P$74)</f>
        <v>1.7535060530771018</v>
      </c>
      <c r="Z367" s="87">
        <f>Y367*(1+Assumptions!$P$74)</f>
        <v>1.806111234669415</v>
      </c>
    </row>
    <row r="368" spans="1:26">
      <c r="A368" s="699"/>
      <c r="B368" s="699" t="s">
        <v>1169</v>
      </c>
      <c r="C368" s="699"/>
      <c r="D368" s="90"/>
      <c r="E368" s="90"/>
      <c r="F368" s="83">
        <f>+F366*F367</f>
        <v>0</v>
      </c>
      <c r="G368" s="83">
        <f t="shared" ref="G368:Z368" si="158">+G366*G367</f>
        <v>0</v>
      </c>
      <c r="H368" s="83">
        <f t="shared" si="158"/>
        <v>0</v>
      </c>
      <c r="I368" s="83">
        <f t="shared" si="158"/>
        <v>278.3210656475564</v>
      </c>
      <c r="J368" s="83">
        <f t="shared" si="158"/>
        <v>292.29824166698313</v>
      </c>
      <c r="K368" s="83">
        <f t="shared" si="158"/>
        <v>306.86355928849258</v>
      </c>
      <c r="L368" s="83">
        <f t="shared" si="158"/>
        <v>316.0694660671474</v>
      </c>
      <c r="M368" s="83">
        <f t="shared" si="158"/>
        <v>325.55155004916185</v>
      </c>
      <c r="N368" s="83">
        <f t="shared" si="158"/>
        <v>335.31809655063671</v>
      </c>
      <c r="O368" s="83">
        <f t="shared" si="158"/>
        <v>345.37763944715579</v>
      </c>
      <c r="P368" s="83">
        <f t="shared" si="158"/>
        <v>355.73896863057047</v>
      </c>
      <c r="Q368" s="83">
        <f t="shared" si="158"/>
        <v>366.41113768948759</v>
      </c>
      <c r="R368" s="83">
        <f t="shared" si="158"/>
        <v>377.40347182017223</v>
      </c>
      <c r="S368" s="83">
        <f t="shared" si="158"/>
        <v>388.72557597477743</v>
      </c>
      <c r="T368" s="83">
        <f t="shared" si="158"/>
        <v>400.38734325402078</v>
      </c>
      <c r="U368" s="83">
        <f t="shared" si="158"/>
        <v>412.39896355164143</v>
      </c>
      <c r="V368" s="83">
        <f t="shared" si="158"/>
        <v>424.77093245819071</v>
      </c>
      <c r="W368" s="83">
        <f t="shared" si="158"/>
        <v>437.5140604319364</v>
      </c>
      <c r="X368" s="83">
        <f t="shared" si="158"/>
        <v>450.63948224489451</v>
      </c>
      <c r="Y368" s="83">
        <f t="shared" si="158"/>
        <v>464.15866671224137</v>
      </c>
      <c r="Z368" s="83">
        <f t="shared" si="158"/>
        <v>478.08342671360867</v>
      </c>
    </row>
    <row r="369" spans="1:26">
      <c r="A369" s="699"/>
      <c r="B369" s="699"/>
      <c r="C369" s="49"/>
      <c r="D369" s="49"/>
      <c r="E369" s="49"/>
      <c r="F369" s="49"/>
      <c r="G369" s="49"/>
      <c r="H369" s="49"/>
      <c r="I369" s="49"/>
      <c r="J369" s="49"/>
      <c r="K369" s="49"/>
      <c r="L369" s="49"/>
      <c r="M369" s="49"/>
      <c r="N369" s="49"/>
      <c r="O369" s="49"/>
      <c r="P369" s="49"/>
      <c r="Q369" s="49"/>
      <c r="R369" s="49"/>
      <c r="S369" s="49"/>
      <c r="T369" s="49"/>
      <c r="U369" s="49"/>
      <c r="V369" s="49"/>
      <c r="W369" s="49"/>
      <c r="X369" s="49"/>
      <c r="Y369" s="49"/>
      <c r="Z369" s="49"/>
    </row>
    <row r="370" spans="1:26">
      <c r="A370" s="699"/>
      <c r="B370" s="699" t="s">
        <v>683</v>
      </c>
      <c r="C370" s="49"/>
      <c r="D370" s="49"/>
      <c r="E370" s="49"/>
      <c r="F370" s="87">
        <f>+IF(F2=1,Assumptions!$H$186,IF(F2=2,Assumptions!$H$188,IF(F2&gt;2,Assumptions!$H$165,0)))</f>
        <v>0</v>
      </c>
      <c r="G370" s="87">
        <f>+IF(G2=1,Assumptions!$H$186,IF(G2=2,Assumptions!$H$188,IF(G2&gt;2,Assumptions!$H$165,0)))</f>
        <v>0</v>
      </c>
      <c r="H370" s="87">
        <f>+IF(H2=1,Assumptions!$H$186,IF(H2=2,Assumptions!$H$188,IF(H2&gt;2,Assumptions!$H$165,0)))</f>
        <v>0</v>
      </c>
      <c r="I370" s="87">
        <f>+IF(I2=1,Assumptions!$H$186,IF(I2=2,Assumptions!$H$188,IF(I2&gt;2,Assumptions!$H$165,0)))</f>
        <v>0.6</v>
      </c>
      <c r="J370" s="87">
        <f>+IF(J2=1,Assumptions!$H$186,IF(J2=2,Assumptions!$H$188,IF(J2&gt;2,Assumptions!$H$165,0)))</f>
        <v>0.7</v>
      </c>
      <c r="K370" s="87">
        <f>+IF(K2=1,Assumptions!$H$186,IF(K2=2,Assumptions!$H$188,IF(K2&gt;2,Assumptions!$H$165,0)))</f>
        <v>0.7</v>
      </c>
      <c r="L370" s="87">
        <f>+IF(L2=1,Assumptions!$H$186,IF(L2=2,Assumptions!$H$188,IF(L2&gt;2,Assumptions!$H$165,0)))</f>
        <v>0.7</v>
      </c>
      <c r="M370" s="87">
        <f>+IF(M2=1,Assumptions!$H$186,IF(M2=2,Assumptions!$H$188,IF(M2&gt;2,Assumptions!$H$165,0)))</f>
        <v>0.7</v>
      </c>
      <c r="N370" s="87">
        <f>+IF(N2=1,Assumptions!$H$186,IF(N2=2,Assumptions!$H$188,IF(N2&gt;2,Assumptions!$H$165,0)))</f>
        <v>0.7</v>
      </c>
      <c r="O370" s="87">
        <f>+IF(O2=1,Assumptions!$H$186,IF(O2=2,Assumptions!$H$188,IF(O2&gt;2,Assumptions!$H$165,0)))</f>
        <v>0.7</v>
      </c>
      <c r="P370" s="87">
        <f>+IF(P2=1,Assumptions!$H$186,IF(P2=2,Assumptions!$H$188,IF(P2&gt;2,Assumptions!$H$165,0)))</f>
        <v>0.7</v>
      </c>
      <c r="Q370" s="87">
        <f>+IF(Q2=1,Assumptions!$H$186,IF(Q2=2,Assumptions!$H$188,IF(Q2&gt;2,Assumptions!$H$165,0)))</f>
        <v>0.7</v>
      </c>
      <c r="R370" s="87">
        <f>+IF(R2=1,Assumptions!$H$186,IF(R2=2,Assumptions!$H$188,IF(R2&gt;2,Assumptions!$H$165,0)))</f>
        <v>0.7</v>
      </c>
      <c r="S370" s="87">
        <f>+IF(S2=1,Assumptions!$H$186,IF(S2=2,Assumptions!$H$188,IF(S2&gt;2,Assumptions!$H$165,0)))</f>
        <v>0.7</v>
      </c>
      <c r="T370" s="87">
        <f>+IF(T2=1,Assumptions!$H$186,IF(T2=2,Assumptions!$H$188,IF(T2&gt;2,Assumptions!$H$165,0)))</f>
        <v>0.7</v>
      </c>
      <c r="U370" s="87">
        <f>+IF(U2=1,Assumptions!$H$186,IF(U2=2,Assumptions!$H$188,IF(U2&gt;2,Assumptions!$H$165,0)))</f>
        <v>0.7</v>
      </c>
      <c r="V370" s="87">
        <f>+IF(V2=1,Assumptions!$H$186,IF(V2=2,Assumptions!$H$188,IF(V2&gt;2,Assumptions!$H$165,0)))</f>
        <v>0.7</v>
      </c>
      <c r="W370" s="87">
        <f>+IF(W2=1,Assumptions!$H$186,IF(W2=2,Assumptions!$H$188,IF(W2&gt;2,Assumptions!$H$165,0)))</f>
        <v>0.7</v>
      </c>
      <c r="X370" s="87">
        <f>+IF(X2=1,Assumptions!$H$186,IF(X2=2,Assumptions!$H$188,IF(X2&gt;2,Assumptions!$H$165,0)))</f>
        <v>0.7</v>
      </c>
      <c r="Y370" s="87">
        <f>+IF(Y2=1,Assumptions!$H$186,IF(Y2=2,Assumptions!$H$188,IF(Y2&gt;2,Assumptions!$H$165,0)))</f>
        <v>0.7</v>
      </c>
      <c r="Z370" s="87">
        <f>+IF(Z2=1,Assumptions!$H$186,IF(Z2=2,Assumptions!$H$188,IF(Z2&gt;2,Assumptions!$H$165,0)))</f>
        <v>0.7</v>
      </c>
    </row>
    <row r="371" spans="1:26">
      <c r="A371" s="699"/>
      <c r="B371" s="699" t="s">
        <v>310</v>
      </c>
      <c r="C371" s="49"/>
      <c r="D371" s="49"/>
      <c r="E371" s="49"/>
      <c r="F371" s="83">
        <f>+F368*F370</f>
        <v>0</v>
      </c>
      <c r="G371" s="83">
        <f t="shared" ref="G371:Z371" si="159">+G368*G370</f>
        <v>0</v>
      </c>
      <c r="H371" s="83">
        <f t="shared" si="159"/>
        <v>0</v>
      </c>
      <c r="I371" s="83">
        <f t="shared" si="159"/>
        <v>166.99263938853383</v>
      </c>
      <c r="J371" s="83">
        <f t="shared" si="159"/>
        <v>204.60876916688818</v>
      </c>
      <c r="K371" s="83">
        <f t="shared" si="159"/>
        <v>214.8044915019448</v>
      </c>
      <c r="L371" s="83">
        <f t="shared" si="159"/>
        <v>221.24862624700316</v>
      </c>
      <c r="M371" s="83">
        <f t="shared" si="159"/>
        <v>227.88608503441327</v>
      </c>
      <c r="N371" s="83">
        <f t="shared" si="159"/>
        <v>234.72266758544569</v>
      </c>
      <c r="O371" s="83">
        <f t="shared" si="159"/>
        <v>241.76434761300902</v>
      </c>
      <c r="P371" s="83">
        <f t="shared" si="159"/>
        <v>249.01727804139932</v>
      </c>
      <c r="Q371" s="83">
        <f t="shared" si="159"/>
        <v>256.48779638264131</v>
      </c>
      <c r="R371" s="83">
        <f t="shared" si="159"/>
        <v>264.18243027412052</v>
      </c>
      <c r="S371" s="83">
        <f t="shared" si="159"/>
        <v>272.10790318234416</v>
      </c>
      <c r="T371" s="83">
        <f t="shared" si="159"/>
        <v>280.27114027781454</v>
      </c>
      <c r="U371" s="83">
        <f t="shared" si="159"/>
        <v>288.67927448614898</v>
      </c>
      <c r="V371" s="83">
        <f t="shared" si="159"/>
        <v>297.33965272073345</v>
      </c>
      <c r="W371" s="83">
        <f t="shared" si="159"/>
        <v>306.25984230235548</v>
      </c>
      <c r="X371" s="83">
        <f t="shared" si="159"/>
        <v>315.44763757142613</v>
      </c>
      <c r="Y371" s="83">
        <f t="shared" si="159"/>
        <v>324.91106669856896</v>
      </c>
      <c r="Z371" s="83">
        <f t="shared" si="159"/>
        <v>334.65839869952606</v>
      </c>
    </row>
    <row r="372" spans="1:26">
      <c r="A372" s="699"/>
      <c r="B372" s="61" t="s">
        <v>1171</v>
      </c>
      <c r="C372" s="61"/>
      <c r="D372" s="61"/>
      <c r="E372" s="61"/>
      <c r="F372" s="64">
        <f>+F371*365.25*F363</f>
        <v>0</v>
      </c>
      <c r="G372" s="64">
        <f t="shared" ref="G372:Z372" si="160">+G371*365.25*G363</f>
        <v>0</v>
      </c>
      <c r="H372" s="64">
        <f t="shared" si="160"/>
        <v>0</v>
      </c>
      <c r="I372" s="64">
        <f t="shared" si="160"/>
        <v>11122368.77797954</v>
      </c>
      <c r="J372" s="64">
        <f t="shared" si="160"/>
        <v>27255502.927740153</v>
      </c>
      <c r="K372" s="64">
        <f t="shared" si="160"/>
        <v>28613653.612508226</v>
      </c>
      <c r="L372" s="64">
        <f t="shared" si="160"/>
        <v>29472063.220883474</v>
      </c>
      <c r="M372" s="64">
        <f t="shared" si="160"/>
        <v>30356225.117509976</v>
      </c>
      <c r="N372" s="64">
        <f t="shared" si="160"/>
        <v>31266911.871035285</v>
      </c>
      <c r="O372" s="64">
        <f t="shared" si="160"/>
        <v>32204919.227166336</v>
      </c>
      <c r="P372" s="64">
        <f t="shared" si="160"/>
        <v>33171066.80398133</v>
      </c>
      <c r="Q372" s="64">
        <f t="shared" si="160"/>
        <v>34166198.808100767</v>
      </c>
      <c r="R372" s="64">
        <f t="shared" si="160"/>
        <v>35191184.772343792</v>
      </c>
      <c r="S372" s="64">
        <f t="shared" si="160"/>
        <v>36246920.31551411</v>
      </c>
      <c r="T372" s="64">
        <f t="shared" si="160"/>
        <v>37334327.924979538</v>
      </c>
      <c r="U372" s="64">
        <f t="shared" si="160"/>
        <v>38454357.762728922</v>
      </c>
      <c r="V372" s="64">
        <f t="shared" si="160"/>
        <v>39607988.495610788</v>
      </c>
      <c r="W372" s="64">
        <f t="shared" si="160"/>
        <v>40796228.150479116</v>
      </c>
      <c r="X372" s="64">
        <f t="shared" si="160"/>
        <v>42020114.994993493</v>
      </c>
      <c r="Y372" s="64">
        <f t="shared" si="160"/>
        <v>43280718.4448433</v>
      </c>
      <c r="Z372" s="64">
        <f t="shared" si="160"/>
        <v>44579139.998188607</v>
      </c>
    </row>
    <row r="373" spans="1:26">
      <c r="A373" s="699"/>
      <c r="B373" s="49"/>
      <c r="C373" s="49"/>
      <c r="D373" s="49"/>
      <c r="E373" s="49"/>
      <c r="F373" s="49"/>
      <c r="G373" s="49"/>
      <c r="H373" s="49"/>
      <c r="I373" s="49"/>
      <c r="J373" s="49"/>
      <c r="K373" s="49"/>
      <c r="L373" s="49"/>
      <c r="M373" s="49"/>
      <c r="N373" s="49"/>
      <c r="O373" s="49"/>
      <c r="P373" s="49"/>
      <c r="Q373" s="49"/>
      <c r="R373" s="49"/>
      <c r="S373" s="49"/>
      <c r="T373" s="49"/>
      <c r="U373" s="49"/>
      <c r="V373" s="49"/>
      <c r="W373" s="49"/>
      <c r="X373" s="49"/>
      <c r="Y373" s="49"/>
      <c r="Z373" s="49"/>
    </row>
    <row r="374" spans="1:26">
      <c r="A374" s="699"/>
      <c r="B374" s="699" t="s">
        <v>1172</v>
      </c>
      <c r="C374" s="49"/>
      <c r="D374" s="49"/>
      <c r="E374" s="49"/>
      <c r="F374" s="83">
        <f>+Assumptions!$H$177*'Phase 3 Pro Forma'!F367*'Phase 3 Pro Forma'!F364</f>
        <v>0</v>
      </c>
      <c r="G374" s="83">
        <f>+Assumptions!$H$177*'Phase 3 Pro Forma'!G367*'Phase 3 Pro Forma'!G364</f>
        <v>0</v>
      </c>
      <c r="H374" s="83">
        <f>+Assumptions!$H$177*'Phase 3 Pro Forma'!H367*'Phase 3 Pro Forma'!H364</f>
        <v>0</v>
      </c>
      <c r="I374" s="83">
        <f>+Assumptions!$H$177*'Phase 3 Pro Forma'!I367*'Phase 3 Pro Forma'!I364</f>
        <v>3853016.1200743602</v>
      </c>
      <c r="J374" s="83">
        <f>+Assumptions!$H$177*'Phase 3 Pro Forma'!J367*'Phase 3 Pro Forma'!J364</f>
        <v>7937213.2073531831</v>
      </c>
      <c r="K374" s="83">
        <f>+Assumptions!$H$177*'Phase 3 Pro Forma'!K367*'Phase 3 Pro Forma'!K364</f>
        <v>8175329.6035737777</v>
      </c>
      <c r="L374" s="83">
        <f>+Assumptions!$H$177*'Phase 3 Pro Forma'!L367*'Phase 3 Pro Forma'!L364</f>
        <v>8420589.4916809909</v>
      </c>
      <c r="M374" s="83">
        <f>+Assumptions!$H$177*'Phase 3 Pro Forma'!M367*'Phase 3 Pro Forma'!M364</f>
        <v>8673207.1764314212</v>
      </c>
      <c r="N374" s="83">
        <f>+Assumptions!$H$177*'Phase 3 Pro Forma'!N367*'Phase 3 Pro Forma'!N364</f>
        <v>8933403.3917243648</v>
      </c>
      <c r="O374" s="83">
        <f>+Assumptions!$H$177*'Phase 3 Pro Forma'!O367*'Phase 3 Pro Forma'!O364</f>
        <v>9201405.4934760965</v>
      </c>
      <c r="P374" s="83">
        <f>+Assumptions!$H$177*'Phase 3 Pro Forma'!P367*'Phase 3 Pro Forma'!P364</f>
        <v>9477447.6582803782</v>
      </c>
      <c r="Q374" s="83">
        <f>+Assumptions!$H$177*'Phase 3 Pro Forma'!Q367*'Phase 3 Pro Forma'!Q364</f>
        <v>9761771.0880287904</v>
      </c>
      <c r="R374" s="83">
        <f>+Assumptions!$H$177*'Phase 3 Pro Forma'!R367*'Phase 3 Pro Forma'!R364</f>
        <v>10054624.220669653</v>
      </c>
      <c r="S374" s="83">
        <f>+Assumptions!$H$177*'Phase 3 Pro Forma'!S367*'Phase 3 Pro Forma'!S364</f>
        <v>10356262.947289744</v>
      </c>
      <c r="T374" s="83">
        <f>+Assumptions!$H$177*'Phase 3 Pro Forma'!T367*'Phase 3 Pro Forma'!T364</f>
        <v>10666950.835708437</v>
      </c>
      <c r="U374" s="83">
        <f>+Assumptions!$H$177*'Phase 3 Pro Forma'!U367*'Phase 3 Pro Forma'!U364</f>
        <v>10986959.360779691</v>
      </c>
      <c r="V374" s="83">
        <f>+Assumptions!$H$177*'Phase 3 Pro Forma'!V367*'Phase 3 Pro Forma'!V364</f>
        <v>11316568.141603082</v>
      </c>
      <c r="W374" s="83">
        <f>+Assumptions!$H$177*'Phase 3 Pro Forma'!W367*'Phase 3 Pro Forma'!W364</f>
        <v>11656065.185851175</v>
      </c>
      <c r="X374" s="83">
        <f>+Assumptions!$H$177*'Phase 3 Pro Forma'!X367*'Phase 3 Pro Forma'!X364</f>
        <v>12005747.14142671</v>
      </c>
      <c r="Y374" s="83">
        <f>+Assumptions!$H$177*'Phase 3 Pro Forma'!Y367*'Phase 3 Pro Forma'!Y364</f>
        <v>12365919.555669513</v>
      </c>
      <c r="Z374" s="83">
        <f>+Assumptions!$H$177*'Phase 3 Pro Forma'!Z367*'Phase 3 Pro Forma'!Z364</f>
        <v>12736897.142339598</v>
      </c>
    </row>
    <row r="375" spans="1:26">
      <c r="A375" s="699"/>
      <c r="B375" s="61" t="s">
        <v>1173</v>
      </c>
      <c r="C375" s="61"/>
      <c r="D375" s="61"/>
      <c r="E375" s="61"/>
      <c r="F375" s="64">
        <f>+F372+F374</f>
        <v>0</v>
      </c>
      <c r="G375" s="64">
        <f t="shared" ref="G375:Z375" si="161">+G372+G374</f>
        <v>0</v>
      </c>
      <c r="H375" s="64">
        <f t="shared" si="161"/>
        <v>0</v>
      </c>
      <c r="I375" s="64">
        <f t="shared" si="161"/>
        <v>14975384.898053899</v>
      </c>
      <c r="J375" s="64">
        <f t="shared" si="161"/>
        <v>35192716.135093339</v>
      </c>
      <c r="K375" s="64">
        <f t="shared" si="161"/>
        <v>36788983.216082007</v>
      </c>
      <c r="L375" s="64">
        <f t="shared" si="161"/>
        <v>37892652.712564468</v>
      </c>
      <c r="M375" s="64">
        <f t="shared" si="161"/>
        <v>39029432.293941393</v>
      </c>
      <c r="N375" s="64">
        <f t="shared" si="161"/>
        <v>40200315.262759648</v>
      </c>
      <c r="O375" s="64">
        <f t="shared" si="161"/>
        <v>41406324.720642433</v>
      </c>
      <c r="P375" s="64">
        <f t="shared" si="161"/>
        <v>42648514.462261707</v>
      </c>
      <c r="Q375" s="64">
        <f t="shared" si="161"/>
        <v>43927969.896129556</v>
      </c>
      <c r="R375" s="64">
        <f t="shared" si="161"/>
        <v>45245808.993013442</v>
      </c>
      <c r="S375" s="64">
        <f t="shared" si="161"/>
        <v>46603183.262803853</v>
      </c>
      <c r="T375" s="64">
        <f t="shared" si="161"/>
        <v>48001278.760687977</v>
      </c>
      <c r="U375" s="64">
        <f t="shared" si="161"/>
        <v>49441317.123508617</v>
      </c>
      <c r="V375" s="64">
        <f t="shared" si="161"/>
        <v>50924556.637213871</v>
      </c>
      <c r="W375" s="64">
        <f t="shared" si="161"/>
        <v>52452293.336330295</v>
      </c>
      <c r="X375" s="64">
        <f t="shared" si="161"/>
        <v>54025862.136420205</v>
      </c>
      <c r="Y375" s="64">
        <f t="shared" si="161"/>
        <v>55646638.000512809</v>
      </c>
      <c r="Z375" s="64">
        <f t="shared" si="161"/>
        <v>57316037.140528202</v>
      </c>
    </row>
    <row r="376" spans="1:26">
      <c r="A376" s="699"/>
      <c r="B376" s="699"/>
      <c r="C376" s="49"/>
      <c r="D376" s="49"/>
      <c r="E376" s="49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>
      <c r="A377" s="699"/>
      <c r="B377" s="699" t="s">
        <v>1174</v>
      </c>
      <c r="C377" s="49"/>
      <c r="D377" s="49"/>
      <c r="E377" s="49"/>
      <c r="F377" s="83">
        <f>+Assumptions!$H$184*'Phase 3 Pro Forma'!F367*'Phase 3 Pro Forma'!F364</f>
        <v>0</v>
      </c>
      <c r="G377" s="83">
        <f>+Assumptions!$H$184*'Phase 3 Pro Forma'!G367*'Phase 3 Pro Forma'!G364</f>
        <v>0</v>
      </c>
      <c r="H377" s="83">
        <f>+Assumptions!$H$184*'Phase 3 Pro Forma'!H367*'Phase 3 Pro Forma'!H364</f>
        <v>0</v>
      </c>
      <c r="I377" s="83">
        <f>+Assumptions!$H$184*'Phase 3 Pro Forma'!I367*'Phase 3 Pro Forma'!I364</f>
        <v>524508.96</v>
      </c>
      <c r="J377" s="83">
        <f>+Assumptions!$H$184*'Phase 3 Pro Forma'!J367*'Phase 3 Pro Forma'!J364</f>
        <v>1080488.4576000001</v>
      </c>
      <c r="K377" s="83">
        <f>+Assumptions!$H$184*'Phase 3 Pro Forma'!K367*'Phase 3 Pro Forma'!K364</f>
        <v>1112903.111328</v>
      </c>
      <c r="L377" s="83">
        <f>+Assumptions!$H$184*'Phase 3 Pro Forma'!L367*'Phase 3 Pro Forma'!L364</f>
        <v>1146290.2046678402</v>
      </c>
      <c r="M377" s="83">
        <f>+Assumptions!$H$184*'Phase 3 Pro Forma'!M367*'Phase 3 Pro Forma'!M364</f>
        <v>1180678.9108078755</v>
      </c>
      <c r="N377" s="83">
        <f>+Assumptions!$H$184*'Phase 3 Pro Forma'!N367*'Phase 3 Pro Forma'!N364</f>
        <v>1216099.2781321118</v>
      </c>
      <c r="O377" s="83">
        <f>+Assumptions!$H$184*'Phase 3 Pro Forma'!O367*'Phase 3 Pro Forma'!O364</f>
        <v>1252582.2564760752</v>
      </c>
      <c r="P377" s="83">
        <f>+Assumptions!$H$184*'Phase 3 Pro Forma'!P367*'Phase 3 Pro Forma'!P364</f>
        <v>1290159.7241703572</v>
      </c>
      <c r="Q377" s="83">
        <f>+Assumptions!$H$184*'Phase 3 Pro Forma'!Q367*'Phase 3 Pro Forma'!Q364</f>
        <v>1328864.5158954682</v>
      </c>
      <c r="R377" s="83">
        <f>+Assumptions!$H$184*'Phase 3 Pro Forma'!R367*'Phase 3 Pro Forma'!R364</f>
        <v>1368730.4513723322</v>
      </c>
      <c r="S377" s="83">
        <f>+Assumptions!$H$184*'Phase 3 Pro Forma'!S367*'Phase 3 Pro Forma'!S364</f>
        <v>1409792.3649135022</v>
      </c>
      <c r="T377" s="83">
        <f>+Assumptions!$H$184*'Phase 3 Pro Forma'!T367*'Phase 3 Pro Forma'!T364</f>
        <v>1452086.1358609074</v>
      </c>
      <c r="U377" s="83">
        <f>+Assumptions!$H$184*'Phase 3 Pro Forma'!U367*'Phase 3 Pro Forma'!U364</f>
        <v>1495648.7199367348</v>
      </c>
      <c r="V377" s="83">
        <f>+Assumptions!$H$184*'Phase 3 Pro Forma'!V367*'Phase 3 Pro Forma'!V364</f>
        <v>1540518.1815348368</v>
      </c>
      <c r="W377" s="83">
        <f>+Assumptions!$H$184*'Phase 3 Pro Forma'!W367*'Phase 3 Pro Forma'!W364</f>
        <v>1586733.726980882</v>
      </c>
      <c r="X377" s="83">
        <f>+Assumptions!$H$184*'Phase 3 Pro Forma'!X367*'Phase 3 Pro Forma'!X364</f>
        <v>1634335.7387903084</v>
      </c>
      <c r="Y377" s="83">
        <f>+Assumptions!$H$184*'Phase 3 Pro Forma'!Y367*'Phase 3 Pro Forma'!Y364</f>
        <v>1683365.8109540178</v>
      </c>
      <c r="Z377" s="83">
        <f>+Assumptions!$H$184*'Phase 3 Pro Forma'!Z367*'Phase 3 Pro Forma'!Z364</f>
        <v>1733866.7852826384</v>
      </c>
    </row>
    <row r="378" spans="1:26">
      <c r="A378" s="699" t="s">
        <v>511</v>
      </c>
      <c r="B378" s="61" t="s">
        <v>1175</v>
      </c>
      <c r="C378" s="61"/>
      <c r="D378" s="61"/>
      <c r="E378" s="61"/>
      <c r="F378" s="64">
        <f>+F375+F377</f>
        <v>0</v>
      </c>
      <c r="G378" s="64">
        <f t="shared" ref="G378:Z378" si="162">+G375+G377</f>
        <v>0</v>
      </c>
      <c r="H378" s="64">
        <f t="shared" si="162"/>
        <v>0</v>
      </c>
      <c r="I378" s="64">
        <f t="shared" si="162"/>
        <v>15499893.8580539</v>
      </c>
      <c r="J378" s="64">
        <f t="shared" si="162"/>
        <v>36273204.592693336</v>
      </c>
      <c r="K378" s="64">
        <f t="shared" si="162"/>
        <v>37901886.327410005</v>
      </c>
      <c r="L378" s="64">
        <f t="shared" si="162"/>
        <v>39038942.917232305</v>
      </c>
      <c r="M378" s="64">
        <f t="shared" si="162"/>
        <v>40210111.204749271</v>
      </c>
      <c r="N378" s="64">
        <f t="shared" si="162"/>
        <v>41416414.540891759</v>
      </c>
      <c r="O378" s="64">
        <f t="shared" si="162"/>
        <v>42658906.977118507</v>
      </c>
      <c r="P378" s="64">
        <f t="shared" si="162"/>
        <v>43938674.186432064</v>
      </c>
      <c r="Q378" s="64">
        <f t="shared" si="162"/>
        <v>45256834.412025027</v>
      </c>
      <c r="R378" s="64">
        <f t="shared" si="162"/>
        <v>46614539.444385774</v>
      </c>
      <c r="S378" s="64">
        <f t="shared" si="162"/>
        <v>48012975.627717353</v>
      </c>
      <c r="T378" s="64">
        <f t="shared" si="162"/>
        <v>49453364.896548882</v>
      </c>
      <c r="U378" s="64">
        <f t="shared" si="162"/>
        <v>50936965.843445353</v>
      </c>
      <c r="V378" s="64">
        <f t="shared" si="162"/>
        <v>52465074.818748705</v>
      </c>
      <c r="W378" s="64">
        <f t="shared" si="162"/>
        <v>54039027.063311175</v>
      </c>
      <c r="X378" s="64">
        <f t="shared" si="162"/>
        <v>55660197.875210516</v>
      </c>
      <c r="Y378" s="64">
        <f t="shared" si="162"/>
        <v>57330003.811466828</v>
      </c>
      <c r="Z378" s="64">
        <f t="shared" si="162"/>
        <v>59049903.925810844</v>
      </c>
    </row>
    <row r="379" spans="1:26">
      <c r="A379" s="699"/>
      <c r="B379" s="49"/>
      <c r="C379" s="49"/>
      <c r="D379" s="49"/>
      <c r="E379" s="49"/>
      <c r="F379" s="49"/>
      <c r="G379" s="49"/>
      <c r="H379" s="49"/>
      <c r="I379" s="49"/>
      <c r="J379" s="49"/>
      <c r="K379" s="49"/>
      <c r="L379" s="49"/>
      <c r="M379" s="49"/>
      <c r="N379" s="49"/>
      <c r="O379" s="49"/>
      <c r="P379" s="49"/>
      <c r="Q379" s="49"/>
      <c r="R379" s="49"/>
      <c r="S379" s="49"/>
      <c r="T379" s="49"/>
      <c r="U379" s="49"/>
      <c r="V379" s="49"/>
      <c r="W379" s="49"/>
      <c r="X379" s="49"/>
      <c r="Y379" s="49"/>
      <c r="Z379" s="49"/>
    </row>
    <row r="380" spans="1:26">
      <c r="A380" s="699"/>
      <c r="B380" s="114" t="s">
        <v>1176</v>
      </c>
      <c r="C380" s="49"/>
      <c r="D380" s="49"/>
      <c r="E380" s="49"/>
      <c r="F380" s="49"/>
      <c r="G380" s="49"/>
      <c r="H380" s="49"/>
      <c r="I380" s="49"/>
      <c r="J380" s="49"/>
      <c r="K380" s="49"/>
      <c r="L380" s="49"/>
      <c r="M380" s="49"/>
      <c r="N380" s="49"/>
      <c r="O380" s="49"/>
      <c r="P380" s="49"/>
      <c r="Q380" s="49"/>
      <c r="R380" s="49"/>
      <c r="S380" s="49"/>
      <c r="T380" s="49"/>
      <c r="U380" s="49"/>
      <c r="V380" s="49"/>
      <c r="W380" s="49"/>
      <c r="X380" s="49"/>
      <c r="Y380" s="49"/>
      <c r="Z380" s="49"/>
    </row>
    <row r="381" spans="1:26">
      <c r="A381" s="699"/>
      <c r="B381" s="115" t="s">
        <v>641</v>
      </c>
      <c r="C381" s="49"/>
      <c r="D381" s="79">
        <f>+Assumptions!M116</f>
        <v>0.223</v>
      </c>
      <c r="E381" s="79"/>
      <c r="F381" s="83">
        <f>+$D381*F$372</f>
        <v>0</v>
      </c>
      <c r="G381" s="83">
        <f t="shared" ref="G381:Z381" si="163">+$D381*G$372</f>
        <v>0</v>
      </c>
      <c r="H381" s="83">
        <f t="shared" si="163"/>
        <v>0</v>
      </c>
      <c r="I381" s="83">
        <f t="shared" si="163"/>
        <v>2480288.2374894372</v>
      </c>
      <c r="J381" s="83">
        <f t="shared" si="163"/>
        <v>6077977.1528860545</v>
      </c>
      <c r="K381" s="83">
        <f t="shared" si="163"/>
        <v>6380844.7555893343</v>
      </c>
      <c r="L381" s="83">
        <f t="shared" si="163"/>
        <v>6572270.0982570145</v>
      </c>
      <c r="M381" s="83">
        <f t="shared" si="163"/>
        <v>6769438.2012047246</v>
      </c>
      <c r="N381" s="83">
        <f t="shared" si="163"/>
        <v>6972521.347240869</v>
      </c>
      <c r="O381" s="83">
        <f t="shared" si="163"/>
        <v>7181696.9876580928</v>
      </c>
      <c r="P381" s="83">
        <f t="shared" si="163"/>
        <v>7397147.8972878372</v>
      </c>
      <c r="Q381" s="83">
        <f t="shared" si="163"/>
        <v>7619062.3342064712</v>
      </c>
      <c r="R381" s="83">
        <f t="shared" si="163"/>
        <v>7847634.2042326657</v>
      </c>
      <c r="S381" s="83">
        <f t="shared" si="163"/>
        <v>8083063.2303596465</v>
      </c>
      <c r="T381" s="83">
        <f t="shared" si="163"/>
        <v>8325555.1272704368</v>
      </c>
      <c r="U381" s="83">
        <f t="shared" si="163"/>
        <v>8575321.7810885496</v>
      </c>
      <c r="V381" s="83">
        <f t="shared" si="163"/>
        <v>8832581.4345212057</v>
      </c>
      <c r="W381" s="83">
        <f t="shared" si="163"/>
        <v>9097558.8775568437</v>
      </c>
      <c r="X381" s="83">
        <f t="shared" si="163"/>
        <v>9370485.6438835487</v>
      </c>
      <c r="Y381" s="83">
        <f t="shared" si="163"/>
        <v>9651600.2132000551</v>
      </c>
      <c r="Z381" s="83">
        <f t="shared" si="163"/>
        <v>9941148.21959606</v>
      </c>
    </row>
    <row r="382" spans="1:26">
      <c r="A382" s="699"/>
      <c r="B382" s="115" t="s">
        <v>642</v>
      </c>
      <c r="C382" s="49"/>
      <c r="D382" s="79">
        <f>+Assumptions!M117</f>
        <v>0.90200000000000002</v>
      </c>
      <c r="E382" s="79"/>
      <c r="F382" s="90">
        <f>+$D382*F$374</f>
        <v>0</v>
      </c>
      <c r="G382" s="90">
        <f t="shared" ref="G382:Z382" si="164">+$D382*G$374</f>
        <v>0</v>
      </c>
      <c r="H382" s="90">
        <f t="shared" si="164"/>
        <v>0</v>
      </c>
      <c r="I382" s="90">
        <f t="shared" si="164"/>
        <v>3475420.5403070729</v>
      </c>
      <c r="J382" s="90">
        <f t="shared" si="164"/>
        <v>7159366.3130325712</v>
      </c>
      <c r="K382" s="90">
        <f t="shared" si="164"/>
        <v>7374147.302423548</v>
      </c>
      <c r="L382" s="90">
        <f t="shared" si="164"/>
        <v>7595371.7214962542</v>
      </c>
      <c r="M382" s="90">
        <f t="shared" si="164"/>
        <v>7823232.8731411425</v>
      </c>
      <c r="N382" s="90">
        <f t="shared" si="164"/>
        <v>8057929.8593353769</v>
      </c>
      <c r="O382" s="90">
        <f t="shared" si="164"/>
        <v>8299667.7551154392</v>
      </c>
      <c r="P382" s="90">
        <f t="shared" si="164"/>
        <v>8548657.7877689023</v>
      </c>
      <c r="Q382" s="90">
        <f t="shared" si="164"/>
        <v>8805117.5214019697</v>
      </c>
      <c r="R382" s="90">
        <f t="shared" si="164"/>
        <v>9069271.0470440276</v>
      </c>
      <c r="S382" s="90">
        <f t="shared" si="164"/>
        <v>9341349.1784553491</v>
      </c>
      <c r="T382" s="90">
        <f t="shared" si="164"/>
        <v>9621589.653809011</v>
      </c>
      <c r="U382" s="90">
        <f t="shared" si="164"/>
        <v>9910237.3434232827</v>
      </c>
      <c r="V382" s="90">
        <f t="shared" si="164"/>
        <v>10207544.46372598</v>
      </c>
      <c r="W382" s="90">
        <f t="shared" si="164"/>
        <v>10513770.797637761</v>
      </c>
      <c r="X382" s="90">
        <f t="shared" si="164"/>
        <v>10829183.921566892</v>
      </c>
      <c r="Y382" s="90">
        <f t="shared" si="164"/>
        <v>11154059.4392139</v>
      </c>
      <c r="Z382" s="90">
        <f t="shared" si="164"/>
        <v>11488681.222390318</v>
      </c>
    </row>
    <row r="383" spans="1:26">
      <c r="A383" s="699"/>
      <c r="B383" s="114" t="s">
        <v>1177</v>
      </c>
      <c r="C383" s="49"/>
      <c r="D383" s="49"/>
      <c r="E383" s="49"/>
      <c r="F383" s="49"/>
      <c r="G383" s="49"/>
      <c r="H383" s="49"/>
      <c r="I383" s="49"/>
      <c r="J383" s="49"/>
      <c r="K383" s="49"/>
      <c r="L383" s="49"/>
      <c r="M383" s="49"/>
      <c r="N383" s="49"/>
      <c r="O383" s="49"/>
      <c r="P383" s="49"/>
      <c r="Q383" s="49"/>
      <c r="R383" s="49"/>
      <c r="S383" s="49"/>
      <c r="T383" s="49"/>
      <c r="U383" s="49"/>
      <c r="V383" s="49"/>
      <c r="W383" s="49"/>
      <c r="X383" s="49"/>
      <c r="Y383" s="49"/>
      <c r="Z383" s="49"/>
    </row>
    <row r="384" spans="1:26">
      <c r="A384" s="699"/>
      <c r="B384" s="115" t="s">
        <v>644</v>
      </c>
      <c r="C384" s="49"/>
      <c r="D384" s="79">
        <f>+Assumptions!M119</f>
        <v>8.7999999999999995E-2</v>
      </c>
      <c r="E384" s="79"/>
      <c r="F384" s="90">
        <f>+$D384*F$375</f>
        <v>0</v>
      </c>
      <c r="G384" s="90">
        <f t="shared" ref="G384:Z390" si="165">+$D384*G$375</f>
        <v>0</v>
      </c>
      <c r="H384" s="90">
        <f t="shared" si="165"/>
        <v>0</v>
      </c>
      <c r="I384" s="90">
        <f t="shared" si="165"/>
        <v>1317833.871028743</v>
      </c>
      <c r="J384" s="90">
        <f t="shared" si="165"/>
        <v>3096959.0198882138</v>
      </c>
      <c r="K384" s="90">
        <f t="shared" si="165"/>
        <v>3237430.5230152165</v>
      </c>
      <c r="L384" s="90">
        <f t="shared" si="165"/>
        <v>3334553.438705673</v>
      </c>
      <c r="M384" s="90">
        <f t="shared" si="165"/>
        <v>3434590.0418668427</v>
      </c>
      <c r="N384" s="90">
        <f t="shared" si="165"/>
        <v>3537627.7431228487</v>
      </c>
      <c r="O384" s="90">
        <f t="shared" si="165"/>
        <v>3643756.5754165337</v>
      </c>
      <c r="P384" s="90">
        <f t="shared" si="165"/>
        <v>3753069.27267903</v>
      </c>
      <c r="Q384" s="90">
        <f t="shared" si="165"/>
        <v>3865661.3508594008</v>
      </c>
      <c r="R384" s="90">
        <f t="shared" si="165"/>
        <v>3981631.1913851826</v>
      </c>
      <c r="S384" s="90">
        <f t="shared" si="165"/>
        <v>4101080.1271267389</v>
      </c>
      <c r="T384" s="90">
        <f t="shared" si="165"/>
        <v>4224112.530940542</v>
      </c>
      <c r="U384" s="90">
        <f t="shared" si="165"/>
        <v>4350835.9068687577</v>
      </c>
      <c r="V384" s="90">
        <f t="shared" si="165"/>
        <v>4481360.9840748208</v>
      </c>
      <c r="W384" s="90">
        <f t="shared" si="165"/>
        <v>4615801.8135970654</v>
      </c>
      <c r="X384" s="90">
        <f t="shared" si="165"/>
        <v>4754275.8680049777</v>
      </c>
      <c r="Y384" s="90">
        <f t="shared" si="165"/>
        <v>4896904.1440451266</v>
      </c>
      <c r="Z384" s="90">
        <f t="shared" si="165"/>
        <v>5043811.2683664812</v>
      </c>
    </row>
    <row r="385" spans="2:26">
      <c r="B385" s="115" t="s">
        <v>645</v>
      </c>
      <c r="C385" s="49"/>
      <c r="D385" s="79">
        <f>+Assumptions!M120</f>
        <v>1.4999999999999999E-2</v>
      </c>
      <c r="E385" s="79"/>
      <c r="F385" s="90">
        <f t="shared" ref="F385:U390" si="166">+$D385*F$375</f>
        <v>0</v>
      </c>
      <c r="G385" s="90">
        <f t="shared" si="166"/>
        <v>0</v>
      </c>
      <c r="H385" s="90">
        <f t="shared" si="166"/>
        <v>0</v>
      </c>
      <c r="I385" s="90">
        <f t="shared" si="166"/>
        <v>224630.77347080849</v>
      </c>
      <c r="J385" s="90">
        <f t="shared" si="166"/>
        <v>527890.74202640005</v>
      </c>
      <c r="K385" s="90">
        <f t="shared" si="166"/>
        <v>551834.74824123003</v>
      </c>
      <c r="L385" s="90">
        <f t="shared" si="166"/>
        <v>568389.79068846698</v>
      </c>
      <c r="M385" s="90">
        <f t="shared" si="166"/>
        <v>585441.48440912087</v>
      </c>
      <c r="N385" s="90">
        <f t="shared" si="166"/>
        <v>603004.72894139471</v>
      </c>
      <c r="O385" s="90">
        <f t="shared" si="166"/>
        <v>621094.87080963643</v>
      </c>
      <c r="P385" s="90">
        <f t="shared" si="166"/>
        <v>639727.71693392552</v>
      </c>
      <c r="Q385" s="90">
        <f t="shared" si="166"/>
        <v>658919.54844194336</v>
      </c>
      <c r="R385" s="90">
        <f t="shared" si="166"/>
        <v>678687.13489520166</v>
      </c>
      <c r="S385" s="90">
        <f t="shared" si="166"/>
        <v>699047.74894205772</v>
      </c>
      <c r="T385" s="90">
        <f t="shared" si="166"/>
        <v>720019.18141031964</v>
      </c>
      <c r="U385" s="90">
        <f t="shared" si="166"/>
        <v>741619.75685262925</v>
      </c>
      <c r="V385" s="90">
        <f t="shared" si="165"/>
        <v>763868.34955820802</v>
      </c>
      <c r="W385" s="90">
        <f t="shared" si="165"/>
        <v>786784.40004495438</v>
      </c>
      <c r="X385" s="90">
        <f t="shared" si="165"/>
        <v>810387.93204630306</v>
      </c>
      <c r="Y385" s="90">
        <f t="shared" si="165"/>
        <v>834699.57000769209</v>
      </c>
      <c r="Z385" s="90">
        <f t="shared" si="165"/>
        <v>859740.55710792297</v>
      </c>
    </row>
    <row r="386" spans="2:26">
      <c r="B386" s="115" t="s">
        <v>646</v>
      </c>
      <c r="C386" s="49"/>
      <c r="D386" s="79">
        <f>+Assumptions!M121</f>
        <v>5.2999999999999999E-2</v>
      </c>
      <c r="E386" s="79"/>
      <c r="F386" s="90">
        <f t="shared" si="166"/>
        <v>0</v>
      </c>
      <c r="G386" s="90">
        <f t="shared" si="165"/>
        <v>0</v>
      </c>
      <c r="H386" s="90">
        <f t="shared" si="165"/>
        <v>0</v>
      </c>
      <c r="I386" s="90">
        <f t="shared" si="165"/>
        <v>793695.39959685667</v>
      </c>
      <c r="J386" s="90">
        <f t="shared" si="165"/>
        <v>1865213.9551599468</v>
      </c>
      <c r="K386" s="90">
        <f t="shared" si="165"/>
        <v>1949816.1104523463</v>
      </c>
      <c r="L386" s="90">
        <f t="shared" si="165"/>
        <v>2008310.5937659168</v>
      </c>
      <c r="M386" s="90">
        <f t="shared" si="165"/>
        <v>2068559.9115788939</v>
      </c>
      <c r="N386" s="90">
        <f t="shared" si="165"/>
        <v>2130616.7089262614</v>
      </c>
      <c r="O386" s="90">
        <f t="shared" si="165"/>
        <v>2194535.2101940489</v>
      </c>
      <c r="P386" s="90">
        <f t="shared" si="165"/>
        <v>2260371.2664998705</v>
      </c>
      <c r="Q386" s="90">
        <f t="shared" si="165"/>
        <v>2328182.4044948663</v>
      </c>
      <c r="R386" s="90">
        <f t="shared" si="165"/>
        <v>2398027.8766297125</v>
      </c>
      <c r="S386" s="90">
        <f t="shared" si="165"/>
        <v>2469968.7129286043</v>
      </c>
      <c r="T386" s="90">
        <f t="shared" si="165"/>
        <v>2544067.7743164627</v>
      </c>
      <c r="U386" s="90">
        <f t="shared" si="165"/>
        <v>2620389.8075459567</v>
      </c>
      <c r="V386" s="90">
        <f t="shared" si="165"/>
        <v>2699001.5017723353</v>
      </c>
      <c r="W386" s="90">
        <f t="shared" si="165"/>
        <v>2779971.5468255053</v>
      </c>
      <c r="X386" s="90">
        <f t="shared" si="165"/>
        <v>2863370.6932302709</v>
      </c>
      <c r="Y386" s="90">
        <f t="shared" si="165"/>
        <v>2949271.8140271786</v>
      </c>
      <c r="Z386" s="90">
        <f t="shared" si="165"/>
        <v>3037749.9684479944</v>
      </c>
    </row>
    <row r="387" spans="2:26">
      <c r="B387" s="115" t="s">
        <v>648</v>
      </c>
      <c r="C387" s="49"/>
      <c r="D387" s="79">
        <f>+Assumptions!M122</f>
        <v>4.8000000000000001E-2</v>
      </c>
      <c r="E387" s="79"/>
      <c r="F387" s="90">
        <f t="shared" si="166"/>
        <v>0</v>
      </c>
      <c r="G387" s="90">
        <f t="shared" si="165"/>
        <v>0</v>
      </c>
      <c r="H387" s="90">
        <f t="shared" si="165"/>
        <v>0</v>
      </c>
      <c r="I387" s="90">
        <f t="shared" si="165"/>
        <v>718818.47510658717</v>
      </c>
      <c r="J387" s="90">
        <f t="shared" si="165"/>
        <v>1689250.3744844804</v>
      </c>
      <c r="K387" s="90">
        <f t="shared" si="165"/>
        <v>1765871.1943719364</v>
      </c>
      <c r="L387" s="90">
        <f t="shared" si="165"/>
        <v>1818847.3302030945</v>
      </c>
      <c r="M387" s="90">
        <f t="shared" si="165"/>
        <v>1873412.7501091869</v>
      </c>
      <c r="N387" s="90">
        <f t="shared" si="165"/>
        <v>1929615.1326124631</v>
      </c>
      <c r="O387" s="90">
        <f t="shared" si="165"/>
        <v>1987503.5865908368</v>
      </c>
      <c r="P387" s="90">
        <f t="shared" si="165"/>
        <v>2047128.694188562</v>
      </c>
      <c r="Q387" s="90">
        <f t="shared" si="165"/>
        <v>2108542.5550142187</v>
      </c>
      <c r="R387" s="90">
        <f t="shared" si="165"/>
        <v>2171798.8316646451</v>
      </c>
      <c r="S387" s="90">
        <f t="shared" si="165"/>
        <v>2236952.796614585</v>
      </c>
      <c r="T387" s="90">
        <f t="shared" si="165"/>
        <v>2304061.3805130231</v>
      </c>
      <c r="U387" s="90">
        <f t="shared" si="165"/>
        <v>2373183.2219284135</v>
      </c>
      <c r="V387" s="90">
        <f t="shared" si="165"/>
        <v>2444378.718586266</v>
      </c>
      <c r="W387" s="90">
        <f t="shared" si="165"/>
        <v>2517710.080143854</v>
      </c>
      <c r="X387" s="90">
        <f t="shared" si="165"/>
        <v>2593241.3825481697</v>
      </c>
      <c r="Y387" s="90">
        <f t="shared" si="165"/>
        <v>2671038.6240246147</v>
      </c>
      <c r="Z387" s="90">
        <f t="shared" si="165"/>
        <v>2751169.7827453539</v>
      </c>
    </row>
    <row r="388" spans="2:26">
      <c r="B388" s="115" t="s">
        <v>650</v>
      </c>
      <c r="C388" s="49"/>
      <c r="D388" s="79">
        <f>+Assumptions!M123</f>
        <v>2.5999999999999999E-2</v>
      </c>
      <c r="E388" s="79"/>
      <c r="F388" s="90">
        <f t="shared" si="166"/>
        <v>0</v>
      </c>
      <c r="G388" s="90">
        <f t="shared" si="165"/>
        <v>0</v>
      </c>
      <c r="H388" s="90">
        <f t="shared" si="165"/>
        <v>0</v>
      </c>
      <c r="I388" s="90">
        <f t="shared" si="165"/>
        <v>389360.00734940136</v>
      </c>
      <c r="J388" s="90">
        <f t="shared" si="165"/>
        <v>915010.61951242678</v>
      </c>
      <c r="K388" s="90">
        <f t="shared" si="165"/>
        <v>956513.56361813215</v>
      </c>
      <c r="L388" s="90">
        <f t="shared" si="165"/>
        <v>985208.97052667616</v>
      </c>
      <c r="M388" s="90">
        <f t="shared" si="165"/>
        <v>1014765.2396424762</v>
      </c>
      <c r="N388" s="90">
        <f t="shared" si="165"/>
        <v>1045208.1968317508</v>
      </c>
      <c r="O388" s="90">
        <f t="shared" si="165"/>
        <v>1076564.4427367032</v>
      </c>
      <c r="P388" s="90">
        <f t="shared" si="165"/>
        <v>1108861.3760188043</v>
      </c>
      <c r="Q388" s="90">
        <f t="shared" si="165"/>
        <v>1142127.2172993685</v>
      </c>
      <c r="R388" s="90">
        <f t="shared" si="165"/>
        <v>1176391.0338183495</v>
      </c>
      <c r="S388" s="90">
        <f t="shared" si="165"/>
        <v>1211682.7648329001</v>
      </c>
      <c r="T388" s="90">
        <f t="shared" si="165"/>
        <v>1248033.2477778874</v>
      </c>
      <c r="U388" s="90">
        <f t="shared" si="165"/>
        <v>1285474.2452112241</v>
      </c>
      <c r="V388" s="90">
        <f t="shared" si="165"/>
        <v>1324038.4725675606</v>
      </c>
      <c r="W388" s="90">
        <f t="shared" si="165"/>
        <v>1363759.6267445877</v>
      </c>
      <c r="X388" s="90">
        <f t="shared" si="165"/>
        <v>1404672.4155469253</v>
      </c>
      <c r="Y388" s="90">
        <f t="shared" si="165"/>
        <v>1446812.588013333</v>
      </c>
      <c r="Z388" s="90">
        <f t="shared" si="165"/>
        <v>1490216.9656537331</v>
      </c>
    </row>
    <row r="389" spans="2:26">
      <c r="B389" s="115" t="s">
        <v>651</v>
      </c>
      <c r="C389" s="49"/>
      <c r="D389" s="79">
        <f>+Assumptions!M124</f>
        <v>2.4E-2</v>
      </c>
      <c r="E389" s="79"/>
      <c r="F389" s="90">
        <f t="shared" si="166"/>
        <v>0</v>
      </c>
      <c r="G389" s="90">
        <f t="shared" si="165"/>
        <v>0</v>
      </c>
      <c r="H389" s="90">
        <f t="shared" si="165"/>
        <v>0</v>
      </c>
      <c r="I389" s="90">
        <f t="shared" si="165"/>
        <v>359409.23755329358</v>
      </c>
      <c r="J389" s="90">
        <f t="shared" si="165"/>
        <v>844625.18724224018</v>
      </c>
      <c r="K389" s="90">
        <f t="shared" si="165"/>
        <v>882935.59718596819</v>
      </c>
      <c r="L389" s="90">
        <f t="shared" si="165"/>
        <v>909423.66510154726</v>
      </c>
      <c r="M389" s="90">
        <f t="shared" si="165"/>
        <v>936706.37505459343</v>
      </c>
      <c r="N389" s="90">
        <f t="shared" si="165"/>
        <v>964807.56630623154</v>
      </c>
      <c r="O389" s="90">
        <f t="shared" si="165"/>
        <v>993751.79329541838</v>
      </c>
      <c r="P389" s="90">
        <f t="shared" si="165"/>
        <v>1023564.347094281</v>
      </c>
      <c r="Q389" s="90">
        <f t="shared" si="165"/>
        <v>1054271.2775071093</v>
      </c>
      <c r="R389" s="90">
        <f t="shared" si="165"/>
        <v>1085899.4158323226</v>
      </c>
      <c r="S389" s="90">
        <f t="shared" si="165"/>
        <v>1118476.3983072925</v>
      </c>
      <c r="T389" s="90">
        <f t="shared" si="165"/>
        <v>1152030.6902565116</v>
      </c>
      <c r="U389" s="90">
        <f t="shared" si="165"/>
        <v>1186591.6109642067</v>
      </c>
      <c r="V389" s="90">
        <f t="shared" si="165"/>
        <v>1222189.359293133</v>
      </c>
      <c r="W389" s="90">
        <f t="shared" si="165"/>
        <v>1258855.040071927</v>
      </c>
      <c r="X389" s="90">
        <f t="shared" si="165"/>
        <v>1296620.6912740848</v>
      </c>
      <c r="Y389" s="90">
        <f t="shared" si="165"/>
        <v>1335519.3120123073</v>
      </c>
      <c r="Z389" s="90">
        <f t="shared" si="165"/>
        <v>1375584.8913726769</v>
      </c>
    </row>
    <row r="390" spans="2:26">
      <c r="B390" s="115" t="s">
        <v>652</v>
      </c>
      <c r="C390" s="49"/>
      <c r="D390" s="79">
        <f>+Assumptions!M125</f>
        <v>5.0000000000000001E-3</v>
      </c>
      <c r="E390" s="79"/>
      <c r="F390" s="90">
        <f t="shared" si="166"/>
        <v>0</v>
      </c>
      <c r="G390" s="90">
        <f t="shared" si="165"/>
        <v>0</v>
      </c>
      <c r="H390" s="90">
        <f t="shared" si="165"/>
        <v>0</v>
      </c>
      <c r="I390" s="90">
        <f t="shared" si="165"/>
        <v>74876.924490269492</v>
      </c>
      <c r="J390" s="90">
        <f t="shared" si="165"/>
        <v>175963.58067546668</v>
      </c>
      <c r="K390" s="90">
        <f t="shared" si="165"/>
        <v>183944.91608041004</v>
      </c>
      <c r="L390" s="90">
        <f t="shared" si="165"/>
        <v>189463.26356282234</v>
      </c>
      <c r="M390" s="90">
        <f t="shared" si="165"/>
        <v>195147.16146970697</v>
      </c>
      <c r="N390" s="90">
        <f t="shared" si="165"/>
        <v>201001.57631379826</v>
      </c>
      <c r="O390" s="90">
        <f t="shared" si="165"/>
        <v>207031.62360321218</v>
      </c>
      <c r="P390" s="90">
        <f t="shared" si="165"/>
        <v>213242.57231130853</v>
      </c>
      <c r="Q390" s="90">
        <f t="shared" si="165"/>
        <v>219639.8494806478</v>
      </c>
      <c r="R390" s="90">
        <f t="shared" si="165"/>
        <v>226229.04496506721</v>
      </c>
      <c r="S390" s="90">
        <f t="shared" si="165"/>
        <v>233015.91631401927</v>
      </c>
      <c r="T390" s="90">
        <f t="shared" si="165"/>
        <v>240006.39380343989</v>
      </c>
      <c r="U390" s="90">
        <f t="shared" si="165"/>
        <v>247206.58561754308</v>
      </c>
      <c r="V390" s="90">
        <f t="shared" si="165"/>
        <v>254622.78318606937</v>
      </c>
      <c r="W390" s="90">
        <f t="shared" si="165"/>
        <v>262261.46668165148</v>
      </c>
      <c r="X390" s="90">
        <f t="shared" si="165"/>
        <v>270129.31068210106</v>
      </c>
      <c r="Y390" s="90">
        <f t="shared" si="165"/>
        <v>278233.19000256405</v>
      </c>
      <c r="Z390" s="90">
        <f t="shared" si="165"/>
        <v>286580.18570264103</v>
      </c>
    </row>
    <row r="391" spans="2:26">
      <c r="B391" s="758" t="s">
        <v>1133</v>
      </c>
      <c r="C391" s="49"/>
      <c r="D391" s="153">
        <f ca="1">+SUM(F391:Z391)/SUM(F375:Z375)</f>
        <v>5.0549574522667083E-2</v>
      </c>
      <c r="E391" s="91"/>
      <c r="F391" s="1050">
        <f ca="1">+IFERROR(INDEX('Taxes and TIF'!$AS$11:$AS$45,MATCH('Phase 3 Pro Forma'!F$7,'Taxes and TIF'!$AH$11:$AH$45,0)),0)*'Loan Sizing'!$M$50*'Phase 3 Pro Forma'!F364</f>
        <v>0</v>
      </c>
      <c r="G391" s="1050">
        <f ca="1">+IFERROR(INDEX('Taxes and TIF'!$AS$11:$AS$45,MATCH('Phase 3 Pro Forma'!G$7,'Taxes and TIF'!$AH$11:$AH$45,0)),0)*'Loan Sizing'!$M$50*'Phase 3 Pro Forma'!G364</f>
        <v>0</v>
      </c>
      <c r="H391" s="1050">
        <f ca="1">+IFERROR(INDEX('Taxes and TIF'!$AS$11:$AS$45,MATCH('Phase 3 Pro Forma'!H$7,'Taxes and TIF'!$AH$11:$AH$45,0)),0)*'Loan Sizing'!$M$50*'Phase 3 Pro Forma'!H364</f>
        <v>0</v>
      </c>
      <c r="I391" s="1050">
        <f ca="1">+IFERROR(INDEX('Taxes and TIF'!$AS$11:$AS$45,MATCH('Phase 3 Pro Forma'!I$7,'Taxes and TIF'!$AH$11:$AH$45,0)),0)*'Loan Sizing'!$M$50*'Phase 3 Pro Forma'!I364</f>
        <v>1037173.5563839261</v>
      </c>
      <c r="J391" s="1050">
        <f ca="1">+IFERROR(INDEX('Taxes and TIF'!$AS$11:$AS$45,MATCH('Phase 3 Pro Forma'!J$7,'Taxes and TIF'!$AH$11:$AH$45,0)),0)*'Loan Sizing'!$M$50*'Phase 3 Pro Forma'!J364</f>
        <v>2136577.5261508874</v>
      </c>
      <c r="K391" s="1050">
        <f ca="1">+IFERROR(INDEX('Taxes and TIF'!$AS$11:$AS$45,MATCH('Phase 3 Pro Forma'!K$7,'Taxes and TIF'!$AH$11:$AH$45,0)),0)*'Loan Sizing'!$M$50*'Phase 3 Pro Forma'!K364</f>
        <v>2136577.5261508874</v>
      </c>
      <c r="L391" s="1050">
        <f ca="1">+IFERROR(INDEX('Taxes and TIF'!$AS$11:$AS$45,MATCH('Phase 3 Pro Forma'!L$7,'Taxes and TIF'!$AH$11:$AH$45,0)),0)*'Loan Sizing'!$M$50*'Phase 3 Pro Forma'!L364</f>
        <v>2136577.5261508874</v>
      </c>
      <c r="M391" s="1050">
        <f ca="1">+IFERROR(INDEX('Taxes and TIF'!$AS$11:$AS$45,MATCH('Phase 3 Pro Forma'!M$7,'Taxes and TIF'!$AH$11:$AH$45,0)),0)*'Loan Sizing'!$M$50*'Phase 3 Pro Forma'!M364</f>
        <v>2200674.8519354141</v>
      </c>
      <c r="N391" s="1050">
        <f ca="1">+IFERROR(INDEX('Taxes and TIF'!$AS$11:$AS$45,MATCH('Phase 3 Pro Forma'!N$7,'Taxes and TIF'!$AH$11:$AH$45,0)),0)*'Loan Sizing'!$M$50*'Phase 3 Pro Forma'!N364</f>
        <v>2200674.8519354141</v>
      </c>
      <c r="O391" s="1050">
        <f ca="1">+IFERROR(INDEX('Taxes and TIF'!$AS$11:$AS$45,MATCH('Phase 3 Pro Forma'!O$7,'Taxes and TIF'!$AH$11:$AH$45,0)),0)*'Loan Sizing'!$M$50*'Phase 3 Pro Forma'!O364</f>
        <v>2200674.8519354141</v>
      </c>
      <c r="P391" s="1050">
        <f ca="1">+IFERROR(INDEX('Taxes and TIF'!$AS$11:$AS$45,MATCH('Phase 3 Pro Forma'!P$7,'Taxes and TIF'!$AH$11:$AH$45,0)),0)*'Loan Sizing'!$M$50*'Phase 3 Pro Forma'!P364</f>
        <v>2266695.0974934767</v>
      </c>
      <c r="Q391" s="1050">
        <f ca="1">+IFERROR(INDEX('Taxes and TIF'!$AS$11:$AS$45,MATCH('Phase 3 Pro Forma'!Q$7,'Taxes and TIF'!$AH$11:$AH$45,0)),0)*'Loan Sizing'!$M$50*'Phase 3 Pro Forma'!Q364</f>
        <v>2266695.0974934767</v>
      </c>
      <c r="R391" s="1050">
        <f ca="1">+IFERROR(INDEX('Taxes and TIF'!$AS$11:$AS$45,MATCH('Phase 3 Pro Forma'!R$7,'Taxes and TIF'!$AH$11:$AH$45,0)),0)*'Loan Sizing'!$M$50*'Phase 3 Pro Forma'!R364</f>
        <v>2266695.0974934767</v>
      </c>
      <c r="S391" s="1050">
        <f ca="1">+IFERROR(INDEX('Taxes and TIF'!$AS$11:$AS$45,MATCH('Phase 3 Pro Forma'!S$7,'Taxes and TIF'!$AH$11:$AH$45,0)),0)*'Loan Sizing'!$M$50*'Phase 3 Pro Forma'!S364</f>
        <v>2334695.9504182809</v>
      </c>
      <c r="T391" s="1050">
        <f ca="1">+IFERROR(INDEX('Taxes and TIF'!$AS$11:$AS$45,MATCH('Phase 3 Pro Forma'!T$7,'Taxes and TIF'!$AH$11:$AH$45,0)),0)*'Loan Sizing'!$M$50*'Phase 3 Pro Forma'!T364</f>
        <v>2334695.9504182809</v>
      </c>
      <c r="U391" s="1050">
        <f ca="1">+IFERROR(INDEX('Taxes and TIF'!$AS$11:$AS$45,MATCH('Phase 3 Pro Forma'!U$7,'Taxes and TIF'!$AH$11:$AH$45,0)),0)*'Loan Sizing'!$M$50*'Phase 3 Pro Forma'!U364</f>
        <v>2334695.9504182809</v>
      </c>
      <c r="V391" s="1050">
        <f ca="1">+IFERROR(INDEX('Taxes and TIF'!$AS$11:$AS$45,MATCH('Phase 3 Pro Forma'!V$7,'Taxes and TIF'!$AH$11:$AH$45,0)),0)*'Loan Sizing'!$M$50*'Phase 3 Pro Forma'!V364</f>
        <v>2404736.8289308292</v>
      </c>
      <c r="W391" s="1050">
        <f ca="1">+IFERROR(INDEX('Taxes and TIF'!$AS$11:$AS$45,MATCH('Phase 3 Pro Forma'!W$7,'Taxes and TIF'!$AH$11:$AH$45,0)),0)*'Loan Sizing'!$M$50*'Phase 3 Pro Forma'!W364</f>
        <v>2404736.8289308292</v>
      </c>
      <c r="X391" s="1050">
        <f ca="1">+IFERROR(INDEX('Taxes and TIF'!$AS$11:$AS$45,MATCH('Phase 3 Pro Forma'!X$7,'Taxes and TIF'!$AH$11:$AH$45,0)),0)*'Loan Sizing'!$M$50*'Phase 3 Pro Forma'!X364</f>
        <v>2404736.8289308292</v>
      </c>
      <c r="Y391" s="1050">
        <f ca="1">+IFERROR(INDEX('Taxes and TIF'!$AS$11:$AS$45,MATCH('Phase 3 Pro Forma'!Y$7,'Taxes and TIF'!$AH$11:$AH$45,0)),0)*'Loan Sizing'!$M$50*'Phase 3 Pro Forma'!Y364</f>
        <v>2476878.9337987541</v>
      </c>
      <c r="Z391" s="1050">
        <f ca="1">+IFERROR(INDEX('Taxes and TIF'!$AS$11:$AS$45,MATCH('Phase 3 Pro Forma'!Z$7,'Taxes and TIF'!$AH$11:$AH$45,0)),0)*'Loan Sizing'!$M$50*'Phase 3 Pro Forma'!Z364</f>
        <v>2476878.9337987541</v>
      </c>
    </row>
    <row r="392" spans="2:26">
      <c r="B392" s="115" t="s">
        <v>653</v>
      </c>
      <c r="C392" s="49"/>
      <c r="D392" s="79">
        <f>+Assumptions!M126</f>
        <v>0.03</v>
      </c>
      <c r="E392" s="79"/>
      <c r="F392" s="90">
        <f>+$D392*F$375</f>
        <v>0</v>
      </c>
      <c r="G392" s="90">
        <f t="shared" ref="G392:Z392" si="167">+$D392*G$375</f>
        <v>0</v>
      </c>
      <c r="H392" s="90">
        <f t="shared" si="167"/>
        <v>0</v>
      </c>
      <c r="I392" s="90">
        <f t="shared" si="167"/>
        <v>449261.54694161698</v>
      </c>
      <c r="J392" s="90">
        <f t="shared" si="167"/>
        <v>1055781.4840528001</v>
      </c>
      <c r="K392" s="90">
        <f t="shared" si="167"/>
        <v>1103669.4964824601</v>
      </c>
      <c r="L392" s="90">
        <f t="shared" si="167"/>
        <v>1136779.581376934</v>
      </c>
      <c r="M392" s="90">
        <f t="shared" si="167"/>
        <v>1170882.9688182417</v>
      </c>
      <c r="N392" s="90">
        <f t="shared" si="167"/>
        <v>1206009.4578827894</v>
      </c>
      <c r="O392" s="90">
        <f t="shared" si="167"/>
        <v>1242189.7416192729</v>
      </c>
      <c r="P392" s="90">
        <f t="shared" si="167"/>
        <v>1279455.433867851</v>
      </c>
      <c r="Q392" s="90">
        <f t="shared" si="167"/>
        <v>1317839.0968838867</v>
      </c>
      <c r="R392" s="90">
        <f t="shared" si="167"/>
        <v>1357374.2697904033</v>
      </c>
      <c r="S392" s="90">
        <f t="shared" si="167"/>
        <v>1398095.4978841154</v>
      </c>
      <c r="T392" s="90">
        <f t="shared" si="167"/>
        <v>1440038.3628206393</v>
      </c>
      <c r="U392" s="90">
        <f t="shared" si="167"/>
        <v>1483239.5137052585</v>
      </c>
      <c r="V392" s="90">
        <f t="shared" si="167"/>
        <v>1527736.699116416</v>
      </c>
      <c r="W392" s="90">
        <f t="shared" si="167"/>
        <v>1573568.8000899088</v>
      </c>
      <c r="X392" s="90">
        <f t="shared" si="167"/>
        <v>1620775.8640926061</v>
      </c>
      <c r="Y392" s="90">
        <f t="shared" si="167"/>
        <v>1669399.1400153842</v>
      </c>
      <c r="Z392" s="90">
        <f t="shared" si="167"/>
        <v>1719481.1142158459</v>
      </c>
    </row>
    <row r="393" spans="2:26">
      <c r="B393" s="116" t="s">
        <v>709</v>
      </c>
      <c r="C393" s="49"/>
      <c r="D393" s="49"/>
      <c r="E393" s="49"/>
      <c r="F393" s="49"/>
      <c r="G393" s="49"/>
      <c r="H393" s="49"/>
      <c r="I393" s="49"/>
      <c r="J393" s="49"/>
      <c r="K393" s="49"/>
      <c r="L393" s="49"/>
      <c r="M393" s="49"/>
      <c r="N393" s="49"/>
      <c r="O393" s="49"/>
      <c r="P393" s="49"/>
      <c r="Q393" s="49"/>
      <c r="R393" s="49"/>
      <c r="S393" s="49"/>
      <c r="T393" s="49"/>
      <c r="U393" s="49"/>
      <c r="V393" s="49"/>
      <c r="W393" s="49"/>
      <c r="X393" s="49"/>
      <c r="Y393" s="49"/>
      <c r="Z393" s="49"/>
    </row>
    <row r="394" spans="2:26">
      <c r="B394" s="115" t="s">
        <v>657</v>
      </c>
      <c r="C394" s="49"/>
      <c r="D394" s="79">
        <f>+Assumptions!M130</f>
        <v>0.35</v>
      </c>
      <c r="E394" s="79"/>
      <c r="F394" s="90">
        <f>+$D394*F$377</f>
        <v>0</v>
      </c>
      <c r="G394" s="90">
        <f t="shared" ref="G394:Z394" si="168">+$D394*G$377</f>
        <v>0</v>
      </c>
      <c r="H394" s="90">
        <f t="shared" si="168"/>
        <v>0</v>
      </c>
      <c r="I394" s="90">
        <f t="shared" si="168"/>
        <v>183578.13599999997</v>
      </c>
      <c r="J394" s="90">
        <f t="shared" si="168"/>
        <v>378170.96016000002</v>
      </c>
      <c r="K394" s="90">
        <f t="shared" si="168"/>
        <v>389516.08896479994</v>
      </c>
      <c r="L394" s="90">
        <f t="shared" si="168"/>
        <v>401201.57163374405</v>
      </c>
      <c r="M394" s="90">
        <f t="shared" si="168"/>
        <v>413237.61878275638</v>
      </c>
      <c r="N394" s="90">
        <f t="shared" si="168"/>
        <v>425634.74734623911</v>
      </c>
      <c r="O394" s="90">
        <f t="shared" si="168"/>
        <v>438403.78976662626</v>
      </c>
      <c r="P394" s="90">
        <f t="shared" si="168"/>
        <v>451555.90345962503</v>
      </c>
      <c r="Q394" s="90">
        <f t="shared" si="168"/>
        <v>465102.58056341385</v>
      </c>
      <c r="R394" s="90">
        <f t="shared" si="168"/>
        <v>479055.6579803162</v>
      </c>
      <c r="S394" s="90">
        <f t="shared" si="168"/>
        <v>493427.32771972573</v>
      </c>
      <c r="T394" s="90">
        <f t="shared" si="168"/>
        <v>508230.14755131752</v>
      </c>
      <c r="U394" s="90">
        <f t="shared" si="168"/>
        <v>523477.05197785713</v>
      </c>
      <c r="V394" s="90">
        <f t="shared" si="168"/>
        <v>539181.36353719281</v>
      </c>
      <c r="W394" s="90">
        <f t="shared" si="168"/>
        <v>555356.80444330862</v>
      </c>
      <c r="X394" s="90">
        <f t="shared" si="168"/>
        <v>572017.50857660791</v>
      </c>
      <c r="Y394" s="90">
        <f t="shared" si="168"/>
        <v>589178.03383390617</v>
      </c>
      <c r="Z394" s="90">
        <f t="shared" si="168"/>
        <v>606853.37484892341</v>
      </c>
    </row>
    <row r="395" spans="2:26">
      <c r="B395" s="61" t="s">
        <v>1180</v>
      </c>
      <c r="C395" s="61"/>
      <c r="D395" s="61"/>
      <c r="E395" s="61"/>
      <c r="F395" s="64">
        <f ca="1">+SUM(F381:F394)</f>
        <v>0</v>
      </c>
      <c r="G395" s="64">
        <f t="shared" ref="G395:Z395" ca="1" si="169">+SUM(G381:G394)</f>
        <v>0</v>
      </c>
      <c r="H395" s="64">
        <f t="shared" ca="1" si="169"/>
        <v>0</v>
      </c>
      <c r="I395" s="64">
        <f t="shared" ca="1" si="169"/>
        <v>11504346.705718014</v>
      </c>
      <c r="J395" s="64">
        <f t="shared" ca="1" si="169"/>
        <v>25922786.915271487</v>
      </c>
      <c r="K395" s="64">
        <f t="shared" ca="1" si="169"/>
        <v>26913101.822576273</v>
      </c>
      <c r="L395" s="64">
        <f t="shared" ca="1" si="169"/>
        <v>27656397.551469028</v>
      </c>
      <c r="M395" s="64">
        <f t="shared" ca="1" si="169"/>
        <v>28486089.478013095</v>
      </c>
      <c r="N395" s="64">
        <f t="shared" ca="1" si="169"/>
        <v>29274651.916795436</v>
      </c>
      <c r="O395" s="64">
        <f t="shared" ca="1" si="169"/>
        <v>30086871.228741236</v>
      </c>
      <c r="P395" s="64">
        <f t="shared" ca="1" si="169"/>
        <v>30989477.365603469</v>
      </c>
      <c r="Q395" s="64">
        <f t="shared" ca="1" si="169"/>
        <v>31851160.833646771</v>
      </c>
      <c r="R395" s="64">
        <f t="shared" ca="1" si="169"/>
        <v>32738694.805731371</v>
      </c>
      <c r="S395" s="64">
        <f t="shared" ca="1" si="169"/>
        <v>33720855.64990332</v>
      </c>
      <c r="T395" s="64">
        <f t="shared" ca="1" si="169"/>
        <v>34662440.440887876</v>
      </c>
      <c r="U395" s="64">
        <f t="shared" ca="1" si="169"/>
        <v>35632272.775601961</v>
      </c>
      <c r="V395" s="64">
        <f t="shared" ca="1" si="169"/>
        <v>36701240.958870023</v>
      </c>
      <c r="W395" s="64">
        <f t="shared" ca="1" si="169"/>
        <v>37730136.082768202</v>
      </c>
      <c r="X395" s="64">
        <f t="shared" ca="1" si="169"/>
        <v>38789898.06038332</v>
      </c>
      <c r="Y395" s="64">
        <f t="shared" ca="1" si="169"/>
        <v>39953595.002194814</v>
      </c>
      <c r="Z395" s="64">
        <f t="shared" ca="1" si="169"/>
        <v>41077896.484246701</v>
      </c>
    </row>
    <row r="396" spans="2:26">
      <c r="B396" s="49"/>
      <c r="C396" s="49"/>
      <c r="D396" s="49"/>
      <c r="E396" s="49"/>
      <c r="F396" s="49"/>
      <c r="G396" s="49"/>
      <c r="H396" s="49"/>
      <c r="I396" s="49"/>
      <c r="J396" s="49"/>
      <c r="K396" s="49"/>
      <c r="L396" s="49"/>
      <c r="M396" s="49"/>
      <c r="N396" s="49"/>
      <c r="O396" s="49"/>
      <c r="P396" s="49"/>
      <c r="Q396" s="49"/>
      <c r="R396" s="49"/>
      <c r="S396" s="49"/>
      <c r="T396" s="49"/>
      <c r="U396" s="49"/>
      <c r="V396" s="49"/>
      <c r="W396" s="49"/>
      <c r="X396" s="49"/>
      <c r="Y396" s="49"/>
      <c r="Z396" s="49"/>
    </row>
    <row r="397" spans="2:26">
      <c r="B397" s="61" t="s">
        <v>1181</v>
      </c>
      <c r="C397" s="61"/>
      <c r="D397" s="61"/>
      <c r="E397" s="61"/>
      <c r="F397" s="64">
        <f ca="1">+F378-F395</f>
        <v>0</v>
      </c>
      <c r="G397" s="64">
        <f t="shared" ref="G397:Z397" ca="1" si="170">+G378-G395</f>
        <v>0</v>
      </c>
      <c r="H397" s="64">
        <f t="shared" ca="1" si="170"/>
        <v>0</v>
      </c>
      <c r="I397" s="64">
        <f t="shared" ca="1" si="170"/>
        <v>3995547.1523358859</v>
      </c>
      <c r="J397" s="64">
        <f t="shared" ca="1" si="170"/>
        <v>10350417.677421849</v>
      </c>
      <c r="K397" s="64">
        <f t="shared" ca="1" si="170"/>
        <v>10988784.504833732</v>
      </c>
      <c r="L397" s="64">
        <f t="shared" ca="1" si="170"/>
        <v>11382545.365763277</v>
      </c>
      <c r="M397" s="64">
        <f t="shared" ca="1" si="170"/>
        <v>11724021.726736177</v>
      </c>
      <c r="N397" s="64">
        <f t="shared" ca="1" si="170"/>
        <v>12141762.624096323</v>
      </c>
      <c r="O397" s="64">
        <f t="shared" ca="1" si="170"/>
        <v>12572035.748377271</v>
      </c>
      <c r="P397" s="64">
        <f t="shared" ca="1" si="170"/>
        <v>12949196.820828594</v>
      </c>
      <c r="Q397" s="64">
        <f t="shared" ca="1" si="170"/>
        <v>13405673.578378256</v>
      </c>
      <c r="R397" s="64">
        <f t="shared" ca="1" si="170"/>
        <v>13875844.638654403</v>
      </c>
      <c r="S397" s="64">
        <f t="shared" ca="1" si="170"/>
        <v>14292119.977814034</v>
      </c>
      <c r="T397" s="64">
        <f t="shared" ca="1" si="170"/>
        <v>14790924.455661006</v>
      </c>
      <c r="U397" s="64">
        <f t="shared" ca="1" si="170"/>
        <v>15304693.067843392</v>
      </c>
      <c r="V397" s="64">
        <f t="shared" ca="1" si="170"/>
        <v>15763833.859878682</v>
      </c>
      <c r="W397" s="64">
        <f t="shared" ca="1" si="170"/>
        <v>16308890.980542973</v>
      </c>
      <c r="X397" s="64">
        <f t="shared" ca="1" si="170"/>
        <v>16870299.814827196</v>
      </c>
      <c r="Y397" s="64">
        <f t="shared" ca="1" si="170"/>
        <v>17376408.809272014</v>
      </c>
      <c r="Z397" s="64">
        <f t="shared" ca="1" si="170"/>
        <v>17972007.441564143</v>
      </c>
    </row>
    <row r="398" spans="2:26">
      <c r="B398" s="49"/>
      <c r="C398" s="49"/>
      <c r="D398" s="49"/>
      <c r="E398" s="49"/>
      <c r="F398" s="49"/>
      <c r="G398" s="49"/>
      <c r="H398" s="49"/>
      <c r="I398" s="49"/>
      <c r="J398" s="49"/>
      <c r="K398" s="49"/>
      <c r="L398" s="49"/>
      <c r="M398" s="49"/>
      <c r="N398" s="49"/>
      <c r="O398" s="49"/>
      <c r="P398" s="49"/>
      <c r="Q398" s="49"/>
      <c r="R398" s="49"/>
      <c r="S398" s="49"/>
      <c r="T398" s="49"/>
      <c r="U398" s="49"/>
      <c r="V398" s="49"/>
      <c r="W398" s="49"/>
      <c r="X398" s="49"/>
      <c r="Y398" s="49"/>
      <c r="Z398" s="49"/>
    </row>
    <row r="399" spans="2:26">
      <c r="B399" s="116" t="s">
        <v>348</v>
      </c>
      <c r="C399" s="49"/>
      <c r="D399" s="49"/>
      <c r="E399" s="49"/>
      <c r="F399" s="49"/>
      <c r="G399" s="49"/>
      <c r="H399" s="49"/>
      <c r="I399" s="49"/>
      <c r="J399" s="49"/>
      <c r="K399" s="49"/>
      <c r="L399" s="49"/>
      <c r="M399" s="49"/>
      <c r="N399" s="49"/>
      <c r="O399" s="49"/>
      <c r="P399" s="49"/>
      <c r="Q399" s="49"/>
      <c r="R399" s="49"/>
      <c r="S399" s="49"/>
      <c r="T399" s="49"/>
      <c r="U399" s="49"/>
      <c r="V399" s="49"/>
      <c r="W399" s="49"/>
      <c r="X399" s="49"/>
      <c r="Y399" s="49"/>
      <c r="Z399" s="49"/>
    </row>
    <row r="400" spans="2:26">
      <c r="B400" s="115" t="s">
        <v>655</v>
      </c>
      <c r="C400" s="49"/>
      <c r="D400" s="79">
        <f>+Assumptions!M128</f>
        <v>2.5000000000000001E-2</v>
      </c>
      <c r="E400" s="79"/>
      <c r="F400" s="90">
        <f>+$D400*F$375</f>
        <v>0</v>
      </c>
      <c r="G400" s="90">
        <f t="shared" ref="G400:Z400" si="171">+$D400*G$375</f>
        <v>0</v>
      </c>
      <c r="H400" s="90">
        <f t="shared" si="171"/>
        <v>0</v>
      </c>
      <c r="I400" s="90">
        <f t="shared" si="171"/>
        <v>374384.62245134753</v>
      </c>
      <c r="J400" s="90">
        <f t="shared" si="171"/>
        <v>879817.90337733354</v>
      </c>
      <c r="K400" s="90">
        <f t="shared" si="171"/>
        <v>919724.58040205017</v>
      </c>
      <c r="L400" s="90">
        <f t="shared" si="171"/>
        <v>947316.31781411171</v>
      </c>
      <c r="M400" s="90">
        <f t="shared" si="171"/>
        <v>975735.80734853493</v>
      </c>
      <c r="N400" s="90">
        <f t="shared" si="171"/>
        <v>1005007.8815689912</v>
      </c>
      <c r="O400" s="90">
        <f t="shared" si="171"/>
        <v>1035158.1180160609</v>
      </c>
      <c r="P400" s="90">
        <f t="shared" si="171"/>
        <v>1066212.8615565428</v>
      </c>
      <c r="Q400" s="90">
        <f t="shared" si="171"/>
        <v>1098199.2474032389</v>
      </c>
      <c r="R400" s="90">
        <f t="shared" si="171"/>
        <v>1131145.2248253361</v>
      </c>
      <c r="S400" s="90">
        <f t="shared" si="171"/>
        <v>1165079.5815700963</v>
      </c>
      <c r="T400" s="90">
        <f t="shared" si="171"/>
        <v>1200031.9690171995</v>
      </c>
      <c r="U400" s="90">
        <f t="shared" si="171"/>
        <v>1236032.9280877155</v>
      </c>
      <c r="V400" s="90">
        <f t="shared" si="171"/>
        <v>1273113.9159303468</v>
      </c>
      <c r="W400" s="90">
        <f t="shared" si="171"/>
        <v>1311307.3334082575</v>
      </c>
      <c r="X400" s="90">
        <f t="shared" si="171"/>
        <v>1350646.5534105052</v>
      </c>
      <c r="Y400" s="90">
        <f t="shared" si="171"/>
        <v>1391165.9500128203</v>
      </c>
      <c r="Z400" s="90">
        <f t="shared" si="171"/>
        <v>1432900.9285132051</v>
      </c>
    </row>
    <row r="401" spans="1:26" ht="15.75">
      <c r="A401" s="699"/>
      <c r="B401" s="50" t="s">
        <v>1112</v>
      </c>
      <c r="C401" s="50"/>
      <c r="D401" s="50"/>
      <c r="E401" s="50"/>
      <c r="F401" s="55">
        <f ca="1">+F397-F400</f>
        <v>0</v>
      </c>
      <c r="G401" s="55">
        <f t="shared" ref="G401:Z401" ca="1" si="172">+G397-G400</f>
        <v>0</v>
      </c>
      <c r="H401" s="55">
        <f t="shared" ca="1" si="172"/>
        <v>0</v>
      </c>
      <c r="I401" s="55">
        <f t="shared" ca="1" si="172"/>
        <v>3621162.5298845386</v>
      </c>
      <c r="J401" s="55">
        <f t="shared" ca="1" si="172"/>
        <v>9470599.7740445156</v>
      </c>
      <c r="K401" s="55">
        <f t="shared" ca="1" si="172"/>
        <v>10069059.924431682</v>
      </c>
      <c r="L401" s="55">
        <f t="shared" ca="1" si="172"/>
        <v>10435229.047949165</v>
      </c>
      <c r="M401" s="55">
        <f t="shared" ca="1" si="172"/>
        <v>10748285.919387642</v>
      </c>
      <c r="N401" s="55">
        <f t="shared" ca="1" si="172"/>
        <v>11136754.742527332</v>
      </c>
      <c r="O401" s="55">
        <f t="shared" ca="1" si="172"/>
        <v>11536877.630361211</v>
      </c>
      <c r="P401" s="55">
        <f t="shared" ca="1" si="172"/>
        <v>11882983.959272051</v>
      </c>
      <c r="Q401" s="55">
        <f t="shared" ca="1" si="172"/>
        <v>12307474.330975018</v>
      </c>
      <c r="R401" s="55">
        <f t="shared" ca="1" si="172"/>
        <v>12744699.413829068</v>
      </c>
      <c r="S401" s="55">
        <f t="shared" ca="1" si="172"/>
        <v>13127040.396243937</v>
      </c>
      <c r="T401" s="55">
        <f t="shared" ca="1" si="172"/>
        <v>13590892.486643806</v>
      </c>
      <c r="U401" s="55">
        <f t="shared" ca="1" si="172"/>
        <v>14068660.139755677</v>
      </c>
      <c r="V401" s="55">
        <f t="shared" ca="1" si="172"/>
        <v>14490719.943948334</v>
      </c>
      <c r="W401" s="55">
        <f t="shared" ca="1" si="172"/>
        <v>14997583.647134716</v>
      </c>
      <c r="X401" s="55">
        <f t="shared" ca="1" si="172"/>
        <v>15519653.26141669</v>
      </c>
      <c r="Y401" s="55">
        <f t="shared" ca="1" si="172"/>
        <v>15985242.859259194</v>
      </c>
      <c r="Z401" s="55">
        <f t="shared" ca="1" si="172"/>
        <v>16539106.513050938</v>
      </c>
    </row>
    <row r="402" spans="1:26" ht="15.75">
      <c r="A402" s="699" t="s">
        <v>511</v>
      </c>
      <c r="B402" s="51" t="s">
        <v>1136</v>
      </c>
      <c r="C402" s="113"/>
      <c r="D402" s="113"/>
      <c r="E402" s="113"/>
      <c r="F402" s="149" t="str">
        <f ca="1">+IFERROR(F401/F378,"")</f>
        <v/>
      </c>
      <c r="G402" s="149" t="str">
        <f t="shared" ref="G402:Z402" ca="1" si="173">+IFERROR(G401/G378,"")</f>
        <v/>
      </c>
      <c r="H402" s="149" t="str">
        <f t="shared" ca="1" si="173"/>
        <v/>
      </c>
      <c r="I402" s="149">
        <f t="shared" ca="1" si="173"/>
        <v>0.23362498885777505</v>
      </c>
      <c r="J402" s="149">
        <f t="shared" ca="1" si="173"/>
        <v>0.26109079361441967</v>
      </c>
      <c r="K402" s="149">
        <f t="shared" ca="1" si="173"/>
        <v>0.26566118207024192</v>
      </c>
      <c r="L402" s="149">
        <f t="shared" ca="1" si="173"/>
        <v>0.26730306376566659</v>
      </c>
      <c r="M402" s="149">
        <f t="shared" ca="1" si="173"/>
        <v>0.26730306376566665</v>
      </c>
      <c r="N402" s="149">
        <f t="shared" ca="1" si="173"/>
        <v>0.26889712366413698</v>
      </c>
      <c r="O402" s="149">
        <f t="shared" ca="1" si="173"/>
        <v>0.27044475463352569</v>
      </c>
      <c r="P402" s="149">
        <f t="shared" ca="1" si="173"/>
        <v>0.27044475463352574</v>
      </c>
      <c r="Q402" s="149">
        <f t="shared" ca="1" si="173"/>
        <v>0.27194730897273817</v>
      </c>
      <c r="R402" s="149">
        <f t="shared" ca="1" si="173"/>
        <v>0.27340609959333262</v>
      </c>
      <c r="S402" s="149">
        <f t="shared" ca="1" si="173"/>
        <v>0.27340609959333251</v>
      </c>
      <c r="T402" s="149">
        <f t="shared" ca="1" si="173"/>
        <v>0.27482240116672529</v>
      </c>
      <c r="U402" s="149">
        <f t="shared" ca="1" si="173"/>
        <v>0.27619745123798051</v>
      </c>
      <c r="V402" s="149">
        <f t="shared" ca="1" si="173"/>
        <v>0.27619745123798028</v>
      </c>
      <c r="W402" s="149">
        <f t="shared" ca="1" si="173"/>
        <v>0.27753245130716009</v>
      </c>
      <c r="X402" s="149">
        <f t="shared" ca="1" si="173"/>
        <v>0.27882856787917937</v>
      </c>
      <c r="Y402" s="149">
        <f t="shared" ca="1" si="173"/>
        <v>0.27882856787917942</v>
      </c>
      <c r="Z402" s="149">
        <f t="shared" ca="1" si="173"/>
        <v>0.28008693348308156</v>
      </c>
    </row>
    <row r="403" spans="1:26" ht="15.75">
      <c r="A403" s="699"/>
      <c r="B403" s="51" t="s">
        <v>1064</v>
      </c>
      <c r="C403" s="113"/>
      <c r="D403" s="113"/>
      <c r="E403" s="113"/>
      <c r="F403" s="150">
        <f ca="1">+F401/Assumptions!$H$50</f>
        <v>0</v>
      </c>
      <c r="G403" s="150">
        <f ca="1">+G401/Assumptions!$H$50</f>
        <v>0</v>
      </c>
      <c r="H403" s="150">
        <f ca="1">+H401/Assumptions!$H$50</f>
        <v>0</v>
      </c>
      <c r="I403" s="150">
        <f ca="1">+I401/Assumptions!$H$50</f>
        <v>57478770.315627597</v>
      </c>
      <c r="J403" s="150">
        <f ca="1">+J401/Assumptions!$H$50</f>
        <v>150326980.54038912</v>
      </c>
      <c r="K403" s="150">
        <f ca="1">+K401/Assumptions!$H$50</f>
        <v>159826348.00685209</v>
      </c>
      <c r="L403" s="150">
        <f ca="1">+L401/Assumptions!$H$50</f>
        <v>165638556.3166534</v>
      </c>
      <c r="M403" s="150">
        <f ca="1">+M401/Assumptions!$H$50</f>
        <v>170607713.00615305</v>
      </c>
      <c r="N403" s="150">
        <f ca="1">+N401/Assumptions!$H$50</f>
        <v>176773884.80202115</v>
      </c>
      <c r="O403" s="150">
        <f ca="1">+O401/Assumptions!$H$50</f>
        <v>183125041.75176525</v>
      </c>
      <c r="P403" s="150">
        <f ca="1">+P401/Assumptions!$H$50</f>
        <v>188618793.00431827</v>
      </c>
      <c r="Q403" s="150">
        <f ca="1">+Q401/Assumptions!$H$50</f>
        <v>195356735.41230187</v>
      </c>
      <c r="R403" s="150">
        <f ca="1">+R401/Assumptions!$H$50</f>
        <v>202296816.09252489</v>
      </c>
      <c r="S403" s="150">
        <f ca="1">+S401/Assumptions!$H$50</f>
        <v>208365720.5753006</v>
      </c>
      <c r="T403" s="150">
        <f ca="1">+T401/Assumptions!$H$50</f>
        <v>215728452.16894931</v>
      </c>
      <c r="U403" s="150">
        <f ca="1">+U401/Assumptions!$H$50</f>
        <v>223312065.71040758</v>
      </c>
      <c r="V403" s="150">
        <f ca="1">+V401/Assumptions!$H$50</f>
        <v>230011427.6817196</v>
      </c>
      <c r="W403" s="150">
        <f ca="1">+W401/Assumptions!$H$50</f>
        <v>238056883.28785262</v>
      </c>
      <c r="X403" s="150">
        <f ca="1">+X401/Assumptions!$H$50</f>
        <v>246343702.5621697</v>
      </c>
      <c r="Y403" s="150">
        <f ca="1">+Y401/Assumptions!$H$50</f>
        <v>253734013.63903481</v>
      </c>
      <c r="Z403" s="150">
        <f ca="1">+Z401/Assumptions!$H$50</f>
        <v>262525500.20715773</v>
      </c>
    </row>
    <row r="404" spans="1:26">
      <c r="A404" s="699" t="s">
        <v>511</v>
      </c>
      <c r="B404" s="49"/>
      <c r="C404" s="49"/>
      <c r="D404" s="49"/>
      <c r="E404" s="49"/>
      <c r="F404" s="49"/>
      <c r="G404" s="49"/>
      <c r="H404" s="49"/>
      <c r="I404" s="49"/>
      <c r="J404" s="49"/>
      <c r="K404" s="49"/>
      <c r="L404" s="49"/>
      <c r="M404" s="49"/>
      <c r="N404" s="49"/>
      <c r="O404" s="49"/>
      <c r="P404" s="49"/>
      <c r="Q404" s="49"/>
      <c r="R404" s="49"/>
      <c r="S404" s="49"/>
      <c r="T404" s="49"/>
      <c r="U404" s="49"/>
      <c r="V404" s="49"/>
      <c r="W404" s="49"/>
      <c r="X404" s="49"/>
      <c r="Y404" s="49"/>
      <c r="Z404" s="49"/>
    </row>
    <row r="405" spans="1:26" ht="15.75">
      <c r="A405" s="699"/>
      <c r="B405" s="112" t="s">
        <v>1170</v>
      </c>
      <c r="C405" s="49"/>
      <c r="D405" s="49"/>
      <c r="E405" s="49"/>
      <c r="F405" s="148">
        <f>+Assumptions!$H$27</f>
        <v>47118</v>
      </c>
      <c r="G405" s="148">
        <f>+EOMONTH(F405,12)</f>
        <v>47483</v>
      </c>
      <c r="H405" s="148">
        <f t="shared" ref="H405:Z405" si="174">+EOMONTH(G405,12)</f>
        <v>47848</v>
      </c>
      <c r="I405" s="148">
        <f t="shared" si="174"/>
        <v>48213</v>
      </c>
      <c r="J405" s="148">
        <f t="shared" si="174"/>
        <v>48579</v>
      </c>
      <c r="K405" s="148">
        <f t="shared" si="174"/>
        <v>48944</v>
      </c>
      <c r="L405" s="148">
        <f t="shared" si="174"/>
        <v>49309</v>
      </c>
      <c r="M405" s="148">
        <f t="shared" si="174"/>
        <v>49674</v>
      </c>
      <c r="N405" s="148">
        <f t="shared" si="174"/>
        <v>50040</v>
      </c>
      <c r="O405" s="148">
        <f t="shared" si="174"/>
        <v>50405</v>
      </c>
      <c r="P405" s="148">
        <f t="shared" si="174"/>
        <v>50770</v>
      </c>
      <c r="Q405" s="148">
        <f t="shared" si="174"/>
        <v>51135</v>
      </c>
      <c r="R405" s="148">
        <f t="shared" si="174"/>
        <v>51501</v>
      </c>
      <c r="S405" s="148">
        <f t="shared" si="174"/>
        <v>51866</v>
      </c>
      <c r="T405" s="148">
        <f t="shared" si="174"/>
        <v>52231</v>
      </c>
      <c r="U405" s="148">
        <f t="shared" si="174"/>
        <v>52596</v>
      </c>
      <c r="V405" s="148">
        <f t="shared" si="174"/>
        <v>52962</v>
      </c>
      <c r="W405" s="148">
        <f t="shared" si="174"/>
        <v>53327</v>
      </c>
      <c r="X405" s="148">
        <f t="shared" si="174"/>
        <v>53692</v>
      </c>
      <c r="Y405" s="148">
        <f t="shared" si="174"/>
        <v>54057</v>
      </c>
      <c r="Z405" s="148">
        <f t="shared" si="174"/>
        <v>54423</v>
      </c>
    </row>
    <row r="406" spans="1:26">
      <c r="A406" s="699"/>
      <c r="B406" s="699" t="s">
        <v>1147</v>
      </c>
      <c r="C406" s="49"/>
      <c r="D406" s="49"/>
      <c r="E406" s="49"/>
      <c r="F406" s="1028">
        <v>0</v>
      </c>
      <c r="G406" s="1028">
        <f>+F409</f>
        <v>0</v>
      </c>
      <c r="H406" s="1028">
        <f t="shared" ref="H406:Z406" si="175">+G409</f>
        <v>0</v>
      </c>
      <c r="I406" s="1028">
        <f t="shared" si="175"/>
        <v>0</v>
      </c>
      <c r="J406" s="1028">
        <f t="shared" si="175"/>
        <v>0</v>
      </c>
      <c r="K406" s="1028">
        <f t="shared" si="175"/>
        <v>0</v>
      </c>
      <c r="L406" s="1028">
        <f t="shared" si="175"/>
        <v>0</v>
      </c>
      <c r="M406" s="1028">
        <f t="shared" si="175"/>
        <v>0</v>
      </c>
      <c r="N406" s="1028">
        <f t="shared" si="175"/>
        <v>0</v>
      </c>
      <c r="O406" s="1028">
        <f t="shared" si="175"/>
        <v>0</v>
      </c>
      <c r="P406" s="1028">
        <f t="shared" si="175"/>
        <v>0</v>
      </c>
      <c r="Q406" s="1028">
        <f t="shared" si="175"/>
        <v>0</v>
      </c>
      <c r="R406" s="1028">
        <f t="shared" si="175"/>
        <v>0</v>
      </c>
      <c r="S406" s="1028">
        <f t="shared" si="175"/>
        <v>0</v>
      </c>
      <c r="T406" s="1028">
        <f t="shared" si="175"/>
        <v>0</v>
      </c>
      <c r="U406" s="1028">
        <f t="shared" si="175"/>
        <v>0</v>
      </c>
      <c r="V406" s="1028">
        <f t="shared" si="175"/>
        <v>0</v>
      </c>
      <c r="W406" s="1028">
        <f t="shared" si="175"/>
        <v>0</v>
      </c>
      <c r="X406" s="1028">
        <f t="shared" si="175"/>
        <v>0</v>
      </c>
      <c r="Y406" s="1028">
        <f t="shared" si="175"/>
        <v>0</v>
      </c>
      <c r="Z406" s="1028">
        <f t="shared" si="175"/>
        <v>0</v>
      </c>
    </row>
    <row r="407" spans="1:26">
      <c r="A407" s="699"/>
      <c r="B407" s="699" t="s">
        <v>1148</v>
      </c>
      <c r="C407" s="49"/>
      <c r="D407" s="49"/>
      <c r="E407" s="49"/>
      <c r="F407" s="90">
        <v>0</v>
      </c>
      <c r="G407" s="90">
        <v>0</v>
      </c>
      <c r="H407" s="90">
        <v>0</v>
      </c>
      <c r="I407" s="90">
        <v>0</v>
      </c>
      <c r="J407" s="90">
        <v>0</v>
      </c>
      <c r="K407" s="90">
        <v>0</v>
      </c>
      <c r="L407" s="90">
        <v>0</v>
      </c>
      <c r="M407" s="90">
        <v>0</v>
      </c>
      <c r="N407" s="90">
        <v>0</v>
      </c>
      <c r="O407" s="90">
        <v>0</v>
      </c>
      <c r="P407" s="90">
        <v>0</v>
      </c>
      <c r="Q407" s="90">
        <v>0</v>
      </c>
      <c r="R407" s="90">
        <v>0</v>
      </c>
      <c r="S407" s="90">
        <v>0</v>
      </c>
      <c r="T407" s="90">
        <v>0</v>
      </c>
      <c r="U407" s="90">
        <v>0</v>
      </c>
      <c r="V407" s="90">
        <v>0</v>
      </c>
      <c r="W407" s="90">
        <v>0</v>
      </c>
      <c r="X407" s="90">
        <v>0</v>
      </c>
      <c r="Y407" s="90">
        <v>0</v>
      </c>
      <c r="Z407" s="90">
        <v>0</v>
      </c>
    </row>
    <row r="408" spans="1:26">
      <c r="A408" s="699"/>
      <c r="B408" s="699" t="s">
        <v>682</v>
      </c>
      <c r="C408" s="49"/>
      <c r="D408" s="49"/>
      <c r="E408" s="49"/>
      <c r="F408" s="90">
        <v>0</v>
      </c>
      <c r="G408" s="90">
        <v>0</v>
      </c>
      <c r="H408" s="90">
        <v>0</v>
      </c>
      <c r="I408" s="90">
        <v>0</v>
      </c>
      <c r="J408" s="90">
        <v>0</v>
      </c>
      <c r="K408" s="90">
        <v>0</v>
      </c>
      <c r="L408" s="90">
        <v>0</v>
      </c>
      <c r="M408" s="90">
        <v>0</v>
      </c>
      <c r="N408" s="90">
        <v>0</v>
      </c>
      <c r="O408" s="90">
        <v>0</v>
      </c>
      <c r="P408" s="90">
        <v>0</v>
      </c>
      <c r="Q408" s="90">
        <v>0</v>
      </c>
      <c r="R408" s="90">
        <v>0</v>
      </c>
      <c r="S408" s="90">
        <v>0</v>
      </c>
      <c r="T408" s="90">
        <v>0</v>
      </c>
      <c r="U408" s="90">
        <v>0</v>
      </c>
      <c r="V408" s="90">
        <v>0</v>
      </c>
      <c r="W408" s="90">
        <v>0</v>
      </c>
      <c r="X408" s="90">
        <v>0</v>
      </c>
      <c r="Y408" s="90">
        <v>0</v>
      </c>
      <c r="Z408" s="90">
        <v>0</v>
      </c>
    </row>
    <row r="409" spans="1:26">
      <c r="A409" s="699"/>
      <c r="B409" s="699" t="s">
        <v>1149</v>
      </c>
      <c r="C409" s="49"/>
      <c r="D409" s="49"/>
      <c r="E409" s="49"/>
      <c r="F409" s="90">
        <f>+SUM(F406:F408)</f>
        <v>0</v>
      </c>
      <c r="G409" s="90">
        <f t="shared" ref="G409:Z409" si="176">+SUM(G406:G408)</f>
        <v>0</v>
      </c>
      <c r="H409" s="90">
        <f t="shared" si="176"/>
        <v>0</v>
      </c>
      <c r="I409" s="90">
        <f t="shared" si="176"/>
        <v>0</v>
      </c>
      <c r="J409" s="90">
        <f t="shared" si="176"/>
        <v>0</v>
      </c>
      <c r="K409" s="90">
        <f t="shared" si="176"/>
        <v>0</v>
      </c>
      <c r="L409" s="90">
        <f t="shared" si="176"/>
        <v>0</v>
      </c>
      <c r="M409" s="90">
        <f t="shared" si="176"/>
        <v>0</v>
      </c>
      <c r="N409" s="90">
        <f t="shared" si="176"/>
        <v>0</v>
      </c>
      <c r="O409" s="90">
        <f t="shared" si="176"/>
        <v>0</v>
      </c>
      <c r="P409" s="90">
        <f t="shared" si="176"/>
        <v>0</v>
      </c>
      <c r="Q409" s="90">
        <f t="shared" si="176"/>
        <v>0</v>
      </c>
      <c r="R409" s="90">
        <f t="shared" si="176"/>
        <v>0</v>
      </c>
      <c r="S409" s="90">
        <f t="shared" si="176"/>
        <v>0</v>
      </c>
      <c r="T409" s="90">
        <f t="shared" si="176"/>
        <v>0</v>
      </c>
      <c r="U409" s="90">
        <f t="shared" si="176"/>
        <v>0</v>
      </c>
      <c r="V409" s="90">
        <f t="shared" si="176"/>
        <v>0</v>
      </c>
      <c r="W409" s="90">
        <f t="shared" si="176"/>
        <v>0</v>
      </c>
      <c r="X409" s="90">
        <f t="shared" si="176"/>
        <v>0</v>
      </c>
      <c r="Y409" s="90">
        <f t="shared" si="176"/>
        <v>0</v>
      </c>
      <c r="Z409" s="90">
        <f t="shared" si="176"/>
        <v>0</v>
      </c>
    </row>
    <row r="410" spans="1:26">
      <c r="A410" s="699"/>
      <c r="B410" s="49"/>
      <c r="C410" s="49"/>
      <c r="D410" s="49"/>
      <c r="E410" s="49"/>
      <c r="F410" s="699"/>
      <c r="G410" s="49"/>
      <c r="H410" s="49"/>
      <c r="I410" s="49"/>
      <c r="J410" s="49"/>
      <c r="K410" s="49"/>
      <c r="L410" s="49"/>
      <c r="M410" s="49"/>
      <c r="N410" s="49"/>
      <c r="O410" s="49"/>
      <c r="P410" s="49"/>
      <c r="Q410" s="49"/>
      <c r="R410" s="49"/>
      <c r="S410" s="49"/>
      <c r="T410" s="49"/>
      <c r="U410" s="49"/>
      <c r="V410" s="49"/>
      <c r="W410" s="49"/>
      <c r="X410" s="49"/>
      <c r="Y410" s="49"/>
      <c r="Z410" s="49"/>
    </row>
    <row r="411" spans="1:26">
      <c r="A411" s="699"/>
      <c r="B411" s="49" t="s">
        <v>1150</v>
      </c>
      <c r="C411" s="49"/>
      <c r="D411" s="49"/>
      <c r="E411" s="49"/>
      <c r="F411" s="1028">
        <f>+F409*Assumptions!$P$151</f>
        <v>0</v>
      </c>
      <c r="G411" s="1028">
        <f>+G409*Assumptions!$P$151</f>
        <v>0</v>
      </c>
      <c r="H411" s="1028">
        <f>+H409*Assumptions!$P$151</f>
        <v>0</v>
      </c>
      <c r="I411" s="1028">
        <f>+I409</f>
        <v>0</v>
      </c>
      <c r="J411" s="1028">
        <f>+J409</f>
        <v>0</v>
      </c>
      <c r="K411" s="1028">
        <f t="shared" ref="K411:Z411" si="177">+K409</f>
        <v>0</v>
      </c>
      <c r="L411" s="1028">
        <f t="shared" si="177"/>
        <v>0</v>
      </c>
      <c r="M411" s="1028">
        <f t="shared" si="177"/>
        <v>0</v>
      </c>
      <c r="N411" s="1028">
        <f t="shared" si="177"/>
        <v>0</v>
      </c>
      <c r="O411" s="1028">
        <f t="shared" si="177"/>
        <v>0</v>
      </c>
      <c r="P411" s="1028">
        <f t="shared" si="177"/>
        <v>0</v>
      </c>
      <c r="Q411" s="1028">
        <f t="shared" si="177"/>
        <v>0</v>
      </c>
      <c r="R411" s="1028">
        <f t="shared" si="177"/>
        <v>0</v>
      </c>
      <c r="S411" s="1028">
        <f t="shared" si="177"/>
        <v>0</v>
      </c>
      <c r="T411" s="1028">
        <f t="shared" si="177"/>
        <v>0</v>
      </c>
      <c r="U411" s="1028">
        <f t="shared" si="177"/>
        <v>0</v>
      </c>
      <c r="V411" s="1028">
        <f t="shared" si="177"/>
        <v>0</v>
      </c>
      <c r="W411" s="1028">
        <f t="shared" si="177"/>
        <v>0</v>
      </c>
      <c r="X411" s="1028">
        <f t="shared" si="177"/>
        <v>0</v>
      </c>
      <c r="Y411" s="1028">
        <f t="shared" si="177"/>
        <v>0</v>
      </c>
      <c r="Z411" s="1028">
        <f t="shared" si="177"/>
        <v>0</v>
      </c>
    </row>
    <row r="412" spans="1:26" ht="16.5">
      <c r="A412" s="699"/>
      <c r="B412" s="61" t="s">
        <v>1151</v>
      </c>
      <c r="C412" s="61"/>
      <c r="D412" s="61"/>
      <c r="E412" s="61"/>
      <c r="F412" s="145">
        <f>+F411-F408</f>
        <v>0</v>
      </c>
      <c r="G412" s="145">
        <f t="shared" ref="G412:Z412" si="178">+G411-G408</f>
        <v>0</v>
      </c>
      <c r="H412" s="145">
        <f t="shared" si="178"/>
        <v>0</v>
      </c>
      <c r="I412" s="145">
        <f t="shared" si="178"/>
        <v>0</v>
      </c>
      <c r="J412" s="145">
        <f t="shared" si="178"/>
        <v>0</v>
      </c>
      <c r="K412" s="145">
        <f t="shared" si="178"/>
        <v>0</v>
      </c>
      <c r="L412" s="145">
        <f t="shared" si="178"/>
        <v>0</v>
      </c>
      <c r="M412" s="145">
        <f t="shared" si="178"/>
        <v>0</v>
      </c>
      <c r="N412" s="145">
        <f t="shared" si="178"/>
        <v>0</v>
      </c>
      <c r="O412" s="145">
        <f t="shared" si="178"/>
        <v>0</v>
      </c>
      <c r="P412" s="145">
        <f t="shared" si="178"/>
        <v>0</v>
      </c>
      <c r="Q412" s="145">
        <f t="shared" si="178"/>
        <v>0</v>
      </c>
      <c r="R412" s="145">
        <f t="shared" si="178"/>
        <v>0</v>
      </c>
      <c r="S412" s="145">
        <f t="shared" si="178"/>
        <v>0</v>
      </c>
      <c r="T412" s="145">
        <f t="shared" si="178"/>
        <v>0</v>
      </c>
      <c r="U412" s="145">
        <f t="shared" si="178"/>
        <v>0</v>
      </c>
      <c r="V412" s="145">
        <f t="shared" si="178"/>
        <v>0</v>
      </c>
      <c r="W412" s="145">
        <f t="shared" si="178"/>
        <v>0</v>
      </c>
      <c r="X412" s="145">
        <f t="shared" si="178"/>
        <v>0</v>
      </c>
      <c r="Y412" s="145">
        <f t="shared" si="178"/>
        <v>0</v>
      </c>
      <c r="Z412" s="145">
        <f t="shared" si="178"/>
        <v>0</v>
      </c>
    </row>
    <row r="413" spans="1:26">
      <c r="A413" s="699"/>
      <c r="B413" s="117" t="s">
        <v>670</v>
      </c>
      <c r="C413" s="49"/>
      <c r="D413" s="49"/>
      <c r="E413" s="49"/>
      <c r="F413" s="146" t="str">
        <f ca="1">+IFERROR(F401/F412,"")</f>
        <v/>
      </c>
      <c r="G413" s="146" t="str">
        <f t="shared" ref="G413:Z413" ca="1" si="179">+IFERROR(G401/G412,"")</f>
        <v/>
      </c>
      <c r="H413" s="146" t="str">
        <f t="shared" ca="1" si="179"/>
        <v/>
      </c>
      <c r="I413" s="146" t="str">
        <f t="shared" ca="1" si="179"/>
        <v/>
      </c>
      <c r="J413" s="146" t="str">
        <f t="shared" ca="1" si="179"/>
        <v/>
      </c>
      <c r="K413" s="146" t="str">
        <f t="shared" ca="1" si="179"/>
        <v/>
      </c>
      <c r="L413" s="146" t="str">
        <f t="shared" ca="1" si="179"/>
        <v/>
      </c>
      <c r="M413" s="146" t="str">
        <f t="shared" ca="1" si="179"/>
        <v/>
      </c>
      <c r="N413" s="146" t="str">
        <f t="shared" ca="1" si="179"/>
        <v/>
      </c>
      <c r="O413" s="146" t="str">
        <f t="shared" ca="1" si="179"/>
        <v/>
      </c>
      <c r="P413" s="146" t="str">
        <f t="shared" ca="1" si="179"/>
        <v/>
      </c>
      <c r="Q413" s="146" t="str">
        <f t="shared" ca="1" si="179"/>
        <v/>
      </c>
      <c r="R413" s="146" t="str">
        <f t="shared" ca="1" si="179"/>
        <v/>
      </c>
      <c r="S413" s="146" t="str">
        <f t="shared" ca="1" si="179"/>
        <v/>
      </c>
      <c r="T413" s="146" t="str">
        <f t="shared" ca="1" si="179"/>
        <v/>
      </c>
      <c r="U413" s="146" t="str">
        <f t="shared" ca="1" si="179"/>
        <v/>
      </c>
      <c r="V413" s="146" t="str">
        <f t="shared" ca="1" si="179"/>
        <v/>
      </c>
      <c r="W413" s="146" t="str">
        <f t="shared" ca="1" si="179"/>
        <v/>
      </c>
      <c r="X413" s="146" t="str">
        <f t="shared" ca="1" si="179"/>
        <v/>
      </c>
      <c r="Y413" s="146" t="str">
        <f t="shared" ca="1" si="179"/>
        <v/>
      </c>
      <c r="Z413" s="146" t="str">
        <f t="shared" ca="1" si="179"/>
        <v/>
      </c>
    </row>
    <row r="414" spans="1:26">
      <c r="A414" s="699"/>
      <c r="B414" s="49"/>
      <c r="C414" s="49"/>
      <c r="D414" s="49"/>
      <c r="E414" s="49"/>
      <c r="F414" s="699"/>
      <c r="G414" s="699"/>
      <c r="H414" s="699"/>
      <c r="I414" s="699"/>
      <c r="J414" s="699"/>
      <c r="K414" s="699"/>
      <c r="L414" s="699"/>
      <c r="M414" s="699"/>
      <c r="N414" s="699"/>
      <c r="O414" s="699"/>
      <c r="P414" s="699"/>
      <c r="Q414" s="699"/>
      <c r="R414" s="699"/>
      <c r="S414" s="699"/>
      <c r="T414" s="699"/>
      <c r="U414" s="699"/>
      <c r="V414" s="699"/>
      <c r="W414" s="699"/>
      <c r="X414" s="699"/>
      <c r="Y414" s="699"/>
      <c r="Z414" s="699"/>
    </row>
    <row r="415" spans="1:26">
      <c r="A415" s="699"/>
      <c r="B415" s="49" t="s">
        <v>1152</v>
      </c>
      <c r="C415" s="49"/>
      <c r="D415" s="49"/>
      <c r="E415" s="49"/>
      <c r="F415" s="1087">
        <v>0</v>
      </c>
      <c r="G415" s="1087">
        <v>0</v>
      </c>
      <c r="H415" s="1087">
        <v>0</v>
      </c>
      <c r="I415" s="1087">
        <v>0</v>
      </c>
      <c r="J415" s="1087">
        <v>0</v>
      </c>
      <c r="K415" s="1087">
        <v>0</v>
      </c>
      <c r="L415" s="1087">
        <v>0</v>
      </c>
      <c r="M415" s="1087">
        <v>0</v>
      </c>
      <c r="N415" s="1087">
        <v>0</v>
      </c>
      <c r="O415" s="1087">
        <v>0</v>
      </c>
      <c r="P415" s="1087">
        <v>0</v>
      </c>
      <c r="Q415" s="1087">
        <v>0</v>
      </c>
      <c r="R415" s="1087">
        <v>0</v>
      </c>
      <c r="S415" s="1087">
        <v>0</v>
      </c>
      <c r="T415" s="1087">
        <v>0</v>
      </c>
      <c r="U415" s="1087">
        <v>0</v>
      </c>
      <c r="V415" s="1087">
        <v>0</v>
      </c>
      <c r="W415" s="1087">
        <v>0</v>
      </c>
      <c r="X415" s="1087">
        <v>0</v>
      </c>
      <c r="Y415" s="1087">
        <v>0</v>
      </c>
      <c r="Z415" s="1087">
        <v>0</v>
      </c>
    </row>
    <row r="416" spans="1:26">
      <c r="A416" s="699"/>
      <c r="B416" s="49"/>
      <c r="C416" s="49"/>
      <c r="D416" s="49"/>
      <c r="E416" s="49"/>
      <c r="F416" s="699"/>
      <c r="G416" s="699"/>
      <c r="H416" s="699"/>
      <c r="I416" s="699"/>
      <c r="J416" s="699"/>
      <c r="K416" s="699"/>
      <c r="L416" s="699"/>
      <c r="M416" s="699"/>
      <c r="N416" s="699"/>
      <c r="O416" s="699"/>
      <c r="P416" s="699"/>
      <c r="Q416" s="699"/>
      <c r="R416" s="699"/>
      <c r="S416" s="699"/>
      <c r="T416" s="699"/>
      <c r="U416" s="699"/>
      <c r="V416" s="699"/>
      <c r="W416" s="699"/>
      <c r="X416" s="699"/>
      <c r="Y416" s="699"/>
      <c r="Z416" s="699"/>
    </row>
    <row r="417" spans="1:26" ht="16.5">
      <c r="A417" s="699"/>
      <c r="B417" s="61" t="s">
        <v>1153</v>
      </c>
      <c r="C417" s="61"/>
      <c r="D417" s="61"/>
      <c r="E417" s="61"/>
      <c r="F417" s="144">
        <f ca="1">+F401-F412-F415</f>
        <v>0</v>
      </c>
      <c r="G417" s="144">
        <f t="shared" ref="G417:Z417" ca="1" si="180">+G401-G412-G415</f>
        <v>0</v>
      </c>
      <c r="H417" s="144">
        <f t="shared" ca="1" si="180"/>
        <v>0</v>
      </c>
      <c r="I417" s="144">
        <f t="shared" ca="1" si="180"/>
        <v>3621162.5298845386</v>
      </c>
      <c r="J417" s="144">
        <f t="shared" ca="1" si="180"/>
        <v>9470599.7740445156</v>
      </c>
      <c r="K417" s="144">
        <f t="shared" ca="1" si="180"/>
        <v>10069059.924431682</v>
      </c>
      <c r="L417" s="144">
        <f t="shared" ca="1" si="180"/>
        <v>10435229.047949165</v>
      </c>
      <c r="M417" s="144">
        <f t="shared" ca="1" si="180"/>
        <v>10748285.919387642</v>
      </c>
      <c r="N417" s="144">
        <f t="shared" ca="1" si="180"/>
        <v>11136754.742527332</v>
      </c>
      <c r="O417" s="144">
        <f t="shared" ca="1" si="180"/>
        <v>11536877.630361211</v>
      </c>
      <c r="P417" s="144">
        <f t="shared" ca="1" si="180"/>
        <v>11882983.959272051</v>
      </c>
      <c r="Q417" s="144">
        <f t="shared" ca="1" si="180"/>
        <v>12307474.330975018</v>
      </c>
      <c r="R417" s="144">
        <f t="shared" ca="1" si="180"/>
        <v>12744699.413829068</v>
      </c>
      <c r="S417" s="144">
        <f t="shared" ca="1" si="180"/>
        <v>13127040.396243937</v>
      </c>
      <c r="T417" s="144">
        <f t="shared" ca="1" si="180"/>
        <v>13590892.486643806</v>
      </c>
      <c r="U417" s="144">
        <f t="shared" ca="1" si="180"/>
        <v>14068660.139755677</v>
      </c>
      <c r="V417" s="144">
        <f t="shared" ca="1" si="180"/>
        <v>14490719.943948334</v>
      </c>
      <c r="W417" s="144">
        <f t="shared" ca="1" si="180"/>
        <v>14997583.647134716</v>
      </c>
      <c r="X417" s="144">
        <f t="shared" ca="1" si="180"/>
        <v>15519653.26141669</v>
      </c>
      <c r="Y417" s="144">
        <f t="shared" ca="1" si="180"/>
        <v>15985242.859259194</v>
      </c>
      <c r="Z417" s="144">
        <f t="shared" ca="1" si="180"/>
        <v>16539106.513050938</v>
      </c>
    </row>
    <row r="418" spans="1:26">
      <c r="A418" s="699"/>
      <c r="B418" s="49"/>
      <c r="C418" s="49"/>
      <c r="D418" s="49"/>
      <c r="E418" s="49"/>
      <c r="F418" s="699"/>
      <c r="G418" s="699"/>
      <c r="H418" s="699"/>
      <c r="I418" s="699"/>
      <c r="J418" s="699"/>
      <c r="K418" s="699"/>
      <c r="L418" s="699"/>
      <c r="M418" s="699"/>
      <c r="N418" s="699"/>
      <c r="O418" s="699"/>
      <c r="P418" s="699"/>
      <c r="Q418" s="699"/>
      <c r="R418" s="699"/>
      <c r="S418" s="699"/>
      <c r="T418" s="699"/>
      <c r="U418" s="699"/>
      <c r="V418" s="699"/>
      <c r="W418" s="699"/>
      <c r="X418" s="699"/>
      <c r="Y418" s="699"/>
      <c r="Z418" s="699"/>
    </row>
    <row r="419" spans="1:26" ht="15.75">
      <c r="A419" s="699"/>
      <c r="B419" s="112" t="s">
        <v>1155</v>
      </c>
      <c r="C419" s="49"/>
      <c r="D419" s="49"/>
      <c r="E419" s="49"/>
      <c r="F419" s="699"/>
      <c r="G419" s="699"/>
      <c r="H419" s="699"/>
      <c r="I419" s="699"/>
      <c r="J419" s="699"/>
      <c r="K419" s="699"/>
      <c r="L419" s="699"/>
      <c r="M419" s="699"/>
      <c r="N419" s="699"/>
      <c r="O419" s="699"/>
      <c r="P419" s="699"/>
      <c r="Q419" s="699"/>
      <c r="R419" s="699"/>
      <c r="S419" s="699"/>
      <c r="T419" s="699"/>
      <c r="U419" s="699"/>
      <c r="V419" s="699"/>
      <c r="W419" s="699"/>
      <c r="X419" s="699"/>
      <c r="Y419" s="699"/>
      <c r="Z419" s="699"/>
    </row>
    <row r="420" spans="1:26">
      <c r="A420" s="699"/>
      <c r="B420" s="699" t="s">
        <v>1156</v>
      </c>
      <c r="C420" s="49"/>
      <c r="D420" s="49"/>
      <c r="E420" s="49"/>
      <c r="F420" s="83">
        <f>+IF(YEAR(F$335)=YEAR(Assumptions!$H$35),F403,0)</f>
        <v>0</v>
      </c>
      <c r="G420" s="83">
        <f>+IF(YEAR(G$335)=YEAR(Assumptions!$H$35),G403,0)</f>
        <v>0</v>
      </c>
      <c r="H420" s="83">
        <f>+IF(YEAR(H$335)=YEAR(Assumptions!$H$35),H403,0)</f>
        <v>0</v>
      </c>
      <c r="I420" s="83">
        <f>+IF(YEAR(I$335)=YEAR(Assumptions!$H$35),I403,0)</f>
        <v>0</v>
      </c>
      <c r="J420" s="83">
        <f>+IF(YEAR(J$335)=YEAR(Assumptions!$H$35),J403,0)</f>
        <v>0</v>
      </c>
      <c r="K420" s="83">
        <f ca="1">+IF(YEAR(K$335)=YEAR(Assumptions!$H$35),K403,0)</f>
        <v>159826348.00685209</v>
      </c>
      <c r="L420" s="83">
        <f>+IF(YEAR(L$335)=YEAR(Assumptions!$H$35),L403,0)</f>
        <v>0</v>
      </c>
      <c r="M420" s="83">
        <f>+IF(YEAR(M$335)=YEAR(Assumptions!$H$35),M403,0)</f>
        <v>0</v>
      </c>
      <c r="N420" s="83">
        <f>+IF(YEAR(N$335)=YEAR(Assumptions!$H$35),N403,0)</f>
        <v>0</v>
      </c>
      <c r="O420" s="83">
        <f>+IF(YEAR(O$335)=YEAR(Assumptions!$H$35),O403,0)</f>
        <v>0</v>
      </c>
      <c r="P420" s="83">
        <f>+IF(YEAR(P$335)=YEAR(Assumptions!$H$35),P403,0)</f>
        <v>0</v>
      </c>
      <c r="Q420" s="83">
        <f>+IF(YEAR(Q$335)=YEAR(Assumptions!$H$35),Q403,0)</f>
        <v>0</v>
      </c>
      <c r="R420" s="83">
        <f>+IF(YEAR(R$335)=YEAR(Assumptions!$H$35),R403,0)</f>
        <v>0</v>
      </c>
      <c r="S420" s="83">
        <f>+IF(YEAR(S$335)=YEAR(Assumptions!$H$35),S403,0)</f>
        <v>0</v>
      </c>
      <c r="T420" s="83">
        <f>+IF(YEAR(T$335)=YEAR(Assumptions!$H$35),T403,0)</f>
        <v>0</v>
      </c>
      <c r="U420" s="83">
        <f>+IF(YEAR(U$335)=YEAR(Assumptions!$H$35),U403,0)</f>
        <v>0</v>
      </c>
      <c r="V420" s="83">
        <f>+IF(YEAR(V$335)=YEAR(Assumptions!$H$35),V403,0)</f>
        <v>0</v>
      </c>
      <c r="W420" s="83">
        <f>+IF(YEAR(W$335)=YEAR(Assumptions!$H$35),W403,0)</f>
        <v>0</v>
      </c>
      <c r="X420" s="83">
        <f>+IF(YEAR(X$335)=YEAR(Assumptions!$H$35),X403,0)</f>
        <v>0</v>
      </c>
      <c r="Y420" s="83">
        <f>+IF(YEAR(Y$335)=YEAR(Assumptions!$H$35),Y403,0)</f>
        <v>0</v>
      </c>
      <c r="Z420" s="83">
        <f>+IF(YEAR(Z$335)=YEAR(Assumptions!$H$35),Z403,0)</f>
        <v>0</v>
      </c>
    </row>
    <row r="421" spans="1:26">
      <c r="A421" s="699"/>
      <c r="B421" s="699" t="s">
        <v>1158</v>
      </c>
      <c r="C421" s="49"/>
      <c r="D421" s="49"/>
      <c r="E421" s="49"/>
      <c r="F421" s="90">
        <f>-F420*Assumptions!$H$42</f>
        <v>0</v>
      </c>
      <c r="G421" s="90">
        <f>-G420*Assumptions!$H$42</f>
        <v>0</v>
      </c>
      <c r="H421" s="90">
        <f>-H420*Assumptions!$H$42</f>
        <v>0</v>
      </c>
      <c r="I421" s="90">
        <f>-I420*Assumptions!$H$42</f>
        <v>0</v>
      </c>
      <c r="J421" s="90">
        <f>-J420*Assumptions!$H$42</f>
        <v>0</v>
      </c>
      <c r="K421" s="90">
        <f ca="1">-K420*Assumptions!$H$42</f>
        <v>-1598263.4800685209</v>
      </c>
      <c r="L421" s="90">
        <f>-L420*Assumptions!$H$42</f>
        <v>0</v>
      </c>
      <c r="M421" s="90">
        <f>-M420*Assumptions!$H$42</f>
        <v>0</v>
      </c>
      <c r="N421" s="90">
        <f>-N420*Assumptions!$H$42</f>
        <v>0</v>
      </c>
      <c r="O421" s="90">
        <f>-O420*Assumptions!$H$42</f>
        <v>0</v>
      </c>
      <c r="P421" s="90">
        <f>-P420*Assumptions!$H$42</f>
        <v>0</v>
      </c>
      <c r="Q421" s="90">
        <f>-Q420*Assumptions!$H$42</f>
        <v>0</v>
      </c>
      <c r="R421" s="90">
        <f>-R420*Assumptions!$H$42</f>
        <v>0</v>
      </c>
      <c r="S421" s="90">
        <f>-S420*Assumptions!$H$42</f>
        <v>0</v>
      </c>
      <c r="T421" s="90">
        <f>-T420*Assumptions!$H$42</f>
        <v>0</v>
      </c>
      <c r="U421" s="90">
        <f>-U420*Assumptions!$H$42</f>
        <v>0</v>
      </c>
      <c r="V421" s="90">
        <f>-V420*Assumptions!$H$42</f>
        <v>0</v>
      </c>
      <c r="W421" s="90">
        <f>-W420*Assumptions!$H$42</f>
        <v>0</v>
      </c>
      <c r="X421" s="90">
        <f>-X420*Assumptions!$H$42</f>
        <v>0</v>
      </c>
      <c r="Y421" s="90">
        <f>-Y420*Assumptions!$H$42</f>
        <v>0</v>
      </c>
      <c r="Z421" s="90">
        <f>-Z420*Assumptions!$H$42</f>
        <v>0</v>
      </c>
    </row>
    <row r="422" spans="1:26">
      <c r="A422" s="699"/>
      <c r="B422" s="699" t="s">
        <v>1159</v>
      </c>
      <c r="C422" s="49"/>
      <c r="D422" s="49"/>
      <c r="E422" s="49"/>
      <c r="F422" s="90">
        <f>+IF(YEAR(F$335)=YEAR(Assumptions!$H$35),-'Phase 3 Pro Forma'!F409,0)</f>
        <v>0</v>
      </c>
      <c r="G422" s="90">
        <f>+IF(YEAR(G$335)=YEAR(Assumptions!$H$35),-'Phase 3 Pro Forma'!G409,0)</f>
        <v>0</v>
      </c>
      <c r="H422" s="90">
        <f>+IF(YEAR(H$335)=YEAR(Assumptions!$H$35),-'Phase 3 Pro Forma'!H409,0)</f>
        <v>0</v>
      </c>
      <c r="I422" s="90">
        <f>+IF(YEAR(I$335)=YEAR(Assumptions!$H$35),-'Phase 3 Pro Forma'!I409,0)</f>
        <v>0</v>
      </c>
      <c r="J422" s="90">
        <f>+IF(YEAR(J$335)=YEAR(Assumptions!$H$35),-'Phase 3 Pro Forma'!J409,0)</f>
        <v>0</v>
      </c>
      <c r="K422" s="90">
        <f>+IF(YEAR(K$335)=YEAR(Assumptions!$H$35),-'Phase 3 Pro Forma'!K409,0)</f>
        <v>0</v>
      </c>
      <c r="L422" s="90">
        <f>+IF(YEAR(L$335)=YEAR(Assumptions!$H$35),-'Phase 3 Pro Forma'!L409,0)</f>
        <v>0</v>
      </c>
      <c r="M422" s="90">
        <f>+IF(YEAR(M$335)=YEAR(Assumptions!$H$35),-'Phase 3 Pro Forma'!M409,0)</f>
        <v>0</v>
      </c>
      <c r="N422" s="90">
        <f>+IF(YEAR(N$335)=YEAR(Assumptions!$H$35),-'Phase 3 Pro Forma'!N409,0)</f>
        <v>0</v>
      </c>
      <c r="O422" s="90">
        <f>+IF(YEAR(O$335)=YEAR(Assumptions!$H$35),-'Phase 3 Pro Forma'!O409,0)</f>
        <v>0</v>
      </c>
      <c r="P422" s="90">
        <f>+IF(YEAR(P$335)=YEAR(Assumptions!$H$35),-'Phase 3 Pro Forma'!P409,0)</f>
        <v>0</v>
      </c>
      <c r="Q422" s="90">
        <f>+IF(YEAR(Q$335)=YEAR(Assumptions!$H$35),-'Phase 3 Pro Forma'!Q409,0)</f>
        <v>0</v>
      </c>
      <c r="R422" s="90">
        <f>+IF(YEAR(R$335)=YEAR(Assumptions!$H$35),-'Phase 3 Pro Forma'!R409,0)</f>
        <v>0</v>
      </c>
      <c r="S422" s="90">
        <f>+IF(YEAR(S$335)=YEAR(Assumptions!$H$35),-'Phase 3 Pro Forma'!S409,0)</f>
        <v>0</v>
      </c>
      <c r="T422" s="90">
        <f>+IF(YEAR(T$335)=YEAR(Assumptions!$H$35),-'Phase 3 Pro Forma'!T409,0)</f>
        <v>0</v>
      </c>
      <c r="U422" s="90">
        <f>+IF(YEAR(U$335)=YEAR(Assumptions!$H$35),-'Phase 3 Pro Forma'!U409,0)</f>
        <v>0</v>
      </c>
      <c r="V422" s="90">
        <f>+IF(YEAR(V$335)=YEAR(Assumptions!$H$35),-'Phase 3 Pro Forma'!V409,0)</f>
        <v>0</v>
      </c>
      <c r="W422" s="90">
        <f>+IF(YEAR(W$335)=YEAR(Assumptions!$H$35),-'Phase 3 Pro Forma'!W409,0)</f>
        <v>0</v>
      </c>
      <c r="X422" s="90">
        <f>+IF(YEAR(X$335)=YEAR(Assumptions!$H$35),-'Phase 3 Pro Forma'!X409,0)</f>
        <v>0</v>
      </c>
      <c r="Y422" s="90">
        <f>+IF(YEAR(Y$335)=YEAR(Assumptions!$H$35),-'Phase 3 Pro Forma'!Y409,0)</f>
        <v>0</v>
      </c>
      <c r="Z422" s="90">
        <f>+IF(YEAR(Z$335)=YEAR(Assumptions!$H$35),-'Phase 3 Pro Forma'!Z409,0)</f>
        <v>0</v>
      </c>
    </row>
    <row r="423" spans="1:26">
      <c r="A423" s="699"/>
      <c r="B423" s="61" t="s">
        <v>1160</v>
      </c>
      <c r="C423" s="61"/>
      <c r="D423" s="61"/>
      <c r="E423" s="61"/>
      <c r="F423" s="64">
        <f>+SUM(F420:F422)</f>
        <v>0</v>
      </c>
      <c r="G423" s="64">
        <f t="shared" ref="G423:Z423" si="181">+SUM(G420:G422)</f>
        <v>0</v>
      </c>
      <c r="H423" s="64">
        <f t="shared" si="181"/>
        <v>0</v>
      </c>
      <c r="I423" s="64">
        <f t="shared" si="181"/>
        <v>0</v>
      </c>
      <c r="J423" s="64">
        <f t="shared" si="181"/>
        <v>0</v>
      </c>
      <c r="K423" s="64">
        <f t="shared" ca="1" si="181"/>
        <v>158228084.52678356</v>
      </c>
      <c r="L423" s="64">
        <f t="shared" si="181"/>
        <v>0</v>
      </c>
      <c r="M423" s="64">
        <f t="shared" si="181"/>
        <v>0</v>
      </c>
      <c r="N423" s="64">
        <f t="shared" si="181"/>
        <v>0</v>
      </c>
      <c r="O423" s="64">
        <f t="shared" si="181"/>
        <v>0</v>
      </c>
      <c r="P423" s="64">
        <f t="shared" si="181"/>
        <v>0</v>
      </c>
      <c r="Q423" s="64">
        <f t="shared" si="181"/>
        <v>0</v>
      </c>
      <c r="R423" s="64">
        <f t="shared" si="181"/>
        <v>0</v>
      </c>
      <c r="S423" s="64">
        <f t="shared" si="181"/>
        <v>0</v>
      </c>
      <c r="T423" s="64">
        <f t="shared" si="181"/>
        <v>0</v>
      </c>
      <c r="U423" s="64">
        <f t="shared" si="181"/>
        <v>0</v>
      </c>
      <c r="V423" s="64">
        <f t="shared" si="181"/>
        <v>0</v>
      </c>
      <c r="W423" s="64">
        <f t="shared" si="181"/>
        <v>0</v>
      </c>
      <c r="X423" s="64">
        <f t="shared" si="181"/>
        <v>0</v>
      </c>
      <c r="Y423" s="64">
        <f t="shared" si="181"/>
        <v>0</v>
      </c>
      <c r="Z423" s="64">
        <f t="shared" si="181"/>
        <v>0</v>
      </c>
    </row>
    <row r="424" spans="1:26">
      <c r="A424" s="699"/>
      <c r="B424" s="49"/>
      <c r="C424" s="49"/>
      <c r="D424" s="49"/>
      <c r="E424" s="49"/>
      <c r="F424" s="699"/>
      <c r="G424" s="699"/>
      <c r="H424" s="699"/>
      <c r="I424" s="699"/>
      <c r="J424" s="699"/>
      <c r="K424" s="699"/>
      <c r="L424" s="699"/>
      <c r="M424" s="699"/>
      <c r="N424" s="699"/>
      <c r="O424" s="699"/>
      <c r="P424" s="699"/>
      <c r="Q424" s="699"/>
      <c r="R424" s="699"/>
      <c r="S424" s="699"/>
      <c r="T424" s="699"/>
      <c r="U424" s="699"/>
      <c r="V424" s="699"/>
      <c r="W424" s="699"/>
      <c r="X424" s="699"/>
      <c r="Y424" s="699"/>
      <c r="Z424" s="699"/>
    </row>
    <row r="425" spans="1:26">
      <c r="A425" s="699"/>
      <c r="B425" s="49"/>
      <c r="C425" s="49"/>
      <c r="D425" s="49"/>
      <c r="E425" s="49"/>
      <c r="F425" s="699"/>
      <c r="G425" s="699"/>
      <c r="H425" s="699"/>
      <c r="I425" s="699"/>
      <c r="J425" s="699"/>
      <c r="K425" s="699"/>
      <c r="L425" s="699"/>
      <c r="M425" s="699"/>
      <c r="N425" s="699"/>
      <c r="O425" s="699"/>
      <c r="P425" s="699"/>
      <c r="Q425" s="699"/>
      <c r="R425" s="699"/>
      <c r="S425" s="699"/>
      <c r="T425" s="699"/>
      <c r="U425" s="699"/>
      <c r="V425" s="699"/>
      <c r="W425" s="699"/>
      <c r="X425" s="699"/>
      <c r="Y425" s="699"/>
      <c r="Z425" s="699"/>
    </row>
    <row r="426" spans="1:26" ht="15.75">
      <c r="A426" s="699"/>
      <c r="B426" s="50" t="s">
        <v>1179</v>
      </c>
      <c r="C426" s="50"/>
      <c r="D426" s="50"/>
      <c r="E426" s="50"/>
      <c r="F426" s="55">
        <f ca="1">+IF(YEAR(F$335)&lt;=YEAR(Assumptions!$H$35),'Phase 3 Pro Forma'!F423+'Phase 3 Pro Forma'!F417,0)</f>
        <v>0</v>
      </c>
      <c r="G426" s="55">
        <f ca="1">+IF(YEAR(G$335)&lt;=YEAR(Assumptions!$H$35),'Phase 3 Pro Forma'!G423+'Phase 3 Pro Forma'!G417,0)</f>
        <v>0</v>
      </c>
      <c r="H426" s="55">
        <f ca="1">+IF(YEAR(H$335)&lt;=YEAR(Assumptions!$H$35),'Phase 3 Pro Forma'!H423+'Phase 3 Pro Forma'!H417,0)</f>
        <v>0</v>
      </c>
      <c r="I426" s="55">
        <f ca="1">+IF(YEAR(I$335)&lt;=YEAR(Assumptions!$H$35),'Phase 3 Pro Forma'!I423+'Phase 3 Pro Forma'!I417,0)</f>
        <v>3621162.5298845386</v>
      </c>
      <c r="J426" s="55">
        <f ca="1">+IF(YEAR(J$335)&lt;=YEAR(Assumptions!$H$35),'Phase 3 Pro Forma'!J423+'Phase 3 Pro Forma'!J417,0)</f>
        <v>9470599.7740445156</v>
      </c>
      <c r="K426" s="55">
        <f ca="1">+IF(YEAR(K$335)&lt;=YEAR(Assumptions!$H$35),'Phase 3 Pro Forma'!K423+'Phase 3 Pro Forma'!K417,0)</f>
        <v>168297144.45121524</v>
      </c>
      <c r="L426" s="55">
        <f>+IF(YEAR(L$335)&lt;=YEAR(Assumptions!$H$35),'Phase 3 Pro Forma'!L423+'Phase 3 Pro Forma'!L417,0)</f>
        <v>0</v>
      </c>
      <c r="M426" s="55">
        <f>+IF(YEAR(M$335)&lt;=YEAR(Assumptions!$H$35),'Phase 3 Pro Forma'!M423+'Phase 3 Pro Forma'!M417,0)</f>
        <v>0</v>
      </c>
      <c r="N426" s="55">
        <f>+IF(YEAR(N$335)&lt;=YEAR(Assumptions!$H$35),'Phase 3 Pro Forma'!N423+'Phase 3 Pro Forma'!N417,0)</f>
        <v>0</v>
      </c>
      <c r="O426" s="55">
        <f>+IF(YEAR(O$335)&lt;=YEAR(Assumptions!$H$35),'Phase 3 Pro Forma'!O423+'Phase 3 Pro Forma'!O417,0)</f>
        <v>0</v>
      </c>
      <c r="P426" s="55">
        <f>+IF(YEAR(P$335)&lt;=YEAR(Assumptions!$H$35),'Phase 3 Pro Forma'!P423+'Phase 3 Pro Forma'!P417,0)</f>
        <v>0</v>
      </c>
      <c r="Q426" s="55">
        <f>+IF(YEAR(Q$335)&lt;=YEAR(Assumptions!$H$35),'Phase 3 Pro Forma'!Q423+'Phase 3 Pro Forma'!Q417,0)</f>
        <v>0</v>
      </c>
      <c r="R426" s="55">
        <f>+IF(YEAR(R$335)&lt;=YEAR(Assumptions!$H$35),'Phase 3 Pro Forma'!R423+'Phase 3 Pro Forma'!R417,0)</f>
        <v>0</v>
      </c>
      <c r="S426" s="55">
        <f>+IF(YEAR(S$335)&lt;=YEAR(Assumptions!$H$35),'Phase 3 Pro Forma'!S423+'Phase 3 Pro Forma'!S417,0)</f>
        <v>0</v>
      </c>
      <c r="T426" s="55">
        <f>+IF(YEAR(T$335)&lt;=YEAR(Assumptions!$H$35),'Phase 3 Pro Forma'!T423+'Phase 3 Pro Forma'!T417,0)</f>
        <v>0</v>
      </c>
      <c r="U426" s="55">
        <f>+IF(YEAR(U$335)&lt;=YEAR(Assumptions!$H$35),'Phase 3 Pro Forma'!U423+'Phase 3 Pro Forma'!U417,0)</f>
        <v>0</v>
      </c>
      <c r="V426" s="55">
        <f>+IF(YEAR(V$335)&lt;=YEAR(Assumptions!$H$35),'Phase 3 Pro Forma'!V423+'Phase 3 Pro Forma'!V417,0)</f>
        <v>0</v>
      </c>
      <c r="W426" s="55">
        <f>+IF(YEAR(W$335)&lt;=YEAR(Assumptions!$H$35),'Phase 3 Pro Forma'!W423+'Phase 3 Pro Forma'!W417,0)</f>
        <v>0</v>
      </c>
      <c r="X426" s="55">
        <f>+IF(YEAR(X$335)&lt;=YEAR(Assumptions!$H$35),'Phase 3 Pro Forma'!X423+'Phase 3 Pro Forma'!X417,0)</f>
        <v>0</v>
      </c>
      <c r="Y426" s="55">
        <f>+IF(YEAR(Y$335)&lt;=YEAR(Assumptions!$H$35),'Phase 3 Pro Forma'!Y423+'Phase 3 Pro Forma'!Y417,0)</f>
        <v>0</v>
      </c>
      <c r="Z426" s="55">
        <f>+IF(YEAR(Z$335)&lt;=YEAR(Assumptions!$H$35),'Phase 3 Pro Forma'!Z423+'Phase 3 Pro Forma'!Z417,0)</f>
        <v>0</v>
      </c>
    </row>
    <row r="427" spans="1:26" ht="15.75">
      <c r="A427" s="699"/>
      <c r="B427"/>
      <c r="C427" s="5"/>
      <c r="D427" s="5"/>
      <c r="E427" s="5"/>
      <c r="F427" s="5"/>
      <c r="G427"/>
      <c r="H427" s="49"/>
      <c r="I427" s="49"/>
      <c r="J427" s="49"/>
      <c r="K427" s="49"/>
      <c r="L427" s="49"/>
      <c r="M427" s="49"/>
      <c r="N427" s="49"/>
      <c r="O427" s="49"/>
      <c r="P427" s="49"/>
      <c r="Q427" s="49"/>
      <c r="R427" s="49"/>
      <c r="S427" s="49"/>
      <c r="T427" s="49"/>
      <c r="U427" s="49"/>
      <c r="V427" s="49"/>
      <c r="W427" s="49"/>
      <c r="X427" s="49"/>
      <c r="Y427" s="49"/>
      <c r="Z427" s="49"/>
    </row>
    <row r="428" spans="1:26" ht="15.75">
      <c r="A428" s="699"/>
      <c r="B428" s="468" t="s">
        <v>1154</v>
      </c>
      <c r="C428" s="540"/>
      <c r="D428" s="540"/>
      <c r="E428" s="540"/>
      <c r="F428" s="759"/>
      <c r="G428" s="759"/>
      <c r="H428" s="759"/>
      <c r="I428" s="759"/>
      <c r="J428" s="759"/>
      <c r="K428" s="759"/>
      <c r="L428" s="759"/>
      <c r="M428" s="759"/>
      <c r="N428" s="759"/>
      <c r="O428" s="759"/>
      <c r="P428" s="759"/>
      <c r="Q428" s="759"/>
      <c r="R428" s="759"/>
      <c r="S428" s="759"/>
      <c r="T428" s="759"/>
      <c r="U428" s="759"/>
      <c r="V428" s="759"/>
      <c r="W428" s="759"/>
      <c r="X428" s="759"/>
      <c r="Y428" s="759"/>
      <c r="Z428" s="759"/>
    </row>
    <row r="429" spans="1:26">
      <c r="A429" s="699"/>
      <c r="B429" s="49"/>
      <c r="C429" s="49"/>
      <c r="D429" s="49"/>
      <c r="E429" s="49"/>
      <c r="F429" s="49"/>
      <c r="G429" s="49"/>
      <c r="H429" s="49"/>
      <c r="I429" s="49"/>
      <c r="J429" s="49"/>
      <c r="K429" s="49"/>
      <c r="L429" s="49"/>
      <c r="M429" s="49"/>
      <c r="N429" s="49"/>
      <c r="O429" s="49"/>
      <c r="P429" s="49"/>
      <c r="Q429" s="49"/>
      <c r="R429" s="49"/>
      <c r="S429" s="49"/>
      <c r="T429" s="49"/>
      <c r="U429" s="49"/>
      <c r="V429" s="49"/>
      <c r="W429" s="49"/>
      <c r="X429" s="49"/>
      <c r="Y429" s="49"/>
      <c r="Z429" s="49"/>
    </row>
    <row r="430" spans="1:26" ht="15.75">
      <c r="A430" s="699" t="s">
        <v>511</v>
      </c>
      <c r="B430" s="112" t="s">
        <v>621</v>
      </c>
      <c r="C430" s="147"/>
      <c r="D430" s="147"/>
      <c r="E430" s="147"/>
      <c r="F430" s="148">
        <f>+Assumptions!$H$27</f>
        <v>47118</v>
      </c>
      <c r="G430" s="148">
        <f>+EOMONTH(F430,12)</f>
        <v>47483</v>
      </c>
      <c r="H430" s="148">
        <f t="shared" ref="H430:Z430" si="182">+EOMONTH(G430,12)</f>
        <v>47848</v>
      </c>
      <c r="I430" s="148">
        <f t="shared" si="182"/>
        <v>48213</v>
      </c>
      <c r="J430" s="148">
        <f t="shared" si="182"/>
        <v>48579</v>
      </c>
      <c r="K430" s="148">
        <f t="shared" si="182"/>
        <v>48944</v>
      </c>
      <c r="L430" s="148">
        <f t="shared" si="182"/>
        <v>49309</v>
      </c>
      <c r="M430" s="148">
        <f t="shared" si="182"/>
        <v>49674</v>
      </c>
      <c r="N430" s="148">
        <f t="shared" si="182"/>
        <v>50040</v>
      </c>
      <c r="O430" s="148">
        <f t="shared" si="182"/>
        <v>50405</v>
      </c>
      <c r="P430" s="148">
        <f t="shared" si="182"/>
        <v>50770</v>
      </c>
      <c r="Q430" s="148">
        <f t="shared" si="182"/>
        <v>51135</v>
      </c>
      <c r="R430" s="148">
        <f t="shared" si="182"/>
        <v>51501</v>
      </c>
      <c r="S430" s="148">
        <f t="shared" si="182"/>
        <v>51866</v>
      </c>
      <c r="T430" s="148">
        <f t="shared" si="182"/>
        <v>52231</v>
      </c>
      <c r="U430" s="148">
        <f t="shared" si="182"/>
        <v>52596</v>
      </c>
      <c r="V430" s="148">
        <f t="shared" si="182"/>
        <v>52962</v>
      </c>
      <c r="W430" s="148">
        <f t="shared" si="182"/>
        <v>53327</v>
      </c>
      <c r="X430" s="148">
        <f t="shared" si="182"/>
        <v>53692</v>
      </c>
      <c r="Y430" s="148">
        <f t="shared" si="182"/>
        <v>54057</v>
      </c>
      <c r="Z430" s="148">
        <f t="shared" si="182"/>
        <v>54423</v>
      </c>
    </row>
    <row r="431" spans="1:26">
      <c r="A431" s="699"/>
      <c r="B431" s="699" t="s">
        <v>1120</v>
      </c>
      <c r="C431" s="699"/>
      <c r="D431" s="103"/>
      <c r="E431" s="103"/>
      <c r="F431" s="1050">
        <f>+IF(AND(F430&gt;=Assumptions!$H$31,F430&lt;Assumptions!$H$33),Assumptions!$AG$194/ROUNDUP((Assumptions!$H$32/12),0),)</f>
        <v>0</v>
      </c>
      <c r="G431" s="1050">
        <f>+IF(AND(G430&gt;=Assumptions!$H$31,G430&lt;Assumptions!$H$33),Assumptions!$AG$194/ROUNDUP((Assumptions!$H$32/12),0),)</f>
        <v>0</v>
      </c>
      <c r="H431" s="1050">
        <f>+IF(AND(H430&gt;=Assumptions!$H$31,H430&lt;Assumptions!$H$33),Assumptions!$AG$194/ROUNDUP((Assumptions!$H$32/12),0),)</f>
        <v>0</v>
      </c>
      <c r="I431" s="1050">
        <f>+IF(AND(I430&gt;=Assumptions!$H$31,I430&lt;Assumptions!$H$33),Assumptions!$AG$194/ROUNDUP((Assumptions!$H$32/12),0),)</f>
        <v>0</v>
      </c>
      <c r="J431" s="1050">
        <f>+IF(AND(J430&gt;=Assumptions!$H$31,J430&lt;Assumptions!$H$33),Assumptions!$AG$194/ROUNDUP((Assumptions!$H$32/12),0),)</f>
        <v>0</v>
      </c>
      <c r="K431" s="1050">
        <f>+IF(AND(K430&gt;=Assumptions!$H$31,K430&lt;Assumptions!$H$33),Assumptions!$AG$194/ROUNDUP((Assumptions!$H$32/12),0),)</f>
        <v>0</v>
      </c>
      <c r="L431" s="1050">
        <f>+IF(AND(L430&gt;=Assumptions!$H$31,L430&lt;Assumptions!$H$33),Assumptions!$AG$194/ROUNDUP((Assumptions!$H$32/12),0),)</f>
        <v>0</v>
      </c>
      <c r="M431" s="1050">
        <f>+IF(AND(M430&gt;=Assumptions!$H$31,M430&lt;Assumptions!$H$33),Assumptions!$AG$194/ROUNDUP((Assumptions!$H$32/12),0),)</f>
        <v>0</v>
      </c>
      <c r="N431" s="1050">
        <f>+IF(AND(N430&gt;=Assumptions!$H$31,N430&lt;Assumptions!$H$33),Assumptions!$AG$194/ROUNDUP((Assumptions!$H$32/12),0),)</f>
        <v>0</v>
      </c>
      <c r="O431" s="1050">
        <f>+IF(AND(O430&gt;=Assumptions!$H$31,O430&lt;Assumptions!$H$33),Assumptions!$AG$194/ROUNDUP((Assumptions!$H$32/12),0),)</f>
        <v>0</v>
      </c>
      <c r="P431" s="1050">
        <f>+IF(AND(P430&gt;=Assumptions!$H$31,P430&lt;Assumptions!$H$33),Assumptions!$AG$194/ROUNDUP((Assumptions!$H$32/12),0),)</f>
        <v>0</v>
      </c>
      <c r="Q431" s="1050">
        <f>+IF(AND(Q430&gt;=Assumptions!$H$31,Q430&lt;Assumptions!$H$33),Assumptions!$AG$194/ROUNDUP((Assumptions!$H$32/12),0),)</f>
        <v>0</v>
      </c>
      <c r="R431" s="1050">
        <f>+IF(AND(R430&gt;=Assumptions!$H$31,R430&lt;Assumptions!$H$33),Assumptions!$AG$194/ROUNDUP((Assumptions!$H$32/12),0),)</f>
        <v>0</v>
      </c>
      <c r="S431" s="1050">
        <f>+IF(AND(S430&gt;=Assumptions!$H$31,S430&lt;Assumptions!$H$33),Assumptions!$AG$194/ROUNDUP((Assumptions!$H$32/12),0),)</f>
        <v>0</v>
      </c>
      <c r="T431" s="1050">
        <f>+IF(AND(T430&gt;=Assumptions!$H$31,T430&lt;Assumptions!$H$33),Assumptions!$AG$194/ROUNDUP((Assumptions!$H$32/12),0),)</f>
        <v>0</v>
      </c>
      <c r="U431" s="1050">
        <f>+IF(AND(U430&gt;=Assumptions!$H$31,U430&lt;Assumptions!$H$33),Assumptions!$AG$194/ROUNDUP((Assumptions!$H$32/12),0),)</f>
        <v>0</v>
      </c>
      <c r="V431" s="1050">
        <f>+IF(AND(V430&gt;=Assumptions!$H$31,V430&lt;Assumptions!$H$33),Assumptions!$AG$194/ROUNDUP((Assumptions!$H$32/12),0),)</f>
        <v>0</v>
      </c>
      <c r="W431" s="1050">
        <f>+IF(AND(W430&gt;=Assumptions!$H$31,W430&lt;Assumptions!$H$33),Assumptions!$AG$194/ROUNDUP((Assumptions!$H$32/12),0),)</f>
        <v>0</v>
      </c>
      <c r="X431" s="1050">
        <f>+IF(AND(X430&gt;=Assumptions!$H$31,X430&lt;Assumptions!$H$33),Assumptions!$AG$194/ROUNDUP((Assumptions!$H$32/12),0),)</f>
        <v>0</v>
      </c>
      <c r="Y431" s="1050">
        <f>+IF(AND(Y430&gt;=Assumptions!$H$31,Y430&lt;Assumptions!$H$33),Assumptions!$AG$194/ROUNDUP((Assumptions!$H$32/12),0),)</f>
        <v>0</v>
      </c>
      <c r="Z431" s="1050">
        <f>+IF(AND(Z430&gt;=Assumptions!$H$31,Z430&lt;Assumptions!$H$33),Assumptions!$AG$194/ROUNDUP((Assumptions!$H$32/12),0),)</f>
        <v>0</v>
      </c>
    </row>
    <row r="432" spans="1:26">
      <c r="A432" s="699"/>
      <c r="B432" s="699" t="s">
        <v>1121</v>
      </c>
      <c r="C432" s="699"/>
      <c r="D432" s="90"/>
      <c r="E432" s="90">
        <v>0</v>
      </c>
      <c r="F432" s="1050">
        <f>+E432+F431</f>
        <v>0</v>
      </c>
      <c r="G432" s="1050">
        <f t="shared" ref="G432:Z432" si="183">+F432+G431</f>
        <v>0</v>
      </c>
      <c r="H432" s="1050">
        <f t="shared" si="183"/>
        <v>0</v>
      </c>
      <c r="I432" s="1050">
        <f t="shared" si="183"/>
        <v>0</v>
      </c>
      <c r="J432" s="1050">
        <f t="shared" si="183"/>
        <v>0</v>
      </c>
      <c r="K432" s="1050">
        <f t="shared" si="183"/>
        <v>0</v>
      </c>
      <c r="L432" s="1050">
        <f t="shared" si="183"/>
        <v>0</v>
      </c>
      <c r="M432" s="1050">
        <f t="shared" si="183"/>
        <v>0</v>
      </c>
      <c r="N432" s="1050">
        <f t="shared" si="183"/>
        <v>0</v>
      </c>
      <c r="O432" s="1050">
        <f t="shared" si="183"/>
        <v>0</v>
      </c>
      <c r="P432" s="1050">
        <f t="shared" si="183"/>
        <v>0</v>
      </c>
      <c r="Q432" s="1050">
        <f t="shared" si="183"/>
        <v>0</v>
      </c>
      <c r="R432" s="1050">
        <f t="shared" si="183"/>
        <v>0</v>
      </c>
      <c r="S432" s="1050">
        <f t="shared" si="183"/>
        <v>0</v>
      </c>
      <c r="T432" s="1050">
        <f t="shared" si="183"/>
        <v>0</v>
      </c>
      <c r="U432" s="1050">
        <f t="shared" si="183"/>
        <v>0</v>
      </c>
      <c r="V432" s="1050">
        <f t="shared" si="183"/>
        <v>0</v>
      </c>
      <c r="W432" s="1050">
        <f t="shared" si="183"/>
        <v>0</v>
      </c>
      <c r="X432" s="1050">
        <f t="shared" si="183"/>
        <v>0</v>
      </c>
      <c r="Y432" s="1050">
        <f t="shared" si="183"/>
        <v>0</v>
      </c>
      <c r="Z432" s="1050">
        <f t="shared" si="183"/>
        <v>0</v>
      </c>
    </row>
    <row r="433" spans="2:26">
      <c r="B433" s="699" t="s">
        <v>1125</v>
      </c>
      <c r="C433" s="699"/>
      <c r="D433" s="90"/>
      <c r="E433" s="90"/>
      <c r="F433" s="1074">
        <f>+IFERROR(F432/SUM($F$431:$Z$431),0)</f>
        <v>0</v>
      </c>
      <c r="G433" s="1074">
        <f t="shared" ref="G433:Z433" si="184">+IFERROR(G432/SUM($F$431:$Z$431),0)</f>
        <v>0</v>
      </c>
      <c r="H433" s="1074">
        <f t="shared" si="184"/>
        <v>0</v>
      </c>
      <c r="I433" s="1074">
        <f t="shared" si="184"/>
        <v>0</v>
      </c>
      <c r="J433" s="1074">
        <f t="shared" si="184"/>
        <v>0</v>
      </c>
      <c r="K433" s="1074">
        <f t="shared" si="184"/>
        <v>0</v>
      </c>
      <c r="L433" s="1074">
        <f t="shared" si="184"/>
        <v>0</v>
      </c>
      <c r="M433" s="1074">
        <f t="shared" si="184"/>
        <v>0</v>
      </c>
      <c r="N433" s="1074">
        <f t="shared" si="184"/>
        <v>0</v>
      </c>
      <c r="O433" s="1074">
        <f t="shared" si="184"/>
        <v>0</v>
      </c>
      <c r="P433" s="1074">
        <f t="shared" si="184"/>
        <v>0</v>
      </c>
      <c r="Q433" s="1074">
        <f t="shared" si="184"/>
        <v>0</v>
      </c>
      <c r="R433" s="1074">
        <f t="shared" si="184"/>
        <v>0</v>
      </c>
      <c r="S433" s="1074">
        <f t="shared" si="184"/>
        <v>0</v>
      </c>
      <c r="T433" s="1074">
        <f t="shared" si="184"/>
        <v>0</v>
      </c>
      <c r="U433" s="1074">
        <f t="shared" si="184"/>
        <v>0</v>
      </c>
      <c r="V433" s="1074">
        <f t="shared" si="184"/>
        <v>0</v>
      </c>
      <c r="W433" s="1074">
        <f t="shared" si="184"/>
        <v>0</v>
      </c>
      <c r="X433" s="1074">
        <f t="shared" si="184"/>
        <v>0</v>
      </c>
      <c r="Y433" s="1074">
        <f t="shared" si="184"/>
        <v>0</v>
      </c>
      <c r="Z433" s="1074">
        <f t="shared" si="184"/>
        <v>0</v>
      </c>
    </row>
    <row r="434" spans="2:26">
      <c r="B434" s="699"/>
      <c r="C434" s="699"/>
      <c r="D434" s="103"/>
      <c r="E434" s="10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2:26">
      <c r="B435" s="699" t="s">
        <v>1126</v>
      </c>
      <c r="C435" s="699"/>
      <c r="D435" s="90"/>
      <c r="E435" s="90"/>
      <c r="F435" s="87">
        <v>1</v>
      </c>
      <c r="G435" s="1074">
        <f>+IF(MOD(G$2,Assumptions!$AP$93)=(Assumptions!$AP$93-1),'Phase 1 Pro Forma'!AQ148*(1+Assumptions!$AP$92),'Phase 1 Pro Forma'!AQ148)</f>
        <v>1</v>
      </c>
      <c r="H435" s="1074">
        <f>+IF(MOD(H$2,Assumptions!$AP$93)=(Assumptions!$AP$93-1),'Phase 1 Pro Forma'!AR148*(1+Assumptions!$AP$92),'Phase 1 Pro Forma'!AR148)</f>
        <v>1</v>
      </c>
      <c r="I435" s="1074">
        <f>+IF(MOD(I$2,Assumptions!$AP$93)=(Assumptions!$AP$93-1),'Phase 1 Pro Forma'!AS148*(1+Assumptions!$AP$92),'Phase 1 Pro Forma'!AS148)</f>
        <v>1</v>
      </c>
      <c r="J435" s="1074">
        <f>+IF(MOD(J$2,Assumptions!$AP$93)=(Assumptions!$AP$93-1),'Phase 1 Pro Forma'!AT148*(1+Assumptions!$AP$92),'Phase 1 Pro Forma'!AT148)</f>
        <v>1.03</v>
      </c>
      <c r="K435" s="1074">
        <f>+IF(MOD(K$2,Assumptions!$AP$93)=(Assumptions!$AP$93-1),'Phase 1 Pro Forma'!AU148*(1+Assumptions!$AP$92),'Phase 1 Pro Forma'!AU148)</f>
        <v>1</v>
      </c>
      <c r="L435" s="1074">
        <f>+IF(MOD(L$2,Assumptions!$AP$93)=(Assumptions!$AP$93-1),'Phase 1 Pro Forma'!AV148*(1+Assumptions!$AP$92),'Phase 1 Pro Forma'!AV148)</f>
        <v>1.03</v>
      </c>
      <c r="M435" s="1074">
        <f>+IF(MOD(M$2,Assumptions!$AP$93)=(Assumptions!$AP$93-1),'Phase 1 Pro Forma'!AW148*(1+Assumptions!$AP$92),'Phase 1 Pro Forma'!AW148)</f>
        <v>1.0609</v>
      </c>
      <c r="N435" s="1074">
        <f>+IF(MOD(N$2,Assumptions!$AP$93)=(Assumptions!$AP$93-1),'Phase 1 Pro Forma'!AX148*(1+Assumptions!$AP$92),'Phase 1 Pro Forma'!AX148)</f>
        <v>1.03</v>
      </c>
      <c r="O435" s="1074">
        <f>+IF(MOD(O$2,Assumptions!$AP$93)=(Assumptions!$AP$93-1),'Phase 1 Pro Forma'!AY148*(1+Assumptions!$AP$92),'Phase 1 Pro Forma'!AY148)</f>
        <v>1.0609</v>
      </c>
      <c r="P435" s="1074">
        <f>+IF(MOD(P$2,Assumptions!$AP$93)=(Assumptions!$AP$93-1),'Phase 1 Pro Forma'!AZ148*(1+Assumptions!$AP$92),'Phase 1 Pro Forma'!AZ148)</f>
        <v>1.092727</v>
      </c>
      <c r="Q435" s="1074">
        <f>+IF(MOD(Q$2,Assumptions!$AP$93)=(Assumptions!$AP$93-1),'Phase 1 Pro Forma'!BA148*(1+Assumptions!$AP$92),'Phase 1 Pro Forma'!BA148)</f>
        <v>1.0609</v>
      </c>
      <c r="R435" s="1074">
        <f>+IF(MOD(R$2,Assumptions!$AP$93)=(Assumptions!$AP$93-1),'Phase 1 Pro Forma'!BB148*(1+Assumptions!$AP$92),'Phase 1 Pro Forma'!BB148)</f>
        <v>1.092727</v>
      </c>
      <c r="S435" s="1074">
        <f>+IF(MOD(S$2,Assumptions!$AP$93)=(Assumptions!$AP$93-1),'Phase 1 Pro Forma'!BC148*(1+Assumptions!$AP$92),'Phase 1 Pro Forma'!BC148)</f>
        <v>1.1255088100000001</v>
      </c>
      <c r="T435" s="1074">
        <f>+IF(MOD(T$2,Assumptions!$AP$93)=(Assumptions!$AP$93-1),'Phase 1 Pro Forma'!BD148*(1+Assumptions!$AP$92),'Phase 1 Pro Forma'!BD148)</f>
        <v>1.092727</v>
      </c>
      <c r="U435" s="1074">
        <f>+IF(MOD(U$2,Assumptions!$AP$93)=(Assumptions!$AP$93-1),'Phase 1 Pro Forma'!BE148*(1+Assumptions!$AP$92),'Phase 1 Pro Forma'!BE148)</f>
        <v>1.1255088100000001</v>
      </c>
      <c r="V435" s="1074">
        <f>+IF(MOD(V$2,Assumptions!$AP$93)=(Assumptions!$AP$93-1),'Phase 1 Pro Forma'!BF148*(1+Assumptions!$AP$92),'Phase 1 Pro Forma'!BF148)</f>
        <v>1.1592740743000001</v>
      </c>
      <c r="W435" s="1074">
        <f>+IF(MOD(W$2,Assumptions!$AP$93)=(Assumptions!$AP$93-1),'Phase 1 Pro Forma'!BG148*(1+Assumptions!$AP$92),'Phase 1 Pro Forma'!BG148)</f>
        <v>1.1255088100000001</v>
      </c>
      <c r="X435" s="1074">
        <f>+IF(MOD(X$2,Assumptions!$AP$93)=(Assumptions!$AP$93-1),'Phase 1 Pro Forma'!BH148*(1+Assumptions!$AP$92),'Phase 1 Pro Forma'!BH148)</f>
        <v>1.1592740743000001</v>
      </c>
      <c r="Y435" s="1074">
        <f>+IF(MOD(Y$2,Assumptions!$AP$93)=(Assumptions!$AP$93-1),'Phase 1 Pro Forma'!BI148*(1+Assumptions!$AP$92),'Phase 1 Pro Forma'!BI148)</f>
        <v>1.1940522965290001</v>
      </c>
      <c r="Z435" s="1074">
        <f>+IF(MOD(Z$2,Assumptions!$AP$93)=(Assumptions!$AP$93-1),'Phase 1 Pro Forma'!BJ148*(1+Assumptions!$AP$92),'Phase 1 Pro Forma'!BJ148)</f>
        <v>1.1592740743000001</v>
      </c>
    </row>
    <row r="436" spans="2:26">
      <c r="B436" s="699" t="s">
        <v>1127</v>
      </c>
      <c r="C436" s="699"/>
      <c r="D436" s="90"/>
      <c r="E436" s="90"/>
      <c r="F436" s="87">
        <v>1</v>
      </c>
      <c r="G436" s="87">
        <f>+F436*(1+Assumptions!$AP$102)</f>
        <v>1.03</v>
      </c>
      <c r="H436" s="87">
        <f>+G436*(1+Assumptions!$AP$102)</f>
        <v>1.0609</v>
      </c>
      <c r="I436" s="87">
        <f>+H436*(1+Assumptions!$AP$102)</f>
        <v>1.092727</v>
      </c>
      <c r="J436" s="87">
        <f>+I436*(1+Assumptions!$AP$102)</f>
        <v>1.1255088100000001</v>
      </c>
      <c r="K436" s="87">
        <f>+J436*(1+Assumptions!$AP$102)</f>
        <v>1.1592740743000001</v>
      </c>
      <c r="L436" s="87">
        <f>+K436*(1+Assumptions!$AP$102)</f>
        <v>1.1940522965290001</v>
      </c>
      <c r="M436" s="87">
        <f>+L436*(1+Assumptions!$AP$102)</f>
        <v>1.2298738654248702</v>
      </c>
      <c r="N436" s="87">
        <f>+M436*(1+Assumptions!$AP$102)</f>
        <v>1.2667700813876164</v>
      </c>
      <c r="O436" s="87">
        <f>+N436*(1+Assumptions!$AP$102)</f>
        <v>1.3047731838292449</v>
      </c>
      <c r="P436" s="87">
        <f>+O436*(1+Assumptions!$AP$102)</f>
        <v>1.3439163793441222</v>
      </c>
      <c r="Q436" s="87">
        <f>+P436*(1+Assumptions!$AP$102)</f>
        <v>1.3842338707244459</v>
      </c>
      <c r="R436" s="87">
        <f>+Q436*(1+Assumptions!$AP$102)</f>
        <v>1.4257608868461793</v>
      </c>
      <c r="S436" s="87">
        <f>+R436*(1+Assumptions!$AP$102)</f>
        <v>1.4685337134515648</v>
      </c>
      <c r="T436" s="87">
        <f>+S436*(1+Assumptions!$AP$102)</f>
        <v>1.5125897248551119</v>
      </c>
      <c r="U436" s="87">
        <f>+T436*(1+Assumptions!$AP$102)</f>
        <v>1.5579674166007653</v>
      </c>
      <c r="V436" s="87">
        <f>+U436*(1+Assumptions!$AP$102)</f>
        <v>1.6047064390987884</v>
      </c>
      <c r="W436" s="87">
        <f>+V436*(1+Assumptions!$AP$102)</f>
        <v>1.652847632271752</v>
      </c>
      <c r="X436" s="87">
        <f>+W436*(1+Assumptions!$AP$102)</f>
        <v>1.7024330612399046</v>
      </c>
      <c r="Y436" s="87">
        <f>+X436*(1+Assumptions!$AP$102)</f>
        <v>1.7535060530771018</v>
      </c>
      <c r="Z436" s="87">
        <f>+Y436*(1+Assumptions!$AP$102)</f>
        <v>1.806111234669415</v>
      </c>
    </row>
    <row r="437" spans="2:26">
      <c r="B437" s="699"/>
      <c r="C437" s="699"/>
      <c r="D437" s="103"/>
      <c r="E437" s="10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2:26">
      <c r="B438" s="699" t="s">
        <v>1128</v>
      </c>
      <c r="C438" s="699"/>
      <c r="D438" s="103"/>
      <c r="E438" s="103"/>
      <c r="F438" s="1028">
        <v>0</v>
      </c>
      <c r="G438" s="1028">
        <v>0</v>
      </c>
      <c r="H438" s="1028">
        <v>0</v>
      </c>
      <c r="I438" s="1028">
        <v>0</v>
      </c>
      <c r="J438" s="1028">
        <v>0</v>
      </c>
      <c r="K438" s="1028">
        <v>0</v>
      </c>
      <c r="L438" s="1028">
        <v>0</v>
      </c>
      <c r="M438" s="1028">
        <v>0</v>
      </c>
      <c r="N438" s="1028">
        <v>0</v>
      </c>
      <c r="O438" s="1028">
        <v>0</v>
      </c>
      <c r="P438" s="1028">
        <v>0</v>
      </c>
      <c r="Q438" s="1028">
        <v>0</v>
      </c>
      <c r="R438" s="1028">
        <v>0</v>
      </c>
      <c r="S438" s="1028">
        <v>0</v>
      </c>
      <c r="T438" s="1028">
        <v>0</v>
      </c>
      <c r="U438" s="1028">
        <v>0</v>
      </c>
      <c r="V438" s="1028">
        <v>0</v>
      </c>
      <c r="W438" s="1028">
        <v>0</v>
      </c>
      <c r="X438" s="1028">
        <v>0</v>
      </c>
      <c r="Y438" s="1028">
        <v>0</v>
      </c>
      <c r="Z438" s="1028">
        <v>0</v>
      </c>
    </row>
    <row r="439" spans="2:26">
      <c r="B439" s="699" t="s">
        <v>1130</v>
      </c>
      <c r="C439" s="699"/>
      <c r="D439" s="103"/>
      <c r="E439" s="103"/>
      <c r="F439" s="1028">
        <v>0</v>
      </c>
      <c r="G439" s="1028">
        <v>0</v>
      </c>
      <c r="H439" s="1028">
        <v>0</v>
      </c>
      <c r="I439" s="1028">
        <v>0</v>
      </c>
      <c r="J439" s="1028">
        <v>0</v>
      </c>
      <c r="K439" s="1028">
        <v>0</v>
      </c>
      <c r="L439" s="1028">
        <v>0</v>
      </c>
      <c r="M439" s="1028">
        <v>0</v>
      </c>
      <c r="N439" s="1028">
        <v>0</v>
      </c>
      <c r="O439" s="1028">
        <v>0</v>
      </c>
      <c r="P439" s="1028">
        <v>0</v>
      </c>
      <c r="Q439" s="1028">
        <v>0</v>
      </c>
      <c r="R439" s="1028">
        <v>0</v>
      </c>
      <c r="S439" s="1028">
        <v>0</v>
      </c>
      <c r="T439" s="1028">
        <v>0</v>
      </c>
      <c r="U439" s="1028">
        <v>0</v>
      </c>
      <c r="V439" s="1028">
        <v>0</v>
      </c>
      <c r="W439" s="1028">
        <v>0</v>
      </c>
      <c r="X439" s="1028">
        <v>0</v>
      </c>
      <c r="Y439" s="1028">
        <v>0</v>
      </c>
      <c r="Z439" s="1028">
        <v>0</v>
      </c>
    </row>
    <row r="440" spans="2:26">
      <c r="B440" s="699" t="s">
        <v>1163</v>
      </c>
      <c r="C440" s="699"/>
      <c r="D440" s="103"/>
      <c r="E440" s="103"/>
      <c r="F440" s="1085">
        <v>0</v>
      </c>
      <c r="G440" s="1085">
        <f ca="1">+G445*Assumptions!$AE$269</f>
        <v>0</v>
      </c>
      <c r="H440" s="1085">
        <f ca="1">+H445*Assumptions!$AE$269</f>
        <v>0</v>
      </c>
      <c r="I440" s="1085">
        <f ca="1">+I445*Assumptions!$AE$269</f>
        <v>0</v>
      </c>
      <c r="J440" s="1085">
        <f ca="1">+J445*Assumptions!$AE$269</f>
        <v>0</v>
      </c>
      <c r="K440" s="1085">
        <f ca="1">+K445*Assumptions!$AE$269</f>
        <v>0</v>
      </c>
      <c r="L440" s="1085">
        <f ca="1">+L445*Assumptions!$AE$269</f>
        <v>0</v>
      </c>
      <c r="M440" s="1085">
        <f ca="1">+M445*Assumptions!$AE$269</f>
        <v>0</v>
      </c>
      <c r="N440" s="1085">
        <f ca="1">+N445*Assumptions!$AE$269</f>
        <v>0</v>
      </c>
      <c r="O440" s="1085">
        <f ca="1">+O445*Assumptions!$AE$269</f>
        <v>0</v>
      </c>
      <c r="P440" s="1085">
        <f ca="1">+P445*Assumptions!$AE$269</f>
        <v>0</v>
      </c>
      <c r="Q440" s="1085">
        <f ca="1">+Q445*Assumptions!$AE$269</f>
        <v>0</v>
      </c>
      <c r="R440" s="1085">
        <f ca="1">+R445*Assumptions!$AE$269</f>
        <v>0</v>
      </c>
      <c r="S440" s="1085">
        <f ca="1">+S445*Assumptions!$AE$269</f>
        <v>0</v>
      </c>
      <c r="T440" s="1085">
        <f ca="1">+T445*Assumptions!$AE$269</f>
        <v>0</v>
      </c>
      <c r="U440" s="1085">
        <f ca="1">+U445*Assumptions!$AE$269</f>
        <v>0</v>
      </c>
      <c r="V440" s="1085">
        <f ca="1">+V445*Assumptions!$AE$269</f>
        <v>0</v>
      </c>
      <c r="W440" s="1085">
        <f ca="1">+W445*Assumptions!$AE$269</f>
        <v>0</v>
      </c>
      <c r="X440" s="1085">
        <f ca="1">+X445*Assumptions!$AE$269</f>
        <v>0</v>
      </c>
      <c r="Y440" s="1085">
        <f ca="1">+Y445*Assumptions!$AE$269</f>
        <v>0</v>
      </c>
      <c r="Z440" s="1085">
        <f ca="1">+Z445*Assumptions!$AE$269</f>
        <v>0</v>
      </c>
    </row>
    <row r="441" spans="2:26" ht="16.5">
      <c r="B441" s="61" t="s">
        <v>1131</v>
      </c>
      <c r="C441" s="61"/>
      <c r="D441" s="61"/>
      <c r="E441" s="61"/>
      <c r="F441" s="145">
        <v>0</v>
      </c>
      <c r="G441" s="145">
        <v>0</v>
      </c>
      <c r="H441" s="145">
        <v>0</v>
      </c>
      <c r="I441" s="145">
        <v>0</v>
      </c>
      <c r="J441" s="145">
        <v>0</v>
      </c>
      <c r="K441" s="145">
        <v>0</v>
      </c>
      <c r="L441" s="145">
        <v>0</v>
      </c>
      <c r="M441" s="145">
        <v>0</v>
      </c>
      <c r="N441" s="145">
        <v>0</v>
      </c>
      <c r="O441" s="145">
        <v>0</v>
      </c>
      <c r="P441" s="145">
        <v>0</v>
      </c>
      <c r="Q441" s="145">
        <v>0</v>
      </c>
      <c r="R441" s="145">
        <v>0</v>
      </c>
      <c r="S441" s="145">
        <v>0</v>
      </c>
      <c r="T441" s="145">
        <v>0</v>
      </c>
      <c r="U441" s="145">
        <v>0</v>
      </c>
      <c r="V441" s="145">
        <v>0</v>
      </c>
      <c r="W441" s="145">
        <v>0</v>
      </c>
      <c r="X441" s="145">
        <v>0</v>
      </c>
      <c r="Y441" s="145">
        <v>0</v>
      </c>
      <c r="Z441" s="145">
        <v>0</v>
      </c>
    </row>
    <row r="442" spans="2:26">
      <c r="B442" s="49"/>
      <c r="C442" s="49"/>
      <c r="D442" s="49"/>
      <c r="E442" s="49"/>
      <c r="F442" s="699"/>
      <c r="G442" s="49"/>
      <c r="H442" s="49"/>
      <c r="I442" s="49"/>
      <c r="J442" s="49"/>
      <c r="K442" s="49"/>
      <c r="L442" s="49"/>
      <c r="M442" s="49"/>
      <c r="N442" s="49"/>
      <c r="O442" s="49"/>
      <c r="P442" s="49"/>
      <c r="Q442" s="49"/>
      <c r="R442" s="49"/>
      <c r="S442" s="49"/>
      <c r="T442" s="49"/>
      <c r="U442" s="49"/>
      <c r="V442" s="49"/>
      <c r="W442" s="49"/>
      <c r="X442" s="49"/>
      <c r="Y442" s="49"/>
      <c r="Z442" s="49"/>
    </row>
    <row r="443" spans="2:26">
      <c r="B443" s="699" t="s">
        <v>1132</v>
      </c>
      <c r="C443" s="49"/>
      <c r="D443" s="49"/>
      <c r="E443" s="49"/>
      <c r="F443" s="1028">
        <v>0</v>
      </c>
      <c r="G443" s="1028">
        <v>0</v>
      </c>
      <c r="H443" s="1028">
        <v>0</v>
      </c>
      <c r="I443" s="1028">
        <v>0</v>
      </c>
      <c r="J443" s="1028">
        <v>0</v>
      </c>
      <c r="K443" s="1028">
        <v>0</v>
      </c>
      <c r="L443" s="1028">
        <v>0</v>
      </c>
      <c r="M443" s="1028">
        <v>0</v>
      </c>
      <c r="N443" s="1028">
        <v>0</v>
      </c>
      <c r="O443" s="1028">
        <v>0</v>
      </c>
      <c r="P443" s="1028">
        <v>0</v>
      </c>
      <c r="Q443" s="1028">
        <v>0</v>
      </c>
      <c r="R443" s="1028">
        <v>0</v>
      </c>
      <c r="S443" s="1028">
        <v>0</v>
      </c>
      <c r="T443" s="1028">
        <v>0</v>
      </c>
      <c r="U443" s="1028">
        <v>0</v>
      </c>
      <c r="V443" s="1028">
        <v>0</v>
      </c>
      <c r="W443" s="1028">
        <v>0</v>
      </c>
      <c r="X443" s="1028">
        <v>0</v>
      </c>
      <c r="Y443" s="1028">
        <v>0</v>
      </c>
      <c r="Z443" s="1028">
        <v>0</v>
      </c>
    </row>
    <row r="444" spans="2:26">
      <c r="B444" s="699" t="s">
        <v>1133</v>
      </c>
      <c r="C444" s="49"/>
      <c r="D444" s="49"/>
      <c r="E444" s="49"/>
      <c r="F444" s="1050">
        <f ca="1">+IFERROR(INDEX('Taxes and TIF'!$M$11:$M$45,MATCH('Phase 1 Pro Forma'!F$7,'Taxes and TIF'!$B$11:$B$45,0)),0)*'Loan Sizing'!$I$66*'Phase 1 Pro Forma'!AQ146</f>
        <v>0</v>
      </c>
      <c r="G444" s="1050">
        <f ca="1">+IFERROR(INDEX('Taxes and TIF'!$M$11:$M$45,MATCH('Phase 1 Pro Forma'!G$7,'Taxes and TIF'!$B$11:$B$45,0)),0)*'Loan Sizing'!$I$66*'Phase 1 Pro Forma'!AR146</f>
        <v>0</v>
      </c>
      <c r="H444" s="1050">
        <f ca="1">+IFERROR(INDEX('Taxes and TIF'!$M$11:$M$45,MATCH('Phase 1 Pro Forma'!H$7,'Taxes and TIF'!$B$11:$B$45,0)),0)*'Loan Sizing'!$I$66*'Phase 1 Pro Forma'!AS146</f>
        <v>0</v>
      </c>
      <c r="I444" s="1050">
        <f ca="1">+IFERROR(INDEX('Taxes and TIF'!$M$11:$M$45,MATCH('Phase 1 Pro Forma'!I$7,'Taxes and TIF'!$B$11:$B$45,0)),0)*'Loan Sizing'!$I$66*'Phase 1 Pro Forma'!AT146</f>
        <v>0</v>
      </c>
      <c r="J444" s="1050">
        <f ca="1">+IFERROR(INDEX('Taxes and TIF'!$M$11:$M$45,MATCH('Phase 1 Pro Forma'!J$7,'Taxes and TIF'!$B$11:$B$45,0)),0)*'Loan Sizing'!$I$66*'Phase 1 Pro Forma'!AU146</f>
        <v>0</v>
      </c>
      <c r="K444" s="1050">
        <f ca="1">+IFERROR(INDEX('Taxes and TIF'!$M$11:$M$45,MATCH('Phase 1 Pro Forma'!K$7,'Taxes and TIF'!$B$11:$B$45,0)),0)*'Loan Sizing'!$I$66*'Phase 1 Pro Forma'!AV146</f>
        <v>0</v>
      </c>
      <c r="L444" s="1050">
        <f ca="1">+IFERROR(INDEX('Taxes and TIF'!$M$11:$M$45,MATCH('Phase 1 Pro Forma'!L$7,'Taxes and TIF'!$B$11:$B$45,0)),0)*'Loan Sizing'!$I$66*'Phase 1 Pro Forma'!AW146</f>
        <v>0</v>
      </c>
      <c r="M444" s="1050">
        <f ca="1">+IFERROR(INDEX('Taxes and TIF'!$M$11:$M$45,MATCH('Phase 1 Pro Forma'!M$7,'Taxes and TIF'!$B$11:$B$45,0)),0)*'Loan Sizing'!$I$66*'Phase 1 Pro Forma'!AX146</f>
        <v>0</v>
      </c>
      <c r="N444" s="1050">
        <f ca="1">+IFERROR(INDEX('Taxes and TIF'!$M$11:$M$45,MATCH('Phase 1 Pro Forma'!N$7,'Taxes and TIF'!$B$11:$B$45,0)),0)*'Loan Sizing'!$I$66*'Phase 1 Pro Forma'!AY146</f>
        <v>0</v>
      </c>
      <c r="O444" s="1050">
        <f ca="1">+IFERROR(INDEX('Taxes and TIF'!$M$11:$M$45,MATCH('Phase 1 Pro Forma'!O$7,'Taxes and TIF'!$B$11:$B$45,0)),0)*'Loan Sizing'!$I$66*'Phase 1 Pro Forma'!AZ146</f>
        <v>0</v>
      </c>
      <c r="P444" s="1050">
        <f ca="1">+IFERROR(INDEX('Taxes and TIF'!$M$11:$M$45,MATCH('Phase 1 Pro Forma'!P$7,'Taxes and TIF'!$B$11:$B$45,0)),0)*'Loan Sizing'!$I$66*'Phase 1 Pro Forma'!BA146</f>
        <v>0</v>
      </c>
      <c r="Q444" s="1050">
        <f ca="1">+IFERROR(INDEX('Taxes and TIF'!$M$11:$M$45,MATCH('Phase 1 Pro Forma'!Q$7,'Taxes and TIF'!$B$11:$B$45,0)),0)*'Loan Sizing'!$I$66*'Phase 1 Pro Forma'!BB146</f>
        <v>0</v>
      </c>
      <c r="R444" s="1050">
        <f ca="1">+IFERROR(INDEX('Taxes and TIF'!$M$11:$M$45,MATCH('Phase 1 Pro Forma'!R$7,'Taxes and TIF'!$B$11:$B$45,0)),0)*'Loan Sizing'!$I$66*'Phase 1 Pro Forma'!BC146</f>
        <v>0</v>
      </c>
      <c r="S444" s="1050">
        <f ca="1">+IFERROR(INDEX('Taxes and TIF'!$M$11:$M$45,MATCH('Phase 1 Pro Forma'!S$7,'Taxes and TIF'!$B$11:$B$45,0)),0)*'Loan Sizing'!$I$66*'Phase 1 Pro Forma'!BD146</f>
        <v>0</v>
      </c>
      <c r="T444" s="1050">
        <f ca="1">+IFERROR(INDEX('Taxes and TIF'!$M$11:$M$45,MATCH('Phase 1 Pro Forma'!T$7,'Taxes and TIF'!$B$11:$B$45,0)),0)*'Loan Sizing'!$I$66*'Phase 1 Pro Forma'!BE146</f>
        <v>0</v>
      </c>
      <c r="U444" s="1050">
        <f ca="1">+IFERROR(INDEX('Taxes and TIF'!$M$11:$M$45,MATCH('Phase 1 Pro Forma'!U$7,'Taxes and TIF'!$B$11:$B$45,0)),0)*'Loan Sizing'!$I$66*'Phase 1 Pro Forma'!BF146</f>
        <v>0</v>
      </c>
      <c r="V444" s="1050">
        <f ca="1">+IFERROR(INDEX('Taxes and TIF'!$M$11:$M$45,MATCH('Phase 1 Pro Forma'!V$7,'Taxes and TIF'!$B$11:$B$45,0)),0)*'Loan Sizing'!$I$66*'Phase 1 Pro Forma'!BG146</f>
        <v>0</v>
      </c>
      <c r="W444" s="1050">
        <f ca="1">+IFERROR(INDEX('Taxes and TIF'!$M$11:$M$45,MATCH('Phase 1 Pro Forma'!W$7,'Taxes and TIF'!$B$11:$B$45,0)),0)*'Loan Sizing'!$I$66*'Phase 1 Pro Forma'!BH146</f>
        <v>0</v>
      </c>
      <c r="X444" s="1050">
        <f ca="1">+IFERROR(INDEX('Taxes and TIF'!$M$11:$M$45,MATCH('Phase 1 Pro Forma'!X$7,'Taxes and TIF'!$B$11:$B$45,0)),0)*'Loan Sizing'!$I$66*'Phase 1 Pro Forma'!BI146</f>
        <v>0</v>
      </c>
      <c r="Y444" s="1050">
        <f ca="1">+IFERROR(INDEX('Taxes and TIF'!$M$11:$M$45,MATCH('Phase 1 Pro Forma'!Y$7,'Taxes and TIF'!$B$11:$B$45,0)),0)*'Loan Sizing'!$I$66*'Phase 1 Pro Forma'!BJ146</f>
        <v>0</v>
      </c>
      <c r="Z444" s="1050">
        <f ca="1">+IFERROR(INDEX('Taxes and TIF'!$M$11:$M$45,MATCH('Phase 1 Pro Forma'!Z$7,'Taxes and TIF'!$B$11:$B$45,0)),0)*'Loan Sizing'!$I$66*'Phase 1 Pro Forma'!BK146</f>
        <v>0</v>
      </c>
    </row>
    <row r="445" spans="2:26">
      <c r="B445" s="61" t="s">
        <v>1134</v>
      </c>
      <c r="C445" s="61"/>
      <c r="D445" s="61"/>
      <c r="E445" s="61"/>
      <c r="F445" s="1088">
        <f ca="1">+SUM(F443:F444)</f>
        <v>0</v>
      </c>
      <c r="G445" s="1088">
        <f t="shared" ref="G445:Z445" ca="1" si="185">+SUM(G443:G444)</f>
        <v>0</v>
      </c>
      <c r="H445" s="1088">
        <f t="shared" ca="1" si="185"/>
        <v>0</v>
      </c>
      <c r="I445" s="1088">
        <f t="shared" ca="1" si="185"/>
        <v>0</v>
      </c>
      <c r="J445" s="1088">
        <f t="shared" ca="1" si="185"/>
        <v>0</v>
      </c>
      <c r="K445" s="1088">
        <f t="shared" ca="1" si="185"/>
        <v>0</v>
      </c>
      <c r="L445" s="1088">
        <f t="shared" ca="1" si="185"/>
        <v>0</v>
      </c>
      <c r="M445" s="1088">
        <f t="shared" ca="1" si="185"/>
        <v>0</v>
      </c>
      <c r="N445" s="1088">
        <f t="shared" ca="1" si="185"/>
        <v>0</v>
      </c>
      <c r="O445" s="1088">
        <f t="shared" ca="1" si="185"/>
        <v>0</v>
      </c>
      <c r="P445" s="1088">
        <f t="shared" ca="1" si="185"/>
        <v>0</v>
      </c>
      <c r="Q445" s="1088">
        <f t="shared" ca="1" si="185"/>
        <v>0</v>
      </c>
      <c r="R445" s="1088">
        <f t="shared" ca="1" si="185"/>
        <v>0</v>
      </c>
      <c r="S445" s="1088">
        <f t="shared" ca="1" si="185"/>
        <v>0</v>
      </c>
      <c r="T445" s="1088">
        <f t="shared" ca="1" si="185"/>
        <v>0</v>
      </c>
      <c r="U445" s="1088">
        <f t="shared" ca="1" si="185"/>
        <v>0</v>
      </c>
      <c r="V445" s="1088">
        <f t="shared" ca="1" si="185"/>
        <v>0</v>
      </c>
      <c r="W445" s="1088">
        <f t="shared" ca="1" si="185"/>
        <v>0</v>
      </c>
      <c r="X445" s="1088">
        <f t="shared" ca="1" si="185"/>
        <v>0</v>
      </c>
      <c r="Y445" s="1088">
        <f t="shared" ca="1" si="185"/>
        <v>0</v>
      </c>
      <c r="Z445" s="1088">
        <f t="shared" ca="1" si="185"/>
        <v>0</v>
      </c>
    </row>
    <row r="446" spans="2:26">
      <c r="B446" s="699"/>
      <c r="C446" s="49"/>
      <c r="D446" s="49"/>
      <c r="E446" s="49"/>
      <c r="F446" s="699"/>
      <c r="G446" s="699"/>
      <c r="H446" s="699"/>
      <c r="I446" s="699"/>
      <c r="J446" s="699"/>
      <c r="K446" s="699"/>
      <c r="L446" s="699"/>
      <c r="M446" s="699"/>
      <c r="N446" s="699"/>
      <c r="O446" s="699"/>
      <c r="P446" s="699"/>
      <c r="Q446" s="699"/>
      <c r="R446" s="699"/>
      <c r="S446" s="699"/>
      <c r="T446" s="699"/>
      <c r="U446" s="699"/>
      <c r="V446" s="699"/>
      <c r="W446" s="699"/>
      <c r="X446" s="699"/>
      <c r="Y446" s="699"/>
      <c r="Z446" s="699"/>
    </row>
    <row r="447" spans="2:26" ht="15.75">
      <c r="B447" s="50" t="s">
        <v>1135</v>
      </c>
      <c r="C447" s="50"/>
      <c r="D447" s="50"/>
      <c r="E447" s="50"/>
      <c r="F447" s="55">
        <v>0</v>
      </c>
      <c r="G447" s="55">
        <v>0</v>
      </c>
      <c r="H447" s="55">
        <v>0</v>
      </c>
      <c r="I447" s="55">
        <v>0</v>
      </c>
      <c r="J447" s="55">
        <v>0</v>
      </c>
      <c r="K447" s="55">
        <v>0</v>
      </c>
      <c r="L447" s="55">
        <v>0</v>
      </c>
      <c r="M447" s="55">
        <v>0</v>
      </c>
      <c r="N447" s="55">
        <v>0</v>
      </c>
      <c r="O447" s="55">
        <v>0</v>
      </c>
      <c r="P447" s="55">
        <v>0</v>
      </c>
      <c r="Q447" s="55">
        <v>0</v>
      </c>
      <c r="R447" s="55">
        <v>0</v>
      </c>
      <c r="S447" s="55">
        <v>0</v>
      </c>
      <c r="T447" s="55">
        <v>0</v>
      </c>
      <c r="U447" s="55">
        <v>0</v>
      </c>
      <c r="V447" s="55">
        <v>0</v>
      </c>
      <c r="W447" s="55">
        <v>0</v>
      </c>
      <c r="X447" s="55">
        <v>0</v>
      </c>
      <c r="Y447" s="55">
        <v>0</v>
      </c>
      <c r="Z447" s="55">
        <v>0</v>
      </c>
    </row>
    <row r="448" spans="2:26" ht="15.75">
      <c r="B448" s="51" t="s">
        <v>1136</v>
      </c>
      <c r="C448" s="113"/>
      <c r="D448" s="113"/>
      <c r="E448" s="113"/>
      <c r="F448" s="149" t="str">
        <f>+IFERROR(F447/F441,"")</f>
        <v/>
      </c>
      <c r="G448" s="149" t="str">
        <f t="shared" ref="G448:Z448" si="186">+IFERROR(G447/G441,"")</f>
        <v/>
      </c>
      <c r="H448" s="149" t="str">
        <f t="shared" si="186"/>
        <v/>
      </c>
      <c r="I448" s="149" t="str">
        <f t="shared" si="186"/>
        <v/>
      </c>
      <c r="J448" s="149" t="str">
        <f t="shared" si="186"/>
        <v/>
      </c>
      <c r="K448" s="149" t="str">
        <f t="shared" si="186"/>
        <v/>
      </c>
      <c r="L448" s="149" t="str">
        <f t="shared" si="186"/>
        <v/>
      </c>
      <c r="M448" s="149" t="str">
        <f t="shared" si="186"/>
        <v/>
      </c>
      <c r="N448" s="149" t="str">
        <f t="shared" si="186"/>
        <v/>
      </c>
      <c r="O448" s="149" t="str">
        <f t="shared" si="186"/>
        <v/>
      </c>
      <c r="P448" s="149" t="str">
        <f t="shared" si="186"/>
        <v/>
      </c>
      <c r="Q448" s="149" t="str">
        <f t="shared" si="186"/>
        <v/>
      </c>
      <c r="R448" s="149" t="str">
        <f t="shared" si="186"/>
        <v/>
      </c>
      <c r="S448" s="149" t="str">
        <f t="shared" si="186"/>
        <v/>
      </c>
      <c r="T448" s="149" t="str">
        <f t="shared" si="186"/>
        <v/>
      </c>
      <c r="U448" s="149" t="str">
        <f t="shared" si="186"/>
        <v/>
      </c>
      <c r="V448" s="149" t="str">
        <f t="shared" si="186"/>
        <v/>
      </c>
      <c r="W448" s="149" t="str">
        <f t="shared" si="186"/>
        <v/>
      </c>
      <c r="X448" s="149" t="str">
        <f t="shared" si="186"/>
        <v/>
      </c>
      <c r="Y448" s="149" t="str">
        <f t="shared" si="186"/>
        <v/>
      </c>
      <c r="Z448" s="149" t="str">
        <f t="shared" si="186"/>
        <v/>
      </c>
    </row>
    <row r="449" spans="1:26" ht="15.75">
      <c r="A449" s="699"/>
      <c r="B449" s="51" t="s">
        <v>1064</v>
      </c>
      <c r="C449" s="113"/>
      <c r="D449" s="113"/>
      <c r="E449" s="113"/>
      <c r="F449" s="150">
        <v>0</v>
      </c>
      <c r="G449" s="150">
        <v>0</v>
      </c>
      <c r="H449" s="150">
        <v>0</v>
      </c>
      <c r="I449" s="150">
        <v>0</v>
      </c>
      <c r="J449" s="150">
        <v>0</v>
      </c>
      <c r="K449" s="150">
        <v>0</v>
      </c>
      <c r="L449" s="150">
        <v>0</v>
      </c>
      <c r="M449" s="150">
        <v>0</v>
      </c>
      <c r="N449" s="150">
        <v>0</v>
      </c>
      <c r="O449" s="150">
        <v>0</v>
      </c>
      <c r="P449" s="150">
        <v>0</v>
      </c>
      <c r="Q449" s="150">
        <v>0</v>
      </c>
      <c r="R449" s="150">
        <v>0</v>
      </c>
      <c r="S449" s="150">
        <v>0</v>
      </c>
      <c r="T449" s="150">
        <v>0</v>
      </c>
      <c r="U449" s="150">
        <v>0</v>
      </c>
      <c r="V449" s="150">
        <v>0</v>
      </c>
      <c r="W449" s="150">
        <v>0</v>
      </c>
      <c r="X449" s="150">
        <v>0</v>
      </c>
      <c r="Y449" s="150">
        <v>0</v>
      </c>
      <c r="Z449" s="150">
        <v>0</v>
      </c>
    </row>
    <row r="450" spans="1:26">
      <c r="A450" s="699" t="s">
        <v>511</v>
      </c>
      <c r="B450" s="49"/>
      <c r="C450" s="49"/>
      <c r="D450" s="49"/>
      <c r="E450" s="49"/>
      <c r="F450" s="49"/>
      <c r="G450" s="49"/>
      <c r="H450" s="49"/>
      <c r="I450" s="49"/>
      <c r="J450" s="49"/>
      <c r="K450" s="49"/>
      <c r="L450" s="49"/>
      <c r="M450" s="49"/>
      <c r="N450" s="49"/>
      <c r="O450" s="49"/>
      <c r="P450" s="49"/>
      <c r="Q450" s="49"/>
      <c r="R450" s="49"/>
      <c r="S450" s="49"/>
      <c r="T450" s="49"/>
      <c r="U450" s="49"/>
      <c r="V450" s="49"/>
      <c r="W450" s="49"/>
      <c r="X450" s="49"/>
      <c r="Y450" s="49"/>
      <c r="Z450" s="49"/>
    </row>
    <row r="451" spans="1:26" ht="15.75">
      <c r="A451" s="699"/>
      <c r="B451" s="112" t="s">
        <v>1170</v>
      </c>
      <c r="C451" s="49"/>
      <c r="D451" s="49"/>
      <c r="E451" s="49"/>
      <c r="F451" s="148">
        <f>+Assumptions!$H$27</f>
        <v>47118</v>
      </c>
      <c r="G451" s="148">
        <f>+EOMONTH(F451,12)</f>
        <v>47483</v>
      </c>
      <c r="H451" s="148">
        <f t="shared" ref="H451:Z451" si="187">+EOMONTH(G451,12)</f>
        <v>47848</v>
      </c>
      <c r="I451" s="148">
        <f t="shared" si="187"/>
        <v>48213</v>
      </c>
      <c r="J451" s="148">
        <f t="shared" si="187"/>
        <v>48579</v>
      </c>
      <c r="K451" s="148">
        <f t="shared" si="187"/>
        <v>48944</v>
      </c>
      <c r="L451" s="148">
        <f t="shared" si="187"/>
        <v>49309</v>
      </c>
      <c r="M451" s="148">
        <f t="shared" si="187"/>
        <v>49674</v>
      </c>
      <c r="N451" s="148">
        <f t="shared" si="187"/>
        <v>50040</v>
      </c>
      <c r="O451" s="148">
        <f t="shared" si="187"/>
        <v>50405</v>
      </c>
      <c r="P451" s="148">
        <f t="shared" si="187"/>
        <v>50770</v>
      </c>
      <c r="Q451" s="148">
        <f t="shared" si="187"/>
        <v>51135</v>
      </c>
      <c r="R451" s="148">
        <f t="shared" si="187"/>
        <v>51501</v>
      </c>
      <c r="S451" s="148">
        <f t="shared" si="187"/>
        <v>51866</v>
      </c>
      <c r="T451" s="148">
        <f t="shared" si="187"/>
        <v>52231</v>
      </c>
      <c r="U451" s="148">
        <f t="shared" si="187"/>
        <v>52596</v>
      </c>
      <c r="V451" s="148">
        <f t="shared" si="187"/>
        <v>52962</v>
      </c>
      <c r="W451" s="148">
        <f t="shared" si="187"/>
        <v>53327</v>
      </c>
      <c r="X451" s="148">
        <f t="shared" si="187"/>
        <v>53692</v>
      </c>
      <c r="Y451" s="148">
        <f t="shared" si="187"/>
        <v>54057</v>
      </c>
      <c r="Z451" s="148">
        <f t="shared" si="187"/>
        <v>54423</v>
      </c>
    </row>
    <row r="452" spans="1:26">
      <c r="A452" s="699"/>
      <c r="B452" s="699" t="s">
        <v>1147</v>
      </c>
      <c r="C452" s="49"/>
      <c r="D452" s="49"/>
      <c r="E452" s="49"/>
      <c r="F452" s="1028">
        <v>0</v>
      </c>
      <c r="G452" s="83">
        <f>+F455</f>
        <v>0</v>
      </c>
      <c r="H452" s="83">
        <f t="shared" ref="H452:Z452" si="188">+G455</f>
        <v>0</v>
      </c>
      <c r="I452" s="83">
        <f t="shared" si="188"/>
        <v>0</v>
      </c>
      <c r="J452" s="83">
        <f t="shared" ca="1" si="188"/>
        <v>0</v>
      </c>
      <c r="K452" s="83">
        <f t="shared" ca="1" si="188"/>
        <v>0</v>
      </c>
      <c r="L452" s="83">
        <f t="shared" ca="1" si="188"/>
        <v>0</v>
      </c>
      <c r="M452" s="83">
        <f t="shared" ca="1" si="188"/>
        <v>0</v>
      </c>
      <c r="N452" s="83">
        <f t="shared" ca="1" si="188"/>
        <v>0</v>
      </c>
      <c r="O452" s="83">
        <f t="shared" ca="1" si="188"/>
        <v>0</v>
      </c>
      <c r="P452" s="83">
        <f t="shared" ca="1" si="188"/>
        <v>0</v>
      </c>
      <c r="Q452" s="83">
        <f t="shared" ca="1" si="188"/>
        <v>0</v>
      </c>
      <c r="R452" s="83">
        <f t="shared" ca="1" si="188"/>
        <v>0</v>
      </c>
      <c r="S452" s="83">
        <f t="shared" ca="1" si="188"/>
        <v>0</v>
      </c>
      <c r="T452" s="83">
        <f t="shared" ca="1" si="188"/>
        <v>0</v>
      </c>
      <c r="U452" s="83">
        <f t="shared" ca="1" si="188"/>
        <v>0</v>
      </c>
      <c r="V452" s="83">
        <f t="shared" ca="1" si="188"/>
        <v>0</v>
      </c>
      <c r="W452" s="83">
        <f t="shared" ca="1" si="188"/>
        <v>0</v>
      </c>
      <c r="X452" s="83">
        <f t="shared" ca="1" si="188"/>
        <v>0</v>
      </c>
      <c r="Y452" s="83">
        <f t="shared" ca="1" si="188"/>
        <v>0</v>
      </c>
      <c r="Z452" s="83">
        <f t="shared" ca="1" si="188"/>
        <v>0</v>
      </c>
    </row>
    <row r="453" spans="1:26">
      <c r="A453" s="699"/>
      <c r="B453" s="699" t="s">
        <v>1148</v>
      </c>
      <c r="C453" s="49"/>
      <c r="D453" s="49"/>
      <c r="E453" s="49"/>
      <c r="F453" s="90">
        <f>+IF(YEAR(F$335)=YEAR(Assumptions!$H$31),'S&amp;U'!$T$19,0)</f>
        <v>0</v>
      </c>
      <c r="G453" s="90">
        <f>+IF(YEAR(G$335)=YEAR(Assumptions!$H$31),'S&amp;U'!$T$19,0)</f>
        <v>0</v>
      </c>
      <c r="H453" s="90">
        <f>+IF(YEAR(H$335)=YEAR(Assumptions!$H$31),'S&amp;U'!$T$19,0)</f>
        <v>0</v>
      </c>
      <c r="I453" s="90">
        <f ca="1">+IF(YEAR(I$335)=YEAR(Assumptions!$H$31),'S&amp;U'!$T$19,0)</f>
        <v>0</v>
      </c>
      <c r="J453" s="90">
        <f>+IF(YEAR(J$335)=YEAR(Assumptions!$H$31),'S&amp;U'!$T$19,0)</f>
        <v>0</v>
      </c>
      <c r="K453" s="90">
        <f>+IF(YEAR(K$335)=YEAR(Assumptions!$H$31),'S&amp;U'!$T$19,0)</f>
        <v>0</v>
      </c>
      <c r="L453" s="90">
        <f>+IF(YEAR(L$335)=YEAR(Assumptions!$H$31),'S&amp;U'!$T$19,0)</f>
        <v>0</v>
      </c>
      <c r="M453" s="90">
        <f>+IF(YEAR(M$335)=YEAR(Assumptions!$H$31),'S&amp;U'!$T$19,0)</f>
        <v>0</v>
      </c>
      <c r="N453" s="90">
        <f>+IF(YEAR(N$335)=YEAR(Assumptions!$H$31),'S&amp;U'!$T$19,0)</f>
        <v>0</v>
      </c>
      <c r="O453" s="90">
        <f>+IF(YEAR(O$335)=YEAR(Assumptions!$H$31),'S&amp;U'!$T$19,0)</f>
        <v>0</v>
      </c>
      <c r="P453" s="90">
        <f>+IF(YEAR(P$335)=YEAR(Assumptions!$H$31),'S&amp;U'!$T$19,0)</f>
        <v>0</v>
      </c>
      <c r="Q453" s="90">
        <f>+IF(YEAR(Q$335)=YEAR(Assumptions!$H$31),'S&amp;U'!$T$19,0)</f>
        <v>0</v>
      </c>
      <c r="R453" s="90">
        <f>+IF(YEAR(R$335)=YEAR(Assumptions!$H$31),'S&amp;U'!$T$19,0)</f>
        <v>0</v>
      </c>
      <c r="S453" s="90">
        <f>+IF(YEAR(S$335)=YEAR(Assumptions!$H$31),'S&amp;U'!$T$19,0)</f>
        <v>0</v>
      </c>
      <c r="T453" s="90">
        <f>+IF(YEAR(T$335)=YEAR(Assumptions!$H$31),'S&amp;U'!$T$19,0)</f>
        <v>0</v>
      </c>
      <c r="U453" s="90">
        <f>+IF(YEAR(U$335)=YEAR(Assumptions!$H$31),'S&amp;U'!$T$19,0)</f>
        <v>0</v>
      </c>
      <c r="V453" s="90">
        <f>+IF(YEAR(V$335)=YEAR(Assumptions!$H$31),'S&amp;U'!$T$19,0)</f>
        <v>0</v>
      </c>
      <c r="W453" s="90">
        <f>+IF(YEAR(W$335)=YEAR(Assumptions!$H$31),'S&amp;U'!$T$19,0)</f>
        <v>0</v>
      </c>
      <c r="X453" s="90">
        <f>+IF(YEAR(X$335)=YEAR(Assumptions!$H$31),'S&amp;U'!$T$19,0)</f>
        <v>0</v>
      </c>
      <c r="Y453" s="90">
        <f>+IF(YEAR(Y$335)=YEAR(Assumptions!$H$31),'S&amp;U'!$T$19,0)</f>
        <v>0</v>
      </c>
      <c r="Z453" s="90">
        <f>+IF(YEAR(Z$335)=YEAR(Assumptions!$H$31),'S&amp;U'!$T$19,0)</f>
        <v>0</v>
      </c>
    </row>
    <row r="454" spans="1:26">
      <c r="A454" s="699"/>
      <c r="B454" s="699" t="s">
        <v>682</v>
      </c>
      <c r="C454" s="49"/>
      <c r="D454" s="49"/>
      <c r="E454" s="49"/>
      <c r="F454" s="90">
        <v>0</v>
      </c>
      <c r="G454" s="90">
        <v>0</v>
      </c>
      <c r="H454" s="90">
        <v>0</v>
      </c>
      <c r="I454" s="90">
        <v>0</v>
      </c>
      <c r="J454" s="90">
        <v>0</v>
      </c>
      <c r="K454" s="90">
        <v>0</v>
      </c>
      <c r="L454" s="90">
        <v>0</v>
      </c>
      <c r="M454" s="90">
        <v>0</v>
      </c>
      <c r="N454" s="90">
        <v>0</v>
      </c>
      <c r="O454" s="90">
        <v>0</v>
      </c>
      <c r="P454" s="90">
        <v>0</v>
      </c>
      <c r="Q454" s="90">
        <v>0</v>
      </c>
      <c r="R454" s="90">
        <v>0</v>
      </c>
      <c r="S454" s="90">
        <v>0</v>
      </c>
      <c r="T454" s="90">
        <v>0</v>
      </c>
      <c r="U454" s="90">
        <v>0</v>
      </c>
      <c r="V454" s="90">
        <v>0</v>
      </c>
      <c r="W454" s="90">
        <v>0</v>
      </c>
      <c r="X454" s="90">
        <v>0</v>
      </c>
      <c r="Y454" s="90">
        <v>0</v>
      </c>
      <c r="Z454" s="90">
        <v>0</v>
      </c>
    </row>
    <row r="455" spans="1:26">
      <c r="A455" s="699"/>
      <c r="B455" s="699" t="s">
        <v>1149</v>
      </c>
      <c r="C455" s="49"/>
      <c r="D455" s="49"/>
      <c r="E455" s="49"/>
      <c r="F455" s="90">
        <f>+SUM(F452:F454)</f>
        <v>0</v>
      </c>
      <c r="G455" s="90">
        <f t="shared" ref="G455:Z455" si="189">+SUM(G452:G454)</f>
        <v>0</v>
      </c>
      <c r="H455" s="90">
        <f t="shared" si="189"/>
        <v>0</v>
      </c>
      <c r="I455" s="90">
        <f t="shared" ca="1" si="189"/>
        <v>0</v>
      </c>
      <c r="J455" s="90">
        <f t="shared" ca="1" si="189"/>
        <v>0</v>
      </c>
      <c r="K455" s="90">
        <f t="shared" ca="1" si="189"/>
        <v>0</v>
      </c>
      <c r="L455" s="90">
        <f t="shared" ca="1" si="189"/>
        <v>0</v>
      </c>
      <c r="M455" s="90">
        <f t="shared" ca="1" si="189"/>
        <v>0</v>
      </c>
      <c r="N455" s="90">
        <f t="shared" ca="1" si="189"/>
        <v>0</v>
      </c>
      <c r="O455" s="90">
        <f t="shared" ca="1" si="189"/>
        <v>0</v>
      </c>
      <c r="P455" s="90">
        <f t="shared" ca="1" si="189"/>
        <v>0</v>
      </c>
      <c r="Q455" s="90">
        <f t="shared" ca="1" si="189"/>
        <v>0</v>
      </c>
      <c r="R455" s="90">
        <f t="shared" ca="1" si="189"/>
        <v>0</v>
      </c>
      <c r="S455" s="90">
        <f t="shared" ca="1" si="189"/>
        <v>0</v>
      </c>
      <c r="T455" s="90">
        <f t="shared" ca="1" si="189"/>
        <v>0</v>
      </c>
      <c r="U455" s="90">
        <f t="shared" ca="1" si="189"/>
        <v>0</v>
      </c>
      <c r="V455" s="90">
        <f t="shared" ca="1" si="189"/>
        <v>0</v>
      </c>
      <c r="W455" s="90">
        <f t="shared" ca="1" si="189"/>
        <v>0</v>
      </c>
      <c r="X455" s="90">
        <f t="shared" ca="1" si="189"/>
        <v>0</v>
      </c>
      <c r="Y455" s="90">
        <f t="shared" ca="1" si="189"/>
        <v>0</v>
      </c>
      <c r="Z455" s="90">
        <f t="shared" ca="1" si="189"/>
        <v>0</v>
      </c>
    </row>
    <row r="456" spans="1:26">
      <c r="A456" s="699"/>
      <c r="B456" s="49"/>
      <c r="C456" s="49"/>
      <c r="D456" s="49"/>
      <c r="E456" s="49"/>
      <c r="F456" s="699"/>
      <c r="G456" s="49"/>
      <c r="H456" s="49"/>
      <c r="I456" s="49"/>
      <c r="J456" s="49"/>
      <c r="K456" s="49"/>
      <c r="L456" s="49"/>
      <c r="M456" s="49"/>
      <c r="N456" s="49"/>
      <c r="O456" s="49"/>
      <c r="P456" s="49"/>
      <c r="Q456" s="49"/>
      <c r="R456" s="49"/>
      <c r="S456" s="49"/>
      <c r="T456" s="49"/>
      <c r="U456" s="49"/>
      <c r="V456" s="49"/>
      <c r="W456" s="49"/>
      <c r="X456" s="49"/>
      <c r="Y456" s="49"/>
      <c r="Z456" s="49"/>
    </row>
    <row r="457" spans="1:26">
      <c r="A457" s="699"/>
      <c r="B457" s="49" t="s">
        <v>1150</v>
      </c>
      <c r="C457" s="49"/>
      <c r="D457" s="49"/>
      <c r="E457" s="49"/>
      <c r="F457" s="1028">
        <f>+F455*Assumptions!$P$157</f>
        <v>0</v>
      </c>
      <c r="G457" s="1028">
        <f>+G455*Assumptions!$P$157</f>
        <v>0</v>
      </c>
      <c r="H457" s="1028">
        <f>+H455*Assumptions!$P$157</f>
        <v>0</v>
      </c>
      <c r="I457" s="1028">
        <f ca="1">+I455*Assumptions!$P$157</f>
        <v>0</v>
      </c>
      <c r="J457" s="1028">
        <f ca="1">+J455*Assumptions!$P$157</f>
        <v>0</v>
      </c>
      <c r="K457" s="1028">
        <f ca="1">+K455*Assumptions!$P$157</f>
        <v>0</v>
      </c>
      <c r="L457" s="1028">
        <f ca="1">+L455*Assumptions!$P$157</f>
        <v>0</v>
      </c>
      <c r="M457" s="1028">
        <f ca="1">+M455*Assumptions!$P$157</f>
        <v>0</v>
      </c>
      <c r="N457" s="1028">
        <f ca="1">+N455*Assumptions!$P$157</f>
        <v>0</v>
      </c>
      <c r="O457" s="1028">
        <f ca="1">+O455*Assumptions!$P$157</f>
        <v>0</v>
      </c>
      <c r="P457" s="1028">
        <f ca="1">+P455*Assumptions!$P$157</f>
        <v>0</v>
      </c>
      <c r="Q457" s="1028">
        <f ca="1">+Q455*Assumptions!$P$157</f>
        <v>0</v>
      </c>
      <c r="R457" s="1028">
        <f ca="1">+R455*Assumptions!$P$157</f>
        <v>0</v>
      </c>
      <c r="S457" s="1028">
        <f ca="1">+S455*Assumptions!$P$157</f>
        <v>0</v>
      </c>
      <c r="T457" s="1028">
        <f ca="1">+T455*Assumptions!$P$157</f>
        <v>0</v>
      </c>
      <c r="U457" s="1028">
        <f ca="1">+U455*Assumptions!$P$157</f>
        <v>0</v>
      </c>
      <c r="V457" s="1028">
        <f ca="1">+V455*Assumptions!$P$157</f>
        <v>0</v>
      </c>
      <c r="W457" s="1028">
        <f ca="1">+W455*Assumptions!$P$157</f>
        <v>0</v>
      </c>
      <c r="X457" s="1028">
        <f ca="1">+X455*Assumptions!$P$157</f>
        <v>0</v>
      </c>
      <c r="Y457" s="1028">
        <f ca="1">+Y455*Assumptions!$P$157</f>
        <v>0</v>
      </c>
      <c r="Z457" s="1028">
        <f ca="1">+Z455*Assumptions!$P$157</f>
        <v>0</v>
      </c>
    </row>
    <row r="458" spans="1:26" ht="16.5">
      <c r="A458" s="699"/>
      <c r="B458" s="61" t="s">
        <v>1151</v>
      </c>
      <c r="C458" s="61"/>
      <c r="D458" s="61"/>
      <c r="E458" s="61"/>
      <c r="F458" s="145">
        <f>+F457-F454</f>
        <v>0</v>
      </c>
      <c r="G458" s="145">
        <f t="shared" ref="G458:Z458" si="190">+G457-G454</f>
        <v>0</v>
      </c>
      <c r="H458" s="145">
        <f t="shared" si="190"/>
        <v>0</v>
      </c>
      <c r="I458" s="145">
        <f t="shared" ca="1" si="190"/>
        <v>0</v>
      </c>
      <c r="J458" s="145">
        <f t="shared" ca="1" si="190"/>
        <v>0</v>
      </c>
      <c r="K458" s="145">
        <f t="shared" ca="1" si="190"/>
        <v>0</v>
      </c>
      <c r="L458" s="145">
        <f t="shared" ca="1" si="190"/>
        <v>0</v>
      </c>
      <c r="M458" s="145">
        <f t="shared" ca="1" si="190"/>
        <v>0</v>
      </c>
      <c r="N458" s="145">
        <f t="shared" ca="1" si="190"/>
        <v>0</v>
      </c>
      <c r="O458" s="145">
        <f t="shared" ca="1" si="190"/>
        <v>0</v>
      </c>
      <c r="P458" s="145">
        <f t="shared" ca="1" si="190"/>
        <v>0</v>
      </c>
      <c r="Q458" s="145">
        <f t="shared" ca="1" si="190"/>
        <v>0</v>
      </c>
      <c r="R458" s="145">
        <f t="shared" ca="1" si="190"/>
        <v>0</v>
      </c>
      <c r="S458" s="145">
        <f t="shared" ca="1" si="190"/>
        <v>0</v>
      </c>
      <c r="T458" s="145">
        <f t="shared" ca="1" si="190"/>
        <v>0</v>
      </c>
      <c r="U458" s="145">
        <f t="shared" ca="1" si="190"/>
        <v>0</v>
      </c>
      <c r="V458" s="145">
        <f t="shared" ca="1" si="190"/>
        <v>0</v>
      </c>
      <c r="W458" s="145">
        <f t="shared" ca="1" si="190"/>
        <v>0</v>
      </c>
      <c r="X458" s="145">
        <f t="shared" ca="1" si="190"/>
        <v>0</v>
      </c>
      <c r="Y458" s="145">
        <f t="shared" ca="1" si="190"/>
        <v>0</v>
      </c>
      <c r="Z458" s="145">
        <f t="shared" ca="1" si="190"/>
        <v>0</v>
      </c>
    </row>
    <row r="459" spans="1:26">
      <c r="A459" s="699"/>
      <c r="B459" s="117" t="s">
        <v>670</v>
      </c>
      <c r="C459" s="49"/>
      <c r="D459" s="49"/>
      <c r="E459" s="49"/>
      <c r="F459" s="146" t="str">
        <f>+IFERROR(F447/F458,"")</f>
        <v/>
      </c>
      <c r="G459" s="146" t="str">
        <f t="shared" ref="G459:Z459" si="191">+IFERROR(G447/G458,"")</f>
        <v/>
      </c>
      <c r="H459" s="146" t="str">
        <f t="shared" si="191"/>
        <v/>
      </c>
      <c r="I459" s="146" t="str">
        <f t="shared" ca="1" si="191"/>
        <v/>
      </c>
      <c r="J459" s="146" t="str">
        <f t="shared" ca="1" si="191"/>
        <v/>
      </c>
      <c r="K459" s="146" t="str">
        <f t="shared" ca="1" si="191"/>
        <v/>
      </c>
      <c r="L459" s="146" t="str">
        <f t="shared" ca="1" si="191"/>
        <v/>
      </c>
      <c r="M459" s="146" t="str">
        <f t="shared" ca="1" si="191"/>
        <v/>
      </c>
      <c r="N459" s="146" t="str">
        <f t="shared" ca="1" si="191"/>
        <v/>
      </c>
      <c r="O459" s="146" t="str">
        <f t="shared" ca="1" si="191"/>
        <v/>
      </c>
      <c r="P459" s="146" t="str">
        <f t="shared" ca="1" si="191"/>
        <v/>
      </c>
      <c r="Q459" s="146" t="str">
        <f t="shared" ca="1" si="191"/>
        <v/>
      </c>
      <c r="R459" s="146" t="str">
        <f t="shared" ca="1" si="191"/>
        <v/>
      </c>
      <c r="S459" s="146" t="str">
        <f t="shared" ca="1" si="191"/>
        <v/>
      </c>
      <c r="T459" s="146" t="str">
        <f t="shared" ca="1" si="191"/>
        <v/>
      </c>
      <c r="U459" s="146" t="str">
        <f t="shared" ca="1" si="191"/>
        <v/>
      </c>
      <c r="V459" s="146" t="str">
        <f t="shared" ca="1" si="191"/>
        <v/>
      </c>
      <c r="W459" s="146" t="str">
        <f t="shared" ca="1" si="191"/>
        <v/>
      </c>
      <c r="X459" s="146" t="str">
        <f t="shared" ca="1" si="191"/>
        <v/>
      </c>
      <c r="Y459" s="146" t="str">
        <f t="shared" ca="1" si="191"/>
        <v/>
      </c>
      <c r="Z459" s="146" t="str">
        <f t="shared" ca="1" si="191"/>
        <v/>
      </c>
    </row>
    <row r="460" spans="1:26">
      <c r="A460" s="699"/>
      <c r="B460" s="49"/>
      <c r="C460" s="49"/>
      <c r="D460" s="49"/>
      <c r="E460" s="49"/>
      <c r="F460" s="699"/>
      <c r="G460" s="699"/>
      <c r="H460" s="699"/>
      <c r="I460" s="699"/>
      <c r="J460" s="699"/>
      <c r="K460" s="699"/>
      <c r="L460" s="699"/>
      <c r="M460" s="699"/>
      <c r="N460" s="699"/>
      <c r="O460" s="699"/>
      <c r="P460" s="699"/>
      <c r="Q460" s="699"/>
      <c r="R460" s="699"/>
      <c r="S460" s="699"/>
      <c r="T460" s="699"/>
      <c r="U460" s="699"/>
      <c r="V460" s="699"/>
      <c r="W460" s="699"/>
      <c r="X460" s="699"/>
      <c r="Y460" s="699"/>
      <c r="Z460" s="699"/>
    </row>
    <row r="461" spans="1:26">
      <c r="A461" s="699"/>
      <c r="B461" s="49" t="s">
        <v>1152</v>
      </c>
      <c r="C461" s="49"/>
      <c r="D461" s="49"/>
      <c r="E461" s="49"/>
      <c r="F461" s="1087">
        <f>+F453*Assumptions!$P$158</f>
        <v>0</v>
      </c>
      <c r="G461" s="1087">
        <f>+G453*Assumptions!$P$158</f>
        <v>0</v>
      </c>
      <c r="H461" s="1087">
        <f>+H453*Assumptions!$P$158</f>
        <v>0</v>
      </c>
      <c r="I461" s="1087">
        <f ca="1">+I453*Assumptions!$P$158</f>
        <v>0</v>
      </c>
      <c r="J461" s="1087">
        <f>+J453*Assumptions!$P$158</f>
        <v>0</v>
      </c>
      <c r="K461" s="1087">
        <f>+K453*Assumptions!$P$158</f>
        <v>0</v>
      </c>
      <c r="L461" s="1087">
        <f>+L453*Assumptions!$P$158</f>
        <v>0</v>
      </c>
      <c r="M461" s="1087">
        <f>+M453*Assumptions!$P$158</f>
        <v>0</v>
      </c>
      <c r="N461" s="1087">
        <f>+N453*Assumptions!$P$158</f>
        <v>0</v>
      </c>
      <c r="O461" s="1087">
        <f>+O453*Assumptions!$P$158</f>
        <v>0</v>
      </c>
      <c r="P461" s="1087">
        <f>+P453*Assumptions!$P$158</f>
        <v>0</v>
      </c>
      <c r="Q461" s="1087">
        <f>+Q453*Assumptions!$P$158</f>
        <v>0</v>
      </c>
      <c r="R461" s="1087">
        <f>+R453*Assumptions!$P$158</f>
        <v>0</v>
      </c>
      <c r="S461" s="1087">
        <f>+S453*Assumptions!$P$158</f>
        <v>0</v>
      </c>
      <c r="T461" s="1087">
        <f>+T453*Assumptions!$P$158</f>
        <v>0</v>
      </c>
      <c r="U461" s="1087">
        <f>+U453*Assumptions!$P$158</f>
        <v>0</v>
      </c>
      <c r="V461" s="1087">
        <f>+V453*Assumptions!$P$158</f>
        <v>0</v>
      </c>
      <c r="W461" s="1087">
        <f>+W453*Assumptions!$P$158</f>
        <v>0</v>
      </c>
      <c r="X461" s="1087">
        <f>+X453*Assumptions!$P$158</f>
        <v>0</v>
      </c>
      <c r="Y461" s="1087">
        <f>+Y453*Assumptions!$P$158</f>
        <v>0</v>
      </c>
      <c r="Z461" s="1087">
        <f>+Z453*Assumptions!$P$158</f>
        <v>0</v>
      </c>
    </row>
    <row r="462" spans="1:26">
      <c r="A462" s="699"/>
      <c r="B462" s="49"/>
      <c r="C462" s="49"/>
      <c r="D462" s="49"/>
      <c r="E462" s="49"/>
      <c r="F462" s="699"/>
      <c r="G462" s="699"/>
      <c r="H462" s="699"/>
      <c r="I462" s="699"/>
      <c r="J462" s="699"/>
      <c r="K462" s="699"/>
      <c r="L462" s="699"/>
      <c r="M462" s="699"/>
      <c r="N462" s="699"/>
      <c r="O462" s="699"/>
      <c r="P462" s="699"/>
      <c r="Q462" s="699"/>
      <c r="R462" s="699"/>
      <c r="S462" s="699"/>
      <c r="T462" s="699"/>
      <c r="U462" s="699"/>
      <c r="V462" s="699"/>
      <c r="W462" s="699"/>
      <c r="X462" s="699"/>
      <c r="Y462" s="699"/>
      <c r="Z462" s="699"/>
    </row>
    <row r="463" spans="1:26" ht="16.5">
      <c r="A463" s="699"/>
      <c r="B463" s="61" t="s">
        <v>1153</v>
      </c>
      <c r="C463" s="61"/>
      <c r="D463" s="61"/>
      <c r="E463" s="61"/>
      <c r="F463" s="144">
        <f>+F447-F458-F461</f>
        <v>0</v>
      </c>
      <c r="G463" s="144">
        <f t="shared" ref="G463:Z463" si="192">+G447-G458-G461</f>
        <v>0</v>
      </c>
      <c r="H463" s="144">
        <f t="shared" si="192"/>
        <v>0</v>
      </c>
      <c r="I463" s="144">
        <f t="shared" ca="1" si="192"/>
        <v>0</v>
      </c>
      <c r="J463" s="144">
        <f t="shared" ca="1" si="192"/>
        <v>0</v>
      </c>
      <c r="K463" s="144">
        <f t="shared" ca="1" si="192"/>
        <v>0</v>
      </c>
      <c r="L463" s="144">
        <f t="shared" ca="1" si="192"/>
        <v>0</v>
      </c>
      <c r="M463" s="144">
        <f t="shared" ca="1" si="192"/>
        <v>0</v>
      </c>
      <c r="N463" s="144">
        <f t="shared" ca="1" si="192"/>
        <v>0</v>
      </c>
      <c r="O463" s="144">
        <f t="shared" ca="1" si="192"/>
        <v>0</v>
      </c>
      <c r="P463" s="144">
        <f t="shared" ca="1" si="192"/>
        <v>0</v>
      </c>
      <c r="Q463" s="144">
        <f t="shared" ca="1" si="192"/>
        <v>0</v>
      </c>
      <c r="R463" s="144">
        <f t="shared" ca="1" si="192"/>
        <v>0</v>
      </c>
      <c r="S463" s="144">
        <f t="shared" ca="1" si="192"/>
        <v>0</v>
      </c>
      <c r="T463" s="144">
        <f t="shared" ca="1" si="192"/>
        <v>0</v>
      </c>
      <c r="U463" s="144">
        <f t="shared" ca="1" si="192"/>
        <v>0</v>
      </c>
      <c r="V463" s="144">
        <f t="shared" ca="1" si="192"/>
        <v>0</v>
      </c>
      <c r="W463" s="144">
        <f t="shared" ca="1" si="192"/>
        <v>0</v>
      </c>
      <c r="X463" s="144">
        <f t="shared" ca="1" si="192"/>
        <v>0</v>
      </c>
      <c r="Y463" s="144">
        <f t="shared" ca="1" si="192"/>
        <v>0</v>
      </c>
      <c r="Z463" s="144">
        <f t="shared" ca="1" si="192"/>
        <v>0</v>
      </c>
    </row>
    <row r="464" spans="1:26">
      <c r="A464" s="699"/>
      <c r="B464" s="49"/>
      <c r="C464" s="49"/>
      <c r="D464" s="49"/>
      <c r="E464" s="49"/>
      <c r="F464" s="699"/>
      <c r="G464" s="699"/>
      <c r="H464" s="699"/>
      <c r="I464" s="699"/>
      <c r="J464" s="699"/>
      <c r="K464" s="699"/>
      <c r="L464" s="699"/>
      <c r="M464" s="699"/>
      <c r="N464" s="699"/>
      <c r="O464" s="699"/>
      <c r="P464" s="699"/>
      <c r="Q464" s="699"/>
      <c r="R464" s="699"/>
      <c r="S464" s="699"/>
      <c r="T464" s="699"/>
      <c r="U464" s="699"/>
      <c r="V464" s="699"/>
      <c r="W464" s="699"/>
      <c r="X464" s="699"/>
      <c r="Y464" s="699"/>
      <c r="Z464" s="699"/>
    </row>
    <row r="465" spans="1:26" ht="15.75">
      <c r="A465" s="699"/>
      <c r="B465" s="112" t="s">
        <v>1178</v>
      </c>
      <c r="C465" s="49"/>
      <c r="D465" s="49"/>
      <c r="E465" s="49"/>
      <c r="F465" s="699"/>
      <c r="G465" s="699"/>
      <c r="H465" s="699"/>
      <c r="I465" s="699"/>
      <c r="J465" s="699"/>
      <c r="K465" s="699"/>
      <c r="L465" s="699"/>
      <c r="M465" s="699"/>
      <c r="N465" s="699"/>
      <c r="O465" s="699"/>
      <c r="P465" s="699"/>
      <c r="Q465" s="699"/>
      <c r="R465" s="699"/>
      <c r="S465" s="699"/>
      <c r="T465" s="699"/>
      <c r="U465" s="699"/>
      <c r="V465" s="699"/>
      <c r="W465" s="699"/>
      <c r="X465" s="699"/>
      <c r="Y465" s="699"/>
      <c r="Z465" s="699"/>
    </row>
    <row r="466" spans="1:26">
      <c r="A466" s="699"/>
      <c r="B466" s="699" t="s">
        <v>1156</v>
      </c>
      <c r="C466" s="49"/>
      <c r="D466" s="49"/>
      <c r="E466" s="49"/>
      <c r="F466" s="83">
        <f>+IF(YEAR(F$335)=YEAR(Assumptions!$H$35),F449,0)</f>
        <v>0</v>
      </c>
      <c r="G466" s="83">
        <f>+IF(YEAR(G$335)=YEAR(Assumptions!$H$35),G449,0)</f>
        <v>0</v>
      </c>
      <c r="H466" s="83">
        <f>+IF(YEAR(H$335)=YEAR(Assumptions!$H$35),H449,0)</f>
        <v>0</v>
      </c>
      <c r="I466" s="83">
        <f>+IF(YEAR(I$335)=YEAR(Assumptions!$H$35),I449,0)</f>
        <v>0</v>
      </c>
      <c r="J466" s="83">
        <f>+IF(YEAR(J$335)=YEAR(Assumptions!$H$35),J449,0)</f>
        <v>0</v>
      </c>
      <c r="K466" s="83">
        <f>+IF(YEAR(K$335)=YEAR(Assumptions!$H$35),K449,0)</f>
        <v>0</v>
      </c>
      <c r="L466" s="83">
        <f>+IF(YEAR(L$335)=YEAR(Assumptions!$H$35),L449,0)</f>
        <v>0</v>
      </c>
      <c r="M466" s="83">
        <f>+IF(YEAR(M$335)=YEAR(Assumptions!$H$35),M449,0)</f>
        <v>0</v>
      </c>
      <c r="N466" s="83">
        <f>+IF(YEAR(N$335)=YEAR(Assumptions!$H$35),N449,0)</f>
        <v>0</v>
      </c>
      <c r="O466" s="83">
        <f>+IF(YEAR(O$335)=YEAR(Assumptions!$H$35),O449,0)</f>
        <v>0</v>
      </c>
      <c r="P466" s="83">
        <f>+IF(YEAR(P$335)=YEAR(Assumptions!$H$35),P449,0)</f>
        <v>0</v>
      </c>
      <c r="Q466" s="83">
        <f>+IF(YEAR(Q$335)=YEAR(Assumptions!$H$35),Q449,0)</f>
        <v>0</v>
      </c>
      <c r="R466" s="83">
        <f>+IF(YEAR(R$335)=YEAR(Assumptions!$H$35),R449,0)</f>
        <v>0</v>
      </c>
      <c r="S466" s="83">
        <f>+IF(YEAR(S$335)=YEAR(Assumptions!$H$35),S449,0)</f>
        <v>0</v>
      </c>
      <c r="T466" s="83">
        <f>+IF(YEAR(T$335)=YEAR(Assumptions!$H$35),T449,0)</f>
        <v>0</v>
      </c>
      <c r="U466" s="83">
        <f>+IF(YEAR(U$335)=YEAR(Assumptions!$H$35),U449,0)</f>
        <v>0</v>
      </c>
      <c r="V466" s="83">
        <f>+IF(YEAR(V$335)=YEAR(Assumptions!$H$35),V449,0)</f>
        <v>0</v>
      </c>
      <c r="W466" s="83">
        <f>+IF(YEAR(W$335)=YEAR(Assumptions!$H$35),W449,0)</f>
        <v>0</v>
      </c>
      <c r="X466" s="83">
        <f>+IF(YEAR(X$335)=YEAR(Assumptions!$H$35),X449,0)</f>
        <v>0</v>
      </c>
      <c r="Y466" s="83">
        <f>+IF(YEAR(Y$335)=YEAR(Assumptions!$H$35),Y449,0)</f>
        <v>0</v>
      </c>
      <c r="Z466" s="83">
        <f>+IF(YEAR(Z$335)=YEAR(Assumptions!$H$35),Z449,0)</f>
        <v>0</v>
      </c>
    </row>
    <row r="467" spans="1:26">
      <c r="A467" s="699"/>
      <c r="B467" s="699" t="s">
        <v>1158</v>
      </c>
      <c r="C467" s="49"/>
      <c r="D467" s="49"/>
      <c r="E467" s="49"/>
      <c r="F467" s="90">
        <f>-F466*Assumptions!$H$42</f>
        <v>0</v>
      </c>
      <c r="G467" s="90">
        <f>-G466*Assumptions!$H$42</f>
        <v>0</v>
      </c>
      <c r="H467" s="90">
        <f>-H466*Assumptions!$H$42</f>
        <v>0</v>
      </c>
      <c r="I467" s="90">
        <f>-I466*Assumptions!$H$42</f>
        <v>0</v>
      </c>
      <c r="J467" s="90">
        <f>-J466*Assumptions!$H$42</f>
        <v>0</v>
      </c>
      <c r="K467" s="90">
        <f>-K466*Assumptions!$H$42</f>
        <v>0</v>
      </c>
      <c r="L467" s="90">
        <f>-L466*Assumptions!$H$42</f>
        <v>0</v>
      </c>
      <c r="M467" s="90">
        <f>-M466*Assumptions!$H$42</f>
        <v>0</v>
      </c>
      <c r="N467" s="90">
        <f>-N466*Assumptions!$H$42</f>
        <v>0</v>
      </c>
      <c r="O467" s="90">
        <f>-O466*Assumptions!$H$42</f>
        <v>0</v>
      </c>
      <c r="P467" s="90">
        <f>-P466*Assumptions!$H$42</f>
        <v>0</v>
      </c>
      <c r="Q467" s="90">
        <f>-Q466*Assumptions!$H$42</f>
        <v>0</v>
      </c>
      <c r="R467" s="90">
        <f>-R466*Assumptions!$H$42</f>
        <v>0</v>
      </c>
      <c r="S467" s="90">
        <f>-S466*Assumptions!$H$42</f>
        <v>0</v>
      </c>
      <c r="T467" s="90">
        <f>-T466*Assumptions!$H$42</f>
        <v>0</v>
      </c>
      <c r="U467" s="90">
        <f>-U466*Assumptions!$H$42</f>
        <v>0</v>
      </c>
      <c r="V467" s="90">
        <f>-V466*Assumptions!$H$42</f>
        <v>0</v>
      </c>
      <c r="W467" s="90">
        <f>-W466*Assumptions!$H$42</f>
        <v>0</v>
      </c>
      <c r="X467" s="90">
        <f>-X466*Assumptions!$H$42</f>
        <v>0</v>
      </c>
      <c r="Y467" s="90">
        <f>-Y466*Assumptions!$H$42</f>
        <v>0</v>
      </c>
      <c r="Z467" s="90">
        <f>-Z466*Assumptions!$H$42</f>
        <v>0</v>
      </c>
    </row>
    <row r="468" spans="1:26">
      <c r="A468" s="699"/>
      <c r="B468" s="699" t="s">
        <v>1159</v>
      </c>
      <c r="C468" s="49"/>
      <c r="D468" s="49"/>
      <c r="E468" s="49"/>
      <c r="F468" s="90">
        <f>+IF(YEAR(F$335)=YEAR(Assumptions!$H$35),-'Phase 3 Pro Forma'!F455,0)</f>
        <v>0</v>
      </c>
      <c r="G468" s="90">
        <f>+IF(YEAR(G$335)=YEAR(Assumptions!$H$35),-'Phase 3 Pro Forma'!G455,0)</f>
        <v>0</v>
      </c>
      <c r="H468" s="90">
        <f>+IF(YEAR(H$335)=YEAR(Assumptions!$H$35),-'Phase 3 Pro Forma'!H455,0)</f>
        <v>0</v>
      </c>
      <c r="I468" s="90">
        <f>+IF(YEAR(I$335)=YEAR(Assumptions!$H$35),-'Phase 3 Pro Forma'!I455,0)</f>
        <v>0</v>
      </c>
      <c r="J468" s="90">
        <f>+IF(YEAR(J$335)=YEAR(Assumptions!$H$35),-'Phase 3 Pro Forma'!J455,0)</f>
        <v>0</v>
      </c>
      <c r="K468" s="90">
        <f ca="1">+IF(YEAR(K$335)=YEAR(Assumptions!$H$35),-'Phase 3 Pro Forma'!K455,0)</f>
        <v>0</v>
      </c>
      <c r="L468" s="90">
        <f>+IF(YEAR(L$335)=YEAR(Assumptions!$H$35),-'Phase 3 Pro Forma'!L455,0)</f>
        <v>0</v>
      </c>
      <c r="M468" s="90">
        <f>+IF(YEAR(M$335)=YEAR(Assumptions!$H$35),-'Phase 3 Pro Forma'!M455,0)</f>
        <v>0</v>
      </c>
      <c r="N468" s="90">
        <f>+IF(YEAR(N$335)=YEAR(Assumptions!$H$35),-'Phase 3 Pro Forma'!N455,0)</f>
        <v>0</v>
      </c>
      <c r="O468" s="90">
        <f>+IF(YEAR(O$335)=YEAR(Assumptions!$H$35),-'Phase 3 Pro Forma'!O455,0)</f>
        <v>0</v>
      </c>
      <c r="P468" s="90">
        <f>+IF(YEAR(P$335)=YEAR(Assumptions!$H$35),-'Phase 3 Pro Forma'!P455,0)</f>
        <v>0</v>
      </c>
      <c r="Q468" s="90">
        <f>+IF(YEAR(Q$335)=YEAR(Assumptions!$H$35),-'Phase 3 Pro Forma'!Q455,0)</f>
        <v>0</v>
      </c>
      <c r="R468" s="90">
        <f>+IF(YEAR(R$335)=YEAR(Assumptions!$H$35),-'Phase 3 Pro Forma'!R455,0)</f>
        <v>0</v>
      </c>
      <c r="S468" s="90">
        <f>+IF(YEAR(S$335)=YEAR(Assumptions!$H$35),-'Phase 3 Pro Forma'!S455,0)</f>
        <v>0</v>
      </c>
      <c r="T468" s="90">
        <f>+IF(YEAR(T$335)=YEAR(Assumptions!$H$35),-'Phase 3 Pro Forma'!T455,0)</f>
        <v>0</v>
      </c>
      <c r="U468" s="90">
        <f>+IF(YEAR(U$335)=YEAR(Assumptions!$H$35),-'Phase 3 Pro Forma'!U455,0)</f>
        <v>0</v>
      </c>
      <c r="V468" s="90">
        <f>+IF(YEAR(V$335)=YEAR(Assumptions!$H$35),-'Phase 3 Pro Forma'!V455,0)</f>
        <v>0</v>
      </c>
      <c r="W468" s="90">
        <f>+IF(YEAR(W$335)=YEAR(Assumptions!$H$35),-'Phase 3 Pro Forma'!W455,0)</f>
        <v>0</v>
      </c>
      <c r="X468" s="90">
        <f>+IF(YEAR(X$335)=YEAR(Assumptions!$H$35),-'Phase 3 Pro Forma'!X455,0)</f>
        <v>0</v>
      </c>
      <c r="Y468" s="90">
        <f>+IF(YEAR(Y$335)=YEAR(Assumptions!$H$35),-'Phase 3 Pro Forma'!Y455,0)</f>
        <v>0</v>
      </c>
      <c r="Z468" s="90">
        <f>+IF(YEAR(Z$335)=YEAR(Assumptions!$H$35),-'Phase 3 Pro Forma'!Z455,0)</f>
        <v>0</v>
      </c>
    </row>
    <row r="469" spans="1:26">
      <c r="A469" s="699"/>
      <c r="B469" s="61" t="s">
        <v>1160</v>
      </c>
      <c r="C469" s="61"/>
      <c r="D469" s="61"/>
      <c r="E469" s="61"/>
      <c r="F469" s="64">
        <f>+SUM(F466:F468)</f>
        <v>0</v>
      </c>
      <c r="G469" s="64">
        <f t="shared" ref="G469:Z469" si="193">+SUM(G466:G468)</f>
        <v>0</v>
      </c>
      <c r="H469" s="64">
        <f t="shared" si="193"/>
        <v>0</v>
      </c>
      <c r="I469" s="64">
        <f t="shared" si="193"/>
        <v>0</v>
      </c>
      <c r="J469" s="64">
        <f t="shared" si="193"/>
        <v>0</v>
      </c>
      <c r="K469" s="64">
        <f t="shared" ca="1" si="193"/>
        <v>0</v>
      </c>
      <c r="L469" s="64">
        <f t="shared" si="193"/>
        <v>0</v>
      </c>
      <c r="M469" s="64">
        <f t="shared" si="193"/>
        <v>0</v>
      </c>
      <c r="N469" s="64">
        <f t="shared" si="193"/>
        <v>0</v>
      </c>
      <c r="O469" s="64">
        <f t="shared" si="193"/>
        <v>0</v>
      </c>
      <c r="P469" s="64">
        <f t="shared" si="193"/>
        <v>0</v>
      </c>
      <c r="Q469" s="64">
        <f t="shared" si="193"/>
        <v>0</v>
      </c>
      <c r="R469" s="64">
        <f t="shared" si="193"/>
        <v>0</v>
      </c>
      <c r="S469" s="64">
        <f t="shared" si="193"/>
        <v>0</v>
      </c>
      <c r="T469" s="64">
        <f t="shared" si="193"/>
        <v>0</v>
      </c>
      <c r="U469" s="64">
        <f t="shared" si="193"/>
        <v>0</v>
      </c>
      <c r="V469" s="64">
        <f t="shared" si="193"/>
        <v>0</v>
      </c>
      <c r="W469" s="64">
        <f t="shared" si="193"/>
        <v>0</v>
      </c>
      <c r="X469" s="64">
        <f t="shared" si="193"/>
        <v>0</v>
      </c>
      <c r="Y469" s="64">
        <f t="shared" si="193"/>
        <v>0</v>
      </c>
      <c r="Z469" s="64">
        <f t="shared" si="193"/>
        <v>0</v>
      </c>
    </row>
    <row r="470" spans="1:26">
      <c r="A470" s="699"/>
      <c r="B470" s="49"/>
      <c r="C470" s="49"/>
      <c r="D470" s="49"/>
      <c r="E470" s="49"/>
      <c r="F470" s="49"/>
      <c r="G470" s="49"/>
      <c r="H470" s="49"/>
      <c r="I470" s="49"/>
      <c r="J470" s="49"/>
      <c r="K470" s="49"/>
      <c r="L470" s="49"/>
      <c r="M470" s="49"/>
      <c r="N470" s="49"/>
      <c r="O470" s="49"/>
      <c r="P470" s="49"/>
      <c r="Q470" s="49"/>
      <c r="R470" s="49"/>
      <c r="S470" s="49"/>
      <c r="T470" s="49"/>
      <c r="U470" s="49"/>
      <c r="V470" s="49"/>
      <c r="W470" s="49"/>
      <c r="X470" s="49"/>
      <c r="Y470" s="49"/>
      <c r="Z470" s="49"/>
    </row>
    <row r="471" spans="1:26" ht="15.75">
      <c r="A471" s="699"/>
      <c r="B471" s="50" t="s">
        <v>1179</v>
      </c>
      <c r="C471" s="50"/>
      <c r="D471" s="50"/>
      <c r="E471" s="50"/>
      <c r="F471" s="55">
        <f>+IF(YEAR(F$335)&lt;=YEAR(Assumptions!$H$35),'Phase 3 Pro Forma'!F469+'Phase 3 Pro Forma'!F463,0)</f>
        <v>0</v>
      </c>
      <c r="G471" s="55">
        <f>+IF(YEAR(G$335)&lt;=YEAR(Assumptions!$H$35),'Phase 3 Pro Forma'!G469+'Phase 3 Pro Forma'!G463,0)</f>
        <v>0</v>
      </c>
      <c r="H471" s="55">
        <f>+IF(YEAR(H$335)&lt;=YEAR(Assumptions!$H$35),'Phase 3 Pro Forma'!H469+'Phase 3 Pro Forma'!H463,0)</f>
        <v>0</v>
      </c>
      <c r="I471" s="55">
        <f ca="1">+IF(YEAR(I$335)&lt;=YEAR(Assumptions!$H$35),'Phase 3 Pro Forma'!I469+'Phase 3 Pro Forma'!I463,0)</f>
        <v>0</v>
      </c>
      <c r="J471" s="55">
        <f ca="1">+IF(YEAR(J$335)&lt;=YEAR(Assumptions!$H$35),'Phase 3 Pro Forma'!J469+'Phase 3 Pro Forma'!J463,0)</f>
        <v>0</v>
      </c>
      <c r="K471" s="55">
        <f ca="1">+IF(YEAR(K$335)&lt;=YEAR(Assumptions!$H$35),'Phase 3 Pro Forma'!K469+'Phase 3 Pro Forma'!K463,0)</f>
        <v>0</v>
      </c>
      <c r="L471" s="55">
        <f>+IF(YEAR(L$335)&lt;=YEAR(Assumptions!$H$35),'Phase 3 Pro Forma'!L469+'Phase 3 Pro Forma'!L463,0)</f>
        <v>0</v>
      </c>
      <c r="M471" s="55">
        <f>+IF(YEAR(M$335)&lt;=YEAR(Assumptions!$H$35),'Phase 3 Pro Forma'!M469+'Phase 3 Pro Forma'!M463,0)</f>
        <v>0</v>
      </c>
      <c r="N471" s="55">
        <f>+IF(YEAR(N$335)&lt;=YEAR(Assumptions!$H$35),'Phase 3 Pro Forma'!N469+'Phase 3 Pro Forma'!N463,0)</f>
        <v>0</v>
      </c>
      <c r="O471" s="55">
        <f>+IF(YEAR(O$335)&lt;=YEAR(Assumptions!$H$35),'Phase 3 Pro Forma'!O469+'Phase 3 Pro Forma'!O463,0)</f>
        <v>0</v>
      </c>
      <c r="P471" s="55">
        <f>+IF(YEAR(P$335)&lt;=YEAR(Assumptions!$H$35),'Phase 3 Pro Forma'!P469+'Phase 3 Pro Forma'!P463,0)</f>
        <v>0</v>
      </c>
      <c r="Q471" s="55">
        <f>+IF(YEAR(Q$335)&lt;=YEAR(Assumptions!$H$35),'Phase 3 Pro Forma'!Q469+'Phase 3 Pro Forma'!Q463,0)</f>
        <v>0</v>
      </c>
      <c r="R471" s="55">
        <f>+IF(YEAR(R$335)&lt;=YEAR(Assumptions!$H$35),'Phase 3 Pro Forma'!R469+'Phase 3 Pro Forma'!R463,0)</f>
        <v>0</v>
      </c>
      <c r="S471" s="55">
        <f>+IF(YEAR(S$335)&lt;=YEAR(Assumptions!$H$35),'Phase 3 Pro Forma'!S469+'Phase 3 Pro Forma'!S463,0)</f>
        <v>0</v>
      </c>
      <c r="T471" s="55">
        <f>+IF(YEAR(T$335)&lt;=YEAR(Assumptions!$H$35),'Phase 3 Pro Forma'!T469+'Phase 3 Pro Forma'!T463,0)</f>
        <v>0</v>
      </c>
      <c r="U471" s="55">
        <f>+IF(YEAR(U$335)&lt;=YEAR(Assumptions!$H$35),'Phase 3 Pro Forma'!U469+'Phase 3 Pro Forma'!U463,0)</f>
        <v>0</v>
      </c>
      <c r="V471" s="55">
        <f>+IF(YEAR(V$335)&lt;=YEAR(Assumptions!$H$35),'Phase 3 Pro Forma'!V469+'Phase 3 Pro Forma'!V463,0)</f>
        <v>0</v>
      </c>
      <c r="W471" s="55">
        <f>+IF(YEAR(W$335)&lt;=YEAR(Assumptions!$H$35),'Phase 3 Pro Forma'!W469+'Phase 3 Pro Forma'!W463,0)</f>
        <v>0</v>
      </c>
      <c r="X471" s="55">
        <f>+IF(YEAR(X$335)&lt;=YEAR(Assumptions!$H$35),'Phase 3 Pro Forma'!X469+'Phase 3 Pro Forma'!X463,0)</f>
        <v>0</v>
      </c>
      <c r="Y471" s="55">
        <f>+IF(YEAR(Y$335)&lt;=YEAR(Assumptions!$H$35),'Phase 3 Pro Forma'!Y469+'Phase 3 Pro Forma'!Y463,0)</f>
        <v>0</v>
      </c>
      <c r="Z471" s="55">
        <f>+IF(YEAR(Z$335)&lt;=YEAR(Assumptions!$H$35),'Phase 3 Pro Forma'!Z469+'Phase 3 Pro Forma'!Z463,0)</f>
        <v>0</v>
      </c>
    </row>
    <row r="472" spans="1:26" ht="15.75">
      <c r="A472" s="699"/>
      <c r="B472" s="81"/>
      <c r="C472" s="81"/>
      <c r="D472" s="81"/>
      <c r="E472" s="81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</row>
    <row r="473" spans="1:26" ht="15.75">
      <c r="A473" s="699"/>
      <c r="B473" s="468" t="s">
        <v>1182</v>
      </c>
      <c r="C473" s="540"/>
      <c r="D473" s="540"/>
      <c r="E473" s="540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</row>
    <row r="474" spans="1:26">
      <c r="A474" s="699"/>
      <c r="B474" s="49"/>
      <c r="C474" s="49"/>
      <c r="D474" s="49"/>
      <c r="E474" s="49"/>
      <c r="F474" s="49"/>
      <c r="G474" s="49"/>
      <c r="H474" s="49"/>
      <c r="I474" s="49"/>
      <c r="J474" s="49"/>
      <c r="K474" s="49"/>
      <c r="L474" s="49"/>
      <c r="M474" s="49"/>
      <c r="N474" s="49"/>
      <c r="O474" s="49"/>
      <c r="P474" s="49"/>
      <c r="Q474" s="49"/>
      <c r="R474" s="49"/>
      <c r="S474" s="49"/>
      <c r="T474" s="49"/>
      <c r="U474" s="49"/>
      <c r="V474" s="49"/>
      <c r="W474" s="49"/>
      <c r="X474" s="49"/>
      <c r="Y474" s="49"/>
      <c r="Z474" s="49"/>
    </row>
    <row r="475" spans="1:26" ht="15.75">
      <c r="A475" s="699"/>
      <c r="B475" s="53" t="s">
        <v>288</v>
      </c>
      <c r="C475" s="699"/>
      <c r="D475" s="699"/>
      <c r="E475" s="699"/>
      <c r="F475" s="54">
        <f>+Assumptions!$H$27</f>
        <v>47118</v>
      </c>
      <c r="G475" s="54">
        <f t="shared" ref="G475:Z475" si="194">+EOMONTH(F475,12)</f>
        <v>47483</v>
      </c>
      <c r="H475" s="54">
        <f t="shared" si="194"/>
        <v>47848</v>
      </c>
      <c r="I475" s="54">
        <f t="shared" si="194"/>
        <v>48213</v>
      </c>
      <c r="J475" s="54">
        <f t="shared" si="194"/>
        <v>48579</v>
      </c>
      <c r="K475" s="54">
        <f t="shared" si="194"/>
        <v>48944</v>
      </c>
      <c r="L475" s="54">
        <f t="shared" si="194"/>
        <v>49309</v>
      </c>
      <c r="M475" s="54">
        <f t="shared" si="194"/>
        <v>49674</v>
      </c>
      <c r="N475" s="54">
        <f t="shared" si="194"/>
        <v>50040</v>
      </c>
      <c r="O475" s="54">
        <f t="shared" si="194"/>
        <v>50405</v>
      </c>
      <c r="P475" s="54">
        <f t="shared" si="194"/>
        <v>50770</v>
      </c>
      <c r="Q475" s="54">
        <f t="shared" si="194"/>
        <v>51135</v>
      </c>
      <c r="R475" s="54">
        <f t="shared" si="194"/>
        <v>51501</v>
      </c>
      <c r="S475" s="54">
        <f t="shared" si="194"/>
        <v>51866</v>
      </c>
      <c r="T475" s="54">
        <f t="shared" si="194"/>
        <v>52231</v>
      </c>
      <c r="U475" s="54">
        <f t="shared" si="194"/>
        <v>52596</v>
      </c>
      <c r="V475" s="54">
        <f t="shared" si="194"/>
        <v>52962</v>
      </c>
      <c r="W475" s="54">
        <f t="shared" si="194"/>
        <v>53327</v>
      </c>
      <c r="X475" s="54">
        <f t="shared" si="194"/>
        <v>53692</v>
      </c>
      <c r="Y475" s="54">
        <f t="shared" si="194"/>
        <v>54057</v>
      </c>
      <c r="Z475" s="54">
        <f t="shared" si="194"/>
        <v>54423</v>
      </c>
    </row>
    <row r="476" spans="1:26">
      <c r="A476" s="699" t="s">
        <v>511</v>
      </c>
      <c r="B476" s="699" t="s">
        <v>1120</v>
      </c>
      <c r="C476" s="699"/>
      <c r="D476" s="699"/>
      <c r="E476" s="1050"/>
      <c r="F476" s="1050">
        <f>+IF(AND(F475&gt;=Assumptions!$H$31,F475&lt;=Assumptions!$H$33),Assumptions!$H$137/ROUNDUP((12/12),0),0)</f>
        <v>0</v>
      </c>
      <c r="G476" s="1050">
        <f>+IF(AND(G475&gt;=Assumptions!$H$31,G475&lt;=Assumptions!$H$33),Assumptions!$H$137/ROUNDUP((12/12),0),0)</f>
        <v>0</v>
      </c>
      <c r="H476" s="1050">
        <f>+IF(AND(H475&gt;=Assumptions!$H$31,H475&lt;=Assumptions!$H$33),Assumptions!$H$137/ROUNDUP((12/12),0),0)</f>
        <v>0</v>
      </c>
      <c r="I476" s="1050">
        <f>+IF(AND(I475&gt;=Assumptions!$H$31,I475&lt;=Assumptions!$H$33),Assumptions!$H$137/ROUNDUP((12/12),0),0)</f>
        <v>27973.200000000001</v>
      </c>
      <c r="J476" s="1050">
        <f>+IF(AND(J475&gt;=Assumptions!$H$31,J475&lt;=Assumptions!$H$33),Assumptions!$H$137/ROUNDUP((12/12),0),0)</f>
        <v>27973.200000000001</v>
      </c>
      <c r="K476" s="1050">
        <f>+IF(AND(K475&gt;=Assumptions!$H$31,K475&lt;=Assumptions!$H$33),Assumptions!$H$137/ROUNDUP((12/12),0),0)</f>
        <v>27973.200000000001</v>
      </c>
      <c r="L476" s="1050">
        <f>+IF(AND(L475&gt;=Assumptions!$H$31,L475&lt;=Assumptions!$H$33),Assumptions!$H$137/ROUNDUP((12/12),0),0)</f>
        <v>0</v>
      </c>
      <c r="M476" s="1050">
        <f>+IF(AND(M475&gt;=Assumptions!$H$31,M475&lt;=Assumptions!$H$33),Assumptions!$H$137/ROUNDUP((12/12),0),0)</f>
        <v>0</v>
      </c>
      <c r="N476" s="1050">
        <f>+IF(AND(N475&gt;=Assumptions!$H$31,N475&lt;=Assumptions!$H$33),Assumptions!$H$137/ROUNDUP((12/12),0),0)</f>
        <v>0</v>
      </c>
      <c r="O476" s="1050">
        <f>+IF(AND(O475&gt;=Assumptions!$H$31,O475&lt;=Assumptions!$H$33),Assumptions!$H$137/ROUNDUP((12/12),0),0)</f>
        <v>0</v>
      </c>
      <c r="P476" s="1050">
        <f>+IF(AND(P475&gt;=Assumptions!$H$31,P475&lt;=Assumptions!$H$33),Assumptions!$H$137/ROUNDUP((12/12),0),0)</f>
        <v>0</v>
      </c>
      <c r="Q476" s="1050">
        <f>+IF(AND(Q475&gt;=Assumptions!$H$31,Q475&lt;=Assumptions!$H$33),Assumptions!$H$137/ROUNDUP((12/12),0),0)</f>
        <v>0</v>
      </c>
      <c r="R476" s="1050">
        <f>+IF(AND(R475&gt;=Assumptions!$H$31,R475&lt;=Assumptions!$H$33),Assumptions!$H$137/ROUNDUP((12/12),0),0)</f>
        <v>0</v>
      </c>
      <c r="S476" s="1050">
        <f>+IF(AND(S475&gt;=Assumptions!$H$31,S475&lt;=Assumptions!$H$33),Assumptions!$H$137/ROUNDUP((12/12),0),0)</f>
        <v>0</v>
      </c>
      <c r="T476" s="1050">
        <f>+IF(AND(T475&gt;=Assumptions!$H$31,T475&lt;=Assumptions!$H$33),Assumptions!$H$137/ROUNDUP((12/12),0),0)</f>
        <v>0</v>
      </c>
      <c r="U476" s="1050">
        <f>+IF(AND(U475&gt;=Assumptions!$H$31,U475&lt;=Assumptions!$H$33),Assumptions!$H$137/ROUNDUP((12/12),0),0)</f>
        <v>0</v>
      </c>
      <c r="V476" s="1050">
        <f>+IF(AND(V475&gt;=Assumptions!$H$31,V475&lt;=Assumptions!$H$33),Assumptions!$H$137/ROUNDUP((12/12),0),0)</f>
        <v>0</v>
      </c>
      <c r="W476" s="1050">
        <f>+IF(AND(W475&gt;=Assumptions!$H$31,W475&lt;=Assumptions!$H$33),Assumptions!$H$137/ROUNDUP((12/12),0),0)</f>
        <v>0</v>
      </c>
      <c r="X476" s="1050">
        <f>+IF(AND(X475&gt;=Assumptions!$H$31,X475&lt;=Assumptions!$H$33),Assumptions!$H$137/ROUNDUP((12/12),0),0)</f>
        <v>0</v>
      </c>
      <c r="Y476" s="1050">
        <f>+IF(AND(Y475&gt;=Assumptions!$H$31,Y475&lt;=Assumptions!$H$33),Assumptions!$H$137/ROUNDUP((12/12),0),0)</f>
        <v>0</v>
      </c>
      <c r="Z476" s="1050">
        <f>+IF(AND(Z475&gt;=Assumptions!$H$31,Z475&lt;=Assumptions!$H$33),Assumptions!$H$137/ROUNDUP((12/12),0),0)</f>
        <v>0</v>
      </c>
    </row>
    <row r="477" spans="1:26">
      <c r="A477" s="699"/>
      <c r="B477" s="699" t="s">
        <v>1121</v>
      </c>
      <c r="C477" s="699"/>
      <c r="D477" s="699"/>
      <c r="E477" s="1050">
        <v>0</v>
      </c>
      <c r="F477" s="1050">
        <f t="shared" ref="F477" si="195">+E477+F476</f>
        <v>0</v>
      </c>
      <c r="G477" s="1050">
        <f t="shared" ref="G477" si="196">+F477+G476</f>
        <v>0</v>
      </c>
      <c r="H477" s="1050">
        <f t="shared" ref="H477" si="197">+G477+H476</f>
        <v>0</v>
      </c>
      <c r="I477" s="1050">
        <f t="shared" ref="I477" si="198">+H477+I476</f>
        <v>27973.200000000001</v>
      </c>
      <c r="J477" s="1050">
        <f t="shared" ref="J477" si="199">+I477+J476</f>
        <v>55946.400000000001</v>
      </c>
      <c r="K477" s="1050">
        <f t="shared" ref="K477" si="200">+J477+K476</f>
        <v>83919.6</v>
      </c>
      <c r="L477" s="1050">
        <f t="shared" ref="L477" si="201">+K477+L476</f>
        <v>83919.6</v>
      </c>
      <c r="M477" s="1050">
        <f t="shared" ref="M477" si="202">+L477+M476</f>
        <v>83919.6</v>
      </c>
      <c r="N477" s="1050">
        <f t="shared" ref="N477" si="203">+M477+N476</f>
        <v>83919.6</v>
      </c>
      <c r="O477" s="1050">
        <f t="shared" ref="O477" si="204">+N477+O476</f>
        <v>83919.6</v>
      </c>
      <c r="P477" s="1050">
        <f t="shared" ref="P477" si="205">+O477+P476</f>
        <v>83919.6</v>
      </c>
      <c r="Q477" s="1050">
        <f t="shared" ref="Q477" si="206">+P477+Q476</f>
        <v>83919.6</v>
      </c>
      <c r="R477" s="1050">
        <f t="shared" ref="R477" si="207">+Q477+R476</f>
        <v>83919.6</v>
      </c>
      <c r="S477" s="1050">
        <f t="shared" ref="S477" si="208">+R477+S476</f>
        <v>83919.6</v>
      </c>
      <c r="T477" s="1050">
        <f t="shared" ref="T477" si="209">+S477+T476</f>
        <v>83919.6</v>
      </c>
      <c r="U477" s="1050">
        <f t="shared" ref="U477" si="210">+T477+U476</f>
        <v>83919.6</v>
      </c>
      <c r="V477" s="1050">
        <f t="shared" ref="V477" si="211">+U477+V476</f>
        <v>83919.6</v>
      </c>
      <c r="W477" s="1050">
        <f t="shared" ref="W477" si="212">+V477+W476</f>
        <v>83919.6</v>
      </c>
      <c r="X477" s="1050">
        <f t="shared" ref="X477" si="213">+W477+X476</f>
        <v>83919.6</v>
      </c>
      <c r="Y477" s="1050">
        <f t="shared" ref="Y477" si="214">+X477+Y476</f>
        <v>83919.6</v>
      </c>
      <c r="Z477" s="1050">
        <f t="shared" ref="Z477" si="215">+Y477+Z476</f>
        <v>83919.6</v>
      </c>
    </row>
    <row r="478" spans="1:26">
      <c r="A478" s="699"/>
      <c r="B478" s="699" t="s">
        <v>1123</v>
      </c>
      <c r="C478" s="699"/>
      <c r="D478" s="699"/>
      <c r="E478" s="699"/>
      <c r="F478" s="1084">
        <f t="shared" ref="F478" si="216">+F479-E479</f>
        <v>0</v>
      </c>
      <c r="G478" s="1084">
        <f t="shared" ref="G478" si="217">+G479-F479</f>
        <v>0</v>
      </c>
      <c r="H478" s="1084">
        <f t="shared" ref="H478" si="218">+H479-G479</f>
        <v>0</v>
      </c>
      <c r="I478" s="1084">
        <f t="shared" ref="I478" si="219">+I479-H479</f>
        <v>6.2162666666666668</v>
      </c>
      <c r="J478" s="1084">
        <f t="shared" ref="J478" si="220">+J479-I479</f>
        <v>6.2162666666666668</v>
      </c>
      <c r="K478" s="1084">
        <f t="shared" ref="K478" si="221">+K479-J479</f>
        <v>6.2162666666666677</v>
      </c>
      <c r="L478" s="1084">
        <f t="shared" ref="L478" si="222">+L479-K479</f>
        <v>0</v>
      </c>
      <c r="M478" s="1084">
        <f t="shared" ref="M478" si="223">+M479-L479</f>
        <v>0</v>
      </c>
      <c r="N478" s="1084">
        <f t="shared" ref="N478" si="224">+N479-M479</f>
        <v>0</v>
      </c>
      <c r="O478" s="1084">
        <f t="shared" ref="O478" si="225">+O479-N479</f>
        <v>0</v>
      </c>
      <c r="P478" s="1084">
        <f t="shared" ref="P478" si="226">+P479-O479</f>
        <v>0</v>
      </c>
      <c r="Q478" s="1084">
        <f t="shared" ref="Q478" si="227">+Q479-P479</f>
        <v>0</v>
      </c>
      <c r="R478" s="1084">
        <f t="shared" ref="R478" si="228">+R479-Q479</f>
        <v>0</v>
      </c>
      <c r="S478" s="1084">
        <f t="shared" ref="S478" si="229">+S479-R479</f>
        <v>0</v>
      </c>
      <c r="T478" s="1084">
        <f t="shared" ref="T478" si="230">+T479-S479</f>
        <v>0</v>
      </c>
      <c r="U478" s="1084">
        <f t="shared" ref="U478" si="231">+U479-T479</f>
        <v>0</v>
      </c>
      <c r="V478" s="1084">
        <f t="shared" ref="V478" si="232">+V479-U479</f>
        <v>0</v>
      </c>
      <c r="W478" s="1084">
        <f t="shared" ref="W478" si="233">+W479-V479</f>
        <v>0</v>
      </c>
      <c r="X478" s="1084">
        <f t="shared" ref="X478" si="234">+X479-W479</f>
        <v>0</v>
      </c>
      <c r="Y478" s="1084">
        <f t="shared" ref="Y478" si="235">+Y479-X479</f>
        <v>0</v>
      </c>
      <c r="Z478" s="1084">
        <f t="shared" ref="Z478" si="236">+Z479-Y479</f>
        <v>0</v>
      </c>
    </row>
    <row r="479" spans="1:26">
      <c r="A479" s="699"/>
      <c r="B479" s="699" t="s">
        <v>1124</v>
      </c>
      <c r="C479" s="699"/>
      <c r="D479" s="699"/>
      <c r="E479" s="699"/>
      <c r="F479" s="1084">
        <f>+F480*Assumptions!$H$138</f>
        <v>0</v>
      </c>
      <c r="G479" s="1084">
        <f>+G480*Assumptions!$H$138</f>
        <v>0</v>
      </c>
      <c r="H479" s="1084">
        <f>+H480*Assumptions!$H$138</f>
        <v>0</v>
      </c>
      <c r="I479" s="1084">
        <f>+I480*Assumptions!$H$138</f>
        <v>6.2162666666666668</v>
      </c>
      <c r="J479" s="1084">
        <f>+J480*Assumptions!$H$138</f>
        <v>12.432533333333334</v>
      </c>
      <c r="K479" s="1084">
        <f>+K480*Assumptions!$H$138</f>
        <v>18.648800000000001</v>
      </c>
      <c r="L479" s="1084">
        <f>+L480*Assumptions!$H$138</f>
        <v>18.648800000000001</v>
      </c>
      <c r="M479" s="1084">
        <f>+M480*Assumptions!$H$138</f>
        <v>18.648800000000001</v>
      </c>
      <c r="N479" s="1084">
        <f>+N480*Assumptions!$H$138</f>
        <v>18.648800000000001</v>
      </c>
      <c r="O479" s="1084">
        <f>+O480*Assumptions!$H$138</f>
        <v>18.648800000000001</v>
      </c>
      <c r="P479" s="1084">
        <f>+P480*Assumptions!$H$138</f>
        <v>18.648800000000001</v>
      </c>
      <c r="Q479" s="1084">
        <f>+Q480*Assumptions!$H$138</f>
        <v>18.648800000000001</v>
      </c>
      <c r="R479" s="1084">
        <f>+R480*Assumptions!$H$138</f>
        <v>18.648800000000001</v>
      </c>
      <c r="S479" s="1084">
        <f>+S480*Assumptions!$H$138</f>
        <v>18.648800000000001</v>
      </c>
      <c r="T479" s="1084">
        <f>+T480*Assumptions!$H$138</f>
        <v>18.648800000000001</v>
      </c>
      <c r="U479" s="1084">
        <f>+U480*Assumptions!$H$138</f>
        <v>18.648800000000001</v>
      </c>
      <c r="V479" s="1084">
        <f>+V480*Assumptions!$H$138</f>
        <v>18.648800000000001</v>
      </c>
      <c r="W479" s="1084">
        <f>+W480*Assumptions!$H$138</f>
        <v>18.648800000000001</v>
      </c>
      <c r="X479" s="1084">
        <f>+X480*Assumptions!$H$138</f>
        <v>18.648800000000001</v>
      </c>
      <c r="Y479" s="1084">
        <f>+Y480*Assumptions!$H$138</f>
        <v>18.648800000000001</v>
      </c>
      <c r="Z479" s="1084">
        <f>+Z480*Assumptions!$H$138</f>
        <v>18.648800000000001</v>
      </c>
    </row>
    <row r="480" spans="1:26">
      <c r="A480" s="699"/>
      <c r="B480" s="699" t="s">
        <v>1125</v>
      </c>
      <c r="C480" s="699"/>
      <c r="D480" s="699"/>
      <c r="E480" s="699"/>
      <c r="F480" s="1074">
        <f t="shared" ref="F480:Z480" si="237">+IFERROR(F477/SUM($F476:$Z476),0)</f>
        <v>0</v>
      </c>
      <c r="G480" s="1074">
        <f t="shared" si="237"/>
        <v>0</v>
      </c>
      <c r="H480" s="1074">
        <f t="shared" si="237"/>
        <v>0</v>
      </c>
      <c r="I480" s="1074">
        <f t="shared" si="237"/>
        <v>0.33333333333333331</v>
      </c>
      <c r="J480" s="1074">
        <f t="shared" si="237"/>
        <v>0.66666666666666663</v>
      </c>
      <c r="K480" s="1074">
        <f t="shared" si="237"/>
        <v>1</v>
      </c>
      <c r="L480" s="1074">
        <f t="shared" si="237"/>
        <v>1</v>
      </c>
      <c r="M480" s="1074">
        <f t="shared" si="237"/>
        <v>1</v>
      </c>
      <c r="N480" s="1074">
        <f t="shared" si="237"/>
        <v>1</v>
      </c>
      <c r="O480" s="1074">
        <f t="shared" si="237"/>
        <v>1</v>
      </c>
      <c r="P480" s="1074">
        <f t="shared" si="237"/>
        <v>1</v>
      </c>
      <c r="Q480" s="1074">
        <f t="shared" si="237"/>
        <v>1</v>
      </c>
      <c r="R480" s="1074">
        <f t="shared" si="237"/>
        <v>1</v>
      </c>
      <c r="S480" s="1074">
        <f t="shared" si="237"/>
        <v>1</v>
      </c>
      <c r="T480" s="1074">
        <f t="shared" si="237"/>
        <v>1</v>
      </c>
      <c r="U480" s="1074">
        <f t="shared" si="237"/>
        <v>1</v>
      </c>
      <c r="V480" s="1074">
        <f t="shared" si="237"/>
        <v>1</v>
      </c>
      <c r="W480" s="1074">
        <f t="shared" si="237"/>
        <v>1</v>
      </c>
      <c r="X480" s="1074">
        <f t="shared" si="237"/>
        <v>1</v>
      </c>
      <c r="Y480" s="1074">
        <f t="shared" si="237"/>
        <v>1</v>
      </c>
      <c r="Z480" s="1074">
        <f t="shared" si="237"/>
        <v>1</v>
      </c>
    </row>
    <row r="482" spans="2:26">
      <c r="B482" s="699" t="s">
        <v>1126</v>
      </c>
      <c r="C482" s="699"/>
      <c r="D482" s="699"/>
      <c r="E482" s="699"/>
      <c r="F482" s="1074">
        <v>1</v>
      </c>
      <c r="G482" s="1074">
        <f>+F482*(1+Assumptions!$P$70)</f>
        <v>1.04</v>
      </c>
      <c r="H482" s="1074">
        <f>+G482*(1+Assumptions!$P$70)</f>
        <v>1.0816000000000001</v>
      </c>
      <c r="I482" s="1074">
        <f>+H482*(1+Assumptions!$P$70)</f>
        <v>1.1248640000000001</v>
      </c>
      <c r="J482" s="1074">
        <f>+I482*(1+Assumptions!$P$70)</f>
        <v>1.1698585600000002</v>
      </c>
      <c r="K482" s="1074">
        <f>+J482*(1+Assumptions!$P$70)</f>
        <v>1.2166529024000003</v>
      </c>
      <c r="L482" s="1074">
        <f>+K482*(1+Assumptions!$P$70)</f>
        <v>1.2653190184960004</v>
      </c>
      <c r="M482" s="1074">
        <f>+L482*(1+Assumptions!$P$70)</f>
        <v>1.3159317792358405</v>
      </c>
      <c r="N482" s="1074">
        <f>+M482*(1+Assumptions!$P$70)</f>
        <v>1.3685690504052741</v>
      </c>
      <c r="O482" s="1074">
        <f>+N482*(1+Assumptions!$P$70)</f>
        <v>1.4233118124214852</v>
      </c>
      <c r="P482" s="1074">
        <f>+O482*(1+Assumptions!$P$70)</f>
        <v>1.4802442849183446</v>
      </c>
      <c r="Q482" s="1074">
        <f>+P482*(1+Assumptions!$P$70)</f>
        <v>1.5394540563150785</v>
      </c>
      <c r="R482" s="1074">
        <f>+Q482*(1+Assumptions!$P$70)</f>
        <v>1.6010322185676817</v>
      </c>
      <c r="S482" s="1074">
        <f>+R482*(1+Assumptions!$P$70)</f>
        <v>1.6650735073103891</v>
      </c>
      <c r="T482" s="1074">
        <f>+S482*(1+Assumptions!$P$70)</f>
        <v>1.7316764476028046</v>
      </c>
      <c r="U482" s="1074">
        <f>+T482*(1+Assumptions!$P$70)</f>
        <v>1.8009435055069167</v>
      </c>
      <c r="V482" s="1074">
        <f>+U482*(1+Assumptions!$P$70)</f>
        <v>1.8729812457271935</v>
      </c>
      <c r="W482" s="1074">
        <f>+V482*(1+Assumptions!$P$70)</f>
        <v>1.9479004955562813</v>
      </c>
      <c r="X482" s="1074">
        <f>+W482*(1+Assumptions!$P$70)</f>
        <v>2.0258165153785326</v>
      </c>
      <c r="Y482" s="1074">
        <f>+X482*(1+Assumptions!$P$70)</f>
        <v>2.1068491759936738</v>
      </c>
      <c r="Z482" s="1074">
        <f>+Y482*(1+Assumptions!$P$70)</f>
        <v>2.1911231430334208</v>
      </c>
    </row>
    <row r="483" spans="2:26">
      <c r="B483" s="699" t="s">
        <v>1127</v>
      </c>
      <c r="C483" s="699"/>
      <c r="D483" s="699"/>
      <c r="E483" s="699"/>
      <c r="F483" s="1074">
        <v>1</v>
      </c>
      <c r="G483" s="1074">
        <f>+F483*(1+Assumptions!$P$81)</f>
        <v>1.03</v>
      </c>
      <c r="H483" s="1074">
        <f>+G483*(1+Assumptions!$P$81)</f>
        <v>1.0609</v>
      </c>
      <c r="I483" s="1074">
        <f>+H483*(1+Assumptions!$P$81)</f>
        <v>1.092727</v>
      </c>
      <c r="J483" s="1074">
        <f>+I483*(1+Assumptions!$P$81)</f>
        <v>1.1255088100000001</v>
      </c>
      <c r="K483" s="1074">
        <f>+J483*(1+Assumptions!$P$81)</f>
        <v>1.1592740743000001</v>
      </c>
      <c r="L483" s="1074">
        <f>+K483*(1+Assumptions!$P$81)</f>
        <v>1.1940522965290001</v>
      </c>
      <c r="M483" s="1074">
        <f>+L483*(1+Assumptions!$P$81)</f>
        <v>1.2298738654248702</v>
      </c>
      <c r="N483" s="1074">
        <f>+M483*(1+Assumptions!$P$81)</f>
        <v>1.2667700813876164</v>
      </c>
      <c r="O483" s="1074">
        <f>+N483*(1+Assumptions!$P$81)</f>
        <v>1.3047731838292449</v>
      </c>
      <c r="P483" s="1074">
        <f>+O483*(1+Assumptions!$P$81)</f>
        <v>1.3439163793441222</v>
      </c>
      <c r="Q483" s="1074">
        <f>+P483*(1+Assumptions!$P$81)</f>
        <v>1.3842338707244459</v>
      </c>
      <c r="R483" s="1074">
        <f>+Q483*(1+Assumptions!$P$81)</f>
        <v>1.4257608868461793</v>
      </c>
      <c r="S483" s="1074">
        <f>+R483*(1+Assumptions!$P$81)</f>
        <v>1.4685337134515648</v>
      </c>
      <c r="T483" s="1074">
        <f>+S483*(1+Assumptions!$P$81)</f>
        <v>1.5125897248551119</v>
      </c>
      <c r="U483" s="1074">
        <f>+T483*(1+Assumptions!$P$81)</f>
        <v>1.5579674166007653</v>
      </c>
      <c r="V483" s="1074">
        <f>+U483*(1+Assumptions!$P$81)</f>
        <v>1.6047064390987884</v>
      </c>
      <c r="W483" s="1074">
        <f>+V483*(1+Assumptions!$P$81)</f>
        <v>1.652847632271752</v>
      </c>
      <c r="X483" s="1074">
        <f>+W483*(1+Assumptions!$P$81)</f>
        <v>1.7024330612399046</v>
      </c>
      <c r="Y483" s="1074">
        <f>+X483*(1+Assumptions!$P$81)</f>
        <v>1.7535060530771018</v>
      </c>
      <c r="Z483" s="1074">
        <f>+Y483*(1+Assumptions!$P$81)</f>
        <v>1.806111234669415</v>
      </c>
    </row>
    <row r="485" spans="2:26">
      <c r="B485" s="699" t="s">
        <v>1183</v>
      </c>
      <c r="C485" s="699"/>
      <c r="D485" s="699"/>
      <c r="E485" s="699"/>
      <c r="F485" s="1028">
        <f>+IF(AND(F475&gt;=Assumptions!$H$31,F475&lt;=Assumptions!$H$33),F480*Assumptions!$H$136*F482,0)</f>
        <v>0</v>
      </c>
      <c r="G485" s="1028">
        <f>+IF(AND(G475&gt;=Assumptions!$H$31,G475&lt;=Assumptions!$H$33),G480*Assumptions!$H$136*G482,0)</f>
        <v>0</v>
      </c>
      <c r="H485" s="1028">
        <f>+IF(AND(H475&gt;=Assumptions!$H$31,H475&lt;=Assumptions!$H$33),H480*Assumptions!$H$136*H482,0)</f>
        <v>0</v>
      </c>
      <c r="I485" s="1028">
        <f>+IF(AND(I475&gt;=Assumptions!$H$31,I475&lt;=Assumptions!$H$33),I480*Assumptions!$H$136*I482,0)</f>
        <v>2187178.0870926874</v>
      </c>
      <c r="J485" s="1028">
        <f>+IF(AND(J475&gt;=Assumptions!$H$31,J475&lt;=Assumptions!$H$33),J480*Assumptions!$H$136*J482,0)</f>
        <v>4549330.4211527901</v>
      </c>
      <c r="K485" s="1028">
        <f>+IF(AND(K475&gt;=Assumptions!$H$31,K475&lt;=Assumptions!$H$33),K480*Assumptions!$H$136*K482,0)</f>
        <v>7096955.4569983538</v>
      </c>
      <c r="L485" s="1028">
        <f>+IF(AND(L475&gt;=Assumptions!$H$31,L475&lt;=Assumptions!$H$33),L480*Assumptions!$H$136*L482,0)</f>
        <v>0</v>
      </c>
      <c r="M485" s="1028">
        <f>+IF(AND(M475&gt;=Assumptions!$H$31,M475&lt;=Assumptions!$H$33),M480*Assumptions!$H$136*M482,0)</f>
        <v>0</v>
      </c>
      <c r="N485" s="1028">
        <f>+IF(AND(N475&gt;=Assumptions!$H$31,N475&lt;=Assumptions!$H$33),N480*Assumptions!$H$136*N482,0)</f>
        <v>0</v>
      </c>
      <c r="O485" s="1028">
        <f>+IF(AND(O475&gt;=Assumptions!$H$31,O475&lt;=Assumptions!$H$33),O480*Assumptions!$H$136*O482,0)</f>
        <v>0</v>
      </c>
      <c r="P485" s="1028">
        <f>+IF(AND(P475&gt;=Assumptions!$H$31,P475&lt;=Assumptions!$H$33),P480*Assumptions!$H$136*P482,0)</f>
        <v>0</v>
      </c>
      <c r="Q485" s="1028">
        <f>+IF(AND(Q475&gt;=Assumptions!$H$31,Q475&lt;=Assumptions!$H$33),Q480*Assumptions!$H$136*Q482,0)</f>
        <v>0</v>
      </c>
      <c r="R485" s="1028">
        <f>+IF(AND(R475&gt;=Assumptions!$H$31,R475&lt;=Assumptions!$H$33),R480*Assumptions!$H$136*R482,0)</f>
        <v>0</v>
      </c>
      <c r="S485" s="1028">
        <f>+IF(AND(S475&gt;=Assumptions!$H$31,S475&lt;=Assumptions!$H$33),S480*Assumptions!$H$136*S482,0)</f>
        <v>0</v>
      </c>
      <c r="T485" s="1028">
        <f>+IF(AND(T475&gt;=Assumptions!$H$31,T475&lt;=Assumptions!$H$33),T480*Assumptions!$H$136*T482,0)</f>
        <v>0</v>
      </c>
      <c r="U485" s="1028">
        <f>+IF(AND(U475&gt;=Assumptions!$H$31,U475&lt;=Assumptions!$H$33),U480*Assumptions!$H$136*U482,0)</f>
        <v>0</v>
      </c>
      <c r="V485" s="1028">
        <f>+IF(AND(V475&gt;=Assumptions!$H$31,V475&lt;=Assumptions!$H$33),V480*Assumptions!$H$136*V482,0)</f>
        <v>0</v>
      </c>
      <c r="W485" s="1028">
        <f>+IF(AND(W475&gt;=Assumptions!$H$31,W475&lt;=Assumptions!$H$33),W480*Assumptions!$H$136*W482,0)</f>
        <v>0</v>
      </c>
      <c r="X485" s="1028">
        <f>+IF(AND(X475&gt;=Assumptions!$H$31,X475&lt;=Assumptions!$H$33),X480*Assumptions!$H$136*X482,0)</f>
        <v>0</v>
      </c>
      <c r="Y485" s="1028">
        <f>+IF(AND(Y475&gt;=Assumptions!$H$31,Y475&lt;=Assumptions!$H$33),Y480*Assumptions!$H$136*Y482,0)</f>
        <v>0</v>
      </c>
      <c r="Z485" s="1028">
        <f>+IF(AND(Z475&gt;=Assumptions!$H$31,Z475&lt;=Assumptions!$H$33),Z480*Assumptions!$H$136*Z482,0)</f>
        <v>0</v>
      </c>
    </row>
    <row r="486" spans="2:26">
      <c r="B486" s="699" t="s">
        <v>1130</v>
      </c>
      <c r="C486" s="699"/>
      <c r="D486" s="699"/>
      <c r="E486" s="699"/>
      <c r="F486" s="1085">
        <f>-F485*Assumptions!$P$61</f>
        <v>0</v>
      </c>
      <c r="G486" s="1085">
        <f>-G485*Assumptions!$P$61</f>
        <v>0</v>
      </c>
      <c r="H486" s="1085">
        <f>-H485*Assumptions!$P$61</f>
        <v>0</v>
      </c>
      <c r="I486" s="1085">
        <f>-I485*Assumptions!$P$61</f>
        <v>-87487.123483707503</v>
      </c>
      <c r="J486" s="1085">
        <f>-J485*Assumptions!$P$61</f>
        <v>-181973.21684611161</v>
      </c>
      <c r="K486" s="1085">
        <f>-K485*Assumptions!$P$61</f>
        <v>-283878.21827993414</v>
      </c>
      <c r="L486" s="1085">
        <f>-L485*Assumptions!$P$61</f>
        <v>0</v>
      </c>
      <c r="M486" s="1085">
        <f>-M485*Assumptions!$P$61</f>
        <v>0</v>
      </c>
      <c r="N486" s="1085">
        <f>-N485*Assumptions!$P$61</f>
        <v>0</v>
      </c>
      <c r="O486" s="1085">
        <f>-O485*Assumptions!$P$61</f>
        <v>0</v>
      </c>
      <c r="P486" s="1085">
        <f>-P485*Assumptions!$P$61</f>
        <v>0</v>
      </c>
      <c r="Q486" s="1085">
        <f>-Q485*Assumptions!$P$61</f>
        <v>0</v>
      </c>
      <c r="R486" s="1085">
        <f>-R485*Assumptions!$P$61</f>
        <v>0</v>
      </c>
      <c r="S486" s="1085">
        <f>-S485*Assumptions!$P$61</f>
        <v>0</v>
      </c>
      <c r="T486" s="1085">
        <f>-T485*Assumptions!$P$61</f>
        <v>0</v>
      </c>
      <c r="U486" s="1085">
        <f>-U485*Assumptions!$P$61</f>
        <v>0</v>
      </c>
      <c r="V486" s="1085">
        <f>-V485*Assumptions!$P$61</f>
        <v>0</v>
      </c>
      <c r="W486" s="1085">
        <f>-W485*Assumptions!$P$61</f>
        <v>0</v>
      </c>
      <c r="X486" s="1085">
        <f>-X485*Assumptions!$P$61</f>
        <v>0</v>
      </c>
      <c r="Y486" s="1085">
        <f>-Y485*Assumptions!$P$61</f>
        <v>0</v>
      </c>
      <c r="Z486" s="1085">
        <f>-Z485*Assumptions!$P$61</f>
        <v>0</v>
      </c>
    </row>
    <row r="487" spans="2:26">
      <c r="B487" s="699" t="s">
        <v>1184</v>
      </c>
      <c r="C487" s="699"/>
      <c r="D487" s="699"/>
      <c r="E487" s="699"/>
      <c r="F487" s="1085">
        <f>+IF(AND(F475&gt;=Assumptions!$H$31,F475&lt;=Assumptions!$H$33),F479*Assumptions!$AG$158*(1-Assumptions!$P$61)*12,0)</f>
        <v>0</v>
      </c>
      <c r="G487" s="1085">
        <f>+IF(AND(G475&gt;=Assumptions!$H$31,G475&lt;=Assumptions!$H$33),G479*Assumptions!$AG$158*(1-Assumptions!$P$61)*12,0)</f>
        <v>0</v>
      </c>
      <c r="H487" s="1085">
        <f>+IF(AND(H475&gt;=Assumptions!$H$31,H475&lt;=Assumptions!$H$33),H479*Assumptions!$AG$158*(1-Assumptions!$P$61)*12,0)</f>
        <v>0</v>
      </c>
      <c r="I487" s="1085">
        <f>+IF(AND(I475&gt;=Assumptions!$H$31,I475&lt;=Assumptions!$H$33),I479*Assumptions!$AG$158*(1-Assumptions!$P$61)*12,0)</f>
        <v>572.89113599999996</v>
      </c>
      <c r="J487" s="1085">
        <f>+IF(AND(J475&gt;=Assumptions!$H$31,J475&lt;=Assumptions!$H$33),J479*Assumptions!$AG$158*(1-Assumptions!$P$61)*12,0)</f>
        <v>1145.7822719999999</v>
      </c>
      <c r="K487" s="1085">
        <f>+IF(AND(K475&gt;=Assumptions!$H$31,K475&lt;=Assumptions!$H$33),K479*Assumptions!$AG$158*(1-Assumptions!$P$61)*12,0)</f>
        <v>1718.6734080000001</v>
      </c>
      <c r="L487" s="1085">
        <f>+IF(AND(L475&gt;=Assumptions!$H$31,L475&lt;=Assumptions!$H$33),L479*Assumptions!$AG$158*(1-Assumptions!$P$61)*12,0)</f>
        <v>0</v>
      </c>
      <c r="M487" s="1085">
        <f>+IF(AND(M475&gt;=Assumptions!$H$31,M475&lt;=Assumptions!$H$33),M479*Assumptions!$AG$158*(1-Assumptions!$P$61)*12,0)</f>
        <v>0</v>
      </c>
      <c r="N487" s="1085">
        <f>+IF(AND(N475&gt;=Assumptions!$H$31,N475&lt;=Assumptions!$H$33),N479*Assumptions!$AG$158*(1-Assumptions!$P$61)*12,0)</f>
        <v>0</v>
      </c>
      <c r="O487" s="1085">
        <f>+IF(AND(O475&gt;=Assumptions!$H$31,O475&lt;=Assumptions!$H$33),O479*Assumptions!$AG$158*(1-Assumptions!$P$61)*12,0)</f>
        <v>0</v>
      </c>
      <c r="P487" s="1085">
        <f>+IF(AND(P475&gt;=Assumptions!$H$31,P475&lt;=Assumptions!$H$33),P479*Assumptions!$AG$158*(1-Assumptions!$P$61)*12,0)</f>
        <v>0</v>
      </c>
      <c r="Q487" s="1085">
        <f>+IF(AND(Q475&gt;=Assumptions!$H$31,Q475&lt;=Assumptions!$H$33),Q479*Assumptions!$AG$158*(1-Assumptions!$P$61)*12,0)</f>
        <v>0</v>
      </c>
      <c r="R487" s="1085">
        <f>+IF(AND(R475&gt;=Assumptions!$H$31,R475&lt;=Assumptions!$H$33),R479*Assumptions!$AG$158*(1-Assumptions!$P$61)*12,0)</f>
        <v>0</v>
      </c>
      <c r="S487" s="1085">
        <f>+IF(AND(S475&gt;=Assumptions!$H$31,S475&lt;=Assumptions!$H$33),S479*Assumptions!$AG$158*(1-Assumptions!$P$61)*12,0)</f>
        <v>0</v>
      </c>
      <c r="T487" s="1085">
        <f>+IF(AND(T475&gt;=Assumptions!$H$31,T475&lt;=Assumptions!$H$33),T479*Assumptions!$AG$158*(1-Assumptions!$P$61)*12,0)</f>
        <v>0</v>
      </c>
      <c r="U487" s="1085">
        <f>+IF(AND(U475&gt;=Assumptions!$H$31,U475&lt;=Assumptions!$H$33),U479*Assumptions!$AG$158*(1-Assumptions!$P$61)*12,0)</f>
        <v>0</v>
      </c>
      <c r="V487" s="1085">
        <f>+IF(AND(V475&gt;=Assumptions!$H$31,V475&lt;=Assumptions!$H$33),V479*Assumptions!$AG$158*(1-Assumptions!$P$61)*12,0)</f>
        <v>0</v>
      </c>
      <c r="W487" s="1085">
        <f>+IF(AND(W475&gt;=Assumptions!$H$31,W475&lt;=Assumptions!$H$33),W479*Assumptions!$AG$158*(1-Assumptions!$P$61)*12,0)</f>
        <v>0</v>
      </c>
      <c r="X487" s="1085">
        <f>+IF(AND(X475&gt;=Assumptions!$H$31,X475&lt;=Assumptions!$H$33),X479*Assumptions!$AG$158*(1-Assumptions!$P$61)*12,0)</f>
        <v>0</v>
      </c>
      <c r="Y487" s="1085">
        <f>+IF(AND(Y475&gt;=Assumptions!$H$31,Y475&lt;=Assumptions!$H$33),Y479*Assumptions!$AG$158*(1-Assumptions!$P$61)*12,0)</f>
        <v>0</v>
      </c>
      <c r="Z487" s="1085">
        <f>+IF(AND(Z475&gt;=Assumptions!$H$31,Z475&lt;=Assumptions!$H$33),Z479*Assumptions!$AG$158*(1-Assumptions!$P$61)*12,0)</f>
        <v>0</v>
      </c>
    </row>
    <row r="488" spans="2:26">
      <c r="B488" s="52" t="s">
        <v>1131</v>
      </c>
      <c r="C488" s="1052"/>
      <c r="D488" s="1052"/>
      <c r="E488" s="1052"/>
      <c r="F488" s="1086">
        <f>SUM(F485:F487)</f>
        <v>0</v>
      </c>
      <c r="G488" s="1086">
        <f t="shared" ref="G488:Z488" si="238">SUM(G485:G487)</f>
        <v>0</v>
      </c>
      <c r="H488" s="1086">
        <f t="shared" si="238"/>
        <v>0</v>
      </c>
      <c r="I488" s="1086">
        <f t="shared" si="238"/>
        <v>2100263.8547449796</v>
      </c>
      <c r="J488" s="1086">
        <f t="shared" si="238"/>
        <v>4368502.9865786787</v>
      </c>
      <c r="K488" s="1086">
        <f t="shared" si="238"/>
        <v>6814795.9121264191</v>
      </c>
      <c r="L488" s="1086">
        <f t="shared" si="238"/>
        <v>0</v>
      </c>
      <c r="M488" s="1086">
        <f t="shared" si="238"/>
        <v>0</v>
      </c>
      <c r="N488" s="1086">
        <f t="shared" si="238"/>
        <v>0</v>
      </c>
      <c r="O488" s="1086">
        <f t="shared" si="238"/>
        <v>0</v>
      </c>
      <c r="P488" s="1086">
        <f t="shared" si="238"/>
        <v>0</v>
      </c>
      <c r="Q488" s="1086">
        <f t="shared" si="238"/>
        <v>0</v>
      </c>
      <c r="R488" s="1086">
        <f t="shared" si="238"/>
        <v>0</v>
      </c>
      <c r="S488" s="1086">
        <f t="shared" si="238"/>
        <v>0</v>
      </c>
      <c r="T488" s="1086">
        <f t="shared" si="238"/>
        <v>0</v>
      </c>
      <c r="U488" s="1086">
        <f t="shared" si="238"/>
        <v>0</v>
      </c>
      <c r="V488" s="1086">
        <f t="shared" si="238"/>
        <v>0</v>
      </c>
      <c r="W488" s="1086">
        <f t="shared" si="238"/>
        <v>0</v>
      </c>
      <c r="X488" s="1086">
        <f t="shared" si="238"/>
        <v>0</v>
      </c>
      <c r="Y488" s="1086">
        <f t="shared" si="238"/>
        <v>0</v>
      </c>
      <c r="Z488" s="1086">
        <f t="shared" si="238"/>
        <v>0</v>
      </c>
    </row>
    <row r="489" spans="2:26">
      <c r="B489" s="49"/>
      <c r="C489" s="699"/>
      <c r="D489" s="699"/>
      <c r="E489" s="699"/>
      <c r="F489" s="699"/>
      <c r="G489" s="699"/>
      <c r="H489" s="699"/>
      <c r="I489" s="699"/>
      <c r="J489" s="699"/>
      <c r="K489" s="699"/>
      <c r="L489" s="699"/>
      <c r="M489" s="699"/>
      <c r="N489" s="699"/>
      <c r="O489" s="699"/>
      <c r="P489" s="699"/>
      <c r="Q489" s="699"/>
      <c r="R489" s="699"/>
      <c r="S489" s="699"/>
      <c r="T489" s="699"/>
      <c r="U489" s="699"/>
      <c r="V489" s="699"/>
      <c r="W489" s="699"/>
      <c r="X489" s="699"/>
      <c r="Y489" s="699"/>
      <c r="Z489" s="699"/>
    </row>
    <row r="490" spans="2:26">
      <c r="B490" s="699" t="s">
        <v>1132</v>
      </c>
      <c r="C490" s="699"/>
      <c r="D490" s="699"/>
      <c r="E490" s="699"/>
      <c r="F490" s="1087">
        <f>+F479*Assumptions!$P$98*F483</f>
        <v>0</v>
      </c>
      <c r="G490" s="1087">
        <f>+G479*Assumptions!$P$98*G483</f>
        <v>0</v>
      </c>
      <c r="H490" s="1087">
        <f>+H479*Assumptions!$P$98*H483</f>
        <v>0</v>
      </c>
      <c r="I490" s="1087">
        <f>+I479*Assumptions!$P$98*I483</f>
        <v>0</v>
      </c>
      <c r="J490" s="1087">
        <f>+J479*Assumptions!$P$98*J483</f>
        <v>0</v>
      </c>
      <c r="K490" s="1087">
        <f>+K479*Assumptions!$P$98*K483</f>
        <v>0</v>
      </c>
      <c r="L490" s="1087">
        <f>+L479*Assumptions!$P$98*L483</f>
        <v>0</v>
      </c>
      <c r="M490" s="1087">
        <f>+M479*Assumptions!$P$98*M483</f>
        <v>0</v>
      </c>
      <c r="N490" s="1087">
        <f>+N479*Assumptions!$P$98*N483</f>
        <v>0</v>
      </c>
      <c r="O490" s="1087">
        <f>+O479*Assumptions!$P$98*O483</f>
        <v>0</v>
      </c>
      <c r="P490" s="1087">
        <f>+P479*Assumptions!$P$98*P483</f>
        <v>0</v>
      </c>
      <c r="Q490" s="1087">
        <f>+Q479*Assumptions!$P$98*Q483</f>
        <v>0</v>
      </c>
      <c r="R490" s="1087">
        <f>+R479*Assumptions!$P$98*R483</f>
        <v>0</v>
      </c>
      <c r="S490" s="1087">
        <f>+S479*Assumptions!$P$98*S483</f>
        <v>0</v>
      </c>
      <c r="T490" s="1087">
        <f>+T479*Assumptions!$P$98*T483</f>
        <v>0</v>
      </c>
      <c r="U490" s="1087">
        <f>+U479*Assumptions!$P$98*U483</f>
        <v>0</v>
      </c>
      <c r="V490" s="1087">
        <f>+V479*Assumptions!$P$98*V483</f>
        <v>0</v>
      </c>
      <c r="W490" s="1087">
        <f>+W479*Assumptions!$P$98*W483</f>
        <v>0</v>
      </c>
      <c r="X490" s="1087">
        <f>+X479*Assumptions!$P$98*X483</f>
        <v>0</v>
      </c>
      <c r="Y490" s="1087">
        <f>+Y479*Assumptions!$P$98*Y483</f>
        <v>0</v>
      </c>
      <c r="Z490" s="1087">
        <f>+Z479*Assumptions!$P$98*Z483</f>
        <v>0</v>
      </c>
    </row>
    <row r="491" spans="2:26" hidden="1">
      <c r="B491" s="699" t="s">
        <v>1247</v>
      </c>
      <c r="C491" s="699"/>
      <c r="D491" s="699"/>
      <c r="E491" s="699"/>
      <c r="F491" s="1087"/>
      <c r="G491" s="1087"/>
      <c r="H491" s="1087"/>
      <c r="I491" s="1087"/>
      <c r="J491" s="1087"/>
      <c r="K491" s="1087"/>
      <c r="L491" s="1087"/>
      <c r="M491" s="1087"/>
      <c r="N491" s="1087"/>
      <c r="O491" s="1087"/>
      <c r="P491" s="1087"/>
      <c r="Q491" s="1087"/>
      <c r="R491" s="1087"/>
      <c r="S491" s="1087"/>
      <c r="T491" s="1087"/>
      <c r="U491" s="1087"/>
      <c r="V491" s="1087"/>
      <c r="W491" s="1087"/>
      <c r="X491" s="1087"/>
      <c r="Y491" s="1087"/>
      <c r="Z491" s="1087"/>
    </row>
    <row r="492" spans="2:26">
      <c r="B492" s="699" t="s">
        <v>1133</v>
      </c>
      <c r="C492" s="699"/>
      <c r="D492" s="699"/>
      <c r="E492" s="699"/>
      <c r="F492" s="1050"/>
      <c r="G492" s="1050"/>
      <c r="H492" s="1050"/>
      <c r="I492" s="1050"/>
      <c r="J492" s="1050"/>
      <c r="K492" s="1050"/>
      <c r="L492" s="1050"/>
      <c r="M492" s="1050"/>
      <c r="N492" s="1050"/>
      <c r="O492" s="1050"/>
      <c r="P492" s="1050"/>
      <c r="Q492" s="1050"/>
      <c r="R492" s="1050"/>
      <c r="S492" s="1050"/>
      <c r="T492" s="1050"/>
      <c r="U492" s="1050"/>
      <c r="V492" s="1050"/>
      <c r="W492" s="1050"/>
      <c r="X492" s="1050"/>
      <c r="Y492" s="1050"/>
      <c r="Z492" s="1050"/>
    </row>
    <row r="493" spans="2:26">
      <c r="B493" s="52" t="s">
        <v>1134</v>
      </c>
      <c r="C493" s="1052"/>
      <c r="D493" s="1052"/>
      <c r="E493" s="1052"/>
      <c r="F493" s="1088">
        <f>+SUM(F490:F492)</f>
        <v>0</v>
      </c>
      <c r="G493" s="1088">
        <f t="shared" ref="G493:Z493" si="239">+SUM(G490:G492)</f>
        <v>0</v>
      </c>
      <c r="H493" s="1088">
        <f t="shared" si="239"/>
        <v>0</v>
      </c>
      <c r="I493" s="1088">
        <f t="shared" si="239"/>
        <v>0</v>
      </c>
      <c r="J493" s="1088">
        <f t="shared" si="239"/>
        <v>0</v>
      </c>
      <c r="K493" s="1088">
        <f t="shared" si="239"/>
        <v>0</v>
      </c>
      <c r="L493" s="1088">
        <f t="shared" si="239"/>
        <v>0</v>
      </c>
      <c r="M493" s="1088">
        <f t="shared" si="239"/>
        <v>0</v>
      </c>
      <c r="N493" s="1088">
        <f t="shared" si="239"/>
        <v>0</v>
      </c>
      <c r="O493" s="1088">
        <f t="shared" si="239"/>
        <v>0</v>
      </c>
      <c r="P493" s="1088">
        <f t="shared" si="239"/>
        <v>0</v>
      </c>
      <c r="Q493" s="1088">
        <f t="shared" si="239"/>
        <v>0</v>
      </c>
      <c r="R493" s="1088">
        <f t="shared" si="239"/>
        <v>0</v>
      </c>
      <c r="S493" s="1088">
        <f t="shared" si="239"/>
        <v>0</v>
      </c>
      <c r="T493" s="1088">
        <f t="shared" si="239"/>
        <v>0</v>
      </c>
      <c r="U493" s="1088">
        <f t="shared" si="239"/>
        <v>0</v>
      </c>
      <c r="V493" s="1088">
        <f t="shared" si="239"/>
        <v>0</v>
      </c>
      <c r="W493" s="1088">
        <f t="shared" si="239"/>
        <v>0</v>
      </c>
      <c r="X493" s="1088">
        <f t="shared" si="239"/>
        <v>0</v>
      </c>
      <c r="Y493" s="1088">
        <f t="shared" si="239"/>
        <v>0</v>
      </c>
      <c r="Z493" s="1088">
        <f t="shared" si="239"/>
        <v>0</v>
      </c>
    </row>
    <row r="495" spans="2:26" ht="15.75">
      <c r="B495" s="50" t="s">
        <v>1135</v>
      </c>
      <c r="C495" s="50"/>
      <c r="D495" s="50"/>
      <c r="E495" s="50"/>
      <c r="F495" s="55">
        <f>+F488-F493</f>
        <v>0</v>
      </c>
      <c r="G495" s="55">
        <f t="shared" ref="G495:Z495" si="240">+G488-G493</f>
        <v>0</v>
      </c>
      <c r="H495" s="55">
        <f t="shared" si="240"/>
        <v>0</v>
      </c>
      <c r="I495" s="55">
        <f t="shared" si="240"/>
        <v>2100263.8547449796</v>
      </c>
      <c r="J495" s="55">
        <f t="shared" si="240"/>
        <v>4368502.9865786787</v>
      </c>
      <c r="K495" s="55">
        <f t="shared" si="240"/>
        <v>6814795.9121264191</v>
      </c>
      <c r="L495" s="55">
        <f t="shared" si="240"/>
        <v>0</v>
      </c>
      <c r="M495" s="55">
        <f t="shared" si="240"/>
        <v>0</v>
      </c>
      <c r="N495" s="55">
        <f t="shared" si="240"/>
        <v>0</v>
      </c>
      <c r="O495" s="55">
        <f t="shared" si="240"/>
        <v>0</v>
      </c>
      <c r="P495" s="55">
        <f t="shared" si="240"/>
        <v>0</v>
      </c>
      <c r="Q495" s="55">
        <f t="shared" si="240"/>
        <v>0</v>
      </c>
      <c r="R495" s="55">
        <f t="shared" si="240"/>
        <v>0</v>
      </c>
      <c r="S495" s="55">
        <f t="shared" si="240"/>
        <v>0</v>
      </c>
      <c r="T495" s="55">
        <f t="shared" si="240"/>
        <v>0</v>
      </c>
      <c r="U495" s="55">
        <f t="shared" si="240"/>
        <v>0</v>
      </c>
      <c r="V495" s="55">
        <f t="shared" si="240"/>
        <v>0</v>
      </c>
      <c r="W495" s="55">
        <f t="shared" si="240"/>
        <v>0</v>
      </c>
      <c r="X495" s="55">
        <f t="shared" si="240"/>
        <v>0</v>
      </c>
      <c r="Y495" s="55">
        <f t="shared" si="240"/>
        <v>0</v>
      </c>
      <c r="Z495" s="55">
        <f t="shared" si="240"/>
        <v>0</v>
      </c>
    </row>
    <row r="496" spans="2:26" ht="15.75">
      <c r="B496" s="50" t="s">
        <v>1136</v>
      </c>
      <c r="C496" s="50"/>
      <c r="D496" s="50"/>
      <c r="E496" s="50"/>
      <c r="F496" s="56" t="str">
        <f t="shared" ref="F496:Z496" si="241">+IFERROR(F495/F488,"")</f>
        <v/>
      </c>
      <c r="G496" s="56" t="str">
        <f t="shared" si="241"/>
        <v/>
      </c>
      <c r="H496" s="56" t="str">
        <f t="shared" si="241"/>
        <v/>
      </c>
      <c r="I496" s="56">
        <f t="shared" si="241"/>
        <v>1</v>
      </c>
      <c r="J496" s="56">
        <f t="shared" si="241"/>
        <v>1</v>
      </c>
      <c r="K496" s="56">
        <f t="shared" si="241"/>
        <v>1</v>
      </c>
      <c r="L496" s="56" t="str">
        <f t="shared" si="241"/>
        <v/>
      </c>
      <c r="M496" s="56" t="str">
        <f t="shared" si="241"/>
        <v/>
      </c>
      <c r="N496" s="56" t="str">
        <f t="shared" si="241"/>
        <v/>
      </c>
      <c r="O496" s="56" t="str">
        <f t="shared" si="241"/>
        <v/>
      </c>
      <c r="P496" s="56" t="str">
        <f t="shared" si="241"/>
        <v/>
      </c>
      <c r="Q496" s="56" t="str">
        <f t="shared" si="241"/>
        <v/>
      </c>
      <c r="R496" s="56" t="str">
        <f t="shared" si="241"/>
        <v/>
      </c>
      <c r="S496" s="56" t="str">
        <f t="shared" si="241"/>
        <v/>
      </c>
      <c r="T496" s="56" t="str">
        <f t="shared" si="241"/>
        <v/>
      </c>
      <c r="U496" s="56" t="str">
        <f t="shared" si="241"/>
        <v/>
      </c>
      <c r="V496" s="56" t="str">
        <f t="shared" si="241"/>
        <v/>
      </c>
      <c r="W496" s="56" t="str">
        <f t="shared" si="241"/>
        <v/>
      </c>
      <c r="X496" s="56" t="str">
        <f t="shared" si="241"/>
        <v/>
      </c>
      <c r="Y496" s="56" t="str">
        <f t="shared" si="241"/>
        <v/>
      </c>
      <c r="Z496" s="56" t="str">
        <f t="shared" si="241"/>
        <v/>
      </c>
    </row>
    <row r="497" spans="2:26" ht="15.75">
      <c r="B497" s="50" t="s">
        <v>1185</v>
      </c>
      <c r="C497" s="50"/>
      <c r="D497" s="50"/>
      <c r="E497" s="50"/>
      <c r="F497" s="55">
        <f t="shared" ref="F497:Z497" si="242">+F495</f>
        <v>0</v>
      </c>
      <c r="G497" s="55">
        <f t="shared" si="242"/>
        <v>0</v>
      </c>
      <c r="H497" s="55">
        <f t="shared" si="242"/>
        <v>0</v>
      </c>
      <c r="I497" s="55">
        <f t="shared" si="242"/>
        <v>2100263.8547449796</v>
      </c>
      <c r="J497" s="55">
        <f t="shared" si="242"/>
        <v>4368502.9865786787</v>
      </c>
      <c r="K497" s="55">
        <f t="shared" si="242"/>
        <v>6814795.9121264191</v>
      </c>
      <c r="L497" s="55">
        <f t="shared" si="242"/>
        <v>0</v>
      </c>
      <c r="M497" s="55">
        <f t="shared" si="242"/>
        <v>0</v>
      </c>
      <c r="N497" s="55">
        <f t="shared" si="242"/>
        <v>0</v>
      </c>
      <c r="O497" s="55">
        <f t="shared" si="242"/>
        <v>0</v>
      </c>
      <c r="P497" s="55">
        <f t="shared" si="242"/>
        <v>0</v>
      </c>
      <c r="Q497" s="55">
        <f t="shared" si="242"/>
        <v>0</v>
      </c>
      <c r="R497" s="55">
        <f t="shared" si="242"/>
        <v>0</v>
      </c>
      <c r="S497" s="55">
        <f t="shared" si="242"/>
        <v>0</v>
      </c>
      <c r="T497" s="55">
        <f t="shared" si="242"/>
        <v>0</v>
      </c>
      <c r="U497" s="55">
        <f t="shared" si="242"/>
        <v>0</v>
      </c>
      <c r="V497" s="55">
        <f t="shared" si="242"/>
        <v>0</v>
      </c>
      <c r="W497" s="55">
        <f t="shared" si="242"/>
        <v>0</v>
      </c>
      <c r="X497" s="55">
        <f t="shared" si="242"/>
        <v>0</v>
      </c>
      <c r="Y497" s="55">
        <f t="shared" si="242"/>
        <v>0</v>
      </c>
      <c r="Z497" s="55">
        <f t="shared" si="242"/>
        <v>0</v>
      </c>
    </row>
    <row r="499" spans="2:26" ht="15.75">
      <c r="B499" s="53" t="s">
        <v>338</v>
      </c>
      <c r="C499" s="699"/>
      <c r="D499" s="699"/>
      <c r="E499" s="699"/>
      <c r="F499" s="54">
        <f>+Assumptions!$H$27</f>
        <v>47118</v>
      </c>
      <c r="G499" s="54">
        <f t="shared" ref="G499:Z499" si="243">+EOMONTH(F499,12)</f>
        <v>47483</v>
      </c>
      <c r="H499" s="54">
        <f t="shared" si="243"/>
        <v>47848</v>
      </c>
      <c r="I499" s="54">
        <f t="shared" si="243"/>
        <v>48213</v>
      </c>
      <c r="J499" s="54">
        <f t="shared" si="243"/>
        <v>48579</v>
      </c>
      <c r="K499" s="54">
        <f t="shared" si="243"/>
        <v>48944</v>
      </c>
      <c r="L499" s="54">
        <f t="shared" si="243"/>
        <v>49309</v>
      </c>
      <c r="M499" s="54">
        <f t="shared" si="243"/>
        <v>49674</v>
      </c>
      <c r="N499" s="54">
        <f t="shared" si="243"/>
        <v>50040</v>
      </c>
      <c r="O499" s="54">
        <f t="shared" si="243"/>
        <v>50405</v>
      </c>
      <c r="P499" s="54">
        <f t="shared" si="243"/>
        <v>50770</v>
      </c>
      <c r="Q499" s="54">
        <f t="shared" si="243"/>
        <v>51135</v>
      </c>
      <c r="R499" s="54">
        <f t="shared" si="243"/>
        <v>51501</v>
      </c>
      <c r="S499" s="54">
        <f t="shared" si="243"/>
        <v>51866</v>
      </c>
      <c r="T499" s="54">
        <f t="shared" si="243"/>
        <v>52231</v>
      </c>
      <c r="U499" s="54">
        <f t="shared" si="243"/>
        <v>52596</v>
      </c>
      <c r="V499" s="54">
        <f t="shared" si="243"/>
        <v>52962</v>
      </c>
      <c r="W499" s="54">
        <f t="shared" si="243"/>
        <v>53327</v>
      </c>
      <c r="X499" s="54">
        <f t="shared" si="243"/>
        <v>53692</v>
      </c>
      <c r="Y499" s="54">
        <f t="shared" si="243"/>
        <v>54057</v>
      </c>
      <c r="Z499" s="54">
        <f t="shared" si="243"/>
        <v>54423</v>
      </c>
    </row>
    <row r="500" spans="2:26">
      <c r="B500" s="699" t="s">
        <v>1120</v>
      </c>
      <c r="C500" s="699"/>
      <c r="D500" s="699"/>
      <c r="E500" s="1050"/>
      <c r="F500" s="1050">
        <f>+IF(F499=Assumptions!$H$31,Assumptions!$H$137/ROUNDUP((12/12),0),)</f>
        <v>0</v>
      </c>
      <c r="G500" s="1050">
        <f>+IF(G499=Assumptions!$H$31,Assumptions!$H$137/ROUNDUP((12/12),0),)</f>
        <v>0</v>
      </c>
      <c r="H500" s="1050">
        <f>+IF(H499=Assumptions!$H$31,Assumptions!$H$137/ROUNDUP((12/12),0),)</f>
        <v>0</v>
      </c>
      <c r="I500" s="1050">
        <f>+IF(I499=Assumptions!$H$31,Assumptions!$H$137/ROUNDUP((12/12),0),)</f>
        <v>27973.200000000001</v>
      </c>
      <c r="J500" s="1050">
        <f>+IF(J499=Assumptions!$H$31,Assumptions!$H$137/ROUNDUP((12/12),0),)</f>
        <v>0</v>
      </c>
      <c r="K500" s="1050">
        <f>+IF(K499=Assumptions!$H$31,Assumptions!$H$137/ROUNDUP((12/12),0),)</f>
        <v>0</v>
      </c>
      <c r="L500" s="1050">
        <f>+IF(L499=Assumptions!$H$31,Assumptions!$H$137/ROUNDUP((12/12),0),)</f>
        <v>0</v>
      </c>
      <c r="M500" s="1050">
        <f>+IF(M499=Assumptions!$H$31,Assumptions!$H$137/ROUNDUP((12/12),0),)</f>
        <v>0</v>
      </c>
      <c r="N500" s="1050">
        <f>+IF(N499=Assumptions!$H$31,Assumptions!$H$137/ROUNDUP((12/12),0),)</f>
        <v>0</v>
      </c>
      <c r="O500" s="1050">
        <f>+IF(O499=Assumptions!$H$31,Assumptions!$H$137/ROUNDUP((12/12),0),)</f>
        <v>0</v>
      </c>
      <c r="P500" s="1050">
        <f>+IF(P499=Assumptions!$H$31,Assumptions!$H$137/ROUNDUP((12/12),0),)</f>
        <v>0</v>
      </c>
      <c r="Q500" s="1050">
        <f>+IF(Q499=Assumptions!$H$31,Assumptions!$H$137/ROUNDUP((12/12),0),)</f>
        <v>0</v>
      </c>
      <c r="R500" s="1050">
        <f>+IF(R499=Assumptions!$H$31,Assumptions!$H$137/ROUNDUP((12/12),0),)</f>
        <v>0</v>
      </c>
      <c r="S500" s="1050">
        <f>+IF(S499=Assumptions!$H$31,Assumptions!$H$137/ROUNDUP((12/12),0),)</f>
        <v>0</v>
      </c>
      <c r="T500" s="1050">
        <f>+IF(T499=Assumptions!$H$31,Assumptions!$H$137/ROUNDUP((12/12),0),)</f>
        <v>0</v>
      </c>
      <c r="U500" s="1050">
        <f>+IF(U499=Assumptions!$H$31,Assumptions!$H$137/ROUNDUP((12/12),0),)</f>
        <v>0</v>
      </c>
      <c r="V500" s="1050">
        <f>+IF(V499=Assumptions!$H$31,Assumptions!$H$137/ROUNDUP((12/12),0),)</f>
        <v>0</v>
      </c>
      <c r="W500" s="1050">
        <f>+IF(W499=Assumptions!$H$31,Assumptions!$H$137/ROUNDUP((12/12),0),)</f>
        <v>0</v>
      </c>
      <c r="X500" s="1050">
        <f>+IF(X499=Assumptions!$H$31,Assumptions!$H$137/ROUNDUP((12/12),0),)</f>
        <v>0</v>
      </c>
      <c r="Y500" s="1050">
        <f>+IF(Y499=Assumptions!$H$31,Assumptions!$H$137/ROUNDUP((12/12),0),)</f>
        <v>0</v>
      </c>
      <c r="Z500" s="1050">
        <f>+IF(Z499=Assumptions!$H$31,Assumptions!$H$137/ROUNDUP((12/12),0),)</f>
        <v>0</v>
      </c>
    </row>
    <row r="501" spans="2:26">
      <c r="B501" s="699" t="s">
        <v>1121</v>
      </c>
      <c r="C501" s="699"/>
      <c r="D501" s="699"/>
      <c r="E501" s="1050">
        <v>0</v>
      </c>
      <c r="F501" s="1050">
        <f t="shared" ref="F501:Z501" si="244">+E501+F500</f>
        <v>0</v>
      </c>
      <c r="G501" s="1050">
        <f t="shared" si="244"/>
        <v>0</v>
      </c>
      <c r="H501" s="1050">
        <f t="shared" si="244"/>
        <v>0</v>
      </c>
      <c r="I501" s="1050">
        <f t="shared" si="244"/>
        <v>27973.200000000001</v>
      </c>
      <c r="J501" s="1050">
        <f t="shared" si="244"/>
        <v>27973.200000000001</v>
      </c>
      <c r="K501" s="1050">
        <f t="shared" si="244"/>
        <v>27973.200000000001</v>
      </c>
      <c r="L501" s="1050">
        <f t="shared" si="244"/>
        <v>27973.200000000001</v>
      </c>
      <c r="M501" s="1050">
        <f t="shared" si="244"/>
        <v>27973.200000000001</v>
      </c>
      <c r="N501" s="1050">
        <f t="shared" si="244"/>
        <v>27973.200000000001</v>
      </c>
      <c r="O501" s="1050">
        <f t="shared" si="244"/>
        <v>27973.200000000001</v>
      </c>
      <c r="P501" s="1050">
        <f t="shared" si="244"/>
        <v>27973.200000000001</v>
      </c>
      <c r="Q501" s="1050">
        <f t="shared" si="244"/>
        <v>27973.200000000001</v>
      </c>
      <c r="R501" s="1050">
        <f t="shared" si="244"/>
        <v>27973.200000000001</v>
      </c>
      <c r="S501" s="1050">
        <f t="shared" si="244"/>
        <v>27973.200000000001</v>
      </c>
      <c r="T501" s="1050">
        <f t="shared" si="244"/>
        <v>27973.200000000001</v>
      </c>
      <c r="U501" s="1050">
        <f t="shared" si="244"/>
        <v>27973.200000000001</v>
      </c>
      <c r="V501" s="1050">
        <f t="shared" si="244"/>
        <v>27973.200000000001</v>
      </c>
      <c r="W501" s="1050">
        <f t="shared" si="244"/>
        <v>27973.200000000001</v>
      </c>
      <c r="X501" s="1050">
        <f t="shared" si="244"/>
        <v>27973.200000000001</v>
      </c>
      <c r="Y501" s="1050">
        <f t="shared" si="244"/>
        <v>27973.200000000001</v>
      </c>
      <c r="Z501" s="1050">
        <f t="shared" si="244"/>
        <v>27973.200000000001</v>
      </c>
    </row>
    <row r="502" spans="2:26">
      <c r="B502" s="699" t="s">
        <v>1123</v>
      </c>
      <c r="C502" s="699"/>
      <c r="D502" s="699"/>
      <c r="E502" s="699"/>
      <c r="F502" s="1084">
        <f t="shared" ref="F502:Z502" si="245">+F503-E503</f>
        <v>0</v>
      </c>
      <c r="G502" s="1084">
        <f t="shared" si="245"/>
        <v>0</v>
      </c>
      <c r="H502" s="1084">
        <f t="shared" si="245"/>
        <v>0</v>
      </c>
      <c r="I502" s="1084">
        <f t="shared" si="245"/>
        <v>38.627360000000003</v>
      </c>
      <c r="J502" s="1084">
        <f t="shared" si="245"/>
        <v>0</v>
      </c>
      <c r="K502" s="1084">
        <f t="shared" si="245"/>
        <v>0</v>
      </c>
      <c r="L502" s="1084">
        <f t="shared" si="245"/>
        <v>0</v>
      </c>
      <c r="M502" s="1084">
        <f t="shared" si="245"/>
        <v>0</v>
      </c>
      <c r="N502" s="1084">
        <f t="shared" si="245"/>
        <v>0</v>
      </c>
      <c r="O502" s="1084">
        <f t="shared" si="245"/>
        <v>0</v>
      </c>
      <c r="P502" s="1084">
        <f t="shared" si="245"/>
        <v>0</v>
      </c>
      <c r="Q502" s="1084">
        <f t="shared" si="245"/>
        <v>0</v>
      </c>
      <c r="R502" s="1084">
        <f t="shared" si="245"/>
        <v>0</v>
      </c>
      <c r="S502" s="1084">
        <f t="shared" si="245"/>
        <v>0</v>
      </c>
      <c r="T502" s="1084">
        <f t="shared" si="245"/>
        <v>0</v>
      </c>
      <c r="U502" s="1084">
        <f t="shared" si="245"/>
        <v>0</v>
      </c>
      <c r="V502" s="1084">
        <f t="shared" si="245"/>
        <v>0</v>
      </c>
      <c r="W502" s="1084">
        <f t="shared" si="245"/>
        <v>0</v>
      </c>
      <c r="X502" s="1084">
        <f t="shared" si="245"/>
        <v>0</v>
      </c>
      <c r="Y502" s="1084">
        <f t="shared" si="245"/>
        <v>0</v>
      </c>
      <c r="Z502" s="1084">
        <f t="shared" si="245"/>
        <v>0</v>
      </c>
    </row>
    <row r="503" spans="2:26">
      <c r="B503" s="699" t="s">
        <v>1124</v>
      </c>
      <c r="C503" s="699"/>
      <c r="D503" s="699"/>
      <c r="E503" s="699"/>
      <c r="F503" s="1084">
        <f>+F504*Assumptions!$H$157</f>
        <v>0</v>
      </c>
      <c r="G503" s="1084">
        <f>+G504*Assumptions!$H$157</f>
        <v>0</v>
      </c>
      <c r="H503" s="1084">
        <f>+H504*Assumptions!$H$157</f>
        <v>0</v>
      </c>
      <c r="I503" s="1084">
        <f>+I504*Assumptions!$H$157</f>
        <v>38.627360000000003</v>
      </c>
      <c r="J503" s="1084">
        <f>+J504*Assumptions!$H$157</f>
        <v>38.627360000000003</v>
      </c>
      <c r="K503" s="1084">
        <f>+K504*Assumptions!$H$157</f>
        <v>38.627360000000003</v>
      </c>
      <c r="L503" s="1084">
        <f>+L504*Assumptions!$H$157</f>
        <v>38.627360000000003</v>
      </c>
      <c r="M503" s="1084">
        <f>+M504*Assumptions!$H$157</f>
        <v>38.627360000000003</v>
      </c>
      <c r="N503" s="1084">
        <f>+N504*Assumptions!$H$157</f>
        <v>38.627360000000003</v>
      </c>
      <c r="O503" s="1084">
        <f>+O504*Assumptions!$H$157</f>
        <v>38.627360000000003</v>
      </c>
      <c r="P503" s="1084">
        <f>+P504*Assumptions!$H$157</f>
        <v>38.627360000000003</v>
      </c>
      <c r="Q503" s="1084">
        <f>+Q504*Assumptions!$H$157</f>
        <v>38.627360000000003</v>
      </c>
      <c r="R503" s="1084">
        <f>+R504*Assumptions!$H$157</f>
        <v>38.627360000000003</v>
      </c>
      <c r="S503" s="1084">
        <f>+S504*Assumptions!$H$157</f>
        <v>38.627360000000003</v>
      </c>
      <c r="T503" s="1084">
        <f>+T504*Assumptions!$H$157</f>
        <v>38.627360000000003</v>
      </c>
      <c r="U503" s="1084">
        <f>+U504*Assumptions!$H$157</f>
        <v>38.627360000000003</v>
      </c>
      <c r="V503" s="1084">
        <f>+V504*Assumptions!$H$157</f>
        <v>38.627360000000003</v>
      </c>
      <c r="W503" s="1084">
        <f>+W504*Assumptions!$H$157</f>
        <v>38.627360000000003</v>
      </c>
      <c r="X503" s="1084">
        <f>+X504*Assumptions!$H$157</f>
        <v>38.627360000000003</v>
      </c>
      <c r="Y503" s="1084">
        <f>+Y504*Assumptions!$H$157</f>
        <v>38.627360000000003</v>
      </c>
      <c r="Z503" s="1084">
        <f>+Z504*Assumptions!$H$157</f>
        <v>38.627360000000003</v>
      </c>
    </row>
    <row r="504" spans="2:26">
      <c r="B504" s="699" t="s">
        <v>1125</v>
      </c>
      <c r="C504" s="699"/>
      <c r="D504" s="699"/>
      <c r="E504" s="699"/>
      <c r="F504" s="1074">
        <f t="shared" ref="F504:Z504" si="246">+IFERROR(F501/SUM($F500:$Z500),0)</f>
        <v>0</v>
      </c>
      <c r="G504" s="1074">
        <f t="shared" si="246"/>
        <v>0</v>
      </c>
      <c r="H504" s="1074">
        <f t="shared" si="246"/>
        <v>0</v>
      </c>
      <c r="I504" s="1074">
        <f t="shared" si="246"/>
        <v>1</v>
      </c>
      <c r="J504" s="1074">
        <f t="shared" si="246"/>
        <v>1</v>
      </c>
      <c r="K504" s="1074">
        <f t="shared" si="246"/>
        <v>1</v>
      </c>
      <c r="L504" s="1074">
        <f t="shared" si="246"/>
        <v>1</v>
      </c>
      <c r="M504" s="1074">
        <f t="shared" si="246"/>
        <v>1</v>
      </c>
      <c r="N504" s="1074">
        <f t="shared" si="246"/>
        <v>1</v>
      </c>
      <c r="O504" s="1074">
        <f t="shared" si="246"/>
        <v>1</v>
      </c>
      <c r="P504" s="1074">
        <f t="shared" si="246"/>
        <v>1</v>
      </c>
      <c r="Q504" s="1074">
        <f t="shared" si="246"/>
        <v>1</v>
      </c>
      <c r="R504" s="1074">
        <f t="shared" si="246"/>
        <v>1</v>
      </c>
      <c r="S504" s="1074">
        <f t="shared" si="246"/>
        <v>1</v>
      </c>
      <c r="T504" s="1074">
        <f t="shared" si="246"/>
        <v>1</v>
      </c>
      <c r="U504" s="1074">
        <f t="shared" si="246"/>
        <v>1</v>
      </c>
      <c r="V504" s="1074">
        <f t="shared" si="246"/>
        <v>1</v>
      </c>
      <c r="W504" s="1074">
        <f t="shared" si="246"/>
        <v>1</v>
      </c>
      <c r="X504" s="1074">
        <f t="shared" si="246"/>
        <v>1</v>
      </c>
      <c r="Y504" s="1074">
        <f t="shared" si="246"/>
        <v>1</v>
      </c>
      <c r="Z504" s="1074">
        <f t="shared" si="246"/>
        <v>1</v>
      </c>
    </row>
    <row r="506" spans="2:26">
      <c r="B506" s="699" t="s">
        <v>1126</v>
      </c>
      <c r="C506" s="699"/>
      <c r="D506" s="699"/>
      <c r="E506" s="699"/>
      <c r="F506" s="1074">
        <v>1</v>
      </c>
      <c r="G506" s="1074">
        <f>+F506*(1+Assumptions!$AR$84)</f>
        <v>1.03</v>
      </c>
      <c r="H506" s="1074">
        <f>+G506*(1+Assumptions!$AR$84)</f>
        <v>1.0609</v>
      </c>
      <c r="I506" s="1074">
        <f>+H506*(1+Assumptions!$AR$84)</f>
        <v>1.092727</v>
      </c>
      <c r="J506" s="1074">
        <f>+I506*(1+Assumptions!$AR$84)</f>
        <v>1.1255088100000001</v>
      </c>
      <c r="K506" s="1074">
        <f>+J506*(1+Assumptions!$AR$84)</f>
        <v>1.1592740743000001</v>
      </c>
      <c r="L506" s="1074">
        <f>+K506*(1+Assumptions!$AR$84)</f>
        <v>1.1940522965290001</v>
      </c>
      <c r="M506" s="1074">
        <f>+L506*(1+Assumptions!$AR$84)</f>
        <v>1.2298738654248702</v>
      </c>
      <c r="N506" s="1074">
        <f>+M506*(1+Assumptions!$AR$84)</f>
        <v>1.2667700813876164</v>
      </c>
      <c r="O506" s="1074">
        <f>+N506*(1+Assumptions!$AR$84)</f>
        <v>1.3047731838292449</v>
      </c>
      <c r="P506" s="1074">
        <f>+O506*(1+Assumptions!$AR$84)</f>
        <v>1.3439163793441222</v>
      </c>
      <c r="Q506" s="1074">
        <f>+P506*(1+Assumptions!$AR$84)</f>
        <v>1.3842338707244459</v>
      </c>
      <c r="R506" s="1074">
        <f>+Q506*(1+Assumptions!$AR$84)</f>
        <v>1.4257608868461793</v>
      </c>
      <c r="S506" s="1074">
        <f>+R506*(1+Assumptions!$AR$84)</f>
        <v>1.4685337134515648</v>
      </c>
      <c r="T506" s="1074">
        <f>+S506*(1+Assumptions!$AR$84)</f>
        <v>1.5125897248551119</v>
      </c>
      <c r="U506" s="1074">
        <f>+T506*(1+Assumptions!$AR$84)</f>
        <v>1.5579674166007653</v>
      </c>
      <c r="V506" s="1074">
        <f>+U506*(1+Assumptions!$AR$84)</f>
        <v>1.6047064390987884</v>
      </c>
      <c r="W506" s="1074">
        <f>+V506*(1+Assumptions!$AR$84)</f>
        <v>1.652847632271752</v>
      </c>
      <c r="X506" s="1074">
        <f>+W506*(1+Assumptions!$AR$84)</f>
        <v>1.7024330612399046</v>
      </c>
      <c r="Y506" s="1074">
        <f>+X506*(1+Assumptions!$AR$84)</f>
        <v>1.7535060530771018</v>
      </c>
      <c r="Z506" s="1074">
        <f>+Y506*(1+Assumptions!$AR$84)</f>
        <v>1.806111234669415</v>
      </c>
    </row>
    <row r="507" spans="2:26">
      <c r="B507" s="699" t="s">
        <v>1127</v>
      </c>
      <c r="C507" s="699"/>
      <c r="D507" s="699"/>
      <c r="E507" s="699"/>
      <c r="F507" s="1074">
        <v>1</v>
      </c>
      <c r="G507" s="1074">
        <f>+F507*(1+Assumptions!$AR$95)</f>
        <v>1.03</v>
      </c>
      <c r="H507" s="1074">
        <f>+G507*(1+Assumptions!$AR$95)</f>
        <v>1.0609</v>
      </c>
      <c r="I507" s="1074">
        <f>+H507*(1+Assumptions!$AR$95)</f>
        <v>1.092727</v>
      </c>
      <c r="J507" s="1074">
        <f>+I507*(1+Assumptions!$AR$95)</f>
        <v>1.1255088100000001</v>
      </c>
      <c r="K507" s="1074">
        <f>+J507*(1+Assumptions!$AR$95)</f>
        <v>1.1592740743000001</v>
      </c>
      <c r="L507" s="1074">
        <f>+K507*(1+Assumptions!$AR$95)</f>
        <v>1.1940522965290001</v>
      </c>
      <c r="M507" s="1074">
        <f>+L507*(1+Assumptions!$AR$95)</f>
        <v>1.2298738654248702</v>
      </c>
      <c r="N507" s="1074">
        <f>+M507*(1+Assumptions!$AR$95)</f>
        <v>1.2667700813876164</v>
      </c>
      <c r="O507" s="1074">
        <f>+N507*(1+Assumptions!$AR$95)</f>
        <v>1.3047731838292449</v>
      </c>
      <c r="P507" s="1074">
        <f>+O507*(1+Assumptions!$AR$95)</f>
        <v>1.3439163793441222</v>
      </c>
      <c r="Q507" s="1074">
        <f>+P507*(1+Assumptions!$AR$95)</f>
        <v>1.3842338707244459</v>
      </c>
      <c r="R507" s="1074">
        <f>+Q507*(1+Assumptions!$AR$95)</f>
        <v>1.4257608868461793</v>
      </c>
      <c r="S507" s="1074">
        <f>+R507*(1+Assumptions!$AR$95)</f>
        <v>1.4685337134515648</v>
      </c>
      <c r="T507" s="1074">
        <f>+S507*(1+Assumptions!$AR$95)</f>
        <v>1.5125897248551119</v>
      </c>
      <c r="U507" s="1074">
        <f>+T507*(1+Assumptions!$AR$95)</f>
        <v>1.5579674166007653</v>
      </c>
      <c r="V507" s="1074">
        <f>+U507*(1+Assumptions!$AR$95)</f>
        <v>1.6047064390987884</v>
      </c>
      <c r="W507" s="1074">
        <f>+V507*(1+Assumptions!$AR$95)</f>
        <v>1.652847632271752</v>
      </c>
      <c r="X507" s="1074">
        <f>+W507*(1+Assumptions!$AR$95)</f>
        <v>1.7024330612399046</v>
      </c>
      <c r="Y507" s="1074">
        <f>+X507*(1+Assumptions!$AR$95)</f>
        <v>1.7535060530771018</v>
      </c>
      <c r="Z507" s="1074">
        <f>+Y507*(1+Assumptions!$AR$95)</f>
        <v>1.806111234669415</v>
      </c>
    </row>
    <row r="509" spans="2:26">
      <c r="B509" s="699" t="s">
        <v>1183</v>
      </c>
      <c r="C509" s="699"/>
      <c r="D509" s="699"/>
      <c r="E509" s="699"/>
      <c r="F509" s="1028">
        <f>+IF(F499=Assumptions!$H$31,(F504*Assumptions!$H$136*F506/(12/12)),0)</f>
        <v>0</v>
      </c>
      <c r="G509" s="1028">
        <f>+IF(G499=Assumptions!$H$31,(G504*Assumptions!$H$136*G506/(12/12)),0)</f>
        <v>0</v>
      </c>
      <c r="H509" s="1028">
        <f>+IF(H499=Assumptions!$H$31,(H504*Assumptions!$H$136*H506/(12/12)),0)</f>
        <v>0</v>
      </c>
      <c r="I509" s="1028">
        <f>+IF(I499=Assumptions!$H$31,(I504*Assumptions!$H$136*I506/(12/12)),0)</f>
        <v>6374073.3535108184</v>
      </c>
      <c r="J509" s="1028">
        <f>+IF(J499=Assumptions!$H$31,(J504*Assumptions!$H$136*J506/(12/12)),0)</f>
        <v>0</v>
      </c>
      <c r="K509" s="1028">
        <f>+IF(K499=Assumptions!$H$31,(K504*Assumptions!$H$136*K506/(12/12)),0)</f>
        <v>0</v>
      </c>
      <c r="L509" s="1028">
        <f>+IF(L499=Assumptions!$H$31,(L504*Assumptions!$H$136*L506/(12/12)),0)</f>
        <v>0</v>
      </c>
      <c r="M509" s="1028">
        <f>+IF(M499=Assumptions!$H$31,(M504*Assumptions!$H$136*M506/(12/12)),0)</f>
        <v>0</v>
      </c>
      <c r="N509" s="1028">
        <f>+IF(N499=Assumptions!$H$31,(N504*Assumptions!$H$136*N506/(12/12)),0)</f>
        <v>0</v>
      </c>
      <c r="O509" s="1028">
        <f>+IF(O499=Assumptions!$H$31,(O504*Assumptions!$H$136*O506/(12/12)),0)</f>
        <v>0</v>
      </c>
      <c r="P509" s="1028">
        <f>+IF(P499=Assumptions!$H$31,(P504*Assumptions!$H$136*P506/(12/12)),0)</f>
        <v>0</v>
      </c>
      <c r="Q509" s="1028">
        <f>+IF(Q499=Assumptions!$H$31,(Q504*Assumptions!$H$136*Q506/(12/12)),0)</f>
        <v>0</v>
      </c>
      <c r="R509" s="1028">
        <f>+IF(R499=Assumptions!$H$31,(R504*Assumptions!$H$136*R506/(12/12)),0)</f>
        <v>0</v>
      </c>
      <c r="S509" s="1028">
        <f>+IF(S499=Assumptions!$H$31,(S504*Assumptions!$H$136*S506/(12/12)),0)</f>
        <v>0</v>
      </c>
      <c r="T509" s="1028">
        <f>+IF(T499=Assumptions!$H$31,(T504*Assumptions!$H$136*T506/(12/12)),0)</f>
        <v>0</v>
      </c>
      <c r="U509" s="1028">
        <f>+IF(U499=Assumptions!$H$31,(U504*Assumptions!$H$136*U506/(12/12)),0)</f>
        <v>0</v>
      </c>
      <c r="V509" s="1028">
        <f>+IF(V499=Assumptions!$H$31,(V504*Assumptions!$H$136*V506/(12/12)),0)</f>
        <v>0</v>
      </c>
      <c r="W509" s="1028">
        <f>+IF(W499=Assumptions!$H$31,(W504*Assumptions!$H$136*W506/(12/12)),0)</f>
        <v>0</v>
      </c>
      <c r="X509" s="1028">
        <f>+IF(X499=Assumptions!$H$31,(X504*Assumptions!$H$136*X506/(12/12)),0)</f>
        <v>0</v>
      </c>
      <c r="Y509" s="1028">
        <f>+IF(Y499=Assumptions!$H$31,(Y504*Assumptions!$H$136*Y506/(12/12)),0)</f>
        <v>0</v>
      </c>
      <c r="Z509" s="1028">
        <f>+IF(Z499=Assumptions!$H$31,(Z504*Assumptions!$H$136*Z506/(12/12)),0)</f>
        <v>0</v>
      </c>
    </row>
    <row r="510" spans="2:26">
      <c r="B510" s="699" t="s">
        <v>1130</v>
      </c>
      <c r="C510" s="699"/>
      <c r="D510" s="699"/>
      <c r="E510" s="699"/>
      <c r="F510" s="1085">
        <f>-F509*Assumptions!$P$61</f>
        <v>0</v>
      </c>
      <c r="G510" s="1085">
        <f>-G509*Assumptions!$P$61</f>
        <v>0</v>
      </c>
      <c r="H510" s="1085">
        <f>-H509*Assumptions!$P$61</f>
        <v>0</v>
      </c>
      <c r="I510" s="1085">
        <f>-I509*Assumptions!$P$61</f>
        <v>-254962.93414043274</v>
      </c>
      <c r="J510" s="1085">
        <f>-J509*Assumptions!$P$61</f>
        <v>0</v>
      </c>
      <c r="K510" s="1085">
        <f>-K509*Assumptions!$P$61</f>
        <v>0</v>
      </c>
      <c r="L510" s="1085">
        <f>-L509*Assumptions!$P$61</f>
        <v>0</v>
      </c>
      <c r="M510" s="1085">
        <f>-M509*Assumptions!$P$61</f>
        <v>0</v>
      </c>
      <c r="N510" s="1085">
        <f>-N509*Assumptions!$P$61</f>
        <v>0</v>
      </c>
      <c r="O510" s="1085">
        <f>-O509*Assumptions!$P$61</f>
        <v>0</v>
      </c>
      <c r="P510" s="1085">
        <f>-P509*Assumptions!$P$61</f>
        <v>0</v>
      </c>
      <c r="Q510" s="1085">
        <f>-Q509*Assumptions!$P$61</f>
        <v>0</v>
      </c>
      <c r="R510" s="1085">
        <f>-R509*Assumptions!$P$61</f>
        <v>0</v>
      </c>
      <c r="S510" s="1085">
        <f>-S509*Assumptions!$P$61</f>
        <v>0</v>
      </c>
      <c r="T510" s="1085">
        <f>-T509*Assumptions!$P$61</f>
        <v>0</v>
      </c>
      <c r="U510" s="1085">
        <f>-U509*Assumptions!$P$61</f>
        <v>0</v>
      </c>
      <c r="V510" s="1085">
        <f>-V509*Assumptions!$P$61</f>
        <v>0</v>
      </c>
      <c r="W510" s="1085">
        <f>-W509*Assumptions!$P$61</f>
        <v>0</v>
      </c>
      <c r="X510" s="1085">
        <f>-X509*Assumptions!$P$61</f>
        <v>0</v>
      </c>
      <c r="Y510" s="1085">
        <f>-Y509*Assumptions!$P$61</f>
        <v>0</v>
      </c>
      <c r="Z510" s="1085">
        <f>-Z509*Assumptions!$P$61</f>
        <v>0</v>
      </c>
    </row>
    <row r="511" spans="2:26">
      <c r="B511" s="699" t="s">
        <v>1184</v>
      </c>
      <c r="C511" s="699"/>
      <c r="D511" s="699"/>
      <c r="E511" s="699"/>
      <c r="F511" s="1085">
        <f>+IF(F499=Assumptions!$H$31,F503*Assumptions!$AG$158*(1-Assumptions!$P$61)*12,0)</f>
        <v>0</v>
      </c>
      <c r="G511" s="1085">
        <f>+IF(G499=Assumptions!$H$31,G503*Assumptions!$AG$158*(1-Assumptions!$P$61)*12,0)</f>
        <v>0</v>
      </c>
      <c r="H511" s="1085">
        <f>+IF(H499=Assumptions!$H$31,H503*Assumptions!$AG$158*(1-Assumptions!$P$61)*12,0)</f>
        <v>0</v>
      </c>
      <c r="I511" s="1085">
        <f>+IF(I499=Assumptions!$H$31,I503*Assumptions!$AG$158*(1-Assumptions!$P$61)*12,0)</f>
        <v>3559.8974976</v>
      </c>
      <c r="J511" s="1085">
        <f>+IF(J499=Assumptions!$H$31,J503*Assumptions!$AG$158*(1-Assumptions!$P$61)*12,0)</f>
        <v>0</v>
      </c>
      <c r="K511" s="1085">
        <f>+IF(K499=Assumptions!$H$31,K503*Assumptions!$AG$158*(1-Assumptions!$P$61)*12,0)</f>
        <v>0</v>
      </c>
      <c r="L511" s="1085">
        <f>+IF(L499=Assumptions!$H$31,L503*Assumptions!$AG$158*(1-Assumptions!$P$61)*12,0)</f>
        <v>0</v>
      </c>
      <c r="M511" s="1085">
        <f>+IF(M499=Assumptions!$H$31,M503*Assumptions!$AG$158*(1-Assumptions!$P$61)*12,0)</f>
        <v>0</v>
      </c>
      <c r="N511" s="1085">
        <f>+IF(N499=Assumptions!$H$31,N503*Assumptions!$AG$158*(1-Assumptions!$P$61)*12,0)</f>
        <v>0</v>
      </c>
      <c r="O511" s="1085">
        <f>+IF(O499=Assumptions!$H$31,O503*Assumptions!$AG$158*(1-Assumptions!$P$61)*12,0)</f>
        <v>0</v>
      </c>
      <c r="P511" s="1085">
        <f>+IF(P499=Assumptions!$H$31,P503*Assumptions!$AG$158*(1-Assumptions!$P$61)*12,0)</f>
        <v>0</v>
      </c>
      <c r="Q511" s="1085">
        <f>+IF(Q499=Assumptions!$H$31,Q503*Assumptions!$AG$158*(1-Assumptions!$P$61)*12,0)</f>
        <v>0</v>
      </c>
      <c r="R511" s="1085">
        <f>+IF(R499=Assumptions!$H$31,R503*Assumptions!$AG$158*(1-Assumptions!$P$61)*12,0)</f>
        <v>0</v>
      </c>
      <c r="S511" s="1085">
        <f>+IF(S499=Assumptions!$H$31,S503*Assumptions!$AG$158*(1-Assumptions!$P$61)*12,0)</f>
        <v>0</v>
      </c>
      <c r="T511" s="1085">
        <f>+IF(T499=Assumptions!$H$31,T503*Assumptions!$AG$158*(1-Assumptions!$P$61)*12,0)</f>
        <v>0</v>
      </c>
      <c r="U511" s="1085">
        <f>+IF(U499=Assumptions!$H$31,U503*Assumptions!$AG$158*(1-Assumptions!$P$61)*12,0)</f>
        <v>0</v>
      </c>
      <c r="V511" s="1085">
        <f>+IF(V499=Assumptions!$H$31,V503*Assumptions!$AG$158*(1-Assumptions!$P$61)*12,0)</f>
        <v>0</v>
      </c>
      <c r="W511" s="1085">
        <f>+IF(W499=Assumptions!$H$31,W503*Assumptions!$AG$158*(1-Assumptions!$P$61)*12,0)</f>
        <v>0</v>
      </c>
      <c r="X511" s="1085">
        <f>+IF(X499=Assumptions!$H$31,X503*Assumptions!$AG$158*(1-Assumptions!$P$61)*12,0)</f>
        <v>0</v>
      </c>
      <c r="Y511" s="1085">
        <f>+IF(Y499=Assumptions!$H$31,Y503*Assumptions!$AG$158*(1-Assumptions!$P$61)*12,0)</f>
        <v>0</v>
      </c>
      <c r="Z511" s="1085">
        <f>+IF(Z499=Assumptions!$H$31,Z503*Assumptions!$AG$158*(1-Assumptions!$P$61)*12,0)</f>
        <v>0</v>
      </c>
    </row>
    <row r="512" spans="2:26">
      <c r="B512" s="52" t="s">
        <v>1131</v>
      </c>
      <c r="C512" s="1052"/>
      <c r="D512" s="1052"/>
      <c r="E512" s="1052"/>
      <c r="F512" s="1086">
        <f>SUM(F509:F511)</f>
        <v>0</v>
      </c>
      <c r="G512" s="1086">
        <f t="shared" ref="G512:Z512" si="247">SUM(G509:G511)</f>
        <v>0</v>
      </c>
      <c r="H512" s="1086">
        <f t="shared" si="247"/>
        <v>0</v>
      </c>
      <c r="I512" s="1086">
        <f t="shared" si="247"/>
        <v>6122670.3168679858</v>
      </c>
      <c r="J512" s="1086">
        <f t="shared" si="247"/>
        <v>0</v>
      </c>
      <c r="K512" s="1086">
        <f t="shared" si="247"/>
        <v>0</v>
      </c>
      <c r="L512" s="1086">
        <f t="shared" si="247"/>
        <v>0</v>
      </c>
      <c r="M512" s="1086">
        <f t="shared" si="247"/>
        <v>0</v>
      </c>
      <c r="N512" s="1086">
        <f t="shared" si="247"/>
        <v>0</v>
      </c>
      <c r="O512" s="1086">
        <f t="shared" si="247"/>
        <v>0</v>
      </c>
      <c r="P512" s="1086">
        <f t="shared" si="247"/>
        <v>0</v>
      </c>
      <c r="Q512" s="1086">
        <f t="shared" si="247"/>
        <v>0</v>
      </c>
      <c r="R512" s="1086">
        <f t="shared" si="247"/>
        <v>0</v>
      </c>
      <c r="S512" s="1086">
        <f t="shared" si="247"/>
        <v>0</v>
      </c>
      <c r="T512" s="1086">
        <f t="shared" si="247"/>
        <v>0</v>
      </c>
      <c r="U512" s="1086">
        <f t="shared" si="247"/>
        <v>0</v>
      </c>
      <c r="V512" s="1086">
        <f t="shared" si="247"/>
        <v>0</v>
      </c>
      <c r="W512" s="1086">
        <f t="shared" si="247"/>
        <v>0</v>
      </c>
      <c r="X512" s="1086">
        <f t="shared" si="247"/>
        <v>0</v>
      </c>
      <c r="Y512" s="1086">
        <f t="shared" si="247"/>
        <v>0</v>
      </c>
      <c r="Z512" s="1086">
        <f t="shared" si="247"/>
        <v>0</v>
      </c>
    </row>
    <row r="513" spans="1:26">
      <c r="A513" s="699"/>
      <c r="B513" s="49"/>
      <c r="C513" s="699"/>
      <c r="D513" s="699"/>
      <c r="E513" s="699"/>
      <c r="F513" s="699"/>
      <c r="G513" s="699"/>
      <c r="H513" s="699"/>
      <c r="I513" s="699"/>
      <c r="J513" s="699"/>
      <c r="K513" s="699"/>
      <c r="L513" s="699"/>
      <c r="M513" s="699"/>
      <c r="N513" s="699"/>
      <c r="O513" s="699"/>
      <c r="P513" s="699"/>
      <c r="Q513" s="699"/>
      <c r="R513" s="699"/>
      <c r="S513" s="699"/>
      <c r="T513" s="699"/>
      <c r="U513" s="699"/>
      <c r="V513" s="699"/>
      <c r="W513" s="699"/>
      <c r="X513" s="699"/>
      <c r="Y513" s="699"/>
      <c r="Z513" s="699"/>
    </row>
    <row r="514" spans="1:26">
      <c r="A514" s="699" t="s">
        <v>511</v>
      </c>
      <c r="B514" s="699" t="s">
        <v>1132</v>
      </c>
      <c r="C514" s="699"/>
      <c r="D514" s="699"/>
      <c r="E514" s="699"/>
      <c r="F514" s="1087">
        <f>+F503*Assumptions!$P$99*F507</f>
        <v>0</v>
      </c>
      <c r="G514" s="1087">
        <f>+G503*Assumptions!$P$99*G507</f>
        <v>0</v>
      </c>
      <c r="H514" s="1087">
        <f>+H503*Assumptions!$P$99*H507</f>
        <v>0</v>
      </c>
      <c r="I514" s="1087">
        <f>+I503*Assumptions!$P$99*I507</f>
        <v>0</v>
      </c>
      <c r="J514" s="1087">
        <f>+J503*Assumptions!$P$99*J507</f>
        <v>0</v>
      </c>
      <c r="K514" s="1087">
        <f>+K503*Assumptions!$P$99*K507</f>
        <v>0</v>
      </c>
      <c r="L514" s="1087">
        <f>+L503*Assumptions!$P$99*L507</f>
        <v>0</v>
      </c>
      <c r="M514" s="1087">
        <f>+M503*Assumptions!$P$99*M507</f>
        <v>0</v>
      </c>
      <c r="N514" s="1087">
        <f>+N503*Assumptions!$P$99*N507</f>
        <v>0</v>
      </c>
      <c r="O514" s="1087">
        <f>+O503*Assumptions!$P$99*O507</f>
        <v>0</v>
      </c>
      <c r="P514" s="1087">
        <f>+P503*Assumptions!$P$99*P507</f>
        <v>0</v>
      </c>
      <c r="Q514" s="1087">
        <f>+Q503*Assumptions!$P$99*Q507</f>
        <v>0</v>
      </c>
      <c r="R514" s="1087">
        <f>+R503*Assumptions!$P$99*R507</f>
        <v>0</v>
      </c>
      <c r="S514" s="1087">
        <f>+S503*Assumptions!$P$99*S507</f>
        <v>0</v>
      </c>
      <c r="T514" s="1087">
        <f>+T503*Assumptions!$P$99*T507</f>
        <v>0</v>
      </c>
      <c r="U514" s="1087">
        <f>+U503*Assumptions!$P$99*U507</f>
        <v>0</v>
      </c>
      <c r="V514" s="1087">
        <f>+V503*Assumptions!$P$99*V507</f>
        <v>0</v>
      </c>
      <c r="W514" s="1087">
        <f>+W503*Assumptions!$P$99*W507</f>
        <v>0</v>
      </c>
      <c r="X514" s="1087">
        <f>+X503*Assumptions!$P$99*X507</f>
        <v>0</v>
      </c>
      <c r="Y514" s="1087">
        <f>+Y503*Assumptions!$P$99*Y507</f>
        <v>0</v>
      </c>
      <c r="Z514" s="1087">
        <f>+Z503*Assumptions!$P$99*Z507</f>
        <v>0</v>
      </c>
    </row>
    <row r="515" spans="1:26" hidden="1">
      <c r="A515" s="699"/>
      <c r="B515" s="699" t="s">
        <v>1247</v>
      </c>
      <c r="C515" s="699"/>
      <c r="D515" s="699"/>
      <c r="E515" s="699"/>
      <c r="F515" s="1087"/>
      <c r="G515" s="1087"/>
      <c r="H515" s="1087"/>
      <c r="I515" s="1087"/>
      <c r="J515" s="1087"/>
      <c r="K515" s="1087"/>
      <c r="L515" s="1087"/>
      <c r="M515" s="1087"/>
      <c r="N515" s="1087"/>
      <c r="O515" s="1087"/>
      <c r="P515" s="1087"/>
      <c r="Q515" s="1087"/>
      <c r="R515" s="1087"/>
      <c r="S515" s="1087"/>
      <c r="T515" s="1087"/>
      <c r="U515" s="1087"/>
      <c r="V515" s="1087"/>
      <c r="W515" s="1087"/>
      <c r="X515" s="1087"/>
      <c r="Y515" s="1087"/>
      <c r="Z515" s="1087"/>
    </row>
    <row r="516" spans="1:26">
      <c r="A516" s="699"/>
      <c r="B516" s="699" t="s">
        <v>1133</v>
      </c>
      <c r="C516" s="699"/>
      <c r="D516" s="699"/>
      <c r="E516" s="699"/>
      <c r="F516" s="1050">
        <v>0</v>
      </c>
      <c r="G516" s="1050">
        <v>0</v>
      </c>
      <c r="H516" s="1050">
        <v>0</v>
      </c>
      <c r="I516" s="1050">
        <v>0</v>
      </c>
      <c r="J516" s="1050">
        <v>0</v>
      </c>
      <c r="K516" s="1050">
        <v>0</v>
      </c>
      <c r="L516" s="1050">
        <v>0</v>
      </c>
      <c r="M516" s="1050">
        <v>0</v>
      </c>
      <c r="N516" s="1050">
        <v>0</v>
      </c>
      <c r="O516" s="1050">
        <v>0</v>
      </c>
      <c r="P516" s="1050">
        <v>0</v>
      </c>
      <c r="Q516" s="1050">
        <v>0</v>
      </c>
      <c r="R516" s="1050">
        <v>0</v>
      </c>
      <c r="S516" s="1050">
        <v>0</v>
      </c>
      <c r="T516" s="1050">
        <v>0</v>
      </c>
      <c r="U516" s="1050">
        <v>0</v>
      </c>
      <c r="V516" s="1050">
        <v>0</v>
      </c>
      <c r="W516" s="1050">
        <v>0</v>
      </c>
      <c r="X516" s="1050">
        <v>0</v>
      </c>
      <c r="Y516" s="1050">
        <v>0</v>
      </c>
      <c r="Z516" s="1050">
        <v>0</v>
      </c>
    </row>
    <row r="517" spans="1:26">
      <c r="A517" s="699"/>
      <c r="B517" s="52" t="s">
        <v>1134</v>
      </c>
      <c r="C517" s="1052"/>
      <c r="D517" s="1052"/>
      <c r="E517" s="1052"/>
      <c r="F517" s="1088">
        <f>+SUM(F514:F516)</f>
        <v>0</v>
      </c>
      <c r="G517" s="1088">
        <f t="shared" ref="G517:Z517" si="248">+SUM(G514:G516)</f>
        <v>0</v>
      </c>
      <c r="H517" s="1088">
        <f t="shared" si="248"/>
        <v>0</v>
      </c>
      <c r="I517" s="1088">
        <f t="shared" si="248"/>
        <v>0</v>
      </c>
      <c r="J517" s="1088">
        <f t="shared" si="248"/>
        <v>0</v>
      </c>
      <c r="K517" s="1088">
        <f t="shared" si="248"/>
        <v>0</v>
      </c>
      <c r="L517" s="1088">
        <f t="shared" si="248"/>
        <v>0</v>
      </c>
      <c r="M517" s="1088">
        <f t="shared" si="248"/>
        <v>0</v>
      </c>
      <c r="N517" s="1088">
        <f t="shared" si="248"/>
        <v>0</v>
      </c>
      <c r="O517" s="1088">
        <f t="shared" si="248"/>
        <v>0</v>
      </c>
      <c r="P517" s="1088">
        <f t="shared" si="248"/>
        <v>0</v>
      </c>
      <c r="Q517" s="1088">
        <f t="shared" si="248"/>
        <v>0</v>
      </c>
      <c r="R517" s="1088">
        <f t="shared" si="248"/>
        <v>0</v>
      </c>
      <c r="S517" s="1088">
        <f t="shared" si="248"/>
        <v>0</v>
      </c>
      <c r="T517" s="1088">
        <f t="shared" si="248"/>
        <v>0</v>
      </c>
      <c r="U517" s="1088">
        <f t="shared" si="248"/>
        <v>0</v>
      </c>
      <c r="V517" s="1088">
        <f t="shared" si="248"/>
        <v>0</v>
      </c>
      <c r="W517" s="1088">
        <f t="shared" si="248"/>
        <v>0</v>
      </c>
      <c r="X517" s="1088">
        <f t="shared" si="248"/>
        <v>0</v>
      </c>
      <c r="Y517" s="1088">
        <f t="shared" si="248"/>
        <v>0</v>
      </c>
      <c r="Z517" s="1088">
        <f t="shared" si="248"/>
        <v>0</v>
      </c>
    </row>
    <row r="519" spans="1:26" ht="15.75">
      <c r="A519" s="699"/>
      <c r="B519" s="50" t="s">
        <v>1135</v>
      </c>
      <c r="C519" s="50"/>
      <c r="D519" s="50"/>
      <c r="E519" s="50"/>
      <c r="F519" s="55">
        <f>+F512-F517</f>
        <v>0</v>
      </c>
      <c r="G519" s="55">
        <f t="shared" ref="G519:Z519" si="249">+G512-G517</f>
        <v>0</v>
      </c>
      <c r="H519" s="55">
        <f t="shared" si="249"/>
        <v>0</v>
      </c>
      <c r="I519" s="55">
        <f t="shared" si="249"/>
        <v>6122670.3168679858</v>
      </c>
      <c r="J519" s="55">
        <f t="shared" si="249"/>
        <v>0</v>
      </c>
      <c r="K519" s="55">
        <f t="shared" si="249"/>
        <v>0</v>
      </c>
      <c r="L519" s="55">
        <f t="shared" si="249"/>
        <v>0</v>
      </c>
      <c r="M519" s="55">
        <f t="shared" si="249"/>
        <v>0</v>
      </c>
      <c r="N519" s="55">
        <f t="shared" si="249"/>
        <v>0</v>
      </c>
      <c r="O519" s="55">
        <f t="shared" si="249"/>
        <v>0</v>
      </c>
      <c r="P519" s="55">
        <f t="shared" si="249"/>
        <v>0</v>
      </c>
      <c r="Q519" s="55">
        <f t="shared" si="249"/>
        <v>0</v>
      </c>
      <c r="R519" s="55">
        <f t="shared" si="249"/>
        <v>0</v>
      </c>
      <c r="S519" s="55">
        <f t="shared" si="249"/>
        <v>0</v>
      </c>
      <c r="T519" s="55">
        <f t="shared" si="249"/>
        <v>0</v>
      </c>
      <c r="U519" s="55">
        <f t="shared" si="249"/>
        <v>0</v>
      </c>
      <c r="V519" s="55">
        <f t="shared" si="249"/>
        <v>0</v>
      </c>
      <c r="W519" s="55">
        <f t="shared" si="249"/>
        <v>0</v>
      </c>
      <c r="X519" s="55">
        <f t="shared" si="249"/>
        <v>0</v>
      </c>
      <c r="Y519" s="55">
        <f t="shared" si="249"/>
        <v>0</v>
      </c>
      <c r="Z519" s="55">
        <f t="shared" si="249"/>
        <v>0</v>
      </c>
    </row>
    <row r="520" spans="1:26" ht="15.75">
      <c r="A520" s="699"/>
      <c r="B520" s="50" t="s">
        <v>1136</v>
      </c>
      <c r="C520" s="50"/>
      <c r="D520" s="50"/>
      <c r="E520" s="50"/>
      <c r="F520" s="56" t="str">
        <f t="shared" ref="F520" si="250">+IFERROR(F519/F512,"")</f>
        <v/>
      </c>
      <c r="G520" s="56" t="str">
        <f t="shared" ref="G520:Z520" si="251">+IFERROR(G519/G512,"")</f>
        <v/>
      </c>
      <c r="H520" s="56" t="str">
        <f t="shared" si="251"/>
        <v/>
      </c>
      <c r="I520" s="56">
        <f t="shared" si="251"/>
        <v>1</v>
      </c>
      <c r="J520" s="56" t="str">
        <f t="shared" si="251"/>
        <v/>
      </c>
      <c r="K520" s="56" t="str">
        <f t="shared" si="251"/>
        <v/>
      </c>
      <c r="L520" s="56" t="str">
        <f t="shared" si="251"/>
        <v/>
      </c>
      <c r="M520" s="56" t="str">
        <f t="shared" si="251"/>
        <v/>
      </c>
      <c r="N520" s="56" t="str">
        <f t="shared" si="251"/>
        <v/>
      </c>
      <c r="O520" s="56" t="str">
        <f t="shared" si="251"/>
        <v/>
      </c>
      <c r="P520" s="56" t="str">
        <f t="shared" si="251"/>
        <v/>
      </c>
      <c r="Q520" s="56" t="str">
        <f t="shared" si="251"/>
        <v/>
      </c>
      <c r="R520" s="56" t="str">
        <f t="shared" si="251"/>
        <v/>
      </c>
      <c r="S520" s="56" t="str">
        <f t="shared" si="251"/>
        <v/>
      </c>
      <c r="T520" s="56" t="str">
        <f t="shared" si="251"/>
        <v/>
      </c>
      <c r="U520" s="56" t="str">
        <f t="shared" si="251"/>
        <v/>
      </c>
      <c r="V520" s="56" t="str">
        <f t="shared" si="251"/>
        <v/>
      </c>
      <c r="W520" s="56" t="str">
        <f t="shared" si="251"/>
        <v/>
      </c>
      <c r="X520" s="56" t="str">
        <f t="shared" si="251"/>
        <v/>
      </c>
      <c r="Y520" s="56" t="str">
        <f t="shared" si="251"/>
        <v/>
      </c>
      <c r="Z520" s="56" t="str">
        <f t="shared" si="251"/>
        <v/>
      </c>
    </row>
    <row r="521" spans="1:26" ht="15.75">
      <c r="A521" s="699"/>
      <c r="B521" s="50" t="s">
        <v>1186</v>
      </c>
      <c r="C521" s="50"/>
      <c r="D521" s="50"/>
      <c r="E521" s="50"/>
      <c r="F521" s="55">
        <f t="shared" ref="F521" si="252">+F519</f>
        <v>0</v>
      </c>
      <c r="G521" s="55">
        <f t="shared" ref="G521:Z521" si="253">+G519</f>
        <v>0</v>
      </c>
      <c r="H521" s="55">
        <f t="shared" si="253"/>
        <v>0</v>
      </c>
      <c r="I521" s="55">
        <f t="shared" si="253"/>
        <v>6122670.3168679858</v>
      </c>
      <c r="J521" s="55">
        <f t="shared" si="253"/>
        <v>0</v>
      </c>
      <c r="K521" s="55">
        <f t="shared" si="253"/>
        <v>0</v>
      </c>
      <c r="L521" s="55">
        <f t="shared" si="253"/>
        <v>0</v>
      </c>
      <c r="M521" s="55">
        <f t="shared" si="253"/>
        <v>0</v>
      </c>
      <c r="N521" s="55">
        <f t="shared" si="253"/>
        <v>0</v>
      </c>
      <c r="O521" s="55">
        <f t="shared" si="253"/>
        <v>0</v>
      </c>
      <c r="P521" s="55">
        <f t="shared" si="253"/>
        <v>0</v>
      </c>
      <c r="Q521" s="55">
        <f t="shared" si="253"/>
        <v>0</v>
      </c>
      <c r="R521" s="55">
        <f t="shared" si="253"/>
        <v>0</v>
      </c>
      <c r="S521" s="55">
        <f t="shared" si="253"/>
        <v>0</v>
      </c>
      <c r="T521" s="55">
        <f t="shared" si="253"/>
        <v>0</v>
      </c>
      <c r="U521" s="55">
        <f t="shared" si="253"/>
        <v>0</v>
      </c>
      <c r="V521" s="55">
        <f t="shared" si="253"/>
        <v>0</v>
      </c>
      <c r="W521" s="55">
        <f t="shared" si="253"/>
        <v>0</v>
      </c>
      <c r="X521" s="55">
        <f t="shared" si="253"/>
        <v>0</v>
      </c>
      <c r="Y521" s="55">
        <f t="shared" si="253"/>
        <v>0</v>
      </c>
      <c r="Z521" s="55">
        <f t="shared" si="253"/>
        <v>0</v>
      </c>
    </row>
    <row r="522" spans="1:26">
      <c r="A522" s="699"/>
      <c r="B522" s="49"/>
      <c r="C522" s="49"/>
      <c r="D522" s="49"/>
      <c r="E522" s="49"/>
      <c r="F522" s="49"/>
      <c r="G522" s="49"/>
      <c r="H522" s="49"/>
      <c r="I522" s="49"/>
      <c r="J522" s="49"/>
      <c r="K522" s="49"/>
      <c r="L522" s="49"/>
      <c r="M522" s="49"/>
      <c r="N522" s="49"/>
      <c r="O522" s="49"/>
      <c r="P522" s="49"/>
      <c r="Q522" s="49"/>
      <c r="R522" s="49"/>
      <c r="S522" s="49"/>
      <c r="T522" s="49"/>
      <c r="U522" s="49"/>
      <c r="V522" s="49"/>
      <c r="W522" s="49"/>
      <c r="X522" s="49"/>
      <c r="Y522" s="49"/>
      <c r="Z522" s="49"/>
    </row>
    <row r="523" spans="1:26" ht="15.75">
      <c r="A523" s="699"/>
      <c r="B523" s="112" t="s">
        <v>1170</v>
      </c>
      <c r="C523" s="49"/>
      <c r="D523" s="49"/>
      <c r="E523" s="49"/>
      <c r="F523" s="148">
        <f>+Assumptions!$H$27</f>
        <v>47118</v>
      </c>
      <c r="G523" s="148">
        <f>+EOMONTH(F523,12)</f>
        <v>47483</v>
      </c>
      <c r="H523" s="148">
        <f t="shared" ref="H523:Z523" si="254">+EOMONTH(G523,12)</f>
        <v>47848</v>
      </c>
      <c r="I523" s="148">
        <f t="shared" si="254"/>
        <v>48213</v>
      </c>
      <c r="J523" s="148">
        <f t="shared" si="254"/>
        <v>48579</v>
      </c>
      <c r="K523" s="148">
        <f t="shared" si="254"/>
        <v>48944</v>
      </c>
      <c r="L523" s="148">
        <f t="shared" si="254"/>
        <v>49309</v>
      </c>
      <c r="M523" s="148">
        <f t="shared" si="254"/>
        <v>49674</v>
      </c>
      <c r="N523" s="148">
        <f t="shared" si="254"/>
        <v>50040</v>
      </c>
      <c r="O523" s="148">
        <f t="shared" si="254"/>
        <v>50405</v>
      </c>
      <c r="P523" s="148">
        <f t="shared" si="254"/>
        <v>50770</v>
      </c>
      <c r="Q523" s="148">
        <f t="shared" si="254"/>
        <v>51135</v>
      </c>
      <c r="R523" s="148">
        <f t="shared" si="254"/>
        <v>51501</v>
      </c>
      <c r="S523" s="148">
        <f t="shared" si="254"/>
        <v>51866</v>
      </c>
      <c r="T523" s="148">
        <f t="shared" si="254"/>
        <v>52231</v>
      </c>
      <c r="U523" s="148">
        <f t="shared" si="254"/>
        <v>52596</v>
      </c>
      <c r="V523" s="148">
        <f t="shared" si="254"/>
        <v>52962</v>
      </c>
      <c r="W523" s="148">
        <f t="shared" si="254"/>
        <v>53327</v>
      </c>
      <c r="X523" s="148">
        <f t="shared" si="254"/>
        <v>53692</v>
      </c>
      <c r="Y523" s="148">
        <f t="shared" si="254"/>
        <v>54057</v>
      </c>
      <c r="Z523" s="148">
        <f t="shared" si="254"/>
        <v>54423</v>
      </c>
    </row>
    <row r="524" spans="1:26">
      <c r="A524" s="699"/>
      <c r="B524" s="699" t="s">
        <v>1147</v>
      </c>
      <c r="C524" s="49"/>
      <c r="D524" s="49"/>
      <c r="E524" s="49"/>
      <c r="F524" s="1028">
        <v>0</v>
      </c>
      <c r="G524" s="83">
        <f>+F527</f>
        <v>0</v>
      </c>
      <c r="H524" s="83">
        <f t="shared" ref="H524:Z524" si="255">+G527</f>
        <v>0</v>
      </c>
      <c r="I524" s="83">
        <f t="shared" si="255"/>
        <v>0</v>
      </c>
      <c r="J524" s="83">
        <f t="shared" si="255"/>
        <v>0</v>
      </c>
      <c r="K524" s="83">
        <f t="shared" si="255"/>
        <v>0</v>
      </c>
      <c r="L524" s="83">
        <f t="shared" si="255"/>
        <v>0</v>
      </c>
      <c r="M524" s="83">
        <f t="shared" si="255"/>
        <v>0</v>
      </c>
      <c r="N524" s="83">
        <f t="shared" si="255"/>
        <v>0</v>
      </c>
      <c r="O524" s="83">
        <f t="shared" si="255"/>
        <v>0</v>
      </c>
      <c r="P524" s="83">
        <f t="shared" si="255"/>
        <v>0</v>
      </c>
      <c r="Q524" s="83">
        <f t="shared" si="255"/>
        <v>0</v>
      </c>
      <c r="R524" s="83">
        <f t="shared" si="255"/>
        <v>0</v>
      </c>
      <c r="S524" s="83">
        <f t="shared" si="255"/>
        <v>0</v>
      </c>
      <c r="T524" s="83">
        <f t="shared" si="255"/>
        <v>0</v>
      </c>
      <c r="U524" s="83">
        <f t="shared" si="255"/>
        <v>0</v>
      </c>
      <c r="V524" s="83">
        <f t="shared" si="255"/>
        <v>0</v>
      </c>
      <c r="W524" s="83">
        <f t="shared" si="255"/>
        <v>0</v>
      </c>
      <c r="X524" s="83">
        <f t="shared" si="255"/>
        <v>0</v>
      </c>
      <c r="Y524" s="83">
        <f t="shared" si="255"/>
        <v>0</v>
      </c>
      <c r="Z524" s="83">
        <f t="shared" si="255"/>
        <v>0</v>
      </c>
    </row>
    <row r="525" spans="1:26">
      <c r="A525" s="699"/>
      <c r="B525" s="699" t="s">
        <v>1148</v>
      </c>
      <c r="C525" s="49"/>
      <c r="D525" s="49"/>
      <c r="E525" s="49"/>
      <c r="F525" s="90">
        <f>+IF(YEAR(F$335)=YEAR(Assumptions!$H$31),'S&amp;U'!$R$19,0)</f>
        <v>0</v>
      </c>
      <c r="G525" s="90">
        <f>+IF(YEAR(G$335)=YEAR(Assumptions!$H$31),'S&amp;U'!$R$19,0)</f>
        <v>0</v>
      </c>
      <c r="H525" s="90">
        <f>+IF(YEAR(H$335)=YEAR(Assumptions!$H$31),'S&amp;U'!$R$19,0)</f>
        <v>0</v>
      </c>
      <c r="I525" s="90">
        <f>+IF(YEAR(I$335)=YEAR(Assumptions!$H$31),'S&amp;U'!$R$19,0)</f>
        <v>0</v>
      </c>
      <c r="J525" s="90">
        <f>+IF(YEAR(J$335)=YEAR(Assumptions!$H$31),'S&amp;U'!$R$19,0)</f>
        <v>0</v>
      </c>
      <c r="K525" s="90">
        <f>+IF(YEAR(K$335)=YEAR(Assumptions!$H$31),'S&amp;U'!$R$19,0)</f>
        <v>0</v>
      </c>
      <c r="L525" s="90">
        <f>+IF(YEAR(L$335)=YEAR(Assumptions!$H$31),'S&amp;U'!$R$19,0)</f>
        <v>0</v>
      </c>
      <c r="M525" s="90">
        <f>+IF(YEAR(M$335)=YEAR(Assumptions!$H$31),'S&amp;U'!$R$19,0)</f>
        <v>0</v>
      </c>
      <c r="N525" s="90">
        <f>+IF(YEAR(N$335)=YEAR(Assumptions!$H$31),'S&amp;U'!$R$19,0)</f>
        <v>0</v>
      </c>
      <c r="O525" s="90">
        <f>+IF(YEAR(O$335)=YEAR(Assumptions!$H$31),'S&amp;U'!$R$19,0)</f>
        <v>0</v>
      </c>
      <c r="P525" s="90">
        <f>+IF(YEAR(P$335)=YEAR(Assumptions!$H$31),'S&amp;U'!$R$19,0)</f>
        <v>0</v>
      </c>
      <c r="Q525" s="90">
        <f>+IF(YEAR(Q$335)=YEAR(Assumptions!$H$31),'S&amp;U'!$R$19,0)</f>
        <v>0</v>
      </c>
      <c r="R525" s="90">
        <f>+IF(YEAR(R$335)=YEAR(Assumptions!$H$31),'S&amp;U'!$R$19,0)</f>
        <v>0</v>
      </c>
      <c r="S525" s="90">
        <f>+IF(YEAR(S$335)=YEAR(Assumptions!$H$31),'S&amp;U'!$R$19,0)</f>
        <v>0</v>
      </c>
      <c r="T525" s="90">
        <f>+IF(YEAR(T$335)=YEAR(Assumptions!$H$31),'S&amp;U'!$R$19,0)</f>
        <v>0</v>
      </c>
      <c r="U525" s="90">
        <f>+IF(YEAR(U$335)=YEAR(Assumptions!$H$31),'S&amp;U'!$R$19,0)</f>
        <v>0</v>
      </c>
      <c r="V525" s="90">
        <f>+IF(YEAR(V$335)=YEAR(Assumptions!$H$31),'S&amp;U'!$R$19,0)</f>
        <v>0</v>
      </c>
      <c r="W525" s="90">
        <f>+IF(YEAR(W$335)=YEAR(Assumptions!$H$31),'S&amp;U'!$R$19,0)</f>
        <v>0</v>
      </c>
      <c r="X525" s="90">
        <f>+IF(YEAR(X$335)=YEAR(Assumptions!$H$31),'S&amp;U'!$R$19,0)</f>
        <v>0</v>
      </c>
      <c r="Y525" s="90">
        <f>+IF(YEAR(Y$335)=YEAR(Assumptions!$H$31),'S&amp;U'!$R$19,0)</f>
        <v>0</v>
      </c>
      <c r="Z525" s="90">
        <f>+IF(YEAR(Z$335)=YEAR(Assumptions!$H$31),'S&amp;U'!$R$19,0)</f>
        <v>0</v>
      </c>
    </row>
    <row r="526" spans="1:26">
      <c r="A526" s="699"/>
      <c r="B526" s="699" t="s">
        <v>682</v>
      </c>
      <c r="C526" s="49"/>
      <c r="D526" s="49"/>
      <c r="E526" s="49"/>
      <c r="F526" s="90">
        <v>0</v>
      </c>
      <c r="G526" s="90">
        <v>0</v>
      </c>
      <c r="H526" s="90">
        <v>0</v>
      </c>
      <c r="I526" s="90">
        <v>0</v>
      </c>
      <c r="J526" s="90">
        <v>0</v>
      </c>
      <c r="K526" s="90">
        <v>0</v>
      </c>
      <c r="L526" s="90">
        <v>0</v>
      </c>
      <c r="M526" s="90">
        <v>0</v>
      </c>
      <c r="N526" s="90">
        <v>0</v>
      </c>
      <c r="O526" s="90">
        <v>0</v>
      </c>
      <c r="P526" s="90">
        <v>0</v>
      </c>
      <c r="Q526" s="90">
        <v>0</v>
      </c>
      <c r="R526" s="90">
        <v>0</v>
      </c>
      <c r="S526" s="90">
        <v>0</v>
      </c>
      <c r="T526" s="90">
        <v>0</v>
      </c>
      <c r="U526" s="90">
        <v>0</v>
      </c>
      <c r="V526" s="90">
        <v>0</v>
      </c>
      <c r="W526" s="90">
        <v>0</v>
      </c>
      <c r="X526" s="90">
        <v>0</v>
      </c>
      <c r="Y526" s="90">
        <v>0</v>
      </c>
      <c r="Z526" s="90">
        <v>0</v>
      </c>
    </row>
    <row r="527" spans="1:26">
      <c r="A527" s="699"/>
      <c r="B527" s="699" t="s">
        <v>1149</v>
      </c>
      <c r="C527" s="49"/>
      <c r="D527" s="49"/>
      <c r="E527" s="49"/>
      <c r="F527" s="90">
        <f>+SUM(F524:F526)</f>
        <v>0</v>
      </c>
      <c r="G527" s="90">
        <f t="shared" ref="G527:Z527" si="256">+SUM(G524:G526)</f>
        <v>0</v>
      </c>
      <c r="H527" s="90">
        <f t="shared" si="256"/>
        <v>0</v>
      </c>
      <c r="I527" s="90">
        <f t="shared" si="256"/>
        <v>0</v>
      </c>
      <c r="J527" s="90">
        <f t="shared" si="256"/>
        <v>0</v>
      </c>
      <c r="K527" s="90">
        <f t="shared" si="256"/>
        <v>0</v>
      </c>
      <c r="L527" s="90">
        <f t="shared" si="256"/>
        <v>0</v>
      </c>
      <c r="M527" s="90">
        <f t="shared" si="256"/>
        <v>0</v>
      </c>
      <c r="N527" s="90">
        <f t="shared" si="256"/>
        <v>0</v>
      </c>
      <c r="O527" s="90">
        <f t="shared" si="256"/>
        <v>0</v>
      </c>
      <c r="P527" s="90">
        <f t="shared" si="256"/>
        <v>0</v>
      </c>
      <c r="Q527" s="90">
        <f t="shared" si="256"/>
        <v>0</v>
      </c>
      <c r="R527" s="90">
        <f t="shared" si="256"/>
        <v>0</v>
      </c>
      <c r="S527" s="90">
        <f t="shared" si="256"/>
        <v>0</v>
      </c>
      <c r="T527" s="90">
        <f t="shared" si="256"/>
        <v>0</v>
      </c>
      <c r="U527" s="90">
        <f t="shared" si="256"/>
        <v>0</v>
      </c>
      <c r="V527" s="90">
        <f t="shared" si="256"/>
        <v>0</v>
      </c>
      <c r="W527" s="90">
        <f t="shared" si="256"/>
        <v>0</v>
      </c>
      <c r="X527" s="90">
        <f t="shared" si="256"/>
        <v>0</v>
      </c>
      <c r="Y527" s="90">
        <f t="shared" si="256"/>
        <v>0</v>
      </c>
      <c r="Z527" s="90">
        <f t="shared" si="256"/>
        <v>0</v>
      </c>
    </row>
    <row r="528" spans="1:26">
      <c r="A528" s="699"/>
      <c r="B528" s="49"/>
      <c r="C528" s="49"/>
      <c r="D528" s="49"/>
      <c r="E528" s="49"/>
      <c r="F528" s="699"/>
      <c r="G528" s="49"/>
      <c r="H528" s="49"/>
      <c r="I528" s="49"/>
      <c r="J528" s="49"/>
      <c r="K528" s="49"/>
      <c r="L528" s="49"/>
      <c r="M528" s="49"/>
      <c r="N528" s="49"/>
      <c r="O528" s="49"/>
      <c r="P528" s="49"/>
      <c r="Q528" s="49"/>
      <c r="R528" s="49"/>
      <c r="S528" s="49"/>
      <c r="T528" s="49"/>
      <c r="U528" s="49"/>
      <c r="V528" s="49"/>
      <c r="W528" s="49"/>
      <c r="X528" s="49"/>
      <c r="Y528" s="49"/>
      <c r="Z528" s="49"/>
    </row>
    <row r="529" spans="2:26">
      <c r="B529" s="49" t="s">
        <v>1150</v>
      </c>
      <c r="C529" s="49"/>
      <c r="D529" s="49"/>
      <c r="E529" s="49"/>
      <c r="F529" s="1028">
        <f>+F527*Assumptions!$P$157</f>
        <v>0</v>
      </c>
      <c r="G529" s="1028">
        <f>+G527*Assumptions!$P$157</f>
        <v>0</v>
      </c>
      <c r="H529" s="1028">
        <f>+H527*Assumptions!$P$157</f>
        <v>0</v>
      </c>
      <c r="I529" s="1028">
        <f>+I527*Assumptions!$P$157</f>
        <v>0</v>
      </c>
      <c r="J529" s="1028">
        <f>+J527*Assumptions!$P$157</f>
        <v>0</v>
      </c>
      <c r="K529" s="1028">
        <f>+K527*Assumptions!$P$157</f>
        <v>0</v>
      </c>
      <c r="L529" s="1028">
        <f>+L527*Assumptions!$P$157</f>
        <v>0</v>
      </c>
      <c r="M529" s="1028">
        <f>+M527*Assumptions!$P$157</f>
        <v>0</v>
      </c>
      <c r="N529" s="1028">
        <f>+N527*Assumptions!$P$157</f>
        <v>0</v>
      </c>
      <c r="O529" s="1028">
        <f>+O527*Assumptions!$P$157</f>
        <v>0</v>
      </c>
      <c r="P529" s="1028">
        <f>+P527*Assumptions!$P$157</f>
        <v>0</v>
      </c>
      <c r="Q529" s="1028">
        <f>+Q527*Assumptions!$P$157</f>
        <v>0</v>
      </c>
      <c r="R529" s="1028">
        <f>+R527*Assumptions!$P$157</f>
        <v>0</v>
      </c>
      <c r="S529" s="1028">
        <f>+S527*Assumptions!$P$157</f>
        <v>0</v>
      </c>
      <c r="T529" s="1028">
        <f>+T527*Assumptions!$P$157</f>
        <v>0</v>
      </c>
      <c r="U529" s="1028">
        <f>+U527*Assumptions!$P$157</f>
        <v>0</v>
      </c>
      <c r="V529" s="1028">
        <f>+V527*Assumptions!$P$157</f>
        <v>0</v>
      </c>
      <c r="W529" s="1028">
        <f>+W527*Assumptions!$P$157</f>
        <v>0</v>
      </c>
      <c r="X529" s="1028">
        <f>+X527*Assumptions!$P$157</f>
        <v>0</v>
      </c>
      <c r="Y529" s="1028">
        <f>+Y527*Assumptions!$P$157</f>
        <v>0</v>
      </c>
      <c r="Z529" s="1028">
        <f>+Z527*Assumptions!$P$157</f>
        <v>0</v>
      </c>
    </row>
    <row r="530" spans="2:26" ht="16.5">
      <c r="B530" s="61" t="s">
        <v>1151</v>
      </c>
      <c r="C530" s="61"/>
      <c r="D530" s="61"/>
      <c r="E530" s="61"/>
      <c r="F530" s="145">
        <f>+F529-F526</f>
        <v>0</v>
      </c>
      <c r="G530" s="145">
        <f t="shared" ref="G530:Z530" si="257">+G529-G526</f>
        <v>0</v>
      </c>
      <c r="H530" s="145">
        <f t="shared" si="257"/>
        <v>0</v>
      </c>
      <c r="I530" s="145">
        <f t="shared" si="257"/>
        <v>0</v>
      </c>
      <c r="J530" s="145">
        <f t="shared" si="257"/>
        <v>0</v>
      </c>
      <c r="K530" s="145">
        <f t="shared" si="257"/>
        <v>0</v>
      </c>
      <c r="L530" s="145">
        <f t="shared" si="257"/>
        <v>0</v>
      </c>
      <c r="M530" s="145">
        <f t="shared" si="257"/>
        <v>0</v>
      </c>
      <c r="N530" s="145">
        <f t="shared" si="257"/>
        <v>0</v>
      </c>
      <c r="O530" s="145">
        <f t="shared" si="257"/>
        <v>0</v>
      </c>
      <c r="P530" s="145">
        <f t="shared" si="257"/>
        <v>0</v>
      </c>
      <c r="Q530" s="145">
        <f t="shared" si="257"/>
        <v>0</v>
      </c>
      <c r="R530" s="145">
        <f t="shared" si="257"/>
        <v>0</v>
      </c>
      <c r="S530" s="145">
        <f t="shared" si="257"/>
        <v>0</v>
      </c>
      <c r="T530" s="145">
        <f t="shared" si="257"/>
        <v>0</v>
      </c>
      <c r="U530" s="145">
        <f t="shared" si="257"/>
        <v>0</v>
      </c>
      <c r="V530" s="145">
        <f t="shared" si="257"/>
        <v>0</v>
      </c>
      <c r="W530" s="145">
        <f t="shared" si="257"/>
        <v>0</v>
      </c>
      <c r="X530" s="145">
        <f t="shared" si="257"/>
        <v>0</v>
      </c>
      <c r="Y530" s="145">
        <f t="shared" si="257"/>
        <v>0</v>
      </c>
      <c r="Z530" s="145">
        <f t="shared" si="257"/>
        <v>0</v>
      </c>
    </row>
    <row r="531" spans="2:26">
      <c r="B531" s="117" t="s">
        <v>670</v>
      </c>
      <c r="C531" s="49"/>
      <c r="D531" s="49"/>
      <c r="E531" s="49"/>
      <c r="F531" s="146" t="str">
        <f>+IFERROR(F519/F530,"")</f>
        <v/>
      </c>
      <c r="G531" s="146" t="str">
        <f t="shared" ref="G531:Z531" si="258">+IFERROR(G519/G530,"")</f>
        <v/>
      </c>
      <c r="H531" s="146" t="str">
        <f t="shared" si="258"/>
        <v/>
      </c>
      <c r="I531" s="146" t="str">
        <f t="shared" si="258"/>
        <v/>
      </c>
      <c r="J531" s="146" t="str">
        <f t="shared" si="258"/>
        <v/>
      </c>
      <c r="K531" s="146" t="str">
        <f t="shared" si="258"/>
        <v/>
      </c>
      <c r="L531" s="146" t="str">
        <f t="shared" si="258"/>
        <v/>
      </c>
      <c r="M531" s="146" t="str">
        <f t="shared" si="258"/>
        <v/>
      </c>
      <c r="N531" s="146" t="str">
        <f t="shared" si="258"/>
        <v/>
      </c>
      <c r="O531" s="146" t="str">
        <f t="shared" si="258"/>
        <v/>
      </c>
      <c r="P531" s="146" t="str">
        <f t="shared" si="258"/>
        <v/>
      </c>
      <c r="Q531" s="146" t="str">
        <f t="shared" si="258"/>
        <v/>
      </c>
      <c r="R531" s="146" t="str">
        <f t="shared" si="258"/>
        <v/>
      </c>
      <c r="S531" s="146" t="str">
        <f t="shared" si="258"/>
        <v/>
      </c>
      <c r="T531" s="146" t="str">
        <f t="shared" si="258"/>
        <v/>
      </c>
      <c r="U531" s="146" t="str">
        <f t="shared" si="258"/>
        <v/>
      </c>
      <c r="V531" s="146" t="str">
        <f t="shared" si="258"/>
        <v/>
      </c>
      <c r="W531" s="146" t="str">
        <f t="shared" si="258"/>
        <v/>
      </c>
      <c r="X531" s="146" t="str">
        <f t="shared" si="258"/>
        <v/>
      </c>
      <c r="Y531" s="146" t="str">
        <f t="shared" si="258"/>
        <v/>
      </c>
      <c r="Z531" s="146" t="str">
        <f t="shared" si="258"/>
        <v/>
      </c>
    </row>
    <row r="532" spans="2:26">
      <c r="B532" s="49"/>
      <c r="C532" s="49"/>
      <c r="D532" s="49"/>
      <c r="E532" s="49"/>
      <c r="F532" s="699"/>
      <c r="G532" s="699"/>
      <c r="H532" s="699"/>
      <c r="I532" s="699"/>
      <c r="J532" s="699"/>
      <c r="K532" s="699"/>
      <c r="L532" s="699"/>
      <c r="M532" s="699"/>
      <c r="N532" s="699"/>
      <c r="O532" s="699"/>
      <c r="P532" s="699"/>
      <c r="Q532" s="699"/>
      <c r="R532" s="699"/>
      <c r="S532" s="699"/>
      <c r="T532" s="699"/>
      <c r="U532" s="699"/>
      <c r="V532" s="699"/>
      <c r="W532" s="699"/>
      <c r="X532" s="699"/>
      <c r="Y532" s="699"/>
      <c r="Z532" s="699"/>
    </row>
    <row r="533" spans="2:26">
      <c r="B533" s="49" t="s">
        <v>1152</v>
      </c>
      <c r="C533" s="49"/>
      <c r="D533" s="49"/>
      <c r="E533" s="49"/>
      <c r="F533" s="1087">
        <f>+F525*Assumptions!$P$139</f>
        <v>0</v>
      </c>
      <c r="G533" s="1087">
        <f>+G525*Assumptions!$P$158</f>
        <v>0</v>
      </c>
      <c r="H533" s="1087">
        <f>+H525*Assumptions!$P$158</f>
        <v>0</v>
      </c>
      <c r="I533" s="1087">
        <f>+I525*Assumptions!$P$158</f>
        <v>0</v>
      </c>
      <c r="J533" s="1087">
        <f>+J525*Assumptions!$P$158</f>
        <v>0</v>
      </c>
      <c r="K533" s="1087">
        <f>+K525*Assumptions!$P$158</f>
        <v>0</v>
      </c>
      <c r="L533" s="1087">
        <f>+L525*Assumptions!$P$158</f>
        <v>0</v>
      </c>
      <c r="M533" s="1087">
        <f>+M525*Assumptions!$P$158</f>
        <v>0</v>
      </c>
      <c r="N533" s="1087">
        <f>+N525*Assumptions!$P$158</f>
        <v>0</v>
      </c>
      <c r="O533" s="1087">
        <f>+O525*Assumptions!$P$158</f>
        <v>0</v>
      </c>
      <c r="P533" s="1087">
        <f>+P525*Assumptions!$P$158</f>
        <v>0</v>
      </c>
      <c r="Q533" s="1087">
        <f>+Q525*Assumptions!$P$158</f>
        <v>0</v>
      </c>
      <c r="R533" s="1087">
        <f>+R525*Assumptions!$P$158</f>
        <v>0</v>
      </c>
      <c r="S533" s="1087">
        <f>+S525*Assumptions!$P$158</f>
        <v>0</v>
      </c>
      <c r="T533" s="1087">
        <f>+T525*Assumptions!$P$158</f>
        <v>0</v>
      </c>
      <c r="U533" s="1087">
        <f>+U525*Assumptions!$P$158</f>
        <v>0</v>
      </c>
      <c r="V533" s="1087">
        <f>+V525*Assumptions!$P$158</f>
        <v>0</v>
      </c>
      <c r="W533" s="1087">
        <f>+W525*Assumptions!$P$158</f>
        <v>0</v>
      </c>
      <c r="X533" s="1087">
        <f>+X525*Assumptions!$P$158</f>
        <v>0</v>
      </c>
      <c r="Y533" s="1087">
        <f>+Y525*Assumptions!$P$158</f>
        <v>0</v>
      </c>
      <c r="Z533" s="1087">
        <f>+Z525*Assumptions!$P$158</f>
        <v>0</v>
      </c>
    </row>
    <row r="534" spans="2:26">
      <c r="B534" s="49"/>
      <c r="C534" s="49"/>
      <c r="D534" s="49"/>
      <c r="E534" s="49"/>
      <c r="F534" s="699"/>
      <c r="G534" s="699"/>
      <c r="H534" s="699"/>
      <c r="I534" s="699"/>
      <c r="J534" s="699"/>
      <c r="K534" s="699"/>
      <c r="L534" s="699"/>
      <c r="M534" s="699"/>
      <c r="N534" s="699"/>
      <c r="O534" s="699"/>
      <c r="P534" s="699"/>
      <c r="Q534" s="699"/>
      <c r="R534" s="699"/>
      <c r="S534" s="699"/>
      <c r="T534" s="699"/>
      <c r="U534" s="699"/>
      <c r="V534" s="699"/>
      <c r="W534" s="699"/>
      <c r="X534" s="699"/>
      <c r="Y534" s="699"/>
      <c r="Z534" s="699"/>
    </row>
    <row r="535" spans="2:26" ht="16.5">
      <c r="B535" s="61" t="s">
        <v>1153</v>
      </c>
      <c r="C535" s="61"/>
      <c r="D535" s="61"/>
      <c r="E535" s="61"/>
      <c r="F535" s="144">
        <v>0</v>
      </c>
      <c r="G535" s="144">
        <v>0</v>
      </c>
      <c r="H535" s="144">
        <v>0</v>
      </c>
      <c r="I535" s="144">
        <v>0</v>
      </c>
      <c r="J535" s="144">
        <v>0</v>
      </c>
      <c r="K535" s="144">
        <v>0</v>
      </c>
      <c r="L535" s="144">
        <v>0</v>
      </c>
      <c r="M535" s="144">
        <v>0</v>
      </c>
      <c r="N535" s="144">
        <v>0</v>
      </c>
      <c r="O535" s="144">
        <v>0</v>
      </c>
      <c r="P535" s="144">
        <v>0</v>
      </c>
      <c r="Q535" s="144">
        <v>0</v>
      </c>
      <c r="R535" s="144">
        <v>0</v>
      </c>
      <c r="S535" s="144">
        <v>0</v>
      </c>
      <c r="T535" s="144">
        <v>0</v>
      </c>
      <c r="U535" s="144">
        <v>0</v>
      </c>
      <c r="V535" s="144">
        <v>0</v>
      </c>
      <c r="W535" s="144">
        <v>0</v>
      </c>
      <c r="X535" s="144">
        <v>0</v>
      </c>
      <c r="Y535" s="144">
        <v>0</v>
      </c>
      <c r="Z535" s="144">
        <v>0</v>
      </c>
    </row>
    <row r="536" spans="2:26">
      <c r="B536" s="49"/>
      <c r="C536" s="49"/>
      <c r="D536" s="49"/>
      <c r="E536" s="49"/>
      <c r="F536" s="699"/>
      <c r="G536" s="699"/>
      <c r="H536" s="699"/>
      <c r="I536" s="699"/>
      <c r="J536" s="699"/>
      <c r="K536" s="699"/>
      <c r="L536" s="699"/>
      <c r="M536" s="699"/>
      <c r="N536" s="699"/>
      <c r="O536" s="699"/>
      <c r="P536" s="699"/>
      <c r="Q536" s="699"/>
      <c r="R536" s="699"/>
      <c r="S536" s="699"/>
      <c r="T536" s="699"/>
      <c r="U536" s="699"/>
      <c r="V536" s="699"/>
      <c r="W536" s="699"/>
      <c r="X536" s="699"/>
      <c r="Y536" s="699"/>
      <c r="Z536" s="699"/>
    </row>
    <row r="537" spans="2:26" ht="15.75">
      <c r="B537" s="112" t="s">
        <v>1178</v>
      </c>
      <c r="C537" s="49"/>
      <c r="D537" s="49"/>
      <c r="E537" s="49"/>
      <c r="F537" s="699"/>
      <c r="G537" s="699"/>
      <c r="H537" s="699"/>
      <c r="I537" s="699"/>
      <c r="J537" s="699"/>
      <c r="K537" s="699"/>
      <c r="L537" s="699"/>
      <c r="M537" s="699"/>
      <c r="N537" s="699"/>
      <c r="O537" s="699"/>
      <c r="P537" s="699"/>
      <c r="Q537" s="699"/>
      <c r="R537" s="699"/>
      <c r="S537" s="699"/>
      <c r="T537" s="699"/>
      <c r="U537" s="699"/>
      <c r="V537" s="699"/>
      <c r="W537" s="699"/>
      <c r="X537" s="699"/>
      <c r="Y537" s="699"/>
      <c r="Z537" s="699"/>
    </row>
    <row r="538" spans="2:26">
      <c r="B538" s="699" t="s">
        <v>1156</v>
      </c>
      <c r="C538" s="49"/>
      <c r="D538" s="49"/>
      <c r="E538" s="49"/>
      <c r="F538" s="83">
        <f>+F521+F497</f>
        <v>0</v>
      </c>
      <c r="G538" s="83">
        <f t="shared" ref="G538:Z538" si="259">+G521+G497</f>
        <v>0</v>
      </c>
      <c r="H538" s="83">
        <f t="shared" si="259"/>
        <v>0</v>
      </c>
      <c r="I538" s="83">
        <f t="shared" si="259"/>
        <v>8222934.1716129649</v>
      </c>
      <c r="J538" s="83">
        <f t="shared" si="259"/>
        <v>4368502.9865786787</v>
      </c>
      <c r="K538" s="83">
        <f t="shared" si="259"/>
        <v>6814795.9121264191</v>
      </c>
      <c r="L538" s="83">
        <f t="shared" si="259"/>
        <v>0</v>
      </c>
      <c r="M538" s="83">
        <f t="shared" si="259"/>
        <v>0</v>
      </c>
      <c r="N538" s="83">
        <f t="shared" si="259"/>
        <v>0</v>
      </c>
      <c r="O538" s="83">
        <f t="shared" si="259"/>
        <v>0</v>
      </c>
      <c r="P538" s="83">
        <f t="shared" si="259"/>
        <v>0</v>
      </c>
      <c r="Q538" s="83">
        <f t="shared" si="259"/>
        <v>0</v>
      </c>
      <c r="R538" s="83">
        <f t="shared" si="259"/>
        <v>0</v>
      </c>
      <c r="S538" s="83">
        <f t="shared" si="259"/>
        <v>0</v>
      </c>
      <c r="T538" s="83">
        <f t="shared" si="259"/>
        <v>0</v>
      </c>
      <c r="U538" s="83">
        <f t="shared" si="259"/>
        <v>0</v>
      </c>
      <c r="V538" s="83">
        <f t="shared" si="259"/>
        <v>0</v>
      </c>
      <c r="W538" s="83">
        <f t="shared" si="259"/>
        <v>0</v>
      </c>
      <c r="X538" s="83">
        <f t="shared" si="259"/>
        <v>0</v>
      </c>
      <c r="Y538" s="83">
        <f t="shared" si="259"/>
        <v>0</v>
      </c>
      <c r="Z538" s="83">
        <f t="shared" si="259"/>
        <v>0</v>
      </c>
    </row>
    <row r="539" spans="2:26">
      <c r="B539" s="699" t="s">
        <v>1158</v>
      </c>
      <c r="C539" s="49"/>
      <c r="D539" s="49"/>
      <c r="E539" s="49"/>
      <c r="F539" s="90">
        <f>-F538*Assumptions!$H$42</f>
        <v>0</v>
      </c>
      <c r="G539" s="90">
        <f>-G538*Assumptions!$H$42</f>
        <v>0</v>
      </c>
      <c r="H539" s="90">
        <f>-H538*Assumptions!$H$42</f>
        <v>0</v>
      </c>
      <c r="I539" s="90">
        <f>-I538*Assumptions!$H$42</f>
        <v>-82229.341716129653</v>
      </c>
      <c r="J539" s="90">
        <f>-J538*Assumptions!$H$42</f>
        <v>-43685.02986578679</v>
      </c>
      <c r="K539" s="90">
        <f>-K538*Assumptions!$H$42</f>
        <v>-68147.959121264197</v>
      </c>
      <c r="L539" s="90">
        <f>-L538*Assumptions!$H$42</f>
        <v>0</v>
      </c>
      <c r="M539" s="90">
        <f>-M538*Assumptions!$H$42</f>
        <v>0</v>
      </c>
      <c r="N539" s="90">
        <f>-N538*Assumptions!$H$42</f>
        <v>0</v>
      </c>
      <c r="O539" s="90">
        <f>-O538*Assumptions!$H$42</f>
        <v>0</v>
      </c>
      <c r="P539" s="90">
        <f>-P538*Assumptions!$H$42</f>
        <v>0</v>
      </c>
      <c r="Q539" s="90">
        <f>-Q538*Assumptions!$H$42</f>
        <v>0</v>
      </c>
      <c r="R539" s="90">
        <f>-R538*Assumptions!$H$42</f>
        <v>0</v>
      </c>
      <c r="S539" s="90">
        <f>-S538*Assumptions!$H$42</f>
        <v>0</v>
      </c>
      <c r="T539" s="90">
        <f>-T538*Assumptions!$H$42</f>
        <v>0</v>
      </c>
      <c r="U539" s="90">
        <f>-U538*Assumptions!$H$42</f>
        <v>0</v>
      </c>
      <c r="V539" s="90">
        <f>-V538*Assumptions!$H$42</f>
        <v>0</v>
      </c>
      <c r="W539" s="90">
        <f>-W538*Assumptions!$H$42</f>
        <v>0</v>
      </c>
      <c r="X539" s="90">
        <f>-X538*Assumptions!$H$42</f>
        <v>0</v>
      </c>
      <c r="Y539" s="90">
        <f>-Y538*Assumptions!$H$42</f>
        <v>0</v>
      </c>
      <c r="Z539" s="90">
        <f>-Z538*Assumptions!$H$42</f>
        <v>0</v>
      </c>
    </row>
    <row r="540" spans="2:26">
      <c r="B540" s="699" t="s">
        <v>1159</v>
      </c>
      <c r="C540" s="49"/>
      <c r="D540" s="49"/>
      <c r="E540" s="49"/>
      <c r="F540" s="90">
        <f>+IF(YEAR(F$335)=YEAR(Assumptions!$H$35),-'Phase 3 Pro Forma'!F527,0)</f>
        <v>0</v>
      </c>
      <c r="G540" s="90">
        <f>+IF(YEAR(G$335)=YEAR(Assumptions!$H$35),-'Phase 3 Pro Forma'!G527,0)</f>
        <v>0</v>
      </c>
      <c r="H540" s="90">
        <f>+IF(YEAR(H$335)=YEAR(Assumptions!$H$35),-'Phase 3 Pro Forma'!H527,0)</f>
        <v>0</v>
      </c>
      <c r="I540" s="90">
        <f>+IF(YEAR(I$335)=YEAR(Assumptions!$H$35),-'Phase 3 Pro Forma'!I527,0)</f>
        <v>0</v>
      </c>
      <c r="J540" s="90">
        <f>+IF(YEAR(J$335)=YEAR(Assumptions!$H$35),-'Phase 3 Pro Forma'!J527,0)</f>
        <v>0</v>
      </c>
      <c r="K540" s="90">
        <f>+IF(YEAR(K$335)=YEAR(Assumptions!$H$35),-'Phase 3 Pro Forma'!K527,0)</f>
        <v>0</v>
      </c>
      <c r="L540" s="90">
        <f>+IF(YEAR(L$335)=YEAR(Assumptions!$H$35),-'Phase 3 Pro Forma'!L527,0)</f>
        <v>0</v>
      </c>
      <c r="M540" s="90">
        <f>+IF(YEAR(M$335)=YEAR(Assumptions!$H$35),-'Phase 3 Pro Forma'!M527,0)</f>
        <v>0</v>
      </c>
      <c r="N540" s="90">
        <f>+IF(YEAR(N$335)=YEAR(Assumptions!$H$35),-'Phase 3 Pro Forma'!N527,0)</f>
        <v>0</v>
      </c>
      <c r="O540" s="90">
        <f>+IF(YEAR(O$335)=YEAR(Assumptions!$H$35),-'Phase 3 Pro Forma'!O527,0)</f>
        <v>0</v>
      </c>
      <c r="P540" s="90">
        <f>+IF(YEAR(P$335)=YEAR(Assumptions!$H$35),-'Phase 3 Pro Forma'!P527,0)</f>
        <v>0</v>
      </c>
      <c r="Q540" s="90">
        <f>+IF(YEAR(Q$335)=YEAR(Assumptions!$H$35),-'Phase 3 Pro Forma'!Q527,0)</f>
        <v>0</v>
      </c>
      <c r="R540" s="90">
        <f>+IF(YEAR(R$335)=YEAR(Assumptions!$H$35),-'Phase 3 Pro Forma'!R527,0)</f>
        <v>0</v>
      </c>
      <c r="S540" s="90">
        <f>+IF(YEAR(S$335)=YEAR(Assumptions!$H$35),-'Phase 3 Pro Forma'!S527,0)</f>
        <v>0</v>
      </c>
      <c r="T540" s="90">
        <f>+IF(YEAR(T$335)=YEAR(Assumptions!$H$35),-'Phase 3 Pro Forma'!T527,0)</f>
        <v>0</v>
      </c>
      <c r="U540" s="90">
        <f>+IF(YEAR(U$335)=YEAR(Assumptions!$H$35),-'Phase 3 Pro Forma'!U527,0)</f>
        <v>0</v>
      </c>
      <c r="V540" s="90">
        <f>+IF(YEAR(V$335)=YEAR(Assumptions!$H$35),-'Phase 3 Pro Forma'!V527,0)</f>
        <v>0</v>
      </c>
      <c r="W540" s="90">
        <f>+IF(YEAR(W$335)=YEAR(Assumptions!$H$35),-'Phase 3 Pro Forma'!W527,0)</f>
        <v>0</v>
      </c>
      <c r="X540" s="90">
        <f>+IF(YEAR(X$335)=YEAR(Assumptions!$H$35),-'Phase 3 Pro Forma'!X527,0)</f>
        <v>0</v>
      </c>
      <c r="Y540" s="90">
        <f>+IF(YEAR(Y$335)=YEAR(Assumptions!$H$35),-'Phase 3 Pro Forma'!Y527,0)</f>
        <v>0</v>
      </c>
      <c r="Z540" s="90">
        <f>+IF(YEAR(Z$335)=YEAR(Assumptions!$H$35),-'Phase 3 Pro Forma'!Z527,0)</f>
        <v>0</v>
      </c>
    </row>
    <row r="541" spans="2:26">
      <c r="B541" s="61" t="s">
        <v>1160</v>
      </c>
      <c r="C541" s="61"/>
      <c r="D541" s="61"/>
      <c r="E541" s="61"/>
      <c r="F541" s="64">
        <f>+SUM(F538:F540)</f>
        <v>0</v>
      </c>
      <c r="G541" s="64">
        <f t="shared" ref="G541:Z541" si="260">+SUM(G538:G540)</f>
        <v>0</v>
      </c>
      <c r="H541" s="64">
        <f t="shared" si="260"/>
        <v>0</v>
      </c>
      <c r="I541" s="64">
        <f t="shared" si="260"/>
        <v>8140704.8298968356</v>
      </c>
      <c r="J541" s="64">
        <f t="shared" si="260"/>
        <v>4324817.9567128923</v>
      </c>
      <c r="K541" s="64">
        <f t="shared" si="260"/>
        <v>6746647.9530051546</v>
      </c>
      <c r="L541" s="64">
        <f t="shared" si="260"/>
        <v>0</v>
      </c>
      <c r="M541" s="64">
        <f t="shared" si="260"/>
        <v>0</v>
      </c>
      <c r="N541" s="64">
        <f t="shared" si="260"/>
        <v>0</v>
      </c>
      <c r="O541" s="64">
        <f t="shared" si="260"/>
        <v>0</v>
      </c>
      <c r="P541" s="64">
        <f t="shared" si="260"/>
        <v>0</v>
      </c>
      <c r="Q541" s="64">
        <f t="shared" si="260"/>
        <v>0</v>
      </c>
      <c r="R541" s="64">
        <f t="shared" si="260"/>
        <v>0</v>
      </c>
      <c r="S541" s="64">
        <f t="shared" si="260"/>
        <v>0</v>
      </c>
      <c r="T541" s="64">
        <f t="shared" si="260"/>
        <v>0</v>
      </c>
      <c r="U541" s="64">
        <f t="shared" si="260"/>
        <v>0</v>
      </c>
      <c r="V541" s="64">
        <f t="shared" si="260"/>
        <v>0</v>
      </c>
      <c r="W541" s="64">
        <f t="shared" si="260"/>
        <v>0</v>
      </c>
      <c r="X541" s="64">
        <f t="shared" si="260"/>
        <v>0</v>
      </c>
      <c r="Y541" s="64">
        <f t="shared" si="260"/>
        <v>0</v>
      </c>
      <c r="Z541" s="64">
        <f t="shared" si="260"/>
        <v>0</v>
      </c>
    </row>
    <row r="542" spans="2:26">
      <c r="B542" s="49"/>
      <c r="C542" s="49"/>
      <c r="D542" s="49"/>
      <c r="E542" s="49"/>
      <c r="F542" s="49"/>
      <c r="G542" s="49"/>
      <c r="H542" s="49"/>
      <c r="I542" s="49"/>
      <c r="J542" s="49"/>
      <c r="K542" s="49"/>
      <c r="L542" s="49"/>
      <c r="M542" s="49"/>
      <c r="N542" s="49"/>
      <c r="O542" s="49"/>
      <c r="P542" s="49"/>
      <c r="Q542" s="49"/>
      <c r="R542" s="49"/>
      <c r="S542" s="49"/>
      <c r="T542" s="49"/>
      <c r="U542" s="49"/>
      <c r="V542" s="49"/>
      <c r="W542" s="49"/>
      <c r="X542" s="49"/>
      <c r="Y542" s="49"/>
      <c r="Z542" s="49"/>
    </row>
    <row r="543" spans="2:26" ht="15.75">
      <c r="B543" s="50" t="s">
        <v>1179</v>
      </c>
      <c r="C543" s="50"/>
      <c r="D543" s="50"/>
      <c r="E543" s="50"/>
      <c r="F543" s="55">
        <f>+IF(YEAR(F$335)&lt;=YEAR(Assumptions!$H$35),'Phase 3 Pro Forma'!F541+'Phase 3 Pro Forma'!F535,0)</f>
        <v>0</v>
      </c>
      <c r="G543" s="55">
        <f>+IF(YEAR(G$335)&lt;=YEAR(Assumptions!$H$35),'Phase 3 Pro Forma'!G541+'Phase 3 Pro Forma'!G535,0)</f>
        <v>0</v>
      </c>
      <c r="H543" s="55">
        <f>+IF(YEAR(H$335)&lt;=YEAR(Assumptions!$H$35),'Phase 3 Pro Forma'!H541+'Phase 3 Pro Forma'!H535,0)</f>
        <v>0</v>
      </c>
      <c r="I543" s="55">
        <f>+IF(YEAR(I$335)&lt;=YEAR(Assumptions!$H$35),'Phase 3 Pro Forma'!I541+'Phase 3 Pro Forma'!I535,0)</f>
        <v>8140704.8298968356</v>
      </c>
      <c r="J543" s="55">
        <f>+IF(YEAR(J$335)&lt;=YEAR(Assumptions!$H$35),'Phase 3 Pro Forma'!J541+'Phase 3 Pro Forma'!J535,0)</f>
        <v>4324817.9567128923</v>
      </c>
      <c r="K543" s="55">
        <f>+IF(YEAR(K$335)&lt;=YEAR(Assumptions!$H$35),'Phase 3 Pro Forma'!K541+'Phase 3 Pro Forma'!K535,0)</f>
        <v>6746647.9530051546</v>
      </c>
      <c r="L543" s="55">
        <f>+IF(YEAR(L$335)&lt;=YEAR(Assumptions!$H$35),'Phase 3 Pro Forma'!L541+'Phase 3 Pro Forma'!L535,0)</f>
        <v>0</v>
      </c>
      <c r="M543" s="55">
        <f>+IF(YEAR(M$335)&lt;=YEAR(Assumptions!$H$35),'Phase 3 Pro Forma'!M541+'Phase 3 Pro Forma'!M535,0)</f>
        <v>0</v>
      </c>
      <c r="N543" s="55">
        <f>+IF(YEAR(N$335)&lt;=YEAR(Assumptions!$H$35),'Phase 3 Pro Forma'!N541+'Phase 3 Pro Forma'!N535,0)</f>
        <v>0</v>
      </c>
      <c r="O543" s="55">
        <f>+IF(YEAR(O$335)&lt;=YEAR(Assumptions!$H$35),'Phase 3 Pro Forma'!O541+'Phase 3 Pro Forma'!O535,0)</f>
        <v>0</v>
      </c>
      <c r="P543" s="55">
        <f>+IF(YEAR(P$335)&lt;=YEAR(Assumptions!$H$35),'Phase 3 Pro Forma'!P541+'Phase 3 Pro Forma'!P535,0)</f>
        <v>0</v>
      </c>
      <c r="Q543" s="55">
        <f>+IF(YEAR(Q$335)&lt;=YEAR(Assumptions!$H$35),'Phase 3 Pro Forma'!Q541+'Phase 3 Pro Forma'!Q535,0)</f>
        <v>0</v>
      </c>
      <c r="R543" s="55">
        <f>+IF(YEAR(R$335)&lt;=YEAR(Assumptions!$H$35),'Phase 3 Pro Forma'!R541+'Phase 3 Pro Forma'!R535,0)</f>
        <v>0</v>
      </c>
      <c r="S543" s="55">
        <f>+IF(YEAR(S$335)&lt;=YEAR(Assumptions!$H$35),'Phase 3 Pro Forma'!S541+'Phase 3 Pro Forma'!S535,0)</f>
        <v>0</v>
      </c>
      <c r="T543" s="55">
        <f>+IF(YEAR(T$335)&lt;=YEAR(Assumptions!$H$35),'Phase 3 Pro Forma'!T541+'Phase 3 Pro Forma'!T535,0)</f>
        <v>0</v>
      </c>
      <c r="U543" s="55">
        <f>+IF(YEAR(U$335)&lt;=YEAR(Assumptions!$H$35),'Phase 3 Pro Forma'!U541+'Phase 3 Pro Forma'!U535,0)</f>
        <v>0</v>
      </c>
      <c r="V543" s="55">
        <f>+IF(YEAR(V$335)&lt;=YEAR(Assumptions!$H$35),'Phase 3 Pro Forma'!V541+'Phase 3 Pro Forma'!V535,0)</f>
        <v>0</v>
      </c>
      <c r="W543" s="55">
        <f>+IF(YEAR(W$335)&lt;=YEAR(Assumptions!$H$35),'Phase 3 Pro Forma'!W541+'Phase 3 Pro Forma'!W535,0)</f>
        <v>0</v>
      </c>
      <c r="X543" s="55">
        <f>+IF(YEAR(X$335)&lt;=YEAR(Assumptions!$H$35),'Phase 3 Pro Forma'!X541+'Phase 3 Pro Forma'!X535,0)</f>
        <v>0</v>
      </c>
      <c r="Y543" s="55">
        <f>+IF(YEAR(Y$335)&lt;=YEAR(Assumptions!$H$35),'Phase 3 Pro Forma'!Y541+'Phase 3 Pro Forma'!Y535,0)</f>
        <v>0</v>
      </c>
      <c r="Z543" s="55">
        <f>+IF(YEAR(Z$335)&lt;=YEAR(Assumptions!$H$35),'Phase 3 Pro Forma'!Z541+'Phase 3 Pro Forma'!Z535,0)</f>
        <v>0</v>
      </c>
    </row>
    <row r="544" spans="2:26">
      <c r="B544" s="49"/>
      <c r="C544" s="49"/>
      <c r="D544" s="49"/>
      <c r="E544" s="49"/>
      <c r="F544" s="49"/>
      <c r="G544" s="49"/>
      <c r="H544" s="49"/>
      <c r="I544" s="49"/>
      <c r="J544" s="49"/>
      <c r="K544" s="49"/>
      <c r="L544" s="49"/>
      <c r="M544" s="49"/>
      <c r="N544" s="49"/>
      <c r="O544" s="49"/>
      <c r="P544" s="49"/>
      <c r="Q544" s="49"/>
      <c r="R544" s="49"/>
      <c r="S544" s="49"/>
      <c r="T544" s="49"/>
      <c r="U544" s="49"/>
      <c r="V544" s="49"/>
      <c r="W544" s="49"/>
      <c r="X544" s="49"/>
      <c r="Y544" s="49"/>
      <c r="Z544" s="49"/>
    </row>
    <row r="545" spans="1:26" ht="15.75">
      <c r="A545" s="699"/>
      <c r="B545" s="50" t="s">
        <v>1187</v>
      </c>
      <c r="C545" s="50"/>
      <c r="D545" s="50"/>
      <c r="E545" s="50"/>
      <c r="F545" s="55">
        <f ca="1">+F471+F426+F356+F543</f>
        <v>0</v>
      </c>
      <c r="G545" s="55">
        <f t="shared" ref="G545:Z545" ca="1" si="261">+G471+G426+G356+G543</f>
        <v>0</v>
      </c>
      <c r="H545" s="55">
        <f t="shared" ca="1" si="261"/>
        <v>0</v>
      </c>
      <c r="I545" s="55">
        <f t="shared" ca="1" si="261"/>
        <v>5387089.9090670114</v>
      </c>
      <c r="J545" s="55">
        <f t="shared" ca="1" si="261"/>
        <v>12542647.392375777</v>
      </c>
      <c r="K545" s="55">
        <f t="shared" ca="1" si="261"/>
        <v>264528600.0207487</v>
      </c>
      <c r="L545" s="55">
        <f t="shared" si="261"/>
        <v>0</v>
      </c>
      <c r="M545" s="55">
        <f t="shared" si="261"/>
        <v>0</v>
      </c>
      <c r="N545" s="55">
        <f t="shared" si="261"/>
        <v>0</v>
      </c>
      <c r="O545" s="55">
        <f t="shared" si="261"/>
        <v>0</v>
      </c>
      <c r="P545" s="55">
        <f t="shared" si="261"/>
        <v>0</v>
      </c>
      <c r="Q545" s="55">
        <f t="shared" si="261"/>
        <v>0</v>
      </c>
      <c r="R545" s="55">
        <f t="shared" si="261"/>
        <v>0</v>
      </c>
      <c r="S545" s="55">
        <f t="shared" si="261"/>
        <v>0</v>
      </c>
      <c r="T545" s="55">
        <f t="shared" si="261"/>
        <v>0</v>
      </c>
      <c r="U545" s="55">
        <f t="shared" si="261"/>
        <v>0</v>
      </c>
      <c r="V545" s="55">
        <f t="shared" si="261"/>
        <v>0</v>
      </c>
      <c r="W545" s="55">
        <f t="shared" si="261"/>
        <v>0</v>
      </c>
      <c r="X545" s="55">
        <f t="shared" si="261"/>
        <v>0</v>
      </c>
      <c r="Y545" s="55">
        <f t="shared" si="261"/>
        <v>0</v>
      </c>
      <c r="Z545" s="55">
        <f t="shared" si="261"/>
        <v>0</v>
      </c>
    </row>
    <row r="546" spans="1:26">
      <c r="A546" s="699"/>
      <c r="B546" s="49"/>
      <c r="C546" s="49"/>
      <c r="D546" s="49"/>
      <c r="E546" s="49"/>
      <c r="F546" s="49"/>
      <c r="G546" s="49"/>
      <c r="H546" s="49"/>
      <c r="I546" s="49"/>
      <c r="J546" s="49"/>
      <c r="K546" s="49"/>
      <c r="L546" s="49"/>
      <c r="M546" s="49"/>
      <c r="N546" s="49"/>
      <c r="O546" s="49"/>
      <c r="P546" s="49"/>
      <c r="Q546" s="49"/>
      <c r="R546" s="49"/>
      <c r="S546" s="49"/>
      <c r="T546" s="49"/>
      <c r="U546" s="49"/>
      <c r="V546" s="49"/>
      <c r="W546" s="49"/>
      <c r="X546" s="49"/>
      <c r="Y546" s="49"/>
      <c r="Z546" s="49"/>
    </row>
    <row r="547" spans="1:26">
      <c r="A547" s="699"/>
      <c r="B547" s="49" t="s">
        <v>1188</v>
      </c>
      <c r="C547" s="49"/>
      <c r="D547" s="49"/>
      <c r="E547" s="49"/>
      <c r="F547" s="83">
        <f t="shared" ref="F547:Z547" ca="1" si="262">+F568+F351</f>
        <v>0</v>
      </c>
      <c r="G547" s="83">
        <f t="shared" ca="1" si="262"/>
        <v>34354822.198609143</v>
      </c>
      <c r="H547" s="83">
        <f t="shared" ca="1" si="262"/>
        <v>88594111.937432691</v>
      </c>
      <c r="I547" s="83">
        <f t="shared" ca="1" si="262"/>
        <v>0</v>
      </c>
      <c r="J547" s="83">
        <f t="shared" ca="1" si="262"/>
        <v>0</v>
      </c>
      <c r="K547" s="83">
        <f t="shared" ca="1" si="262"/>
        <v>0</v>
      </c>
      <c r="L547" s="83">
        <f t="shared" ca="1" si="262"/>
        <v>0</v>
      </c>
      <c r="M547" s="83">
        <f t="shared" ca="1" si="262"/>
        <v>0</v>
      </c>
      <c r="N547" s="83">
        <f t="shared" ca="1" si="262"/>
        <v>0</v>
      </c>
      <c r="O547" s="83">
        <f t="shared" ca="1" si="262"/>
        <v>0</v>
      </c>
      <c r="P547" s="83">
        <f t="shared" ca="1" si="262"/>
        <v>0</v>
      </c>
      <c r="Q547" s="83">
        <f t="shared" ca="1" si="262"/>
        <v>0</v>
      </c>
      <c r="R547" s="83">
        <f t="shared" ca="1" si="262"/>
        <v>0</v>
      </c>
      <c r="S547" s="83">
        <f t="shared" ca="1" si="262"/>
        <v>0</v>
      </c>
      <c r="T547" s="83">
        <f t="shared" ca="1" si="262"/>
        <v>0</v>
      </c>
      <c r="U547" s="83">
        <f t="shared" ca="1" si="262"/>
        <v>0</v>
      </c>
      <c r="V547" s="83">
        <f t="shared" ca="1" si="262"/>
        <v>0</v>
      </c>
      <c r="W547" s="83">
        <f t="shared" ca="1" si="262"/>
        <v>0</v>
      </c>
      <c r="X547" s="83">
        <f t="shared" ca="1" si="262"/>
        <v>0</v>
      </c>
      <c r="Y547" s="83">
        <f t="shared" ca="1" si="262"/>
        <v>0</v>
      </c>
      <c r="Z547" s="83">
        <f t="shared" ca="1" si="262"/>
        <v>0</v>
      </c>
    </row>
    <row r="548" spans="1:26">
      <c r="A548" s="699"/>
      <c r="B548" s="49" t="s">
        <v>1189</v>
      </c>
      <c r="C548" s="49"/>
      <c r="D548" s="49"/>
      <c r="E548" s="49"/>
      <c r="F548" s="83">
        <f t="shared" ref="F548:Z548" ca="1" si="263">-F468+F458-F422+F412-F353+F342+F461+F415+F345</f>
        <v>0</v>
      </c>
      <c r="G548" s="83">
        <f t="shared" ca="1" si="263"/>
        <v>0</v>
      </c>
      <c r="H548" s="83">
        <f t="shared" ca="1" si="263"/>
        <v>0</v>
      </c>
      <c r="I548" s="83">
        <f t="shared" ca="1" si="263"/>
        <v>8777514.1069390234</v>
      </c>
      <c r="J548" s="83">
        <f t="shared" ca="1" si="263"/>
        <v>7548024.7655786052</v>
      </c>
      <c r="K548" s="83">
        <f t="shared" ca="1" si="263"/>
        <v>124174841.11624646</v>
      </c>
      <c r="L548" s="83">
        <f t="shared" ca="1" si="263"/>
        <v>7548024.7655786052</v>
      </c>
      <c r="M548" s="83">
        <f t="shared" ca="1" si="263"/>
        <v>7548024.7655786062</v>
      </c>
      <c r="N548" s="83">
        <f t="shared" ca="1" si="263"/>
        <v>7548024.7655786052</v>
      </c>
      <c r="O548" s="83">
        <f t="shared" ca="1" si="263"/>
        <v>7548024.7655786052</v>
      </c>
      <c r="P548" s="83">
        <f t="shared" ca="1" si="263"/>
        <v>7548024.7655786052</v>
      </c>
      <c r="Q548" s="83">
        <f t="shared" ca="1" si="263"/>
        <v>7548024.7655786052</v>
      </c>
      <c r="R548" s="83">
        <f t="shared" ca="1" si="263"/>
        <v>7548024.7655786052</v>
      </c>
      <c r="S548" s="83">
        <f t="shared" ca="1" si="263"/>
        <v>7548024.7655786062</v>
      </c>
      <c r="T548" s="83">
        <f t="shared" ca="1" si="263"/>
        <v>7548024.7655786052</v>
      </c>
      <c r="U548" s="83">
        <f t="shared" ca="1" si="263"/>
        <v>7548024.7655786052</v>
      </c>
      <c r="V548" s="83">
        <f t="shared" ca="1" si="263"/>
        <v>7548024.7655786052</v>
      </c>
      <c r="W548" s="83">
        <f t="shared" ca="1" si="263"/>
        <v>7548024.7655786062</v>
      </c>
      <c r="X548" s="83">
        <f t="shared" ca="1" si="263"/>
        <v>7548024.7655786052</v>
      </c>
      <c r="Y548" s="83">
        <f t="shared" ca="1" si="263"/>
        <v>7548024.7655786052</v>
      </c>
      <c r="Z548" s="83">
        <f t="shared" ca="1" si="263"/>
        <v>7548024.7655786052</v>
      </c>
    </row>
    <row r="549" spans="1:26">
      <c r="A549" s="699"/>
      <c r="B549" s="49"/>
      <c r="C549" s="49"/>
      <c r="D549" s="49"/>
      <c r="E549" s="49"/>
      <c r="F549" s="49"/>
      <c r="G549" s="49"/>
      <c r="H549" s="49"/>
      <c r="I549" s="49"/>
      <c r="J549" s="49"/>
      <c r="K549" s="49"/>
      <c r="L549" s="49"/>
      <c r="M549" s="49"/>
      <c r="N549" s="49"/>
      <c r="O549" s="49"/>
      <c r="P549" s="49"/>
      <c r="Q549" s="49"/>
      <c r="R549" s="49"/>
      <c r="S549" s="49"/>
      <c r="T549" s="49"/>
      <c r="U549" s="49"/>
      <c r="V549" s="49"/>
      <c r="W549" s="49"/>
      <c r="X549" s="49"/>
      <c r="Y549" s="49"/>
      <c r="Z549" s="49"/>
    </row>
    <row r="550" spans="1:26" ht="15.75">
      <c r="A550" s="699"/>
      <c r="B550" s="468" t="s">
        <v>1190</v>
      </c>
      <c r="C550" s="540"/>
      <c r="D550" s="540"/>
      <c r="E550" s="540"/>
      <c r="F550" s="759"/>
      <c r="G550" s="759"/>
      <c r="H550" s="759"/>
      <c r="I550" s="759"/>
      <c r="J550" s="759"/>
      <c r="K550" s="759"/>
      <c r="L550" s="759"/>
      <c r="M550" s="759"/>
      <c r="N550" s="759"/>
      <c r="O550" s="759"/>
      <c r="P550" s="759"/>
      <c r="Q550" s="759"/>
      <c r="R550" s="759"/>
      <c r="S550" s="759"/>
      <c r="T550" s="759"/>
      <c r="U550" s="759"/>
      <c r="V550" s="759"/>
      <c r="W550" s="759"/>
      <c r="X550" s="759"/>
      <c r="Y550" s="759"/>
      <c r="Z550" s="759"/>
    </row>
    <row r="551" spans="1:26">
      <c r="A551" s="699"/>
      <c r="B551" s="49"/>
      <c r="C551" s="49"/>
      <c r="D551" s="49"/>
      <c r="E551" s="49"/>
      <c r="F551" s="49"/>
      <c r="G551" s="49"/>
      <c r="H551" s="49"/>
      <c r="I551" s="49"/>
      <c r="J551" s="49"/>
      <c r="K551" s="49"/>
      <c r="L551" s="49"/>
      <c r="M551" s="49"/>
      <c r="N551" s="49"/>
      <c r="O551" s="49"/>
      <c r="P551" s="49"/>
      <c r="Q551" s="49"/>
      <c r="R551" s="49"/>
      <c r="S551" s="49"/>
      <c r="T551" s="49"/>
      <c r="U551" s="49"/>
      <c r="V551" s="49"/>
      <c r="W551" s="49"/>
      <c r="X551" s="49"/>
      <c r="Y551" s="49"/>
      <c r="Z551" s="49"/>
    </row>
    <row r="552" spans="1:26" ht="15.75">
      <c r="A552" s="699"/>
      <c r="B552" s="112" t="s">
        <v>1191</v>
      </c>
      <c r="C552" s="49"/>
      <c r="D552" s="49"/>
      <c r="E552" s="49"/>
      <c r="F552" s="148">
        <f>+Assumptions!$H$27</f>
        <v>47118</v>
      </c>
      <c r="G552" s="148">
        <f>+EOMONTH(F552,12)</f>
        <v>47483</v>
      </c>
      <c r="H552" s="148">
        <f t="shared" ref="H552:Z552" si="264">+EOMONTH(G552,12)</f>
        <v>47848</v>
      </c>
      <c r="I552" s="148">
        <f t="shared" si="264"/>
        <v>48213</v>
      </c>
      <c r="J552" s="148">
        <f t="shared" si="264"/>
        <v>48579</v>
      </c>
      <c r="K552" s="148">
        <f t="shared" si="264"/>
        <v>48944</v>
      </c>
      <c r="L552" s="148">
        <f t="shared" si="264"/>
        <v>49309</v>
      </c>
      <c r="M552" s="148">
        <f t="shared" si="264"/>
        <v>49674</v>
      </c>
      <c r="N552" s="148">
        <f t="shared" si="264"/>
        <v>50040</v>
      </c>
      <c r="O552" s="148">
        <f t="shared" si="264"/>
        <v>50405</v>
      </c>
      <c r="P552" s="148">
        <f t="shared" si="264"/>
        <v>50770</v>
      </c>
      <c r="Q552" s="148">
        <f t="shared" si="264"/>
        <v>51135</v>
      </c>
      <c r="R552" s="148">
        <f t="shared" si="264"/>
        <v>51501</v>
      </c>
      <c r="S552" s="148">
        <f t="shared" si="264"/>
        <v>51866</v>
      </c>
      <c r="T552" s="148">
        <f t="shared" si="264"/>
        <v>52231</v>
      </c>
      <c r="U552" s="148">
        <f t="shared" si="264"/>
        <v>52596</v>
      </c>
      <c r="V552" s="148">
        <f t="shared" si="264"/>
        <v>52962</v>
      </c>
      <c r="W552" s="148">
        <f t="shared" si="264"/>
        <v>53327</v>
      </c>
      <c r="X552" s="148">
        <f t="shared" si="264"/>
        <v>53692</v>
      </c>
      <c r="Y552" s="148">
        <f t="shared" si="264"/>
        <v>54057</v>
      </c>
      <c r="Z552" s="148">
        <f t="shared" si="264"/>
        <v>54423</v>
      </c>
    </row>
    <row r="553" spans="1:26" ht="15.75">
      <c r="A553" s="699"/>
      <c r="B553" s="699" t="s">
        <v>341</v>
      </c>
      <c r="C553" s="49"/>
      <c r="D553" s="94">
        <f>+SUM(F553:Z553)</f>
        <v>8202838.3909464516</v>
      </c>
      <c r="E553" s="94"/>
      <c r="F553" s="83">
        <f>+IF(AND(F$552&gt;=Assumptions!$H$27,F$552&lt;Assumptions!$H$29),'S&amp;U'!$J7/ROUNDUP(Assumptions!$H$28/12,0),IF(AND(F$552&gt;=Assumptions!$H$29,F$552&lt;Assumptions!$H$31),'S&amp;U'!$J39/ROUNDUP(Assumptions!$H$30/12,0),0))</f>
        <v>8202838.3909464516</v>
      </c>
      <c r="G553" s="83">
        <f>+IF(AND(G$552&gt;=Assumptions!$H$27,G$552&lt;Assumptions!$H$29),'S&amp;U'!$J7/ROUNDUP(Assumptions!$H$28/12,0),IF(AND(G$552&gt;=Assumptions!$H$29,G$552&lt;Assumptions!$H$31),'S&amp;U'!$J39/ROUNDUP(Assumptions!$H$30/12,0),0))</f>
        <v>0</v>
      </c>
      <c r="H553" s="83">
        <f>+IF(AND(H$552&gt;=Assumptions!$H$27,H$552&lt;Assumptions!$H$29),'S&amp;U'!$J7/ROUNDUP(Assumptions!$H$28/12,0),IF(AND(H$552&gt;=Assumptions!$H$29,H$552&lt;Assumptions!$H$31),'S&amp;U'!$J39/ROUNDUP(Assumptions!$H$30/12,0),0))</f>
        <v>0</v>
      </c>
      <c r="I553" s="83">
        <f>+IF(AND(I$552&gt;=Assumptions!$H$27,I$552&lt;Assumptions!$H$29),'S&amp;U'!$J7/ROUNDUP(Assumptions!$H$28/12,0),IF(AND(I$552&gt;=Assumptions!$H$29,I$552&lt;Assumptions!$H$31),'S&amp;U'!$J39/ROUNDUP(Assumptions!$H$30/12,0),0))</f>
        <v>0</v>
      </c>
      <c r="J553" s="83">
        <f>+IF(AND(J$552&gt;=Assumptions!$H$27,J$552&lt;Assumptions!$H$29),'S&amp;U'!$J7/ROUNDUP(Assumptions!$H$28/12,0),IF(AND(J$552&gt;=Assumptions!$H$29,J$552&lt;Assumptions!$H$31),'S&amp;U'!$J39/ROUNDUP(Assumptions!$H$30/12,0),0))</f>
        <v>0</v>
      </c>
      <c r="K553" s="83">
        <f>+IF(AND(K$552&gt;=Assumptions!$H$27,K$552&lt;Assumptions!$H$29),'S&amp;U'!$J7/ROUNDUP(Assumptions!$H$28/12,0),IF(AND(K$552&gt;=Assumptions!$H$29,K$552&lt;Assumptions!$H$31),'S&amp;U'!$J39/ROUNDUP(Assumptions!$H$30/12,0),0))</f>
        <v>0</v>
      </c>
      <c r="L553" s="83">
        <f>+IF(AND(L$552&gt;=Assumptions!$H$27,L$552&lt;Assumptions!$H$29),'S&amp;U'!$J7/ROUNDUP(Assumptions!$H$28/12,0),IF(AND(L$552&gt;=Assumptions!$H$29,L$552&lt;Assumptions!$H$31),'S&amp;U'!$J39/ROUNDUP(Assumptions!$H$30/12,0),0))</f>
        <v>0</v>
      </c>
      <c r="M553" s="83">
        <f>+IF(AND(M$552&gt;=Assumptions!$H$27,M$552&lt;Assumptions!$H$29),'S&amp;U'!$J7/ROUNDUP(Assumptions!$H$28/12,0),IF(AND(M$552&gt;=Assumptions!$H$29,M$552&lt;Assumptions!$H$31),'S&amp;U'!$J39/ROUNDUP(Assumptions!$H$30/12,0),0))</f>
        <v>0</v>
      </c>
      <c r="N553" s="83">
        <f>+IF(AND(N$552&gt;=Assumptions!$H$27,N$552&lt;Assumptions!$H$29),'S&amp;U'!$J7/ROUNDUP(Assumptions!$H$28/12,0),IF(AND(N$552&gt;=Assumptions!$H$29,N$552&lt;Assumptions!$H$31),'S&amp;U'!$J39/ROUNDUP(Assumptions!$H$30/12,0),0))</f>
        <v>0</v>
      </c>
      <c r="O553" s="83">
        <f>+IF(AND(O$552&gt;=Assumptions!$H$27,O$552&lt;Assumptions!$H$29),'S&amp;U'!$J7/ROUNDUP(Assumptions!$H$28/12,0),IF(AND(O$552&gt;=Assumptions!$H$29,O$552&lt;Assumptions!$H$31),'S&amp;U'!$J39/ROUNDUP(Assumptions!$H$30/12,0),0))</f>
        <v>0</v>
      </c>
      <c r="P553" s="83">
        <f>+IF(AND(P$552&gt;=Assumptions!$H$27,P$552&lt;Assumptions!$H$29),'S&amp;U'!$J7/ROUNDUP(Assumptions!$H$28/12,0),IF(AND(P$552&gt;=Assumptions!$H$29,P$552&lt;Assumptions!$H$31),'S&amp;U'!$J39/ROUNDUP(Assumptions!$H$30/12,0),0))</f>
        <v>0</v>
      </c>
      <c r="Q553" s="83">
        <f>+IF(AND(Q$552&gt;=Assumptions!$H$27,Q$552&lt;Assumptions!$H$29),'S&amp;U'!$J7/ROUNDUP(Assumptions!$H$28/12,0),IF(AND(Q$552&gt;=Assumptions!$H$29,Q$552&lt;Assumptions!$H$31),'S&amp;U'!$J39/ROUNDUP(Assumptions!$H$30/12,0),0))</f>
        <v>0</v>
      </c>
      <c r="R553" s="83">
        <f>+IF(AND(R$552&gt;=Assumptions!$H$27,R$552&lt;Assumptions!$H$29),'S&amp;U'!$J7/ROUNDUP(Assumptions!$H$28/12,0),IF(AND(R$552&gt;=Assumptions!$H$29,R$552&lt;Assumptions!$H$31),'S&amp;U'!$J39/ROUNDUP(Assumptions!$H$30/12,0),0))</f>
        <v>0</v>
      </c>
      <c r="S553" s="83">
        <f>+IF(AND(S$552&gt;=Assumptions!$H$27,S$552&lt;Assumptions!$H$29),'S&amp;U'!$J7/ROUNDUP(Assumptions!$H$28/12,0),IF(AND(S$552&gt;=Assumptions!$H$29,S$552&lt;Assumptions!$H$31),'S&amp;U'!$J39/ROUNDUP(Assumptions!$H$30/12,0),0))</f>
        <v>0</v>
      </c>
      <c r="T553" s="83">
        <f>+IF(AND(T$552&gt;=Assumptions!$H$27,T$552&lt;Assumptions!$H$29),'S&amp;U'!$J7/ROUNDUP(Assumptions!$H$28/12,0),IF(AND(T$552&gt;=Assumptions!$H$29,T$552&lt;Assumptions!$H$31),'S&amp;U'!$J39/ROUNDUP(Assumptions!$H$30/12,0),0))</f>
        <v>0</v>
      </c>
      <c r="U553" s="83">
        <f>+IF(AND(U$552&gt;=Assumptions!$H$27,U$552&lt;Assumptions!$H$29),'S&amp;U'!$J7/ROUNDUP(Assumptions!$H$28/12,0),IF(AND(U$552&gt;=Assumptions!$H$29,U$552&lt;Assumptions!$H$31),'S&amp;U'!$J39/ROUNDUP(Assumptions!$H$30/12,0),0))</f>
        <v>0</v>
      </c>
      <c r="V553" s="83">
        <f>+IF(AND(V$552&gt;=Assumptions!$H$27,V$552&lt;Assumptions!$H$29),'S&amp;U'!$J7/ROUNDUP(Assumptions!$H$28/12,0),IF(AND(V$552&gt;=Assumptions!$H$29,V$552&lt;Assumptions!$H$31),'S&amp;U'!$J39/ROUNDUP(Assumptions!$H$30/12,0),0))</f>
        <v>0</v>
      </c>
      <c r="W553" s="83">
        <f>+IF(AND(W$552&gt;=Assumptions!$H$27,W$552&lt;Assumptions!$H$29),'S&amp;U'!$J7/ROUNDUP(Assumptions!$H$28/12,0),IF(AND(W$552&gt;=Assumptions!$H$29,W$552&lt;Assumptions!$H$31),'S&amp;U'!$J39/ROUNDUP(Assumptions!$H$30/12,0),0))</f>
        <v>0</v>
      </c>
      <c r="X553" s="83">
        <f>+IF(AND(X$552&gt;=Assumptions!$H$27,X$552&lt;Assumptions!$H$29),'S&amp;U'!$J7/ROUNDUP(Assumptions!$H$28/12,0),IF(AND(X$552&gt;=Assumptions!$H$29,X$552&lt;Assumptions!$H$31),'S&amp;U'!$J39/ROUNDUP(Assumptions!$H$30/12,0),0))</f>
        <v>0</v>
      </c>
      <c r="Y553" s="83">
        <f>+IF(AND(Y$552&gt;=Assumptions!$H$27,Y$552&lt;Assumptions!$H$29),'S&amp;U'!$J7/ROUNDUP(Assumptions!$H$28/12,0),IF(AND(Y$552&gt;=Assumptions!$H$29,Y$552&lt;Assumptions!$H$31),'S&amp;U'!$J39/ROUNDUP(Assumptions!$H$30/12,0),0))</f>
        <v>0</v>
      </c>
      <c r="Z553" s="83">
        <f>+IF(AND(Z$552&gt;=Assumptions!$H$27,Z$552&lt;Assumptions!$H$29),'S&amp;U'!$J7/ROUNDUP(Assumptions!$H$28/12,0),IF(AND(Z$552&gt;=Assumptions!$H$29,Z$552&lt;Assumptions!$H$31),'S&amp;U'!$J39/ROUNDUP(Assumptions!$H$30/12,0),0))</f>
        <v>0</v>
      </c>
    </row>
    <row r="554" spans="1:26" ht="15.75">
      <c r="A554" s="699"/>
      <c r="B554" s="699" t="s">
        <v>236</v>
      </c>
      <c r="C554" s="49"/>
      <c r="D554" s="94">
        <f t="shared" ref="D554:D560" si="265">+SUM(F554:Z554)</f>
        <v>13505536</v>
      </c>
      <c r="E554" s="94"/>
      <c r="F554" s="83">
        <f>+IF(AND(F$552&gt;=Assumptions!$H$27,F$552&lt;Assumptions!$H$29),'S&amp;U'!$J8/ROUNDUP(Assumptions!$H$28/12,0),IF(AND(F$552&gt;=Assumptions!$H$29,F$552&lt;Assumptions!$H$31),'S&amp;U'!$J40/ROUNDUP(Assumptions!$H$30/12,0),0))</f>
        <v>13505536</v>
      </c>
      <c r="G554" s="83">
        <f>+IF(AND(G$552&gt;=Assumptions!$H$27,G$552&lt;Assumptions!$H$29),'S&amp;U'!$J8/ROUNDUP(Assumptions!$H$28/12,0),IF(AND(G$552&gt;=Assumptions!$H$29,G$552&lt;Assumptions!$H$31),'S&amp;U'!$J40/ROUNDUP(Assumptions!$H$30/12,0),0))</f>
        <v>0</v>
      </c>
      <c r="H554" s="83">
        <f>+IF(AND(H$552&gt;=Assumptions!$H$27,H$552&lt;Assumptions!$H$29),'S&amp;U'!$J8/ROUNDUP(Assumptions!$H$28/12,0),IF(AND(H$552&gt;=Assumptions!$H$29,H$552&lt;Assumptions!$H$31),'S&amp;U'!$J40/ROUNDUP(Assumptions!$H$30/12,0),0))</f>
        <v>0</v>
      </c>
      <c r="I554" s="83">
        <f>+IF(AND(I$552&gt;=Assumptions!$H$27,I$552&lt;Assumptions!$H$29),'S&amp;U'!$J8/ROUNDUP(Assumptions!$H$28/12,0),IF(AND(I$552&gt;=Assumptions!$H$29,I$552&lt;Assumptions!$H$31),'S&amp;U'!$J40/ROUNDUP(Assumptions!$H$30/12,0),0))</f>
        <v>0</v>
      </c>
      <c r="J554" s="83">
        <f>+IF(AND(J$552&gt;=Assumptions!$H$27,J$552&lt;Assumptions!$H$29),'S&amp;U'!$J8/ROUNDUP(Assumptions!$H$28/12,0),IF(AND(J$552&gt;=Assumptions!$H$29,J$552&lt;Assumptions!$H$31),'S&amp;U'!$J40/ROUNDUP(Assumptions!$H$30/12,0),0))</f>
        <v>0</v>
      </c>
      <c r="K554" s="83">
        <f>+IF(AND(K$552&gt;=Assumptions!$H$27,K$552&lt;Assumptions!$H$29),'S&amp;U'!$J8/ROUNDUP(Assumptions!$H$28/12,0),IF(AND(K$552&gt;=Assumptions!$H$29,K$552&lt;Assumptions!$H$31),'S&amp;U'!$J40/ROUNDUP(Assumptions!$H$30/12,0),0))</f>
        <v>0</v>
      </c>
      <c r="L554" s="83">
        <f>+IF(AND(L$552&gt;=Assumptions!$H$27,L$552&lt;Assumptions!$H$29),'S&amp;U'!$J8/ROUNDUP(Assumptions!$H$28/12,0),IF(AND(L$552&gt;=Assumptions!$H$29,L$552&lt;Assumptions!$H$31),'S&amp;U'!$J40/ROUNDUP(Assumptions!$H$30/12,0),0))</f>
        <v>0</v>
      </c>
      <c r="M554" s="83">
        <f>+IF(AND(M$552&gt;=Assumptions!$H$27,M$552&lt;Assumptions!$H$29),'S&amp;U'!$J8/ROUNDUP(Assumptions!$H$28/12,0),IF(AND(M$552&gt;=Assumptions!$H$29,M$552&lt;Assumptions!$H$31),'S&amp;U'!$J40/ROUNDUP(Assumptions!$H$30/12,0),0))</f>
        <v>0</v>
      </c>
      <c r="N554" s="83">
        <f>+IF(AND(N$552&gt;=Assumptions!$H$27,N$552&lt;Assumptions!$H$29),'S&amp;U'!$J8/ROUNDUP(Assumptions!$H$28/12,0),IF(AND(N$552&gt;=Assumptions!$H$29,N$552&lt;Assumptions!$H$31),'S&amp;U'!$J40/ROUNDUP(Assumptions!$H$30/12,0),0))</f>
        <v>0</v>
      </c>
      <c r="O554" s="83">
        <f>+IF(AND(O$552&gt;=Assumptions!$H$27,O$552&lt;Assumptions!$H$29),'S&amp;U'!$J8/ROUNDUP(Assumptions!$H$28/12,0),IF(AND(O$552&gt;=Assumptions!$H$29,O$552&lt;Assumptions!$H$31),'S&amp;U'!$J40/ROUNDUP(Assumptions!$H$30/12,0),0))</f>
        <v>0</v>
      </c>
      <c r="P554" s="83">
        <f>+IF(AND(P$552&gt;=Assumptions!$H$27,P$552&lt;Assumptions!$H$29),'S&amp;U'!$J8/ROUNDUP(Assumptions!$H$28/12,0),IF(AND(P$552&gt;=Assumptions!$H$29,P$552&lt;Assumptions!$H$31),'S&amp;U'!$J40/ROUNDUP(Assumptions!$H$30/12,0),0))</f>
        <v>0</v>
      </c>
      <c r="Q554" s="83">
        <f>+IF(AND(Q$552&gt;=Assumptions!$H$27,Q$552&lt;Assumptions!$H$29),'S&amp;U'!$J8/ROUNDUP(Assumptions!$H$28/12,0),IF(AND(Q$552&gt;=Assumptions!$H$29,Q$552&lt;Assumptions!$H$31),'S&amp;U'!$J40/ROUNDUP(Assumptions!$H$30/12,0),0))</f>
        <v>0</v>
      </c>
      <c r="R554" s="83">
        <f>+IF(AND(R$552&gt;=Assumptions!$H$27,R$552&lt;Assumptions!$H$29),'S&amp;U'!$J8/ROUNDUP(Assumptions!$H$28/12,0),IF(AND(R$552&gt;=Assumptions!$H$29,R$552&lt;Assumptions!$H$31),'S&amp;U'!$J40/ROUNDUP(Assumptions!$H$30/12,0),0))</f>
        <v>0</v>
      </c>
      <c r="S554" s="83">
        <f>+IF(AND(S$552&gt;=Assumptions!$H$27,S$552&lt;Assumptions!$H$29),'S&amp;U'!$J8/ROUNDUP(Assumptions!$H$28/12,0),IF(AND(S$552&gt;=Assumptions!$H$29,S$552&lt;Assumptions!$H$31),'S&amp;U'!$J40/ROUNDUP(Assumptions!$H$30/12,0),0))</f>
        <v>0</v>
      </c>
      <c r="T554" s="83">
        <f>+IF(AND(T$552&gt;=Assumptions!$H$27,T$552&lt;Assumptions!$H$29),'S&amp;U'!$J8/ROUNDUP(Assumptions!$H$28/12,0),IF(AND(T$552&gt;=Assumptions!$H$29,T$552&lt;Assumptions!$H$31),'S&amp;U'!$J40/ROUNDUP(Assumptions!$H$30/12,0),0))</f>
        <v>0</v>
      </c>
      <c r="U554" s="83">
        <f>+IF(AND(U$552&gt;=Assumptions!$H$27,U$552&lt;Assumptions!$H$29),'S&amp;U'!$J8/ROUNDUP(Assumptions!$H$28/12,0),IF(AND(U$552&gt;=Assumptions!$H$29,U$552&lt;Assumptions!$H$31),'S&amp;U'!$J40/ROUNDUP(Assumptions!$H$30/12,0),0))</f>
        <v>0</v>
      </c>
      <c r="V554" s="83">
        <f>+IF(AND(V$552&gt;=Assumptions!$H$27,V$552&lt;Assumptions!$H$29),'S&amp;U'!$J8/ROUNDUP(Assumptions!$H$28/12,0),IF(AND(V$552&gt;=Assumptions!$H$29,V$552&lt;Assumptions!$H$31),'S&amp;U'!$J40/ROUNDUP(Assumptions!$H$30/12,0),0))</f>
        <v>0</v>
      </c>
      <c r="W554" s="83">
        <f>+IF(AND(W$552&gt;=Assumptions!$H$27,W$552&lt;Assumptions!$H$29),'S&amp;U'!$J8/ROUNDUP(Assumptions!$H$28/12,0),IF(AND(W$552&gt;=Assumptions!$H$29,W$552&lt;Assumptions!$H$31),'S&amp;U'!$J40/ROUNDUP(Assumptions!$H$30/12,0),0))</f>
        <v>0</v>
      </c>
      <c r="X554" s="83">
        <f>+IF(AND(X$552&gt;=Assumptions!$H$27,X$552&lt;Assumptions!$H$29),'S&amp;U'!$J8/ROUNDUP(Assumptions!$H$28/12,0),IF(AND(X$552&gt;=Assumptions!$H$29,X$552&lt;Assumptions!$H$31),'S&amp;U'!$J40/ROUNDUP(Assumptions!$H$30/12,0),0))</f>
        <v>0</v>
      </c>
      <c r="Y554" s="83">
        <f>+IF(AND(Y$552&gt;=Assumptions!$H$27,Y$552&lt;Assumptions!$H$29),'S&amp;U'!$J8/ROUNDUP(Assumptions!$H$28/12,0),IF(AND(Y$552&gt;=Assumptions!$H$29,Y$552&lt;Assumptions!$H$31),'S&amp;U'!$J40/ROUNDUP(Assumptions!$H$30/12,0),0))</f>
        <v>0</v>
      </c>
      <c r="Z554" s="83">
        <f>+IF(AND(Z$552&gt;=Assumptions!$H$27,Z$552&lt;Assumptions!$H$29),'S&amp;U'!$J8/ROUNDUP(Assumptions!$H$28/12,0),IF(AND(Z$552&gt;=Assumptions!$H$29,Z$552&lt;Assumptions!$H$31),'S&amp;U'!$J40/ROUNDUP(Assumptions!$H$30/12,0),0))</f>
        <v>0</v>
      </c>
    </row>
    <row r="555" spans="1:26" ht="15.75">
      <c r="A555" s="699"/>
      <c r="B555" s="699" t="s">
        <v>344</v>
      </c>
      <c r="C555" s="49"/>
      <c r="D555" s="94">
        <f t="shared" ca="1" si="265"/>
        <v>259853383.11158872</v>
      </c>
      <c r="E555" s="94"/>
      <c r="F555" s="83">
        <f>+IF(AND(F$552&gt;=Assumptions!$H$27,F$552&lt;Assumptions!$H$29),'S&amp;U'!$J9/ROUNDUP(Assumptions!$H$28/12,0),IF(AND(F$552&gt;=Assumptions!$H$29,F$552&lt;Assumptions!$H$31),'S&amp;U'!$J41/ROUNDUP(Assumptions!$H$30/12,0),0))</f>
        <v>837403.94611875352</v>
      </c>
      <c r="G555" s="83">
        <f ca="1">+IF(AND(G$552&gt;=Assumptions!$H$27,G$552&lt;Assumptions!$H$29),'S&amp;U'!$J9/ROUNDUP(Assumptions!$H$28/12,0),IF(AND(G$552&gt;=Assumptions!$H$29,G$552&lt;Assumptions!$H$31),'S&amp;U'!$J41/ROUNDUP(Assumptions!$H$30/12,0),0))</f>
        <v>129507989.58273499</v>
      </c>
      <c r="H555" s="83">
        <f ca="1">+IF(AND(H$552&gt;=Assumptions!$H$27,H$552&lt;Assumptions!$H$29),'S&amp;U'!$J9/ROUNDUP(Assumptions!$H$28/12,0),IF(AND(H$552&gt;=Assumptions!$H$29,H$552&lt;Assumptions!$H$31),'S&amp;U'!$J41/ROUNDUP(Assumptions!$H$30/12,0),0))</f>
        <v>129507989.58273499</v>
      </c>
      <c r="I555" s="83">
        <f>+IF(AND(I$552&gt;=Assumptions!$H$27,I$552&lt;Assumptions!$H$29),'S&amp;U'!$J9/ROUNDUP(Assumptions!$H$28/12,0),IF(AND(I$552&gt;=Assumptions!$H$29,I$552&lt;Assumptions!$H$31),'S&amp;U'!$J41/ROUNDUP(Assumptions!$H$30/12,0),0))</f>
        <v>0</v>
      </c>
      <c r="J555" s="83">
        <f>+IF(AND(J$552&gt;=Assumptions!$H$27,J$552&lt;Assumptions!$H$29),'S&amp;U'!$J9/ROUNDUP(Assumptions!$H$28/12,0),IF(AND(J$552&gt;=Assumptions!$H$29,J$552&lt;Assumptions!$H$31),'S&amp;U'!$J41/ROUNDUP(Assumptions!$H$30/12,0),0))</f>
        <v>0</v>
      </c>
      <c r="K555" s="83">
        <f>+IF(AND(K$552&gt;=Assumptions!$H$27,K$552&lt;Assumptions!$H$29),'S&amp;U'!$J9/ROUNDUP(Assumptions!$H$28/12,0),IF(AND(K$552&gt;=Assumptions!$H$29,K$552&lt;Assumptions!$H$31),'S&amp;U'!$J41/ROUNDUP(Assumptions!$H$30/12,0),0))</f>
        <v>0</v>
      </c>
      <c r="L555" s="83">
        <f>+IF(AND(L$552&gt;=Assumptions!$H$27,L$552&lt;Assumptions!$H$29),'S&amp;U'!$J9/ROUNDUP(Assumptions!$H$28/12,0),IF(AND(L$552&gt;=Assumptions!$H$29,L$552&lt;Assumptions!$H$31),'S&amp;U'!$J41/ROUNDUP(Assumptions!$H$30/12,0),0))</f>
        <v>0</v>
      </c>
      <c r="M555" s="83">
        <f>+IF(AND(M$552&gt;=Assumptions!$H$27,M$552&lt;Assumptions!$H$29),'S&amp;U'!$J9/ROUNDUP(Assumptions!$H$28/12,0),IF(AND(M$552&gt;=Assumptions!$H$29,M$552&lt;Assumptions!$H$31),'S&amp;U'!$J41/ROUNDUP(Assumptions!$H$30/12,0),0))</f>
        <v>0</v>
      </c>
      <c r="N555" s="83">
        <f>+IF(AND(N$552&gt;=Assumptions!$H$27,N$552&lt;Assumptions!$H$29),'S&amp;U'!$J9/ROUNDUP(Assumptions!$H$28/12,0),IF(AND(N$552&gt;=Assumptions!$H$29,N$552&lt;Assumptions!$H$31),'S&amp;U'!$J41/ROUNDUP(Assumptions!$H$30/12,0),0))</f>
        <v>0</v>
      </c>
      <c r="O555" s="83">
        <f>+IF(AND(O$552&gt;=Assumptions!$H$27,O$552&lt;Assumptions!$H$29),'S&amp;U'!$J9/ROUNDUP(Assumptions!$H$28/12,0),IF(AND(O$552&gt;=Assumptions!$H$29,O$552&lt;Assumptions!$H$31),'S&amp;U'!$J41/ROUNDUP(Assumptions!$H$30/12,0),0))</f>
        <v>0</v>
      </c>
      <c r="P555" s="83">
        <f>+IF(AND(P$552&gt;=Assumptions!$H$27,P$552&lt;Assumptions!$H$29),'S&amp;U'!$J9/ROUNDUP(Assumptions!$H$28/12,0),IF(AND(P$552&gt;=Assumptions!$H$29,P$552&lt;Assumptions!$H$31),'S&amp;U'!$J41/ROUNDUP(Assumptions!$H$30/12,0),0))</f>
        <v>0</v>
      </c>
      <c r="Q555" s="83">
        <f>+IF(AND(Q$552&gt;=Assumptions!$H$27,Q$552&lt;Assumptions!$H$29),'S&amp;U'!$J9/ROUNDUP(Assumptions!$H$28/12,0),IF(AND(Q$552&gt;=Assumptions!$H$29,Q$552&lt;Assumptions!$H$31),'S&amp;U'!$J41/ROUNDUP(Assumptions!$H$30/12,0),0))</f>
        <v>0</v>
      </c>
      <c r="R555" s="83">
        <f>+IF(AND(R$552&gt;=Assumptions!$H$27,R$552&lt;Assumptions!$H$29),'S&amp;U'!$J9/ROUNDUP(Assumptions!$H$28/12,0),IF(AND(R$552&gt;=Assumptions!$H$29,R$552&lt;Assumptions!$H$31),'S&amp;U'!$J41/ROUNDUP(Assumptions!$H$30/12,0),0))</f>
        <v>0</v>
      </c>
      <c r="S555" s="83">
        <f>+IF(AND(S$552&gt;=Assumptions!$H$27,S$552&lt;Assumptions!$H$29),'S&amp;U'!$J9/ROUNDUP(Assumptions!$H$28/12,0),IF(AND(S$552&gt;=Assumptions!$H$29,S$552&lt;Assumptions!$H$31),'S&amp;U'!$J41/ROUNDUP(Assumptions!$H$30/12,0),0))</f>
        <v>0</v>
      </c>
      <c r="T555" s="83">
        <f>+IF(AND(T$552&gt;=Assumptions!$H$27,T$552&lt;Assumptions!$H$29),'S&amp;U'!$J9/ROUNDUP(Assumptions!$H$28/12,0),IF(AND(T$552&gt;=Assumptions!$H$29,T$552&lt;Assumptions!$H$31),'S&amp;U'!$J41/ROUNDUP(Assumptions!$H$30/12,0),0))</f>
        <v>0</v>
      </c>
      <c r="U555" s="83">
        <f>+IF(AND(U$552&gt;=Assumptions!$H$27,U$552&lt;Assumptions!$H$29),'S&amp;U'!$J9/ROUNDUP(Assumptions!$H$28/12,0),IF(AND(U$552&gt;=Assumptions!$H$29,U$552&lt;Assumptions!$H$31),'S&amp;U'!$J41/ROUNDUP(Assumptions!$H$30/12,0),0))</f>
        <v>0</v>
      </c>
      <c r="V555" s="83">
        <f>+IF(AND(V$552&gt;=Assumptions!$H$27,V$552&lt;Assumptions!$H$29),'S&amp;U'!$J9/ROUNDUP(Assumptions!$H$28/12,0),IF(AND(V$552&gt;=Assumptions!$H$29,V$552&lt;Assumptions!$H$31),'S&amp;U'!$J41/ROUNDUP(Assumptions!$H$30/12,0),0))</f>
        <v>0</v>
      </c>
      <c r="W555" s="83">
        <f>+IF(AND(W$552&gt;=Assumptions!$H$27,W$552&lt;Assumptions!$H$29),'S&amp;U'!$J9/ROUNDUP(Assumptions!$H$28/12,0),IF(AND(W$552&gt;=Assumptions!$H$29,W$552&lt;Assumptions!$H$31),'S&amp;U'!$J41/ROUNDUP(Assumptions!$H$30/12,0),0))</f>
        <v>0</v>
      </c>
      <c r="X555" s="83">
        <f>+IF(AND(X$552&gt;=Assumptions!$H$27,X$552&lt;Assumptions!$H$29),'S&amp;U'!$J9/ROUNDUP(Assumptions!$H$28/12,0),IF(AND(X$552&gt;=Assumptions!$H$29,X$552&lt;Assumptions!$H$31),'S&amp;U'!$J41/ROUNDUP(Assumptions!$H$30/12,0),0))</f>
        <v>0</v>
      </c>
      <c r="Y555" s="83">
        <f>+IF(AND(Y$552&gt;=Assumptions!$H$27,Y$552&lt;Assumptions!$H$29),'S&amp;U'!$J9/ROUNDUP(Assumptions!$H$28/12,0),IF(AND(Y$552&gt;=Assumptions!$H$29,Y$552&lt;Assumptions!$H$31),'S&amp;U'!$J41/ROUNDUP(Assumptions!$H$30/12,0),0))</f>
        <v>0</v>
      </c>
      <c r="Z555" s="83">
        <f>+IF(AND(Z$552&gt;=Assumptions!$H$27,Z$552&lt;Assumptions!$H$29),'S&amp;U'!$J9/ROUNDUP(Assumptions!$H$28/12,0),IF(AND(Z$552&gt;=Assumptions!$H$29,Z$552&lt;Assumptions!$H$31),'S&amp;U'!$J41/ROUNDUP(Assumptions!$H$30/12,0),0))</f>
        <v>0</v>
      </c>
    </row>
    <row r="556" spans="1:26" ht="15.75">
      <c r="A556" s="699" t="s">
        <v>511</v>
      </c>
      <c r="B556" s="699" t="s">
        <v>345</v>
      </c>
      <c r="C556" s="49"/>
      <c r="D556" s="94">
        <f t="shared" ca="1" si="265"/>
        <v>60322144.417115763</v>
      </c>
      <c r="E556" s="94"/>
      <c r="F556" s="83">
        <f ca="1">+IF(AND(F$552&gt;=Assumptions!$H$27,F$552&lt;Assumptions!$H$29),'S&amp;U'!$J10/ROUNDUP(Assumptions!$H$28/12,0),IF(AND(F$552&gt;=Assumptions!$H$29,F$552&lt;Assumptions!$H$31),'S&amp;U'!$J42/ROUNDUP(Assumptions!$H$30/12,0),0))</f>
        <v>60322144.417115763</v>
      </c>
      <c r="G556" s="83">
        <f ca="1">+IF(AND(G$552&gt;=Assumptions!$H$27,G$552&lt;Assumptions!$H$29),'S&amp;U'!$J10/ROUNDUP(Assumptions!$H$28/12,0),IF(AND(G$552&gt;=Assumptions!$H$29,G$552&lt;Assumptions!$H$31),'S&amp;U'!$J42/ROUNDUP(Assumptions!$H$30/12,0),0))</f>
        <v>0</v>
      </c>
      <c r="H556" s="83">
        <f ca="1">+IF(AND(H$552&gt;=Assumptions!$H$27,H$552&lt;Assumptions!$H$29),'S&amp;U'!$J10/ROUNDUP(Assumptions!$H$28/12,0),IF(AND(H$552&gt;=Assumptions!$H$29,H$552&lt;Assumptions!$H$31),'S&amp;U'!$J42/ROUNDUP(Assumptions!$H$30/12,0),0))</f>
        <v>0</v>
      </c>
      <c r="I556" s="83">
        <f>+IF(AND(I$552&gt;=Assumptions!$H$27,I$552&lt;Assumptions!$H$29),'S&amp;U'!$J10/ROUNDUP(Assumptions!$H$28/12,0),IF(AND(I$552&gt;=Assumptions!$H$29,I$552&lt;Assumptions!$H$31),'S&amp;U'!$J42/ROUNDUP(Assumptions!$H$30/12,0),0))</f>
        <v>0</v>
      </c>
      <c r="J556" s="83">
        <f>+IF(AND(J$552&gt;=Assumptions!$H$27,J$552&lt;Assumptions!$H$29),'S&amp;U'!$J10/ROUNDUP(Assumptions!$H$28/12,0),IF(AND(J$552&gt;=Assumptions!$H$29,J$552&lt;Assumptions!$H$31),'S&amp;U'!$J42/ROUNDUP(Assumptions!$H$30/12,0),0))</f>
        <v>0</v>
      </c>
      <c r="K556" s="83">
        <f>+IF(AND(K$552&gt;=Assumptions!$H$27,K$552&lt;Assumptions!$H$29),'S&amp;U'!$J10/ROUNDUP(Assumptions!$H$28/12,0),IF(AND(K$552&gt;=Assumptions!$H$29,K$552&lt;Assumptions!$H$31),'S&amp;U'!$J42/ROUNDUP(Assumptions!$H$30/12,0),0))</f>
        <v>0</v>
      </c>
      <c r="L556" s="83">
        <f>+IF(AND(L$552&gt;=Assumptions!$H$27,L$552&lt;Assumptions!$H$29),'S&amp;U'!$J10/ROUNDUP(Assumptions!$H$28/12,0),IF(AND(L$552&gt;=Assumptions!$H$29,L$552&lt;Assumptions!$H$31),'S&amp;U'!$J42/ROUNDUP(Assumptions!$H$30/12,0),0))</f>
        <v>0</v>
      </c>
      <c r="M556" s="83">
        <f>+IF(AND(M$552&gt;=Assumptions!$H$27,M$552&lt;Assumptions!$H$29),'S&amp;U'!$J10/ROUNDUP(Assumptions!$H$28/12,0),IF(AND(M$552&gt;=Assumptions!$H$29,M$552&lt;Assumptions!$H$31),'S&amp;U'!$J42/ROUNDUP(Assumptions!$H$30/12,0),0))</f>
        <v>0</v>
      </c>
      <c r="N556" s="83">
        <f>+IF(AND(N$552&gt;=Assumptions!$H$27,N$552&lt;Assumptions!$H$29),'S&amp;U'!$J10/ROUNDUP(Assumptions!$H$28/12,0),IF(AND(N$552&gt;=Assumptions!$H$29,N$552&lt;Assumptions!$H$31),'S&amp;U'!$J42/ROUNDUP(Assumptions!$H$30/12,0),0))</f>
        <v>0</v>
      </c>
      <c r="O556" s="83">
        <f>+IF(AND(O$552&gt;=Assumptions!$H$27,O$552&lt;Assumptions!$H$29),'S&amp;U'!$J10/ROUNDUP(Assumptions!$H$28/12,0),IF(AND(O$552&gt;=Assumptions!$H$29,O$552&lt;Assumptions!$H$31),'S&amp;U'!$J42/ROUNDUP(Assumptions!$H$30/12,0),0))</f>
        <v>0</v>
      </c>
      <c r="P556" s="83">
        <f>+IF(AND(P$552&gt;=Assumptions!$H$27,P$552&lt;Assumptions!$H$29),'S&amp;U'!$J10/ROUNDUP(Assumptions!$H$28/12,0),IF(AND(P$552&gt;=Assumptions!$H$29,P$552&lt;Assumptions!$H$31),'S&amp;U'!$J42/ROUNDUP(Assumptions!$H$30/12,0),0))</f>
        <v>0</v>
      </c>
      <c r="Q556" s="83">
        <f>+IF(AND(Q$552&gt;=Assumptions!$H$27,Q$552&lt;Assumptions!$H$29),'S&amp;U'!$J10/ROUNDUP(Assumptions!$H$28/12,0),IF(AND(Q$552&gt;=Assumptions!$H$29,Q$552&lt;Assumptions!$H$31),'S&amp;U'!$J42/ROUNDUP(Assumptions!$H$30/12,0),0))</f>
        <v>0</v>
      </c>
      <c r="R556" s="83">
        <f>+IF(AND(R$552&gt;=Assumptions!$H$27,R$552&lt;Assumptions!$H$29),'S&amp;U'!$J10/ROUNDUP(Assumptions!$H$28/12,0),IF(AND(R$552&gt;=Assumptions!$H$29,R$552&lt;Assumptions!$H$31),'S&amp;U'!$J42/ROUNDUP(Assumptions!$H$30/12,0),0))</f>
        <v>0</v>
      </c>
      <c r="S556" s="83">
        <f>+IF(AND(S$552&gt;=Assumptions!$H$27,S$552&lt;Assumptions!$H$29),'S&amp;U'!$J10/ROUNDUP(Assumptions!$H$28/12,0),IF(AND(S$552&gt;=Assumptions!$H$29,S$552&lt;Assumptions!$H$31),'S&amp;U'!$J42/ROUNDUP(Assumptions!$H$30/12,0),0))</f>
        <v>0</v>
      </c>
      <c r="T556" s="83">
        <f>+IF(AND(T$552&gt;=Assumptions!$H$27,T$552&lt;Assumptions!$H$29),'S&amp;U'!$J10/ROUNDUP(Assumptions!$H$28/12,0),IF(AND(T$552&gt;=Assumptions!$H$29,T$552&lt;Assumptions!$H$31),'S&amp;U'!$J42/ROUNDUP(Assumptions!$H$30/12,0),0))</f>
        <v>0</v>
      </c>
      <c r="U556" s="83">
        <f>+IF(AND(U$552&gt;=Assumptions!$H$27,U$552&lt;Assumptions!$H$29),'S&amp;U'!$J10/ROUNDUP(Assumptions!$H$28/12,0),IF(AND(U$552&gt;=Assumptions!$H$29,U$552&lt;Assumptions!$H$31),'S&amp;U'!$J42/ROUNDUP(Assumptions!$H$30/12,0),0))</f>
        <v>0</v>
      </c>
      <c r="V556" s="83">
        <f>+IF(AND(V$552&gt;=Assumptions!$H$27,V$552&lt;Assumptions!$H$29),'S&amp;U'!$J10/ROUNDUP(Assumptions!$H$28/12,0),IF(AND(V$552&gt;=Assumptions!$H$29,V$552&lt;Assumptions!$H$31),'S&amp;U'!$J42/ROUNDUP(Assumptions!$H$30/12,0),0))</f>
        <v>0</v>
      </c>
      <c r="W556" s="83">
        <f>+IF(AND(W$552&gt;=Assumptions!$H$27,W$552&lt;Assumptions!$H$29),'S&amp;U'!$J10/ROUNDUP(Assumptions!$H$28/12,0),IF(AND(W$552&gt;=Assumptions!$H$29,W$552&lt;Assumptions!$H$31),'S&amp;U'!$J42/ROUNDUP(Assumptions!$H$30/12,0),0))</f>
        <v>0</v>
      </c>
      <c r="X556" s="83">
        <f>+IF(AND(X$552&gt;=Assumptions!$H$27,X$552&lt;Assumptions!$H$29),'S&amp;U'!$J10/ROUNDUP(Assumptions!$H$28/12,0),IF(AND(X$552&gt;=Assumptions!$H$29,X$552&lt;Assumptions!$H$31),'S&amp;U'!$J42/ROUNDUP(Assumptions!$H$30/12,0),0))</f>
        <v>0</v>
      </c>
      <c r="Y556" s="83">
        <f>+IF(AND(Y$552&gt;=Assumptions!$H$27,Y$552&lt;Assumptions!$H$29),'S&amp;U'!$J10/ROUNDUP(Assumptions!$H$28/12,0),IF(AND(Y$552&gt;=Assumptions!$H$29,Y$552&lt;Assumptions!$H$31),'S&amp;U'!$J42/ROUNDUP(Assumptions!$H$30/12,0),0))</f>
        <v>0</v>
      </c>
      <c r="Z556" s="83">
        <f>+IF(AND(Z$552&gt;=Assumptions!$H$27,Z$552&lt;Assumptions!$H$29),'S&amp;U'!$J10/ROUNDUP(Assumptions!$H$28/12,0),IF(AND(Z$552&gt;=Assumptions!$H$29,Z$552&lt;Assumptions!$H$31),'S&amp;U'!$J42/ROUNDUP(Assumptions!$H$30/12,0),0))</f>
        <v>0</v>
      </c>
    </row>
    <row r="557" spans="1:26" ht="15.75">
      <c r="A557" s="699"/>
      <c r="B557" s="699" t="s">
        <v>347</v>
      </c>
      <c r="C557" s="49"/>
      <c r="D557" s="94">
        <f t="shared" ca="1" si="265"/>
        <v>11975147.834710708</v>
      </c>
      <c r="E557" s="94"/>
      <c r="F557" s="83">
        <f>+IF(AND(F$552&gt;=Assumptions!$H$27,F$552&lt;Assumptions!$H$29),'S&amp;U'!$J11/ROUNDUP(Assumptions!$H$28/12,0),IF(AND(F$552&gt;=Assumptions!$H$29,F$552&lt;Assumptions!$H$31),'S&amp;U'!$J43/ROUNDUP(Assumptions!$H$30/12,0),0))</f>
        <v>0</v>
      </c>
      <c r="G557" s="83">
        <f ca="1">+IF(AND(G$552&gt;=Assumptions!$H$27,G$552&lt;Assumptions!$H$29),'S&amp;U'!$J11/ROUNDUP(Assumptions!$H$28/12,0),IF(AND(G$552&gt;=Assumptions!$H$29,G$552&lt;Assumptions!$H$31),'S&amp;U'!$J43/ROUNDUP(Assumptions!$H$30/12,0),0))</f>
        <v>5987573.9173553539</v>
      </c>
      <c r="H557" s="83">
        <f ca="1">+IF(AND(H$552&gt;=Assumptions!$H$27,H$552&lt;Assumptions!$H$29),'S&amp;U'!$J11/ROUNDUP(Assumptions!$H$28/12,0),IF(AND(H$552&gt;=Assumptions!$H$29,H$552&lt;Assumptions!$H$31),'S&amp;U'!$J43/ROUNDUP(Assumptions!$H$30/12,0),0))</f>
        <v>5987573.9173553539</v>
      </c>
      <c r="I557" s="83">
        <f>+IF(AND(I$552&gt;=Assumptions!$H$27,I$552&lt;Assumptions!$H$29),'S&amp;U'!$J11/ROUNDUP(Assumptions!$H$28/12,0),IF(AND(I$552&gt;=Assumptions!$H$29,I$552&lt;Assumptions!$H$31),'S&amp;U'!$J43/ROUNDUP(Assumptions!$H$30/12,0),0))</f>
        <v>0</v>
      </c>
      <c r="J557" s="83">
        <f>+IF(AND(J$552&gt;=Assumptions!$H$27,J$552&lt;Assumptions!$H$29),'S&amp;U'!$J11/ROUNDUP(Assumptions!$H$28/12,0),IF(AND(J$552&gt;=Assumptions!$H$29,J$552&lt;Assumptions!$H$31),'S&amp;U'!$J43/ROUNDUP(Assumptions!$H$30/12,0),0))</f>
        <v>0</v>
      </c>
      <c r="K557" s="83">
        <f>+IF(AND(K$552&gt;=Assumptions!$H$27,K$552&lt;Assumptions!$H$29),'S&amp;U'!$J11/ROUNDUP(Assumptions!$H$28/12,0),IF(AND(K$552&gt;=Assumptions!$H$29,K$552&lt;Assumptions!$H$31),'S&amp;U'!$J43/ROUNDUP(Assumptions!$H$30/12,0),0))</f>
        <v>0</v>
      </c>
      <c r="L557" s="83">
        <f>+IF(AND(L$552&gt;=Assumptions!$H$27,L$552&lt;Assumptions!$H$29),'S&amp;U'!$J11/ROUNDUP(Assumptions!$H$28/12,0),IF(AND(L$552&gt;=Assumptions!$H$29,L$552&lt;Assumptions!$H$31),'S&amp;U'!$J43/ROUNDUP(Assumptions!$H$30/12,0),0))</f>
        <v>0</v>
      </c>
      <c r="M557" s="83">
        <f>+IF(AND(M$552&gt;=Assumptions!$H$27,M$552&lt;Assumptions!$H$29),'S&amp;U'!$J11/ROUNDUP(Assumptions!$H$28/12,0),IF(AND(M$552&gt;=Assumptions!$H$29,M$552&lt;Assumptions!$H$31),'S&amp;U'!$J43/ROUNDUP(Assumptions!$H$30/12,0),0))</f>
        <v>0</v>
      </c>
      <c r="N557" s="83">
        <f>+IF(AND(N$552&gt;=Assumptions!$H$27,N$552&lt;Assumptions!$H$29),'S&amp;U'!$J11/ROUNDUP(Assumptions!$H$28/12,0),IF(AND(N$552&gt;=Assumptions!$H$29,N$552&lt;Assumptions!$H$31),'S&amp;U'!$J43/ROUNDUP(Assumptions!$H$30/12,0),0))</f>
        <v>0</v>
      </c>
      <c r="O557" s="83">
        <f>+IF(AND(O$552&gt;=Assumptions!$H$27,O$552&lt;Assumptions!$H$29),'S&amp;U'!$J11/ROUNDUP(Assumptions!$H$28/12,0),IF(AND(O$552&gt;=Assumptions!$H$29,O$552&lt;Assumptions!$H$31),'S&amp;U'!$J43/ROUNDUP(Assumptions!$H$30/12,0),0))</f>
        <v>0</v>
      </c>
      <c r="P557" s="83">
        <f>+IF(AND(P$552&gt;=Assumptions!$H$27,P$552&lt;Assumptions!$H$29),'S&amp;U'!$J11/ROUNDUP(Assumptions!$H$28/12,0),IF(AND(P$552&gt;=Assumptions!$H$29,P$552&lt;Assumptions!$H$31),'S&amp;U'!$J43/ROUNDUP(Assumptions!$H$30/12,0),0))</f>
        <v>0</v>
      </c>
      <c r="Q557" s="83">
        <f>+IF(AND(Q$552&gt;=Assumptions!$H$27,Q$552&lt;Assumptions!$H$29),'S&amp;U'!$J11/ROUNDUP(Assumptions!$H$28/12,0),IF(AND(Q$552&gt;=Assumptions!$H$29,Q$552&lt;Assumptions!$H$31),'S&amp;U'!$J43/ROUNDUP(Assumptions!$H$30/12,0),0))</f>
        <v>0</v>
      </c>
      <c r="R557" s="83">
        <f>+IF(AND(R$552&gt;=Assumptions!$H$27,R$552&lt;Assumptions!$H$29),'S&amp;U'!$J11/ROUNDUP(Assumptions!$H$28/12,0),IF(AND(R$552&gt;=Assumptions!$H$29,R$552&lt;Assumptions!$H$31),'S&amp;U'!$J43/ROUNDUP(Assumptions!$H$30/12,0),0))</f>
        <v>0</v>
      </c>
      <c r="S557" s="83">
        <f>+IF(AND(S$552&gt;=Assumptions!$H$27,S$552&lt;Assumptions!$H$29),'S&amp;U'!$J11/ROUNDUP(Assumptions!$H$28/12,0),IF(AND(S$552&gt;=Assumptions!$H$29,S$552&lt;Assumptions!$H$31),'S&amp;U'!$J43/ROUNDUP(Assumptions!$H$30/12,0),0))</f>
        <v>0</v>
      </c>
      <c r="T557" s="83">
        <f>+IF(AND(T$552&gt;=Assumptions!$H$27,T$552&lt;Assumptions!$H$29),'S&amp;U'!$J11/ROUNDUP(Assumptions!$H$28/12,0),IF(AND(T$552&gt;=Assumptions!$H$29,T$552&lt;Assumptions!$H$31),'S&amp;U'!$J43/ROUNDUP(Assumptions!$H$30/12,0),0))</f>
        <v>0</v>
      </c>
      <c r="U557" s="83">
        <f>+IF(AND(U$552&gt;=Assumptions!$H$27,U$552&lt;Assumptions!$H$29),'S&amp;U'!$J11/ROUNDUP(Assumptions!$H$28/12,0),IF(AND(U$552&gt;=Assumptions!$H$29,U$552&lt;Assumptions!$H$31),'S&amp;U'!$J43/ROUNDUP(Assumptions!$H$30/12,0),0))</f>
        <v>0</v>
      </c>
      <c r="V557" s="83">
        <f>+IF(AND(V$552&gt;=Assumptions!$H$27,V$552&lt;Assumptions!$H$29),'S&amp;U'!$J11/ROUNDUP(Assumptions!$H$28/12,0),IF(AND(V$552&gt;=Assumptions!$H$29,V$552&lt;Assumptions!$H$31),'S&amp;U'!$J43/ROUNDUP(Assumptions!$H$30/12,0),0))</f>
        <v>0</v>
      </c>
      <c r="W557" s="83">
        <f>+IF(AND(W$552&gt;=Assumptions!$H$27,W$552&lt;Assumptions!$H$29),'S&amp;U'!$J11/ROUNDUP(Assumptions!$H$28/12,0),IF(AND(W$552&gt;=Assumptions!$H$29,W$552&lt;Assumptions!$H$31),'S&amp;U'!$J43/ROUNDUP(Assumptions!$H$30/12,0),0))</f>
        <v>0</v>
      </c>
      <c r="X557" s="83">
        <f>+IF(AND(X$552&gt;=Assumptions!$H$27,X$552&lt;Assumptions!$H$29),'S&amp;U'!$J11/ROUNDUP(Assumptions!$H$28/12,0),IF(AND(X$552&gt;=Assumptions!$H$29,X$552&lt;Assumptions!$H$31),'S&amp;U'!$J43/ROUNDUP(Assumptions!$H$30/12,0),0))</f>
        <v>0</v>
      </c>
      <c r="Y557" s="83">
        <f>+IF(AND(Y$552&gt;=Assumptions!$H$27,Y$552&lt;Assumptions!$H$29),'S&amp;U'!$J11/ROUNDUP(Assumptions!$H$28/12,0),IF(AND(Y$552&gt;=Assumptions!$H$29,Y$552&lt;Assumptions!$H$31),'S&amp;U'!$J43/ROUNDUP(Assumptions!$H$30/12,0),0))</f>
        <v>0</v>
      </c>
      <c r="Z557" s="83">
        <f>+IF(AND(Z$552&gt;=Assumptions!$H$27,Z$552&lt;Assumptions!$H$29),'S&amp;U'!$J11/ROUNDUP(Assumptions!$H$28/12,0),IF(AND(Z$552&gt;=Assumptions!$H$29,Z$552&lt;Assumptions!$H$31),'S&amp;U'!$J43/ROUNDUP(Assumptions!$H$30/12,0),0))</f>
        <v>0</v>
      </c>
    </row>
    <row r="558" spans="1:26" ht="15.75">
      <c r="A558" s="699"/>
      <c r="B558" s="699" t="s">
        <v>348</v>
      </c>
      <c r="C558" s="49"/>
      <c r="D558" s="94">
        <f t="shared" ca="1" si="265"/>
        <v>8196273.7082984075</v>
      </c>
      <c r="E558" s="94"/>
      <c r="F558" s="83">
        <f>+IF(AND(F$552&gt;=Assumptions!$H$27,F$552&lt;Assumptions!$H$29),'S&amp;U'!$J12/ROUNDUP(Assumptions!$H$28/12,0),IF(AND(F$552&gt;=Assumptions!$H$29,F$552&lt;Assumptions!$H$31),'S&amp;U'!$J44/ROUNDUP(Assumptions!$H$30/12,0),0))</f>
        <v>0</v>
      </c>
      <c r="G558" s="83">
        <f ca="1">+IF(AND(G$552&gt;=Assumptions!$H$27,G$552&lt;Assumptions!$H$29),'S&amp;U'!$J12/ROUNDUP(Assumptions!$H$28/12,0),IF(AND(G$552&gt;=Assumptions!$H$29,G$552&lt;Assumptions!$H$31),'S&amp;U'!$J44/ROUNDUP(Assumptions!$H$30/12,0),0))</f>
        <v>4098136.8541492037</v>
      </c>
      <c r="H558" s="83">
        <f ca="1">+IF(AND(H$552&gt;=Assumptions!$H$27,H$552&lt;Assumptions!$H$29),'S&amp;U'!$J12/ROUNDUP(Assumptions!$H$28/12,0),IF(AND(H$552&gt;=Assumptions!$H$29,H$552&lt;Assumptions!$H$31),'S&amp;U'!$J44/ROUNDUP(Assumptions!$H$30/12,0),0))</f>
        <v>4098136.8541492037</v>
      </c>
      <c r="I558" s="83">
        <f>+IF(AND(I$552&gt;=Assumptions!$H$27,I$552&lt;Assumptions!$H$29),'S&amp;U'!$J12/ROUNDUP(Assumptions!$H$28/12,0),IF(AND(I$552&gt;=Assumptions!$H$29,I$552&lt;Assumptions!$H$31),'S&amp;U'!$J44/ROUNDUP(Assumptions!$H$30/12,0),0))</f>
        <v>0</v>
      </c>
      <c r="J558" s="83">
        <f>+IF(AND(J$552&gt;=Assumptions!$H$27,J$552&lt;Assumptions!$H$29),'S&amp;U'!$J12/ROUNDUP(Assumptions!$H$28/12,0),IF(AND(J$552&gt;=Assumptions!$H$29,J$552&lt;Assumptions!$H$31),'S&amp;U'!$J44/ROUNDUP(Assumptions!$H$30/12,0),0))</f>
        <v>0</v>
      </c>
      <c r="K558" s="83">
        <f>+IF(AND(K$552&gt;=Assumptions!$H$27,K$552&lt;Assumptions!$H$29),'S&amp;U'!$J12/ROUNDUP(Assumptions!$H$28/12,0),IF(AND(K$552&gt;=Assumptions!$H$29,K$552&lt;Assumptions!$H$31),'S&amp;U'!$J44/ROUNDUP(Assumptions!$H$30/12,0),0))</f>
        <v>0</v>
      </c>
      <c r="L558" s="83">
        <f>+IF(AND(L$552&gt;=Assumptions!$H$27,L$552&lt;Assumptions!$H$29),'S&amp;U'!$J12/ROUNDUP(Assumptions!$H$28/12,0),IF(AND(L$552&gt;=Assumptions!$H$29,L$552&lt;Assumptions!$H$31),'S&amp;U'!$J44/ROUNDUP(Assumptions!$H$30/12,0),0))</f>
        <v>0</v>
      </c>
      <c r="M558" s="83">
        <f>+IF(AND(M$552&gt;=Assumptions!$H$27,M$552&lt;Assumptions!$H$29),'S&amp;U'!$J12/ROUNDUP(Assumptions!$H$28/12,0),IF(AND(M$552&gt;=Assumptions!$H$29,M$552&lt;Assumptions!$H$31),'S&amp;U'!$J44/ROUNDUP(Assumptions!$H$30/12,0),0))</f>
        <v>0</v>
      </c>
      <c r="N558" s="83">
        <f>+IF(AND(N$552&gt;=Assumptions!$H$27,N$552&lt;Assumptions!$H$29),'S&amp;U'!$J12/ROUNDUP(Assumptions!$H$28/12,0),IF(AND(N$552&gt;=Assumptions!$H$29,N$552&lt;Assumptions!$H$31),'S&amp;U'!$J44/ROUNDUP(Assumptions!$H$30/12,0),0))</f>
        <v>0</v>
      </c>
      <c r="O558" s="83">
        <f>+IF(AND(O$552&gt;=Assumptions!$H$27,O$552&lt;Assumptions!$H$29),'S&amp;U'!$J12/ROUNDUP(Assumptions!$H$28/12,0),IF(AND(O$552&gt;=Assumptions!$H$29,O$552&lt;Assumptions!$H$31),'S&amp;U'!$J44/ROUNDUP(Assumptions!$H$30/12,0),0))</f>
        <v>0</v>
      </c>
      <c r="P558" s="83">
        <f>+IF(AND(P$552&gt;=Assumptions!$H$27,P$552&lt;Assumptions!$H$29),'S&amp;U'!$J12/ROUNDUP(Assumptions!$H$28/12,0),IF(AND(P$552&gt;=Assumptions!$H$29,P$552&lt;Assumptions!$H$31),'S&amp;U'!$J44/ROUNDUP(Assumptions!$H$30/12,0),0))</f>
        <v>0</v>
      </c>
      <c r="Q558" s="83">
        <f>+IF(AND(Q$552&gt;=Assumptions!$H$27,Q$552&lt;Assumptions!$H$29),'S&amp;U'!$J12/ROUNDUP(Assumptions!$H$28/12,0),IF(AND(Q$552&gt;=Assumptions!$H$29,Q$552&lt;Assumptions!$H$31),'S&amp;U'!$J44/ROUNDUP(Assumptions!$H$30/12,0),0))</f>
        <v>0</v>
      </c>
      <c r="R558" s="83">
        <f>+IF(AND(R$552&gt;=Assumptions!$H$27,R$552&lt;Assumptions!$H$29),'S&amp;U'!$J12/ROUNDUP(Assumptions!$H$28/12,0),IF(AND(R$552&gt;=Assumptions!$H$29,R$552&lt;Assumptions!$H$31),'S&amp;U'!$J44/ROUNDUP(Assumptions!$H$30/12,0),0))</f>
        <v>0</v>
      </c>
      <c r="S558" s="83">
        <f>+IF(AND(S$552&gt;=Assumptions!$H$27,S$552&lt;Assumptions!$H$29),'S&amp;U'!$J12/ROUNDUP(Assumptions!$H$28/12,0),IF(AND(S$552&gt;=Assumptions!$H$29,S$552&lt;Assumptions!$H$31),'S&amp;U'!$J44/ROUNDUP(Assumptions!$H$30/12,0),0))</f>
        <v>0</v>
      </c>
      <c r="T558" s="83">
        <f>+IF(AND(T$552&gt;=Assumptions!$H$27,T$552&lt;Assumptions!$H$29),'S&amp;U'!$J12/ROUNDUP(Assumptions!$H$28/12,0),IF(AND(T$552&gt;=Assumptions!$H$29,T$552&lt;Assumptions!$H$31),'S&amp;U'!$J44/ROUNDUP(Assumptions!$H$30/12,0),0))</f>
        <v>0</v>
      </c>
      <c r="U558" s="83">
        <f>+IF(AND(U$552&gt;=Assumptions!$H$27,U$552&lt;Assumptions!$H$29),'S&amp;U'!$J12/ROUNDUP(Assumptions!$H$28/12,0),IF(AND(U$552&gt;=Assumptions!$H$29,U$552&lt;Assumptions!$H$31),'S&amp;U'!$J44/ROUNDUP(Assumptions!$H$30/12,0),0))</f>
        <v>0</v>
      </c>
      <c r="V558" s="83">
        <f>+IF(AND(V$552&gt;=Assumptions!$H$27,V$552&lt;Assumptions!$H$29),'S&amp;U'!$J12/ROUNDUP(Assumptions!$H$28/12,0),IF(AND(V$552&gt;=Assumptions!$H$29,V$552&lt;Assumptions!$H$31),'S&amp;U'!$J44/ROUNDUP(Assumptions!$H$30/12,0),0))</f>
        <v>0</v>
      </c>
      <c r="W558" s="83">
        <f>+IF(AND(W$552&gt;=Assumptions!$H$27,W$552&lt;Assumptions!$H$29),'S&amp;U'!$J12/ROUNDUP(Assumptions!$H$28/12,0),IF(AND(W$552&gt;=Assumptions!$H$29,W$552&lt;Assumptions!$H$31),'S&amp;U'!$J44/ROUNDUP(Assumptions!$H$30/12,0),0))</f>
        <v>0</v>
      </c>
      <c r="X558" s="83">
        <f>+IF(AND(X$552&gt;=Assumptions!$H$27,X$552&lt;Assumptions!$H$29),'S&amp;U'!$J12/ROUNDUP(Assumptions!$H$28/12,0),IF(AND(X$552&gt;=Assumptions!$H$29,X$552&lt;Assumptions!$H$31),'S&amp;U'!$J44/ROUNDUP(Assumptions!$H$30/12,0),0))</f>
        <v>0</v>
      </c>
      <c r="Y558" s="83">
        <f>+IF(AND(Y$552&gt;=Assumptions!$H$27,Y$552&lt;Assumptions!$H$29),'S&amp;U'!$J12/ROUNDUP(Assumptions!$H$28/12,0),IF(AND(Y$552&gt;=Assumptions!$H$29,Y$552&lt;Assumptions!$H$31),'S&amp;U'!$J44/ROUNDUP(Assumptions!$H$30/12,0),0))</f>
        <v>0</v>
      </c>
      <c r="Z558" s="83">
        <f>+IF(AND(Z$552&gt;=Assumptions!$H$27,Z$552&lt;Assumptions!$H$29),'S&amp;U'!$J12/ROUNDUP(Assumptions!$H$28/12,0),IF(AND(Z$552&gt;=Assumptions!$H$29,Z$552&lt;Assumptions!$H$31),'S&amp;U'!$J44/ROUNDUP(Assumptions!$H$30/12,0),0))</f>
        <v>0</v>
      </c>
    </row>
    <row r="559" spans="1:26" ht="15.75">
      <c r="A559" s="699"/>
      <c r="B559" s="699" t="s">
        <v>349</v>
      </c>
      <c r="C559" s="49"/>
      <c r="D559" s="94">
        <f t="shared" ca="1" si="265"/>
        <v>14154099.402868543</v>
      </c>
      <c r="E559" s="94"/>
      <c r="F559" s="83">
        <f ca="1">+IF(AND(F$552&gt;=Assumptions!$H$27,F$552&lt;Assumptions!$H$29),'S&amp;U'!$J13/ROUNDUP(Assumptions!$H$28/12,0),IF(AND(F$552&gt;=Assumptions!$H$29,F$552&lt;Assumptions!$H$33),'S&amp;U'!$J45/ROUNDUP((Assumptions!$H$30+Assumptions!$H$32)/12,0),0))</f>
        <v>14154099.402868543</v>
      </c>
      <c r="G559" s="83">
        <f ca="1">+IF(AND(G$552&gt;=Assumptions!$H$27,G$552&lt;Assumptions!$H$29),'S&amp;U'!$J13/ROUNDUP(Assumptions!$H$28/12,0),IF(AND(G$552&gt;=Assumptions!$H$29,G$552&lt;Assumptions!$H$33),'S&amp;U'!$J45/ROUNDUP((Assumptions!$H$30+Assumptions!$H$32)/12,0),0))</f>
        <v>0</v>
      </c>
      <c r="H559" s="83">
        <f ca="1">+IF(AND(H$552&gt;=Assumptions!$H$27,H$552&lt;Assumptions!$H$29),'S&amp;U'!$J13/ROUNDUP(Assumptions!$H$28/12,0),IF(AND(H$552&gt;=Assumptions!$H$29,H$552&lt;Assumptions!$H$33),'S&amp;U'!$J45/ROUNDUP((Assumptions!$H$30+Assumptions!$H$32)/12,0),0))</f>
        <v>0</v>
      </c>
      <c r="I559" s="83">
        <f ca="1">+IF(AND(I$552&gt;=Assumptions!$H$27,I$552&lt;Assumptions!$H$29),'S&amp;U'!$J13/ROUNDUP(Assumptions!$H$28/12,0),IF(AND(I$552&gt;=Assumptions!$H$29,I$552&lt;Assumptions!$H$33),'S&amp;U'!$J45/ROUNDUP((Assumptions!$H$30+Assumptions!$H$32)/12,0),0))</f>
        <v>0</v>
      </c>
      <c r="J559" s="83">
        <f ca="1">+IF(AND(J$552&gt;=Assumptions!$H$27,J$552&lt;Assumptions!$H$29),'S&amp;U'!$J13/ROUNDUP(Assumptions!$H$28/12,0),IF(AND(J$552&gt;=Assumptions!$H$29,J$552&lt;Assumptions!$H$33),'S&amp;U'!$J45/ROUNDUP((Assumptions!$H$30+Assumptions!$H$32)/12,0),0))</f>
        <v>0</v>
      </c>
      <c r="K559" s="83">
        <f>+IF(AND(K$552&gt;=Assumptions!$H$27,K$552&lt;Assumptions!$H$29),'S&amp;U'!$J13/ROUNDUP(Assumptions!$H$28/12,0),IF(AND(K$552&gt;=Assumptions!$H$29,K$552&lt;Assumptions!$H$33),'S&amp;U'!$J45/ROUNDUP((Assumptions!$H$30+Assumptions!$H$32)/12,0),0))</f>
        <v>0</v>
      </c>
      <c r="L559" s="83">
        <f>+IF(AND(L$552&gt;=Assumptions!$H$27,L$552&lt;Assumptions!$H$29),'S&amp;U'!$J13/ROUNDUP(Assumptions!$H$28/12,0),IF(AND(L$552&gt;=Assumptions!$H$29,L$552&lt;Assumptions!$H$33),'S&amp;U'!$J45/ROUNDUP((Assumptions!$H$30+Assumptions!$H$32)/12,0),0))</f>
        <v>0</v>
      </c>
      <c r="M559" s="83">
        <f>+IF(AND(M$552&gt;=Assumptions!$H$27,M$552&lt;Assumptions!$H$29),'S&amp;U'!$J13/ROUNDUP(Assumptions!$H$28/12,0),IF(AND(M$552&gt;=Assumptions!$H$29,M$552&lt;Assumptions!$H$33),'S&amp;U'!$J45/ROUNDUP((Assumptions!$H$30+Assumptions!$H$32)/12,0),0))</f>
        <v>0</v>
      </c>
      <c r="N559" s="83">
        <f>+IF(AND(N$552&gt;=Assumptions!$H$27,N$552&lt;Assumptions!$H$29),'S&amp;U'!$J13/ROUNDUP(Assumptions!$H$28/12,0),IF(AND(N$552&gt;=Assumptions!$H$29,N$552&lt;Assumptions!$H$33),'S&amp;U'!$J45/ROUNDUP((Assumptions!$H$30+Assumptions!$H$32)/12,0),0))</f>
        <v>0</v>
      </c>
      <c r="O559" s="83">
        <f>+IF(AND(O$552&gt;=Assumptions!$H$27,O$552&lt;Assumptions!$H$29),'S&amp;U'!$J13/ROUNDUP(Assumptions!$H$28/12,0),IF(AND(O$552&gt;=Assumptions!$H$29,O$552&lt;Assumptions!$H$33),'S&amp;U'!$J45/ROUNDUP((Assumptions!$H$30+Assumptions!$H$32)/12,0),0))</f>
        <v>0</v>
      </c>
      <c r="P559" s="83">
        <f>+IF(AND(P$552&gt;=Assumptions!$H$27,P$552&lt;Assumptions!$H$29),'S&amp;U'!$J13/ROUNDUP(Assumptions!$H$28/12,0),IF(AND(P$552&gt;=Assumptions!$H$29,P$552&lt;Assumptions!$H$33),'S&amp;U'!$J45/ROUNDUP((Assumptions!$H$30+Assumptions!$H$32)/12,0),0))</f>
        <v>0</v>
      </c>
      <c r="Q559" s="83">
        <f>+IF(AND(Q$552&gt;=Assumptions!$H$27,Q$552&lt;Assumptions!$H$29),'S&amp;U'!$J13/ROUNDUP(Assumptions!$H$28/12,0),IF(AND(Q$552&gt;=Assumptions!$H$29,Q$552&lt;Assumptions!$H$33),'S&amp;U'!$J45/ROUNDUP((Assumptions!$H$30+Assumptions!$H$32)/12,0),0))</f>
        <v>0</v>
      </c>
      <c r="R559" s="83">
        <f>+IF(AND(R$552&gt;=Assumptions!$H$27,R$552&lt;Assumptions!$H$29),'S&amp;U'!$J13/ROUNDUP(Assumptions!$H$28/12,0),IF(AND(R$552&gt;=Assumptions!$H$29,R$552&lt;Assumptions!$H$33),'S&amp;U'!$J45/ROUNDUP((Assumptions!$H$30+Assumptions!$H$32)/12,0),0))</f>
        <v>0</v>
      </c>
      <c r="S559" s="83">
        <f>+IF(AND(S$552&gt;=Assumptions!$H$27,S$552&lt;Assumptions!$H$29),'S&amp;U'!$J13/ROUNDUP(Assumptions!$H$28/12,0),IF(AND(S$552&gt;=Assumptions!$H$29,S$552&lt;Assumptions!$H$33),'S&amp;U'!$J45/ROUNDUP((Assumptions!$H$30+Assumptions!$H$32)/12,0),0))</f>
        <v>0</v>
      </c>
      <c r="T559" s="83">
        <f>+IF(AND(T$552&gt;=Assumptions!$H$27,T$552&lt;Assumptions!$H$29),'S&amp;U'!$J13/ROUNDUP(Assumptions!$H$28/12,0),IF(AND(T$552&gt;=Assumptions!$H$29,T$552&lt;Assumptions!$H$33),'S&amp;U'!$J45/ROUNDUP((Assumptions!$H$30+Assumptions!$H$32)/12,0),0))</f>
        <v>0</v>
      </c>
      <c r="U559" s="83">
        <f>+IF(AND(U$552&gt;=Assumptions!$H$27,U$552&lt;Assumptions!$H$29),'S&amp;U'!$J13/ROUNDUP(Assumptions!$H$28/12,0),IF(AND(U$552&gt;=Assumptions!$H$29,U$552&lt;Assumptions!$H$33),'S&amp;U'!$J45/ROUNDUP((Assumptions!$H$30+Assumptions!$H$32)/12,0),0))</f>
        <v>0</v>
      </c>
      <c r="V559" s="83">
        <f>+IF(AND(V$552&gt;=Assumptions!$H$27,V$552&lt;Assumptions!$H$29),'S&amp;U'!$J13/ROUNDUP(Assumptions!$H$28/12,0),IF(AND(V$552&gt;=Assumptions!$H$29,V$552&lt;Assumptions!$H$33),'S&amp;U'!$J45/ROUNDUP((Assumptions!$H$30+Assumptions!$H$32)/12,0),0))</f>
        <v>0</v>
      </c>
      <c r="W559" s="83">
        <f>+IF(AND(W$552&gt;=Assumptions!$H$27,W$552&lt;Assumptions!$H$29),'S&amp;U'!$J13/ROUNDUP(Assumptions!$H$28/12,0),IF(AND(W$552&gt;=Assumptions!$H$29,W$552&lt;Assumptions!$H$33),'S&amp;U'!$J45/ROUNDUP((Assumptions!$H$30+Assumptions!$H$32)/12,0),0))</f>
        <v>0</v>
      </c>
      <c r="X559" s="83">
        <f>+IF(AND(X$552&gt;=Assumptions!$H$27,X$552&lt;Assumptions!$H$29),'S&amp;U'!$J13/ROUNDUP(Assumptions!$H$28/12,0),IF(AND(X$552&gt;=Assumptions!$H$29,X$552&lt;Assumptions!$H$33),'S&amp;U'!$J45/ROUNDUP((Assumptions!$H$30+Assumptions!$H$32)/12,0),0))</f>
        <v>0</v>
      </c>
      <c r="Y559" s="83">
        <f>+IF(AND(Y$552&gt;=Assumptions!$H$27,Y$552&lt;Assumptions!$H$29),'S&amp;U'!$J13/ROUNDUP(Assumptions!$H$28/12,0),IF(AND(Y$552&gt;=Assumptions!$H$29,Y$552&lt;Assumptions!$H$33),'S&amp;U'!$J45/ROUNDUP((Assumptions!$H$30+Assumptions!$H$32)/12,0),0))</f>
        <v>0</v>
      </c>
      <c r="Z559" s="83">
        <f>+IF(AND(Z$552&gt;=Assumptions!$H$27,Z$552&lt;Assumptions!$H$29),'S&amp;U'!$J13/ROUNDUP(Assumptions!$H$28/12,0),IF(AND(Z$552&gt;=Assumptions!$H$29,Z$552&lt;Assumptions!$H$33),'S&amp;U'!$J45/ROUNDUP((Assumptions!$H$30+Assumptions!$H$32)/12,0),0))</f>
        <v>0</v>
      </c>
    </row>
    <row r="560" spans="1:26" ht="15.75">
      <c r="A560" s="699"/>
      <c r="B560" s="50" t="s">
        <v>1192</v>
      </c>
      <c r="C560" s="50"/>
      <c r="D560" s="55">
        <f t="shared" ca="1" si="265"/>
        <v>376209422.86552858</v>
      </c>
      <c r="E560" s="55"/>
      <c r="F560" s="55">
        <f ca="1">+SUM(F553:F559)</f>
        <v>97022022.157049507</v>
      </c>
      <c r="G560" s="55">
        <f t="shared" ref="G560:Z560" ca="1" si="266">+SUM(G553:G559)</f>
        <v>139593700.35423952</v>
      </c>
      <c r="H560" s="55">
        <f t="shared" ca="1" si="266"/>
        <v>139593700.35423952</v>
      </c>
      <c r="I560" s="55">
        <f t="shared" ca="1" si="266"/>
        <v>0</v>
      </c>
      <c r="J560" s="55">
        <f t="shared" ca="1" si="266"/>
        <v>0</v>
      </c>
      <c r="K560" s="55">
        <f t="shared" si="266"/>
        <v>0</v>
      </c>
      <c r="L560" s="55">
        <f t="shared" si="266"/>
        <v>0</v>
      </c>
      <c r="M560" s="55">
        <f t="shared" si="266"/>
        <v>0</v>
      </c>
      <c r="N560" s="55">
        <f t="shared" si="266"/>
        <v>0</v>
      </c>
      <c r="O560" s="55">
        <f t="shared" si="266"/>
        <v>0</v>
      </c>
      <c r="P560" s="55">
        <f t="shared" si="266"/>
        <v>0</v>
      </c>
      <c r="Q560" s="55">
        <f t="shared" si="266"/>
        <v>0</v>
      </c>
      <c r="R560" s="55">
        <f t="shared" si="266"/>
        <v>0</v>
      </c>
      <c r="S560" s="55">
        <f t="shared" si="266"/>
        <v>0</v>
      </c>
      <c r="T560" s="55">
        <f t="shared" si="266"/>
        <v>0</v>
      </c>
      <c r="U560" s="55">
        <f t="shared" si="266"/>
        <v>0</v>
      </c>
      <c r="V560" s="55">
        <f t="shared" si="266"/>
        <v>0</v>
      </c>
      <c r="W560" s="55">
        <f t="shared" si="266"/>
        <v>0</v>
      </c>
      <c r="X560" s="55">
        <f t="shared" si="266"/>
        <v>0</v>
      </c>
      <c r="Y560" s="55">
        <f t="shared" si="266"/>
        <v>0</v>
      </c>
      <c r="Z560" s="55">
        <f t="shared" si="266"/>
        <v>0</v>
      </c>
    </row>
    <row r="561" spans="2:26">
      <c r="B561" s="49"/>
      <c r="C561" s="49"/>
      <c r="D561" s="49"/>
      <c r="E561" s="49"/>
      <c r="F561" s="49"/>
      <c r="G561" s="49"/>
      <c r="H561" s="49"/>
      <c r="I561" s="49"/>
      <c r="J561" s="49"/>
      <c r="K561" s="49"/>
      <c r="L561" s="49"/>
      <c r="M561" s="49"/>
      <c r="N561" s="49"/>
      <c r="O561" s="49"/>
      <c r="P561" s="49"/>
      <c r="Q561" s="49"/>
      <c r="R561" s="49"/>
      <c r="S561" s="49"/>
      <c r="T561" s="49"/>
      <c r="U561" s="49"/>
      <c r="V561" s="49"/>
      <c r="W561" s="49"/>
      <c r="X561" s="49"/>
      <c r="Y561" s="49"/>
      <c r="Z561" s="49"/>
    </row>
    <row r="562" spans="2:26" ht="15.75">
      <c r="B562" s="112" t="s">
        <v>1193</v>
      </c>
      <c r="C562" s="49"/>
      <c r="D562" s="49"/>
      <c r="E562" s="49"/>
      <c r="F562" s="148">
        <f>+Assumptions!$H$27</f>
        <v>47118</v>
      </c>
      <c r="G562" s="148">
        <f>+EOMONTH(F562,12)</f>
        <v>47483</v>
      </c>
      <c r="H562" s="148">
        <f t="shared" ref="H562:Z562" si="267">+EOMONTH(G562,12)</f>
        <v>47848</v>
      </c>
      <c r="I562" s="148">
        <f t="shared" si="267"/>
        <v>48213</v>
      </c>
      <c r="J562" s="148">
        <f t="shared" si="267"/>
        <v>48579</v>
      </c>
      <c r="K562" s="148">
        <f t="shared" si="267"/>
        <v>48944</v>
      </c>
      <c r="L562" s="148">
        <f t="shared" si="267"/>
        <v>49309</v>
      </c>
      <c r="M562" s="148">
        <f t="shared" si="267"/>
        <v>49674</v>
      </c>
      <c r="N562" s="148">
        <f t="shared" si="267"/>
        <v>50040</v>
      </c>
      <c r="O562" s="148">
        <f t="shared" si="267"/>
        <v>50405</v>
      </c>
      <c r="P562" s="148">
        <f t="shared" si="267"/>
        <v>50770</v>
      </c>
      <c r="Q562" s="148">
        <f t="shared" si="267"/>
        <v>51135</v>
      </c>
      <c r="R562" s="148">
        <f t="shared" si="267"/>
        <v>51501</v>
      </c>
      <c r="S562" s="148">
        <f t="shared" si="267"/>
        <v>51866</v>
      </c>
      <c r="T562" s="148">
        <f t="shared" si="267"/>
        <v>52231</v>
      </c>
      <c r="U562" s="148">
        <f t="shared" si="267"/>
        <v>52596</v>
      </c>
      <c r="V562" s="148">
        <f t="shared" si="267"/>
        <v>52962</v>
      </c>
      <c r="W562" s="148">
        <f t="shared" si="267"/>
        <v>53327</v>
      </c>
      <c r="X562" s="148">
        <f t="shared" si="267"/>
        <v>53692</v>
      </c>
      <c r="Y562" s="148">
        <f t="shared" si="267"/>
        <v>54057</v>
      </c>
      <c r="Z562" s="148">
        <f t="shared" si="267"/>
        <v>54423</v>
      </c>
    </row>
    <row r="563" spans="2:26" ht="15.75">
      <c r="B563" s="699" t="s">
        <v>1194</v>
      </c>
      <c r="C563" s="49"/>
      <c r="D563" s="94">
        <f ca="1">+SUM(F563:Z563)</f>
        <v>146154194.28912181</v>
      </c>
      <c r="E563" s="94"/>
      <c r="F563" s="83">
        <f ca="1">+MIN('S&amp;U'!$J23-SUM($E563:E563),F$560)</f>
        <v>97022022.157049507</v>
      </c>
      <c r="G563" s="83">
        <f ca="1">+MIN('S&amp;U'!$J23-SUM($E563:F563),G$560)</f>
        <v>49132172.1320723</v>
      </c>
      <c r="H563" s="83">
        <f ca="1">+MIN('S&amp;U'!$J23-SUM($E563:G563),H$560)</f>
        <v>0</v>
      </c>
      <c r="I563" s="83">
        <f ca="1">+MIN('S&amp;U'!$J23-SUM($E563:H563),I$560)</f>
        <v>0</v>
      </c>
      <c r="J563" s="83">
        <f ca="1">+MIN('S&amp;U'!$J23-SUM($E563:I563),J$560)</f>
        <v>0</v>
      </c>
      <c r="K563" s="83">
        <f ca="1">+MIN('S&amp;U'!$J23-SUM($E563:J563),K$560)</f>
        <v>0</v>
      </c>
      <c r="L563" s="83">
        <f ca="1">+MIN('S&amp;U'!$J23-SUM($E563:K563),L$560)</f>
        <v>0</v>
      </c>
      <c r="M563" s="83">
        <f ca="1">+MIN('S&amp;U'!$J23-SUM($E563:L563),M$560)</f>
        <v>0</v>
      </c>
      <c r="N563" s="83">
        <f ca="1">+MIN('S&amp;U'!$J23-SUM($E563:M563),N$560)</f>
        <v>0</v>
      </c>
      <c r="O563" s="83">
        <f ca="1">+MIN('S&amp;U'!$J23-SUM($E563:N563),O$560)</f>
        <v>0</v>
      </c>
      <c r="P563" s="83">
        <f ca="1">+MIN('S&amp;U'!$J23-SUM($E563:O563),P$560)</f>
        <v>0</v>
      </c>
      <c r="Q563" s="83">
        <f ca="1">+MIN('S&amp;U'!$J23-SUM($E563:P563),Q$560)</f>
        <v>0</v>
      </c>
      <c r="R563" s="83">
        <f ca="1">+MIN('S&amp;U'!$J23-SUM($E563:Q563),R$560)</f>
        <v>0</v>
      </c>
      <c r="S563" s="83">
        <f ca="1">+MIN('S&amp;U'!$J23-SUM($E563:R563),S$560)</f>
        <v>0</v>
      </c>
      <c r="T563" s="83">
        <f ca="1">+MIN('S&amp;U'!$J23-SUM($E563:S563),T$560)</f>
        <v>0</v>
      </c>
      <c r="U563" s="83">
        <f ca="1">+MIN('S&amp;U'!$J23-SUM($E563:T563),U$560)</f>
        <v>0</v>
      </c>
      <c r="V563" s="83">
        <f ca="1">+MIN('S&amp;U'!$J23-SUM($E563:U563),V$560)</f>
        <v>0</v>
      </c>
      <c r="W563" s="83">
        <f ca="1">+MIN('S&amp;U'!$J23-SUM($E563:V563),W$560)</f>
        <v>0</v>
      </c>
      <c r="X563" s="83">
        <f ca="1">+MIN('S&amp;U'!$J23-SUM($E563:W563),X$560)</f>
        <v>0</v>
      </c>
      <c r="Y563" s="83">
        <f ca="1">+MIN('S&amp;U'!$J23-SUM($E563:X563),Y$560)</f>
        <v>0</v>
      </c>
      <c r="Z563" s="83">
        <f ca="1">+MIN('S&amp;U'!$J23-SUM($E563:Y563),Z$560)</f>
        <v>0</v>
      </c>
    </row>
    <row r="564" spans="2:26" ht="15.75" hidden="1">
      <c r="B564" s="699" t="s">
        <v>146</v>
      </c>
      <c r="C564" s="49"/>
      <c r="D564" s="94">
        <f t="shared" ref="D564:D569" ca="1" si="268">+SUM(F564:Z564)</f>
        <v>0</v>
      </c>
      <c r="E564" s="94"/>
      <c r="F564" s="83">
        <f ca="1">+MIN('S&amp;U'!$J19-SUM($E564:E564),F$560-SUM(F$563:F563))</f>
        <v>0</v>
      </c>
      <c r="G564" s="83">
        <f ca="1">+MIN('S&amp;U'!$J19-SUM($E564:F564),G$560-SUM(G$563:G563))</f>
        <v>0</v>
      </c>
      <c r="H564" s="83">
        <f ca="1">+MIN('S&amp;U'!$J19-SUM($E564:G564),H$560-SUM(H$563:H563))</f>
        <v>0</v>
      </c>
      <c r="I564" s="83">
        <f ca="1">+MIN('S&amp;U'!$J19-SUM($E564:H564),I$560-SUM(I$563:I563))</f>
        <v>0</v>
      </c>
      <c r="J564" s="83">
        <f ca="1">+MIN('S&amp;U'!$J19-SUM($E564:I564),J$560-SUM(J$563:J563))</f>
        <v>0</v>
      </c>
      <c r="K564" s="83">
        <f ca="1">+MIN('S&amp;U'!$J19-SUM($E564:J564),K$560-SUM(K$563:K563))</f>
        <v>0</v>
      </c>
      <c r="L564" s="83">
        <f ca="1">+MIN('S&amp;U'!$J19-SUM($E564:K564),L$560-SUM(L$563:L563))</f>
        <v>0</v>
      </c>
      <c r="M564" s="83">
        <f ca="1">+MIN('S&amp;U'!$J19-SUM($E564:L564),M$560-SUM(M$563:M563))</f>
        <v>0</v>
      </c>
      <c r="N564" s="83">
        <f ca="1">+MIN('S&amp;U'!$J19-SUM($E564:M564),N$560-SUM(N$563:N563))</f>
        <v>0</v>
      </c>
      <c r="O564" s="83">
        <f ca="1">+MIN('S&amp;U'!$J19-SUM($E564:N564),O$560-SUM(O$563:O563))</f>
        <v>0</v>
      </c>
      <c r="P564" s="83">
        <f ca="1">+MIN('S&amp;U'!$J19-SUM($E564:O564),P$560-SUM(P$563:P563))</f>
        <v>0</v>
      </c>
      <c r="Q564" s="83">
        <f ca="1">+MIN('S&amp;U'!$J19-SUM($E564:P564),Q$560-SUM(Q$563:Q563))</f>
        <v>0</v>
      </c>
      <c r="R564" s="83">
        <f ca="1">+MIN('S&amp;U'!$J19-SUM($E564:Q564),R$560-SUM(R$563:R563))</f>
        <v>0</v>
      </c>
      <c r="S564" s="83">
        <f ca="1">+MIN('S&amp;U'!$J19-SUM($E564:R564),S$560-SUM(S$563:S563))</f>
        <v>0</v>
      </c>
      <c r="T564" s="83">
        <f ca="1">+MIN('S&amp;U'!$J19-SUM($E564:S564),T$560-SUM(T$563:T563))</f>
        <v>0</v>
      </c>
      <c r="U564" s="83">
        <f ca="1">+MIN('S&amp;U'!$J19-SUM($E564:T564),U$560-SUM(U$563:U563))</f>
        <v>0</v>
      </c>
      <c r="V564" s="83">
        <f ca="1">+MIN('S&amp;U'!$J19-SUM($E564:U564),V$560-SUM(V$563:V563))</f>
        <v>0</v>
      </c>
      <c r="W564" s="83">
        <f ca="1">+MIN('S&amp;U'!$J19-SUM($E564:V564),W$560-SUM(W$563:W563))</f>
        <v>0</v>
      </c>
      <c r="X564" s="83">
        <f ca="1">+MIN('S&amp;U'!$J19-SUM($E564:W564),X$560-SUM(X$563:X563))</f>
        <v>0</v>
      </c>
      <c r="Y564" s="83">
        <f ca="1">+MIN('S&amp;U'!$J19-SUM($E564:X564),Y$560-SUM(Y$563:Y563))</f>
        <v>0</v>
      </c>
      <c r="Z564" s="83">
        <f ca="1">+MIN('S&amp;U'!$J19-SUM($E564:Y564),Z$560-SUM(Z$563:Z563))</f>
        <v>0</v>
      </c>
    </row>
    <row r="565" spans="2:26" ht="15.75">
      <c r="B565" s="699" t="s">
        <v>1195</v>
      </c>
      <c r="C565" s="49"/>
      <c r="D565" s="94">
        <f t="shared" ca="1" si="268"/>
        <v>56106706.023558073</v>
      </c>
      <c r="E565" s="94"/>
      <c r="F565" s="83">
        <f ca="1">+MIN('S&amp;U'!$J20-SUM($E565:E565),F$560-SUM(F$563:F564))</f>
        <v>0</v>
      </c>
      <c r="G565" s="83">
        <f ca="1">+MIN('S&amp;U'!$J20-SUM($E565:F565),G$560-SUM(G$563:G564))</f>
        <v>56106706.023558073</v>
      </c>
      <c r="H565" s="83">
        <f ca="1">+MIN('S&amp;U'!$J20-SUM($E565:G565),H$560-SUM(H$563:H564))</f>
        <v>0</v>
      </c>
      <c r="I565" s="83">
        <f ca="1">+MIN('S&amp;U'!$J20-SUM($E565:H565),I$560-SUM(I$563:I564))</f>
        <v>0</v>
      </c>
      <c r="J565" s="83">
        <f ca="1">+MIN('S&amp;U'!$J20-SUM($E565:I565),J$560-SUM(J$563:J564))</f>
        <v>0</v>
      </c>
      <c r="K565" s="83">
        <f ca="1">+MIN('S&amp;U'!$J20-SUM($E565:J565),K$560-SUM(K$563:K564))</f>
        <v>0</v>
      </c>
      <c r="L565" s="83">
        <f ca="1">+MIN('S&amp;U'!$J20-SUM($E565:K565),L$560-SUM(L$563:L564))</f>
        <v>0</v>
      </c>
      <c r="M565" s="83">
        <f ca="1">+MIN('S&amp;U'!$J20-SUM($E565:L565),M$560-SUM(M$563:M564))</f>
        <v>0</v>
      </c>
      <c r="N565" s="83">
        <f ca="1">+MIN('S&amp;U'!$J20-SUM($E565:M565),N$560-SUM(N$563:N564))</f>
        <v>0</v>
      </c>
      <c r="O565" s="83">
        <f ca="1">+MIN('S&amp;U'!$J20-SUM($E565:N565),O$560-SUM(O$563:O564))</f>
        <v>0</v>
      </c>
      <c r="P565" s="83">
        <f ca="1">+MIN('S&amp;U'!$J20-SUM($E565:O565),P$560-SUM(P$563:P564))</f>
        <v>0</v>
      </c>
      <c r="Q565" s="83">
        <f ca="1">+MIN('S&amp;U'!$J20-SUM($E565:P565),Q$560-SUM(Q$563:Q564))</f>
        <v>0</v>
      </c>
      <c r="R565" s="83">
        <f ca="1">+MIN('S&amp;U'!$J20-SUM($E565:Q565),R$560-SUM(R$563:R564))</f>
        <v>0</v>
      </c>
      <c r="S565" s="83">
        <f ca="1">+MIN('S&amp;U'!$J20-SUM($E565:R565),S$560-SUM(S$563:S564))</f>
        <v>0</v>
      </c>
      <c r="T565" s="83">
        <f ca="1">+MIN('S&amp;U'!$J20-SUM($E565:S565),T$560-SUM(T$563:T564))</f>
        <v>0</v>
      </c>
      <c r="U565" s="83">
        <f ca="1">+MIN('S&amp;U'!$J20-SUM($E565:T565),U$560-SUM(U$563:U564))</f>
        <v>0</v>
      </c>
      <c r="V565" s="83">
        <f ca="1">+MIN('S&amp;U'!$J20-SUM($E565:U565),V$560-SUM(V$563:V564))</f>
        <v>0</v>
      </c>
      <c r="W565" s="83">
        <f ca="1">+MIN('S&amp;U'!$J20-SUM($E565:V565),W$560-SUM(W$563:W564))</f>
        <v>0</v>
      </c>
      <c r="X565" s="83">
        <f ca="1">+MIN('S&amp;U'!$J20-SUM($E565:W565),X$560-SUM(X$563:X564))</f>
        <v>0</v>
      </c>
      <c r="Y565" s="83">
        <f ca="1">+MIN('S&amp;U'!$J20-SUM($E565:X565),Y$560-SUM(Y$563:Y564))</f>
        <v>0</v>
      </c>
      <c r="Z565" s="83">
        <f ca="1">+MIN('S&amp;U'!$J20-SUM($E565:Y565),Z$560-SUM(Z$563:Z564))</f>
        <v>0</v>
      </c>
    </row>
    <row r="566" spans="2:26" ht="15.75">
      <c r="B566" s="699" t="s">
        <v>1196</v>
      </c>
      <c r="C566" s="49"/>
      <c r="D566" s="94">
        <f t="shared" ca="1" si="268"/>
        <v>0</v>
      </c>
      <c r="E566" s="94"/>
      <c r="F566" s="83">
        <f ca="1">+MIN('S&amp;U'!$J21-SUM($E566:E566),F$560-SUM(F$563:F565))</f>
        <v>0</v>
      </c>
      <c r="G566" s="83">
        <f ca="1">+MIN('S&amp;U'!$J21-SUM($E566:F566),G$560-SUM(G$563:G565))</f>
        <v>0</v>
      </c>
      <c r="H566" s="83">
        <f ca="1">+MIN('S&amp;U'!$J21-SUM($E566:G566),H$560-SUM(H$563:H565))</f>
        <v>0</v>
      </c>
      <c r="I566" s="83">
        <f ca="1">+MIN('S&amp;U'!$J21-SUM($E566:H566),I$560-SUM(I$563:I565))</f>
        <v>0</v>
      </c>
      <c r="J566" s="83">
        <f ca="1">+MIN('S&amp;U'!$J21-SUM($E566:I566),J$560-SUM(J$563:J565))</f>
        <v>0</v>
      </c>
      <c r="K566" s="83">
        <f ca="1">+MIN('S&amp;U'!$J21-SUM($E566:J566),K$560-SUM(K$563:K565))</f>
        <v>0</v>
      </c>
      <c r="L566" s="83">
        <f ca="1">+MIN('S&amp;U'!$J21-SUM($E566:K566),L$560-SUM(L$563:L565))</f>
        <v>0</v>
      </c>
      <c r="M566" s="83">
        <f ca="1">+MIN('S&amp;U'!$J21-SUM($E566:L566),M$560-SUM(M$563:M565))</f>
        <v>0</v>
      </c>
      <c r="N566" s="83">
        <f ca="1">+MIN('S&amp;U'!$J21-SUM($E566:M566),N$560-SUM(N$563:N565))</f>
        <v>0</v>
      </c>
      <c r="O566" s="83">
        <f ca="1">+MIN('S&amp;U'!$J21-SUM($E566:N566),O$560-SUM(O$563:O565))</f>
        <v>0</v>
      </c>
      <c r="P566" s="83">
        <f ca="1">+MIN('S&amp;U'!$J21-SUM($E566:O566),P$560-SUM(P$563:P565))</f>
        <v>0</v>
      </c>
      <c r="Q566" s="83">
        <f ca="1">+MIN('S&amp;U'!$J21-SUM($E566:P566),Q$560-SUM(Q$563:Q565))</f>
        <v>0</v>
      </c>
      <c r="R566" s="83">
        <f ca="1">+MIN('S&amp;U'!$J21-SUM($E566:Q566),R$560-SUM(R$563:R565))</f>
        <v>0</v>
      </c>
      <c r="S566" s="83">
        <f ca="1">+MIN('S&amp;U'!$J21-SUM($E566:R566),S$560-SUM(S$563:S565))</f>
        <v>0</v>
      </c>
      <c r="T566" s="83">
        <f ca="1">+MIN('S&amp;U'!$J21-SUM($E566:S566),T$560-SUM(T$563:T565))</f>
        <v>0</v>
      </c>
      <c r="U566" s="83">
        <f ca="1">+MIN('S&amp;U'!$J21-SUM($E566:T566),U$560-SUM(U$563:U565))</f>
        <v>0</v>
      </c>
      <c r="V566" s="83">
        <f ca="1">+MIN('S&amp;U'!$J21-SUM($E566:U566),V$560-SUM(V$563:V565))</f>
        <v>0</v>
      </c>
      <c r="W566" s="83">
        <f ca="1">+MIN('S&amp;U'!$J21-SUM($E566:V566),W$560-SUM(W$563:W565))</f>
        <v>0</v>
      </c>
      <c r="X566" s="83">
        <f ca="1">+MIN('S&amp;U'!$J21-SUM($E566:W566),X$560-SUM(X$563:X565))</f>
        <v>0</v>
      </c>
      <c r="Y566" s="83">
        <f ca="1">+MIN('S&amp;U'!$J21-SUM($E566:X566),Y$560-SUM(Y$563:Y565))</f>
        <v>0</v>
      </c>
      <c r="Z566" s="83">
        <f ca="1">+MIN('S&amp;U'!$J21-SUM($E566:Y566),Z$560-SUM(Z$563:Z565))</f>
        <v>0</v>
      </c>
    </row>
    <row r="567" spans="2:26" ht="15.75">
      <c r="B567" s="699" t="s">
        <v>1197</v>
      </c>
      <c r="C567" s="49"/>
      <c r="D567" s="94">
        <f t="shared" ca="1" si="268"/>
        <v>0</v>
      </c>
      <c r="E567" s="94"/>
      <c r="F567" s="83">
        <f ca="1">+MIN('S&amp;U'!$J22-SUM($E567:E567),F$560-SUM(F$563:F566))</f>
        <v>0</v>
      </c>
      <c r="G567" s="83">
        <f ca="1">+MIN('S&amp;U'!$J22-SUM($E567:F567),G$560-SUM(G$563:G566))</f>
        <v>0</v>
      </c>
      <c r="H567" s="83">
        <f ca="1">+MIN('S&amp;U'!$J22-SUM($E567:G567),H$560-SUM(H$563:H566))</f>
        <v>0</v>
      </c>
      <c r="I567" s="83">
        <f ca="1">+MIN('S&amp;U'!$J22-SUM($E567:H567),I$560-SUM(I$563:I566))</f>
        <v>0</v>
      </c>
      <c r="J567" s="83">
        <f ca="1">+MIN('S&amp;U'!$J22-SUM($E567:I567),J$560-SUM(J$563:J566))</f>
        <v>0</v>
      </c>
      <c r="K567" s="83">
        <f ca="1">+MIN('S&amp;U'!$J22-SUM($E567:J567),K$560-SUM(K$563:K566))</f>
        <v>0</v>
      </c>
      <c r="L567" s="83">
        <f ca="1">+MIN('S&amp;U'!$J22-SUM($E567:K567),L$560-SUM(L$563:L566))</f>
        <v>0</v>
      </c>
      <c r="M567" s="83">
        <f ca="1">+MIN('S&amp;U'!$J22-SUM($E567:L567),M$560-SUM(M$563:M566))</f>
        <v>0</v>
      </c>
      <c r="N567" s="83">
        <f ca="1">+MIN('S&amp;U'!$J22-SUM($E567:M567),N$560-SUM(N$563:N566))</f>
        <v>0</v>
      </c>
      <c r="O567" s="83">
        <f ca="1">+MIN('S&amp;U'!$J22-SUM($E567:N567),O$560-SUM(O$563:O566))</f>
        <v>0</v>
      </c>
      <c r="P567" s="83">
        <f ca="1">+MIN('S&amp;U'!$J22-SUM($E567:O567),P$560-SUM(P$563:P566))</f>
        <v>0</v>
      </c>
      <c r="Q567" s="83">
        <f ca="1">+MIN('S&amp;U'!$J22-SUM($E567:P567),Q$560-SUM(Q$563:Q566))</f>
        <v>0</v>
      </c>
      <c r="R567" s="83">
        <f ca="1">+MIN('S&amp;U'!$J22-SUM($E567:Q567),R$560-SUM(R$563:R566))</f>
        <v>0</v>
      </c>
      <c r="S567" s="83">
        <f ca="1">+MIN('S&amp;U'!$J22-SUM($E567:R567),S$560-SUM(S$563:S566))</f>
        <v>0</v>
      </c>
      <c r="T567" s="83">
        <f ca="1">+MIN('S&amp;U'!$J22-SUM($E567:S567),T$560-SUM(T$563:T566))</f>
        <v>0</v>
      </c>
      <c r="U567" s="83">
        <f ca="1">+MIN('S&amp;U'!$J22-SUM($E567:T567),U$560-SUM(U$563:U566))</f>
        <v>0</v>
      </c>
      <c r="V567" s="83">
        <f ca="1">+MIN('S&amp;U'!$J22-SUM($E567:U567),V$560-SUM(V$563:V566))</f>
        <v>0</v>
      </c>
      <c r="W567" s="83">
        <f ca="1">+MIN('S&amp;U'!$J22-SUM($E567:V567),W$560-SUM(W$563:W566))</f>
        <v>0</v>
      </c>
      <c r="X567" s="83">
        <f ca="1">+MIN('S&amp;U'!$J22-SUM($E567:W567),X$560-SUM(X$563:X566))</f>
        <v>0</v>
      </c>
      <c r="Y567" s="83">
        <f ca="1">+MIN('S&amp;U'!$J22-SUM($E567:X567),Y$560-SUM(Y$563:Y566))</f>
        <v>0</v>
      </c>
      <c r="Z567" s="83">
        <f ca="1">+MIN('S&amp;U'!$J22-SUM($E567:Y567),Z$560-SUM(Z$563:Z566))</f>
        <v>0</v>
      </c>
    </row>
    <row r="568" spans="2:26" ht="15.75">
      <c r="B568" s="699" t="s">
        <v>323</v>
      </c>
      <c r="C568" s="49"/>
      <c r="D568" s="94">
        <f t="shared" ca="1" si="268"/>
        <v>122948934.13604183</v>
      </c>
      <c r="E568" s="94"/>
      <c r="F568" s="83">
        <f ca="1">+MIN('S&amp;U'!$J17-SUM($E568:E568),F$560-SUM(F$563:F567))</f>
        <v>0</v>
      </c>
      <c r="G568" s="83">
        <f ca="1">+MIN('S&amp;U'!$J17-SUM($E568:F568),G$560-SUM(G$563:G567))</f>
        <v>34354822.198609143</v>
      </c>
      <c r="H568" s="83">
        <f ca="1">+MIN('S&amp;U'!$J17-SUM($E568:G568),H$560-SUM(H$563:H567))</f>
        <v>88594111.937432691</v>
      </c>
      <c r="I568" s="83">
        <f ca="1">+MIN('S&amp;U'!$J17-SUM($E568:H568),I$560-SUM(I$563:I567))</f>
        <v>0</v>
      </c>
      <c r="J568" s="83">
        <f ca="1">+MIN('S&amp;U'!$J17-SUM($E568:I568),J$560-SUM(J$563:J567))</f>
        <v>0</v>
      </c>
      <c r="K568" s="83">
        <f ca="1">+MIN('S&amp;U'!$J17-SUM($E568:J568),K$560-SUM(K$563:K567))</f>
        <v>0</v>
      </c>
      <c r="L568" s="83">
        <f ca="1">+MIN('S&amp;U'!$J17-SUM($E568:K568),L$560-SUM(L$563:L567))</f>
        <v>0</v>
      </c>
      <c r="M568" s="83">
        <f ca="1">+MIN('S&amp;U'!$J17-SUM($E568:L568),M$560-SUM(M$563:M567))</f>
        <v>0</v>
      </c>
      <c r="N568" s="83">
        <f ca="1">+MIN('S&amp;U'!$J17-SUM($E568:M568),N$560-SUM(N$563:N567))</f>
        <v>0</v>
      </c>
      <c r="O568" s="83">
        <f ca="1">+MIN('S&amp;U'!$J17-SUM($E568:N568),O$560-SUM(O$563:O567))</f>
        <v>0</v>
      </c>
      <c r="P568" s="83">
        <f ca="1">+MIN('S&amp;U'!$J17-SUM($E568:O568),P$560-SUM(P$563:P567))</f>
        <v>0</v>
      </c>
      <c r="Q568" s="83">
        <f ca="1">+MIN('S&amp;U'!$J17-SUM($E568:P568),Q$560-SUM(Q$563:Q567))</f>
        <v>0</v>
      </c>
      <c r="R568" s="83">
        <f ca="1">+MIN('S&amp;U'!$J17-SUM($E568:Q568),R$560-SUM(R$563:R567))</f>
        <v>0</v>
      </c>
      <c r="S568" s="83">
        <f ca="1">+MIN('S&amp;U'!$J17-SUM($E568:R568),S$560-SUM(S$563:S567))</f>
        <v>0</v>
      </c>
      <c r="T568" s="83">
        <f ca="1">+MIN('S&amp;U'!$J17-SUM($E568:S568),T$560-SUM(T$563:T567))</f>
        <v>0</v>
      </c>
      <c r="U568" s="83">
        <f ca="1">+MIN('S&amp;U'!$J17-SUM($E568:T568),U$560-SUM(U$563:U567))</f>
        <v>0</v>
      </c>
      <c r="V568" s="83">
        <f ca="1">+MIN('S&amp;U'!$J17-SUM($E568:U568),V$560-SUM(V$563:V567))</f>
        <v>0</v>
      </c>
      <c r="W568" s="83">
        <f ca="1">+MIN('S&amp;U'!$J17-SUM($E568:V568),W$560-SUM(W$563:W567))</f>
        <v>0</v>
      </c>
      <c r="X568" s="83">
        <f ca="1">+MIN('S&amp;U'!$J17-SUM($E568:W568),X$560-SUM(X$563:X567))</f>
        <v>0</v>
      </c>
      <c r="Y568" s="83">
        <f ca="1">+MIN('S&amp;U'!$J17-SUM($E568:X568),Y$560-SUM(Y$563:Y567))</f>
        <v>0</v>
      </c>
      <c r="Z568" s="83">
        <f ca="1">+MIN('S&amp;U'!$J17-SUM($E568:Y568),Z$560-SUM(Z$563:Z567))</f>
        <v>0</v>
      </c>
    </row>
    <row r="569" spans="2:26" ht="15.75">
      <c r="B569" s="699" t="s">
        <v>326</v>
      </c>
      <c r="C569" s="49"/>
      <c r="D569" s="94">
        <f t="shared" ca="1" si="268"/>
        <v>50999588.416806832</v>
      </c>
      <c r="E569" s="94"/>
      <c r="F569" s="83">
        <f ca="1">+MIN('S&amp;U'!$J18-SUM($E569:E569),F$560-SUM(F$563:F568))</f>
        <v>0</v>
      </c>
      <c r="G569" s="83">
        <f ca="1">+MIN('S&amp;U'!$J18-SUM($E569:F569),G$560-SUM(G$563:G568))</f>
        <v>0</v>
      </c>
      <c r="H569" s="83">
        <f ca="1">+MIN('S&amp;U'!$J18-SUM($E569:G569),H$560-SUM(H$563:H568))</f>
        <v>50999588.416806832</v>
      </c>
      <c r="I569" s="83">
        <f ca="1">+MIN('S&amp;U'!$J18-SUM($E569:H569),I$560-SUM(I$563:I568))</f>
        <v>0</v>
      </c>
      <c r="J569" s="83">
        <f ca="1">+MIN('S&amp;U'!$J18-SUM($E569:I569),J$560-SUM(J$563:J568))</f>
        <v>0</v>
      </c>
      <c r="K569" s="83">
        <f ca="1">+MIN('S&amp;U'!$J18-SUM($E569:J569),K$560-SUM(K$563:K568))</f>
        <v>0</v>
      </c>
      <c r="L569" s="83">
        <f ca="1">+MIN('S&amp;U'!$J18-SUM($E569:K569),L$560-SUM(L$563:L568))</f>
        <v>0</v>
      </c>
      <c r="M569" s="83">
        <f ca="1">+MIN('S&amp;U'!$J18-SUM($E569:L569),M$560-SUM(M$563:M568))</f>
        <v>0</v>
      </c>
      <c r="N569" s="83">
        <f ca="1">+MIN('S&amp;U'!$J18-SUM($E569:M569),N$560-SUM(N$563:N568))</f>
        <v>0</v>
      </c>
      <c r="O569" s="83">
        <f ca="1">+MIN('S&amp;U'!$J18-SUM($E569:N569),O$560-SUM(O$563:O568))</f>
        <v>0</v>
      </c>
      <c r="P569" s="83">
        <f ca="1">+MIN('S&amp;U'!$J18-SUM($E569:O569),P$560-SUM(P$563:P568))</f>
        <v>0</v>
      </c>
      <c r="Q569" s="83">
        <f ca="1">+MIN('S&amp;U'!$J18-SUM($E569:P569),Q$560-SUM(Q$563:Q568))</f>
        <v>0</v>
      </c>
      <c r="R569" s="83">
        <f ca="1">+MIN('S&amp;U'!$J18-SUM($E569:Q569),R$560-SUM(R$563:R568))</f>
        <v>0</v>
      </c>
      <c r="S569" s="83">
        <f ca="1">+MIN('S&amp;U'!$J18-SUM($E569:R569),S$560-SUM(S$563:S568))</f>
        <v>0</v>
      </c>
      <c r="T569" s="83">
        <f ca="1">+MIN('S&amp;U'!$J18-SUM($E569:S569),T$560-SUM(T$563:T568))</f>
        <v>0</v>
      </c>
      <c r="U569" s="83">
        <f ca="1">+MIN('S&amp;U'!$J18-SUM($E569:T569),U$560-SUM(U$563:U568))</f>
        <v>0</v>
      </c>
      <c r="V569" s="83">
        <f ca="1">+MIN('S&amp;U'!$J18-SUM($E569:U569),V$560-SUM(V$563:V568))</f>
        <v>0</v>
      </c>
      <c r="W569" s="83">
        <f ca="1">+MIN('S&amp;U'!$J18-SUM($E569:V569),W$560-SUM(W$563:W568))</f>
        <v>0</v>
      </c>
      <c r="X569" s="83">
        <f ca="1">+MIN('S&amp;U'!$J18-SUM($E569:W569),X$560-SUM(X$563:X568))</f>
        <v>0</v>
      </c>
      <c r="Y569" s="83">
        <f ca="1">+MIN('S&amp;U'!$J18-SUM($E569:X569),Y$560-SUM(Y$563:Y568))</f>
        <v>0</v>
      </c>
      <c r="Z569" s="83">
        <f ca="1">+MIN('S&amp;U'!$J18-SUM($E569:Y569),Z$560-SUM(Z$563:Z568))</f>
        <v>0</v>
      </c>
    </row>
    <row r="570" spans="2:26" ht="15.75">
      <c r="B570" s="50" t="s">
        <v>1198</v>
      </c>
      <c r="C570" s="50"/>
      <c r="D570" s="55">
        <f ca="1">+SUM(F570:Z570)</f>
        <v>376209422.86552858</v>
      </c>
      <c r="E570" s="55"/>
      <c r="F570" s="55">
        <f ca="1">+SUM(F563:F569)</f>
        <v>97022022.157049507</v>
      </c>
      <c r="G570" s="55">
        <f t="shared" ref="G570:Z570" ca="1" si="269">+SUM(G563:G569)</f>
        <v>139593700.35423952</v>
      </c>
      <c r="H570" s="55">
        <f t="shared" ca="1" si="269"/>
        <v>139593700.35423952</v>
      </c>
      <c r="I570" s="55">
        <f t="shared" ca="1" si="269"/>
        <v>0</v>
      </c>
      <c r="J570" s="55">
        <f t="shared" ca="1" si="269"/>
        <v>0</v>
      </c>
      <c r="K570" s="55">
        <f t="shared" ca="1" si="269"/>
        <v>0</v>
      </c>
      <c r="L570" s="55">
        <f t="shared" ca="1" si="269"/>
        <v>0</v>
      </c>
      <c r="M570" s="55">
        <f t="shared" ca="1" si="269"/>
        <v>0</v>
      </c>
      <c r="N570" s="55">
        <f t="shared" ca="1" si="269"/>
        <v>0</v>
      </c>
      <c r="O570" s="55">
        <f t="shared" ca="1" si="269"/>
        <v>0</v>
      </c>
      <c r="P570" s="55">
        <f t="shared" ca="1" si="269"/>
        <v>0</v>
      </c>
      <c r="Q570" s="55">
        <f t="shared" ca="1" si="269"/>
        <v>0</v>
      </c>
      <c r="R570" s="55">
        <f t="shared" ca="1" si="269"/>
        <v>0</v>
      </c>
      <c r="S570" s="55">
        <f t="shared" ca="1" si="269"/>
        <v>0</v>
      </c>
      <c r="T570" s="55">
        <f t="shared" ca="1" si="269"/>
        <v>0</v>
      </c>
      <c r="U570" s="55">
        <f t="shared" ca="1" si="269"/>
        <v>0</v>
      </c>
      <c r="V570" s="55">
        <f t="shared" ca="1" si="269"/>
        <v>0</v>
      </c>
      <c r="W570" s="55">
        <f t="shared" ca="1" si="269"/>
        <v>0</v>
      </c>
      <c r="X570" s="55">
        <f t="shared" ca="1" si="269"/>
        <v>0</v>
      </c>
      <c r="Y570" s="55">
        <f t="shared" ca="1" si="269"/>
        <v>0</v>
      </c>
      <c r="Z570" s="55">
        <f t="shared" ca="1" si="269"/>
        <v>0</v>
      </c>
    </row>
    <row r="571" spans="2:26">
      <c r="B571" s="49"/>
      <c r="C571" s="49"/>
      <c r="D571" s="49"/>
      <c r="E571" s="49"/>
      <c r="F571" s="49"/>
      <c r="G571" s="49"/>
      <c r="H571" s="49"/>
      <c r="I571" s="49"/>
      <c r="J571" s="49"/>
      <c r="K571" s="49"/>
      <c r="L571" s="49"/>
      <c r="M571" s="49"/>
      <c r="N571" s="49"/>
      <c r="O571" s="49"/>
      <c r="P571" s="49"/>
      <c r="Q571" s="49"/>
      <c r="R571" s="49"/>
      <c r="S571" s="49"/>
      <c r="T571" s="49"/>
      <c r="U571" s="49"/>
      <c r="V571" s="49"/>
      <c r="W571" s="49"/>
      <c r="X571" s="49"/>
      <c r="Y571" s="49"/>
      <c r="Z571" s="49"/>
    </row>
    <row r="572" spans="2:26" ht="15.75">
      <c r="B572" s="699" t="s">
        <v>1199</v>
      </c>
      <c r="C572" s="49"/>
      <c r="D572" s="94">
        <f ca="1">+SUM(F572:Z572)</f>
        <v>107106294.4403649</v>
      </c>
      <c r="E572" s="49"/>
      <c r="F572" s="90">
        <f ca="1">+SUM(F564:F567,F569)</f>
        <v>0</v>
      </c>
      <c r="G572" s="90">
        <f t="shared" ref="G572:Z572" ca="1" si="270">+SUM(G564:G567,G569)</f>
        <v>56106706.023558073</v>
      </c>
      <c r="H572" s="90">
        <f t="shared" ca="1" si="270"/>
        <v>50999588.416806832</v>
      </c>
      <c r="I572" s="90">
        <f t="shared" ca="1" si="270"/>
        <v>0</v>
      </c>
      <c r="J572" s="90">
        <f t="shared" ca="1" si="270"/>
        <v>0</v>
      </c>
      <c r="K572" s="90">
        <f t="shared" ca="1" si="270"/>
        <v>0</v>
      </c>
      <c r="L572" s="90">
        <f t="shared" ca="1" si="270"/>
        <v>0</v>
      </c>
      <c r="M572" s="90">
        <f t="shared" ca="1" si="270"/>
        <v>0</v>
      </c>
      <c r="N572" s="90">
        <f t="shared" ca="1" si="270"/>
        <v>0</v>
      </c>
      <c r="O572" s="90">
        <f t="shared" ca="1" si="270"/>
        <v>0</v>
      </c>
      <c r="P572" s="90">
        <f t="shared" ca="1" si="270"/>
        <v>0</v>
      </c>
      <c r="Q572" s="90">
        <f t="shared" ca="1" si="270"/>
        <v>0</v>
      </c>
      <c r="R572" s="90">
        <f t="shared" ca="1" si="270"/>
        <v>0</v>
      </c>
      <c r="S572" s="90">
        <f t="shared" ca="1" si="270"/>
        <v>0</v>
      </c>
      <c r="T572" s="90">
        <f t="shared" ca="1" si="270"/>
        <v>0</v>
      </c>
      <c r="U572" s="90">
        <f t="shared" ca="1" si="270"/>
        <v>0</v>
      </c>
      <c r="V572" s="90">
        <f t="shared" ca="1" si="270"/>
        <v>0</v>
      </c>
      <c r="W572" s="90">
        <f t="shared" ca="1" si="270"/>
        <v>0</v>
      </c>
      <c r="X572" s="90">
        <f t="shared" ca="1" si="270"/>
        <v>0</v>
      </c>
      <c r="Y572" s="90">
        <f t="shared" ca="1" si="270"/>
        <v>0</v>
      </c>
      <c r="Z572" s="90">
        <f t="shared" ca="1" si="270"/>
        <v>0</v>
      </c>
    </row>
    <row r="573" spans="2:26">
      <c r="B573" s="49"/>
      <c r="C573" s="49"/>
      <c r="D573" s="49"/>
      <c r="E573" s="49"/>
      <c r="F573" s="49"/>
      <c r="G573" s="49"/>
      <c r="H573" s="49"/>
      <c r="I573" s="49"/>
      <c r="J573" s="49"/>
      <c r="K573" s="49"/>
      <c r="L573" s="49"/>
      <c r="M573" s="49"/>
      <c r="N573" s="49"/>
      <c r="O573" s="49"/>
      <c r="P573" s="49"/>
      <c r="Q573" s="49"/>
      <c r="R573" s="49"/>
      <c r="S573" s="49"/>
      <c r="T573" s="49"/>
      <c r="U573" s="49"/>
      <c r="V573" s="49"/>
      <c r="W573" s="49"/>
      <c r="X573" s="49"/>
      <c r="Y573" s="49"/>
      <c r="Z573" s="49"/>
    </row>
    <row r="574" spans="2:26" ht="15.75">
      <c r="B574" s="112" t="s">
        <v>1200</v>
      </c>
      <c r="C574" s="49"/>
      <c r="D574" s="49"/>
      <c r="E574" s="49"/>
      <c r="F574" s="49"/>
      <c r="G574" s="49"/>
      <c r="H574" s="49"/>
      <c r="I574" s="49"/>
      <c r="J574" s="49"/>
      <c r="K574" s="49"/>
      <c r="L574" s="49"/>
      <c r="M574" s="49"/>
      <c r="N574" s="49"/>
      <c r="O574" s="49"/>
      <c r="P574" s="49"/>
      <c r="Q574" s="49"/>
      <c r="R574" s="49"/>
      <c r="S574" s="49"/>
      <c r="T574" s="49"/>
      <c r="U574" s="49"/>
      <c r="V574" s="49"/>
      <c r="W574" s="49"/>
      <c r="X574" s="49"/>
      <c r="Y574" s="49"/>
      <c r="Z574" s="49"/>
    </row>
    <row r="575" spans="2:26" ht="15.75">
      <c r="B575" s="699" t="s">
        <v>1201</v>
      </c>
      <c r="C575" s="49"/>
      <c r="D575" s="94">
        <f t="shared" ref="D575:D577" ca="1" si="271">+SUM(F575:Z575)</f>
        <v>-146154194.28912181</v>
      </c>
      <c r="E575" s="94"/>
      <c r="F575" s="83">
        <f ca="1">-F563</f>
        <v>-97022022.157049507</v>
      </c>
      <c r="G575" s="83">
        <f t="shared" ref="G575:Z575" ca="1" si="272">-G563</f>
        <v>-49132172.1320723</v>
      </c>
      <c r="H575" s="83">
        <f t="shared" ca="1" si="272"/>
        <v>0</v>
      </c>
      <c r="I575" s="83">
        <f t="shared" ca="1" si="272"/>
        <v>0</v>
      </c>
      <c r="J575" s="83">
        <f t="shared" ca="1" si="272"/>
        <v>0</v>
      </c>
      <c r="K575" s="83">
        <f t="shared" ca="1" si="272"/>
        <v>0</v>
      </c>
      <c r="L575" s="83">
        <f t="shared" ca="1" si="272"/>
        <v>0</v>
      </c>
      <c r="M575" s="83">
        <f t="shared" ca="1" si="272"/>
        <v>0</v>
      </c>
      <c r="N575" s="83">
        <f t="shared" ca="1" si="272"/>
        <v>0</v>
      </c>
      <c r="O575" s="83">
        <f t="shared" ca="1" si="272"/>
        <v>0</v>
      </c>
      <c r="P575" s="83">
        <f t="shared" ca="1" si="272"/>
        <v>0</v>
      </c>
      <c r="Q575" s="83">
        <f t="shared" ca="1" si="272"/>
        <v>0</v>
      </c>
      <c r="R575" s="83">
        <f t="shared" ca="1" si="272"/>
        <v>0</v>
      </c>
      <c r="S575" s="83">
        <f t="shared" ca="1" si="272"/>
        <v>0</v>
      </c>
      <c r="T575" s="83">
        <f t="shared" ca="1" si="272"/>
        <v>0</v>
      </c>
      <c r="U575" s="83">
        <f t="shared" ca="1" si="272"/>
        <v>0</v>
      </c>
      <c r="V575" s="83">
        <f t="shared" ca="1" si="272"/>
        <v>0</v>
      </c>
      <c r="W575" s="83">
        <f t="shared" ca="1" si="272"/>
        <v>0</v>
      </c>
      <c r="X575" s="83">
        <f t="shared" ca="1" si="272"/>
        <v>0</v>
      </c>
      <c r="Y575" s="83">
        <f t="shared" ca="1" si="272"/>
        <v>0</v>
      </c>
      <c r="Z575" s="83">
        <f t="shared" ca="1" si="272"/>
        <v>0</v>
      </c>
    </row>
    <row r="576" spans="2:26" ht="15.75">
      <c r="B576" s="699" t="s">
        <v>1202</v>
      </c>
      <c r="C576" s="49"/>
      <c r="D576" s="94">
        <f t="shared" ca="1" si="271"/>
        <v>282458337.32219148</v>
      </c>
      <c r="E576" s="94"/>
      <c r="F576" s="90">
        <f ca="1">+F545</f>
        <v>0</v>
      </c>
      <c r="G576" s="90">
        <f t="shared" ref="G576:Z576" ca="1" si="273">+G545</f>
        <v>0</v>
      </c>
      <c r="H576" s="90">
        <f t="shared" ca="1" si="273"/>
        <v>0</v>
      </c>
      <c r="I576" s="90">
        <f t="shared" ca="1" si="273"/>
        <v>5387089.9090670114</v>
      </c>
      <c r="J576" s="90">
        <f t="shared" ca="1" si="273"/>
        <v>12542647.392375777</v>
      </c>
      <c r="K576" s="90">
        <f t="shared" ca="1" si="273"/>
        <v>264528600.0207487</v>
      </c>
      <c r="L576" s="90">
        <f t="shared" si="273"/>
        <v>0</v>
      </c>
      <c r="M576" s="90">
        <f t="shared" si="273"/>
        <v>0</v>
      </c>
      <c r="N576" s="90">
        <f t="shared" si="273"/>
        <v>0</v>
      </c>
      <c r="O576" s="90">
        <f t="shared" si="273"/>
        <v>0</v>
      </c>
      <c r="P576" s="90">
        <f t="shared" si="273"/>
        <v>0</v>
      </c>
      <c r="Q576" s="90">
        <f t="shared" si="273"/>
        <v>0</v>
      </c>
      <c r="R576" s="90">
        <f t="shared" si="273"/>
        <v>0</v>
      </c>
      <c r="S576" s="90">
        <f t="shared" si="273"/>
        <v>0</v>
      </c>
      <c r="T576" s="90">
        <f t="shared" si="273"/>
        <v>0</v>
      </c>
      <c r="U576" s="90">
        <f t="shared" si="273"/>
        <v>0</v>
      </c>
      <c r="V576" s="90">
        <f t="shared" si="273"/>
        <v>0</v>
      </c>
      <c r="W576" s="90">
        <f t="shared" si="273"/>
        <v>0</v>
      </c>
      <c r="X576" s="90">
        <f t="shared" si="273"/>
        <v>0</v>
      </c>
      <c r="Y576" s="90">
        <f t="shared" si="273"/>
        <v>0</v>
      </c>
      <c r="Z576" s="90">
        <f t="shared" si="273"/>
        <v>0</v>
      </c>
    </row>
    <row r="577" spans="2:26" ht="15.75">
      <c r="B577" s="50" t="s">
        <v>1203</v>
      </c>
      <c r="C577" s="50"/>
      <c r="D577" s="55">
        <f t="shared" ca="1" si="271"/>
        <v>136304143.03306967</v>
      </c>
      <c r="E577" s="55"/>
      <c r="F577" s="55">
        <f ca="1">+SUM(F575:F576)</f>
        <v>-97022022.157049507</v>
      </c>
      <c r="G577" s="55">
        <f t="shared" ref="G577:Z577" ca="1" si="274">+SUM(G575:G576)</f>
        <v>-49132172.1320723</v>
      </c>
      <c r="H577" s="55">
        <f t="shared" ca="1" si="274"/>
        <v>0</v>
      </c>
      <c r="I577" s="55">
        <f t="shared" ca="1" si="274"/>
        <v>5387089.9090670114</v>
      </c>
      <c r="J577" s="55">
        <f t="shared" ca="1" si="274"/>
        <v>12542647.392375777</v>
      </c>
      <c r="K577" s="55">
        <f t="shared" ca="1" si="274"/>
        <v>264528600.0207487</v>
      </c>
      <c r="L577" s="55">
        <f t="shared" ca="1" si="274"/>
        <v>0</v>
      </c>
      <c r="M577" s="55">
        <f t="shared" ca="1" si="274"/>
        <v>0</v>
      </c>
      <c r="N577" s="55">
        <f t="shared" ca="1" si="274"/>
        <v>0</v>
      </c>
      <c r="O577" s="55">
        <f t="shared" ca="1" si="274"/>
        <v>0</v>
      </c>
      <c r="P577" s="55">
        <f t="shared" ca="1" si="274"/>
        <v>0</v>
      </c>
      <c r="Q577" s="55">
        <f t="shared" ca="1" si="274"/>
        <v>0</v>
      </c>
      <c r="R577" s="55">
        <f t="shared" ca="1" si="274"/>
        <v>0</v>
      </c>
      <c r="S577" s="55">
        <f t="shared" ca="1" si="274"/>
        <v>0</v>
      </c>
      <c r="T577" s="55">
        <f t="shared" ca="1" si="274"/>
        <v>0</v>
      </c>
      <c r="U577" s="55">
        <f t="shared" ca="1" si="274"/>
        <v>0</v>
      </c>
      <c r="V577" s="55">
        <f t="shared" ca="1" si="274"/>
        <v>0</v>
      </c>
      <c r="W577" s="55">
        <f t="shared" ca="1" si="274"/>
        <v>0</v>
      </c>
      <c r="X577" s="55">
        <f t="shared" ca="1" si="274"/>
        <v>0</v>
      </c>
      <c r="Y577" s="55">
        <f t="shared" ca="1" si="274"/>
        <v>0</v>
      </c>
      <c r="Z577" s="55">
        <f t="shared" ca="1" si="274"/>
        <v>0</v>
      </c>
    </row>
    <row r="578" spans="2:26">
      <c r="B578" s="49"/>
      <c r="C578" s="49"/>
      <c r="D578" s="49"/>
      <c r="E578" s="49"/>
      <c r="F578" s="49"/>
      <c r="G578" s="49"/>
      <c r="H578" s="49"/>
      <c r="I578" s="49"/>
      <c r="J578" s="49"/>
      <c r="K578" s="49"/>
      <c r="L578" s="49"/>
      <c r="M578" s="49"/>
      <c r="N578" s="49"/>
      <c r="O578" s="49"/>
      <c r="P578" s="49"/>
      <c r="Q578" s="49"/>
      <c r="R578" s="49"/>
      <c r="S578" s="49"/>
      <c r="T578" s="49"/>
      <c r="U578" s="49"/>
      <c r="V578" s="49"/>
      <c r="W578" s="49"/>
      <c r="X578" s="49"/>
      <c r="Y578" s="49"/>
      <c r="Z578" s="49"/>
    </row>
    <row r="579" spans="2:26" ht="15.75">
      <c r="B579" s="154" t="s">
        <v>378</v>
      </c>
      <c r="C579" s="154"/>
      <c r="D579" s="155">
        <f ca="1">+IRR(F577:Z577)</f>
        <v>0.15442094215274849</v>
      </c>
      <c r="E579" s="49"/>
      <c r="F579" s="49"/>
      <c r="G579" s="49"/>
      <c r="H579" s="49"/>
      <c r="I579" s="90"/>
      <c r="J579" s="49"/>
      <c r="K579" s="49"/>
      <c r="L579" s="49"/>
      <c r="M579" s="49"/>
      <c r="N579" s="49"/>
      <c r="O579" s="49"/>
      <c r="P579" s="49"/>
      <c r="Q579" s="49"/>
      <c r="R579" s="49"/>
      <c r="S579" s="49"/>
      <c r="T579" s="49"/>
      <c r="U579" s="49"/>
      <c r="V579" s="49"/>
      <c r="W579" s="49"/>
      <c r="X579" s="49"/>
      <c r="Y579" s="49"/>
      <c r="Z579" s="49"/>
    </row>
    <row r="580" spans="2:26" ht="15.75">
      <c r="B580" s="113" t="s">
        <v>1204</v>
      </c>
      <c r="C580" s="156"/>
      <c r="D580" s="150">
        <f ca="1">+SUM(F577:Z577)</f>
        <v>136304143.03306967</v>
      </c>
      <c r="E580" s="49"/>
      <c r="F580" s="49"/>
      <c r="G580" s="49"/>
      <c r="H580" s="49"/>
      <c r="I580" s="49"/>
      <c r="J580" s="49"/>
      <c r="K580" s="49"/>
      <c r="L580" s="49"/>
      <c r="M580" s="49"/>
      <c r="N580" s="49"/>
      <c r="O580" s="49"/>
      <c r="P580" s="49"/>
      <c r="Q580" s="49"/>
      <c r="R580" s="49"/>
      <c r="S580" s="49"/>
      <c r="T580" s="49"/>
      <c r="U580" s="49"/>
      <c r="V580" s="49"/>
      <c r="W580" s="49"/>
      <c r="X580" s="49"/>
      <c r="Y580" s="49"/>
      <c r="Z580" s="49"/>
    </row>
    <row r="581" spans="2:26" ht="15.75">
      <c r="B581" s="157" t="s">
        <v>382</v>
      </c>
      <c r="C581" s="158"/>
      <c r="D581" s="159">
        <f ca="1">+D580/-D575</f>
        <v>0.9326050729918377</v>
      </c>
      <c r="E581" s="49"/>
      <c r="F581" s="49"/>
      <c r="G581" s="49"/>
      <c r="H581" s="49"/>
      <c r="I581" s="49"/>
      <c r="J581" s="49"/>
      <c r="K581" s="49"/>
      <c r="L581" s="49"/>
      <c r="M581" s="49"/>
      <c r="N581" s="49"/>
      <c r="O581" s="49"/>
      <c r="P581" s="49"/>
      <c r="Q581" s="49"/>
      <c r="R581" s="49"/>
      <c r="S581" s="49"/>
      <c r="T581" s="49"/>
      <c r="U581" s="49"/>
      <c r="V581" s="49"/>
      <c r="W581" s="49"/>
      <c r="X581" s="49"/>
      <c r="Y581" s="49"/>
      <c r="Z581" s="49"/>
    </row>
    <row r="582" spans="2:26">
      <c r="B582" s="49"/>
      <c r="C582" s="49"/>
      <c r="D582" s="49"/>
      <c r="E582" s="49"/>
      <c r="F582" s="49"/>
      <c r="G582" s="49"/>
      <c r="H582" s="49"/>
      <c r="I582" s="49"/>
      <c r="J582" s="49"/>
      <c r="K582" s="49"/>
      <c r="L582" s="49"/>
      <c r="M582" s="49"/>
      <c r="N582" s="49"/>
      <c r="O582" s="49"/>
      <c r="P582" s="49"/>
      <c r="Q582" s="49"/>
      <c r="R582" s="49"/>
      <c r="S582" s="49"/>
      <c r="T582" s="49"/>
      <c r="U582" s="49"/>
      <c r="V582" s="49"/>
      <c r="W582" s="49"/>
      <c r="X582" s="49"/>
      <c r="Y582" s="49"/>
      <c r="Z582" s="49"/>
    </row>
    <row r="583" spans="2:26" ht="15.75">
      <c r="B583" s="468" t="s">
        <v>1205</v>
      </c>
      <c r="C583" s="540"/>
      <c r="D583" s="540"/>
      <c r="E583" s="540"/>
      <c r="F583" s="759"/>
      <c r="G583" s="759"/>
      <c r="H583" s="759"/>
      <c r="I583" s="759"/>
      <c r="J583" s="759"/>
      <c r="K583" s="759"/>
      <c r="L583" s="759"/>
      <c r="M583" s="759"/>
      <c r="N583" s="759"/>
      <c r="O583" s="759"/>
      <c r="P583" s="759"/>
      <c r="Q583" s="759"/>
      <c r="R583" s="759"/>
      <c r="S583" s="759"/>
      <c r="T583" s="759"/>
      <c r="U583" s="759"/>
      <c r="V583" s="759"/>
      <c r="W583" s="759"/>
      <c r="X583" s="759"/>
      <c r="Y583" s="759"/>
      <c r="Z583" s="759"/>
    </row>
    <row r="584" spans="2:26">
      <c r="B584" s="49"/>
      <c r="C584" s="49"/>
      <c r="D584" s="49"/>
      <c r="E584" s="49"/>
      <c r="F584" s="49"/>
      <c r="G584" s="49"/>
      <c r="H584" s="49"/>
      <c r="I584" s="49"/>
      <c r="J584" s="49"/>
      <c r="K584" s="49"/>
      <c r="L584" s="49"/>
      <c r="M584" s="49"/>
      <c r="N584" s="49"/>
      <c r="O584" s="49"/>
      <c r="P584" s="49"/>
      <c r="Q584" s="49"/>
      <c r="R584" s="49"/>
      <c r="S584" s="49"/>
      <c r="T584" s="49"/>
      <c r="U584" s="49"/>
      <c r="V584" s="49"/>
      <c r="W584" s="49"/>
      <c r="X584" s="49"/>
      <c r="Y584" s="49"/>
      <c r="Z584" s="49"/>
    </row>
    <row r="585" spans="2:26" ht="15.75">
      <c r="B585" s="112" t="s">
        <v>1135</v>
      </c>
      <c r="C585" s="49"/>
      <c r="D585" s="49"/>
      <c r="E585" s="49"/>
      <c r="F585" s="148">
        <f>+Assumptions!$H$27</f>
        <v>47118</v>
      </c>
      <c r="G585" s="148">
        <f>+EOMONTH(F585,12)</f>
        <v>47483</v>
      </c>
      <c r="H585" s="148">
        <f t="shared" ref="H585:Z585" si="275">+EOMONTH(G585,12)</f>
        <v>47848</v>
      </c>
      <c r="I585" s="148">
        <f t="shared" si="275"/>
        <v>48213</v>
      </c>
      <c r="J585" s="148">
        <f t="shared" si="275"/>
        <v>48579</v>
      </c>
      <c r="K585" s="148">
        <f t="shared" si="275"/>
        <v>48944</v>
      </c>
      <c r="L585" s="148">
        <f t="shared" si="275"/>
        <v>49309</v>
      </c>
      <c r="M585" s="148">
        <f t="shared" si="275"/>
        <v>49674</v>
      </c>
      <c r="N585" s="148">
        <f t="shared" si="275"/>
        <v>50040</v>
      </c>
      <c r="O585" s="148">
        <f t="shared" si="275"/>
        <v>50405</v>
      </c>
      <c r="P585" s="148">
        <f t="shared" si="275"/>
        <v>50770</v>
      </c>
      <c r="Q585" s="148">
        <f t="shared" si="275"/>
        <v>51135</v>
      </c>
      <c r="R585" s="148">
        <f t="shared" si="275"/>
        <v>51501</v>
      </c>
      <c r="S585" s="148">
        <f t="shared" si="275"/>
        <v>51866</v>
      </c>
      <c r="T585" s="148">
        <f t="shared" si="275"/>
        <v>52231</v>
      </c>
      <c r="U585" s="148">
        <f t="shared" si="275"/>
        <v>52596</v>
      </c>
      <c r="V585" s="148">
        <f t="shared" si="275"/>
        <v>52962</v>
      </c>
      <c r="W585" s="148">
        <f t="shared" si="275"/>
        <v>53327</v>
      </c>
      <c r="X585" s="148">
        <f t="shared" si="275"/>
        <v>53692</v>
      </c>
      <c r="Y585" s="148">
        <f t="shared" si="275"/>
        <v>54057</v>
      </c>
      <c r="Z585" s="148">
        <f t="shared" si="275"/>
        <v>54423</v>
      </c>
    </row>
    <row r="586" spans="2:26" ht="15.75">
      <c r="B586" s="699" t="s">
        <v>1206</v>
      </c>
      <c r="C586" s="5"/>
      <c r="D586" s="5"/>
      <c r="E586" s="5"/>
      <c r="F586" s="83">
        <f ca="1">+F$333</f>
        <v>0</v>
      </c>
      <c r="G586" s="83">
        <f t="shared" ref="G586:Z586" ca="1" si="276">+G$333</f>
        <v>0</v>
      </c>
      <c r="H586" s="83">
        <f t="shared" ca="1" si="276"/>
        <v>0</v>
      </c>
      <c r="I586" s="83">
        <f t="shared" ca="1" si="276"/>
        <v>2402736.656224661</v>
      </c>
      <c r="J586" s="83">
        <f t="shared" ca="1" si="276"/>
        <v>6295254.4271969739</v>
      </c>
      <c r="K586" s="83">
        <f t="shared" ca="1" si="276"/>
        <v>9435030.9569732696</v>
      </c>
      <c r="L586" s="83">
        <f t="shared" ca="1" si="276"/>
        <v>10098849.064376472</v>
      </c>
      <c r="M586" s="83">
        <f t="shared" ca="1" si="276"/>
        <v>10296369.770259857</v>
      </c>
      <c r="N586" s="83">
        <f t="shared" ca="1" si="276"/>
        <v>10545572.170234278</v>
      </c>
      <c r="O586" s="83">
        <f t="shared" ca="1" si="276"/>
        <v>10802250.64220793</v>
      </c>
      <c r="P586" s="83">
        <f t="shared" ca="1" si="276"/>
        <v>11020873.395426255</v>
      </c>
      <c r="Q586" s="83">
        <f t="shared" ca="1" si="276"/>
        <v>11786442.672680255</v>
      </c>
      <c r="R586" s="83">
        <f t="shared" ca="1" si="276"/>
        <v>12066922.16932461</v>
      </c>
      <c r="S586" s="83">
        <f t="shared" ca="1" si="276"/>
        <v>12308687.29576632</v>
      </c>
      <c r="T586" s="83">
        <f t="shared" ca="1" si="276"/>
        <v>12606247.99375632</v>
      </c>
      <c r="U586" s="83">
        <f t="shared" ca="1" si="276"/>
        <v>12912735.512686012</v>
      </c>
      <c r="V586" s="83">
        <f t="shared" ca="1" si="276"/>
        <v>13747122.988716291</v>
      </c>
      <c r="W586" s="83">
        <f t="shared" ca="1" si="276"/>
        <v>14072275.597548801</v>
      </c>
      <c r="X586" s="83">
        <f t="shared" ca="1" si="276"/>
        <v>14407182.784646295</v>
      </c>
      <c r="Y586" s="83">
        <f t="shared" ca="1" si="276"/>
        <v>14702138.291069025</v>
      </c>
      <c r="Z586" s="83">
        <f t="shared" ca="1" si="276"/>
        <v>15057441.325860748</v>
      </c>
    </row>
    <row r="587" spans="2:26" ht="15.75">
      <c r="B587" s="699" t="s">
        <v>1162</v>
      </c>
      <c r="C587" s="5"/>
      <c r="D587" s="5"/>
      <c r="E587" s="5"/>
      <c r="F587" s="90">
        <f ca="1">+F$401</f>
        <v>0</v>
      </c>
      <c r="G587" s="90">
        <f t="shared" ref="G587:Z587" ca="1" si="277">+G$401</f>
        <v>0</v>
      </c>
      <c r="H587" s="90">
        <f t="shared" ca="1" si="277"/>
        <v>0</v>
      </c>
      <c r="I587" s="90">
        <f t="shared" ca="1" si="277"/>
        <v>3621162.5298845386</v>
      </c>
      <c r="J587" s="90">
        <f t="shared" ca="1" si="277"/>
        <v>9470599.7740445156</v>
      </c>
      <c r="K587" s="90">
        <f t="shared" ca="1" si="277"/>
        <v>10069059.924431682</v>
      </c>
      <c r="L587" s="90">
        <f t="shared" ca="1" si="277"/>
        <v>10435229.047949165</v>
      </c>
      <c r="M587" s="90">
        <f t="shared" ca="1" si="277"/>
        <v>10748285.919387642</v>
      </c>
      <c r="N587" s="90">
        <f t="shared" ca="1" si="277"/>
        <v>11136754.742527332</v>
      </c>
      <c r="O587" s="90">
        <f t="shared" ca="1" si="277"/>
        <v>11536877.630361211</v>
      </c>
      <c r="P587" s="90">
        <f t="shared" ca="1" si="277"/>
        <v>11882983.959272051</v>
      </c>
      <c r="Q587" s="90">
        <f t="shared" ca="1" si="277"/>
        <v>12307474.330975018</v>
      </c>
      <c r="R587" s="90">
        <f t="shared" ca="1" si="277"/>
        <v>12744699.413829068</v>
      </c>
      <c r="S587" s="90">
        <f t="shared" ca="1" si="277"/>
        <v>13127040.396243937</v>
      </c>
      <c r="T587" s="90">
        <f t="shared" ca="1" si="277"/>
        <v>13590892.486643806</v>
      </c>
      <c r="U587" s="90">
        <f t="shared" ca="1" si="277"/>
        <v>14068660.139755677</v>
      </c>
      <c r="V587" s="90">
        <f t="shared" ca="1" si="277"/>
        <v>14490719.943948334</v>
      </c>
      <c r="W587" s="90">
        <f t="shared" ca="1" si="277"/>
        <v>14997583.647134716</v>
      </c>
      <c r="X587" s="90">
        <f t="shared" ca="1" si="277"/>
        <v>15519653.26141669</v>
      </c>
      <c r="Y587" s="90">
        <f t="shared" ca="1" si="277"/>
        <v>15985242.859259194</v>
      </c>
      <c r="Z587" s="90">
        <f t="shared" ca="1" si="277"/>
        <v>16539106.513050938</v>
      </c>
    </row>
    <row r="588" spans="2:26" ht="15.75">
      <c r="B588" s="699" t="s">
        <v>1154</v>
      </c>
      <c r="C588" s="5"/>
      <c r="D588" s="5"/>
      <c r="E588" s="5"/>
      <c r="F588" s="90">
        <f t="shared" ref="F588:Z588" si="278">+F447</f>
        <v>0</v>
      </c>
      <c r="G588" s="90">
        <f t="shared" si="278"/>
        <v>0</v>
      </c>
      <c r="H588" s="90">
        <f t="shared" si="278"/>
        <v>0</v>
      </c>
      <c r="I588" s="90">
        <f t="shared" si="278"/>
        <v>0</v>
      </c>
      <c r="J588" s="90">
        <f t="shared" si="278"/>
        <v>0</v>
      </c>
      <c r="K588" s="90">
        <f t="shared" si="278"/>
        <v>0</v>
      </c>
      <c r="L588" s="90">
        <f t="shared" si="278"/>
        <v>0</v>
      </c>
      <c r="M588" s="90">
        <f t="shared" si="278"/>
        <v>0</v>
      </c>
      <c r="N588" s="90">
        <f t="shared" si="278"/>
        <v>0</v>
      </c>
      <c r="O588" s="90">
        <f t="shared" si="278"/>
        <v>0</v>
      </c>
      <c r="P588" s="90">
        <f t="shared" si="278"/>
        <v>0</v>
      </c>
      <c r="Q588" s="90">
        <f t="shared" si="278"/>
        <v>0</v>
      </c>
      <c r="R588" s="90">
        <f t="shared" si="278"/>
        <v>0</v>
      </c>
      <c r="S588" s="90">
        <f t="shared" si="278"/>
        <v>0</v>
      </c>
      <c r="T588" s="90">
        <f t="shared" si="278"/>
        <v>0</v>
      </c>
      <c r="U588" s="90">
        <f t="shared" si="278"/>
        <v>0</v>
      </c>
      <c r="V588" s="90">
        <f t="shared" si="278"/>
        <v>0</v>
      </c>
      <c r="W588" s="90">
        <f t="shared" si="278"/>
        <v>0</v>
      </c>
      <c r="X588" s="90">
        <f t="shared" si="278"/>
        <v>0</v>
      </c>
      <c r="Y588" s="90">
        <f t="shared" si="278"/>
        <v>0</v>
      </c>
      <c r="Z588" s="90">
        <f t="shared" si="278"/>
        <v>0</v>
      </c>
    </row>
    <row r="589" spans="2:26" ht="15.75">
      <c r="B589" s="50" t="s">
        <v>1135</v>
      </c>
      <c r="C589" s="50"/>
      <c r="D589" s="55"/>
      <c r="E589" s="55"/>
      <c r="F589" s="55">
        <f ca="1">+SUM(F586:F588)</f>
        <v>0</v>
      </c>
      <c r="G589" s="55">
        <f t="shared" ref="G589:Z589" ca="1" si="279">+SUM(G586:G588)</f>
        <v>0</v>
      </c>
      <c r="H589" s="55">
        <f t="shared" ca="1" si="279"/>
        <v>0</v>
      </c>
      <c r="I589" s="55">
        <f t="shared" ca="1" si="279"/>
        <v>6023899.1861092001</v>
      </c>
      <c r="J589" s="55">
        <f t="shared" ca="1" si="279"/>
        <v>15765854.201241489</v>
      </c>
      <c r="K589" s="55">
        <f t="shared" ca="1" si="279"/>
        <v>19504090.881404951</v>
      </c>
      <c r="L589" s="55">
        <f t="shared" ca="1" si="279"/>
        <v>20534078.112325639</v>
      </c>
      <c r="M589" s="55">
        <f t="shared" ca="1" si="279"/>
        <v>21044655.689647499</v>
      </c>
      <c r="N589" s="55">
        <f t="shared" ca="1" si="279"/>
        <v>21682326.91276161</v>
      </c>
      <c r="O589" s="55">
        <f t="shared" ca="1" si="279"/>
        <v>22339128.272569142</v>
      </c>
      <c r="P589" s="55">
        <f t="shared" ca="1" si="279"/>
        <v>22903857.354698308</v>
      </c>
      <c r="Q589" s="55">
        <f t="shared" ca="1" si="279"/>
        <v>24093917.003655273</v>
      </c>
      <c r="R589" s="55">
        <f t="shared" ca="1" si="279"/>
        <v>24811621.58315368</v>
      </c>
      <c r="S589" s="55">
        <f t="shared" ca="1" si="279"/>
        <v>25435727.692010257</v>
      </c>
      <c r="T589" s="55">
        <f t="shared" ca="1" si="279"/>
        <v>26197140.480400126</v>
      </c>
      <c r="U589" s="55">
        <f t="shared" ca="1" si="279"/>
        <v>26981395.652441688</v>
      </c>
      <c r="V589" s="55">
        <f t="shared" ca="1" si="279"/>
        <v>28237842.932664625</v>
      </c>
      <c r="W589" s="55">
        <f t="shared" ca="1" si="279"/>
        <v>29069859.244683519</v>
      </c>
      <c r="X589" s="55">
        <f t="shared" ca="1" si="279"/>
        <v>29926836.046062984</v>
      </c>
      <c r="Y589" s="55">
        <f t="shared" ca="1" si="279"/>
        <v>30687381.150328219</v>
      </c>
      <c r="Z589" s="55">
        <f t="shared" ca="1" si="279"/>
        <v>31596547.838911686</v>
      </c>
    </row>
    <row r="590" spans="2:26">
      <c r="B590" s="49"/>
      <c r="C590" s="49"/>
      <c r="D590" s="49"/>
      <c r="E590" s="49"/>
      <c r="F590" s="49"/>
      <c r="G590" s="49"/>
      <c r="H590" s="49"/>
      <c r="I590" s="49"/>
      <c r="J590" s="49"/>
      <c r="K590" s="49"/>
      <c r="L590" s="49"/>
      <c r="M590" s="49"/>
      <c r="N590" s="49"/>
      <c r="O590" s="49"/>
      <c r="P590" s="49"/>
      <c r="Q590" s="49"/>
      <c r="R590" s="49"/>
      <c r="S590" s="49"/>
      <c r="T590" s="49"/>
      <c r="U590" s="49"/>
      <c r="V590" s="49"/>
      <c r="W590" s="49"/>
      <c r="X590" s="49"/>
      <c r="Y590" s="49"/>
      <c r="Z590" s="49"/>
    </row>
    <row r="591" spans="2:26" ht="15.75">
      <c r="B591" s="112" t="s">
        <v>1207</v>
      </c>
      <c r="C591" s="49"/>
      <c r="D591" s="49"/>
      <c r="E591" s="49"/>
      <c r="F591" s="148">
        <f>+Assumptions!$H$27</f>
        <v>47118</v>
      </c>
      <c r="G591" s="148">
        <f>+EOMONTH(F591,12)</f>
        <v>47483</v>
      </c>
      <c r="H591" s="148">
        <f t="shared" ref="H591:Z591" si="280">+EOMONTH(G591,12)</f>
        <v>47848</v>
      </c>
      <c r="I591" s="148">
        <f t="shared" si="280"/>
        <v>48213</v>
      </c>
      <c r="J591" s="148">
        <f t="shared" si="280"/>
        <v>48579</v>
      </c>
      <c r="K591" s="148">
        <f t="shared" si="280"/>
        <v>48944</v>
      </c>
      <c r="L591" s="148">
        <f t="shared" si="280"/>
        <v>49309</v>
      </c>
      <c r="M591" s="148">
        <f t="shared" si="280"/>
        <v>49674</v>
      </c>
      <c r="N591" s="148">
        <f t="shared" si="280"/>
        <v>50040</v>
      </c>
      <c r="O591" s="148">
        <f t="shared" si="280"/>
        <v>50405</v>
      </c>
      <c r="P591" s="148">
        <f t="shared" si="280"/>
        <v>50770</v>
      </c>
      <c r="Q591" s="148">
        <f t="shared" si="280"/>
        <v>51135</v>
      </c>
      <c r="R591" s="148">
        <f t="shared" si="280"/>
        <v>51501</v>
      </c>
      <c r="S591" s="148">
        <f t="shared" si="280"/>
        <v>51866</v>
      </c>
      <c r="T591" s="148">
        <f t="shared" si="280"/>
        <v>52231</v>
      </c>
      <c r="U591" s="148">
        <f t="shared" si="280"/>
        <v>52596</v>
      </c>
      <c r="V591" s="148">
        <f t="shared" si="280"/>
        <v>52962</v>
      </c>
      <c r="W591" s="148">
        <f t="shared" si="280"/>
        <v>53327</v>
      </c>
      <c r="X591" s="148">
        <f t="shared" si="280"/>
        <v>53692</v>
      </c>
      <c r="Y591" s="148">
        <f t="shared" si="280"/>
        <v>54057</v>
      </c>
      <c r="Z591" s="148">
        <f t="shared" si="280"/>
        <v>54423</v>
      </c>
    </row>
    <row r="592" spans="2:26" ht="15.75">
      <c r="B592" s="699" t="s">
        <v>1156</v>
      </c>
      <c r="C592" s="5"/>
      <c r="D592" s="5"/>
      <c r="E592" s="5"/>
      <c r="F592" s="83">
        <f t="shared" ref="F592:Z592" si="281">+F350+F420+F466+F538</f>
        <v>0</v>
      </c>
      <c r="G592" s="83">
        <f t="shared" si="281"/>
        <v>0</v>
      </c>
      <c r="H592" s="83">
        <f t="shared" si="281"/>
        <v>0</v>
      </c>
      <c r="I592" s="83">
        <f t="shared" si="281"/>
        <v>8222934.1716129649</v>
      </c>
      <c r="J592" s="83">
        <f t="shared" si="281"/>
        <v>4368502.9865786787</v>
      </c>
      <c r="K592" s="83">
        <f t="shared" ca="1" si="281"/>
        <v>372928636.62180829</v>
      </c>
      <c r="L592" s="83">
        <f t="shared" si="281"/>
        <v>0</v>
      </c>
      <c r="M592" s="83">
        <f t="shared" si="281"/>
        <v>0</v>
      </c>
      <c r="N592" s="83">
        <f t="shared" si="281"/>
        <v>0</v>
      </c>
      <c r="O592" s="83">
        <f t="shared" si="281"/>
        <v>0</v>
      </c>
      <c r="P592" s="83">
        <f t="shared" si="281"/>
        <v>0</v>
      </c>
      <c r="Q592" s="83">
        <f t="shared" si="281"/>
        <v>0</v>
      </c>
      <c r="R592" s="83">
        <f t="shared" si="281"/>
        <v>0</v>
      </c>
      <c r="S592" s="83">
        <f t="shared" si="281"/>
        <v>0</v>
      </c>
      <c r="T592" s="83">
        <f t="shared" si="281"/>
        <v>0</v>
      </c>
      <c r="U592" s="83">
        <f t="shared" si="281"/>
        <v>0</v>
      </c>
      <c r="V592" s="83">
        <f t="shared" si="281"/>
        <v>0</v>
      </c>
      <c r="W592" s="83">
        <f t="shared" si="281"/>
        <v>0</v>
      </c>
      <c r="X592" s="83">
        <f t="shared" si="281"/>
        <v>0</v>
      </c>
      <c r="Y592" s="83">
        <f t="shared" si="281"/>
        <v>0</v>
      </c>
      <c r="Z592" s="83">
        <f t="shared" si="281"/>
        <v>0</v>
      </c>
    </row>
    <row r="593" spans="1:26">
      <c r="A593" s="699"/>
      <c r="B593" s="699" t="s">
        <v>1158</v>
      </c>
      <c r="C593" s="49"/>
      <c r="D593" s="49"/>
      <c r="E593" s="49"/>
      <c r="F593" s="83">
        <f t="shared" ref="F593:Z593" si="282">+F352+F421+F467+F539</f>
        <v>0</v>
      </c>
      <c r="G593" s="83">
        <f t="shared" si="282"/>
        <v>0</v>
      </c>
      <c r="H593" s="83">
        <f t="shared" si="282"/>
        <v>0</v>
      </c>
      <c r="I593" s="83">
        <f t="shared" si="282"/>
        <v>-82229.341716129653</v>
      </c>
      <c r="J593" s="83">
        <f t="shared" si="282"/>
        <v>-43685.02986578679</v>
      </c>
      <c r="K593" s="83">
        <f t="shared" ca="1" si="282"/>
        <v>-3729286.3662180831</v>
      </c>
      <c r="L593" s="83">
        <f t="shared" si="282"/>
        <v>0</v>
      </c>
      <c r="M593" s="83">
        <f t="shared" si="282"/>
        <v>0</v>
      </c>
      <c r="N593" s="83">
        <f t="shared" si="282"/>
        <v>0</v>
      </c>
      <c r="O593" s="83">
        <f t="shared" si="282"/>
        <v>0</v>
      </c>
      <c r="P593" s="83">
        <f t="shared" si="282"/>
        <v>0</v>
      </c>
      <c r="Q593" s="83">
        <f t="shared" si="282"/>
        <v>0</v>
      </c>
      <c r="R593" s="83">
        <f t="shared" si="282"/>
        <v>0</v>
      </c>
      <c r="S593" s="83">
        <f t="shared" si="282"/>
        <v>0</v>
      </c>
      <c r="T593" s="83">
        <f t="shared" si="282"/>
        <v>0</v>
      </c>
      <c r="U593" s="83">
        <f t="shared" si="282"/>
        <v>0</v>
      </c>
      <c r="V593" s="83">
        <f t="shared" si="282"/>
        <v>0</v>
      </c>
      <c r="W593" s="83">
        <f t="shared" si="282"/>
        <v>0</v>
      </c>
      <c r="X593" s="83">
        <f t="shared" si="282"/>
        <v>0</v>
      </c>
      <c r="Y593" s="83">
        <f t="shared" si="282"/>
        <v>0</v>
      </c>
      <c r="Z593" s="83">
        <f t="shared" si="282"/>
        <v>0</v>
      </c>
    </row>
    <row r="594" spans="1:26" ht="15.75">
      <c r="A594" s="699"/>
      <c r="B594" s="50" t="s">
        <v>1160</v>
      </c>
      <c r="C594" s="50"/>
      <c r="D594" s="55"/>
      <c r="E594" s="55"/>
      <c r="F594" s="55">
        <f>+SUM(F592:F593)</f>
        <v>0</v>
      </c>
      <c r="G594" s="55">
        <f t="shared" ref="G594:Z594" si="283">+SUM(G592:G593)</f>
        <v>0</v>
      </c>
      <c r="H594" s="55">
        <f t="shared" si="283"/>
        <v>0</v>
      </c>
      <c r="I594" s="55">
        <f t="shared" si="283"/>
        <v>8140704.8298968356</v>
      </c>
      <c r="J594" s="55">
        <f t="shared" si="283"/>
        <v>4324817.9567128923</v>
      </c>
      <c r="K594" s="55">
        <f t="shared" ca="1" si="283"/>
        <v>369199350.2555902</v>
      </c>
      <c r="L594" s="55">
        <f t="shared" si="283"/>
        <v>0</v>
      </c>
      <c r="M594" s="55">
        <f t="shared" si="283"/>
        <v>0</v>
      </c>
      <c r="N594" s="55">
        <f t="shared" si="283"/>
        <v>0</v>
      </c>
      <c r="O594" s="55">
        <f t="shared" si="283"/>
        <v>0</v>
      </c>
      <c r="P594" s="55">
        <f t="shared" si="283"/>
        <v>0</v>
      </c>
      <c r="Q594" s="55">
        <f t="shared" si="283"/>
        <v>0</v>
      </c>
      <c r="R594" s="55">
        <f t="shared" si="283"/>
        <v>0</v>
      </c>
      <c r="S594" s="55">
        <f t="shared" si="283"/>
        <v>0</v>
      </c>
      <c r="T594" s="55">
        <f t="shared" si="283"/>
        <v>0</v>
      </c>
      <c r="U594" s="55">
        <f t="shared" si="283"/>
        <v>0</v>
      </c>
      <c r="V594" s="55">
        <f t="shared" si="283"/>
        <v>0</v>
      </c>
      <c r="W594" s="55">
        <f t="shared" si="283"/>
        <v>0</v>
      </c>
      <c r="X594" s="55">
        <f t="shared" si="283"/>
        <v>0</v>
      </c>
      <c r="Y594" s="55">
        <f t="shared" si="283"/>
        <v>0</v>
      </c>
      <c r="Z594" s="55">
        <f t="shared" si="283"/>
        <v>0</v>
      </c>
    </row>
    <row r="595" spans="1:26">
      <c r="A595" s="699"/>
      <c r="B595" s="49"/>
      <c r="C595" s="49"/>
      <c r="D595" s="49"/>
      <c r="E595" s="49"/>
      <c r="F595" s="49"/>
      <c r="G595" s="49"/>
      <c r="H595" s="49"/>
      <c r="I595" s="49"/>
      <c r="J595" s="49"/>
      <c r="K595" s="49"/>
      <c r="L595" s="49"/>
      <c r="M595" s="49"/>
      <c r="N595" s="49"/>
      <c r="O595" s="49"/>
      <c r="P595" s="49"/>
      <c r="Q595" s="49"/>
      <c r="R595" s="49"/>
      <c r="S595" s="49"/>
      <c r="T595" s="49"/>
      <c r="U595" s="49"/>
      <c r="V595" s="49"/>
      <c r="W595" s="49"/>
      <c r="X595" s="49"/>
      <c r="Y595" s="49"/>
      <c r="Z595" s="49"/>
    </row>
    <row r="596" spans="1:26" ht="15.75">
      <c r="A596" s="699" t="s">
        <v>511</v>
      </c>
      <c r="B596" s="112" t="s">
        <v>1208</v>
      </c>
      <c r="C596" s="49"/>
      <c r="D596" s="49"/>
      <c r="E596" s="49"/>
      <c r="F596" s="148">
        <f>+Assumptions!$H$27</f>
        <v>47118</v>
      </c>
      <c r="G596" s="148">
        <f>+EOMONTH(F596,12)</f>
        <v>47483</v>
      </c>
      <c r="H596" s="148">
        <f t="shared" ref="H596:Z596" si="284">+EOMONTH(G596,12)</f>
        <v>47848</v>
      </c>
      <c r="I596" s="148">
        <f t="shared" si="284"/>
        <v>48213</v>
      </c>
      <c r="J596" s="148">
        <f t="shared" si="284"/>
        <v>48579</v>
      </c>
      <c r="K596" s="148">
        <f t="shared" si="284"/>
        <v>48944</v>
      </c>
      <c r="L596" s="148">
        <f t="shared" si="284"/>
        <v>49309</v>
      </c>
      <c r="M596" s="148">
        <f t="shared" si="284"/>
        <v>49674</v>
      </c>
      <c r="N596" s="148">
        <f t="shared" si="284"/>
        <v>50040</v>
      </c>
      <c r="O596" s="148">
        <f t="shared" si="284"/>
        <v>50405</v>
      </c>
      <c r="P596" s="148">
        <f t="shared" si="284"/>
        <v>50770</v>
      </c>
      <c r="Q596" s="148">
        <f t="shared" si="284"/>
        <v>51135</v>
      </c>
      <c r="R596" s="148">
        <f t="shared" si="284"/>
        <v>51501</v>
      </c>
      <c r="S596" s="148">
        <f t="shared" si="284"/>
        <v>51866</v>
      </c>
      <c r="T596" s="148">
        <f t="shared" si="284"/>
        <v>52231</v>
      </c>
      <c r="U596" s="148">
        <f t="shared" si="284"/>
        <v>52596</v>
      </c>
      <c r="V596" s="148">
        <f t="shared" si="284"/>
        <v>52962</v>
      </c>
      <c r="W596" s="148">
        <f t="shared" si="284"/>
        <v>53327</v>
      </c>
      <c r="X596" s="148">
        <f t="shared" si="284"/>
        <v>53692</v>
      </c>
      <c r="Y596" s="148">
        <f t="shared" si="284"/>
        <v>54057</v>
      </c>
      <c r="Z596" s="148">
        <f t="shared" si="284"/>
        <v>54423</v>
      </c>
    </row>
    <row r="597" spans="1:26" ht="15.75">
      <c r="A597" s="699"/>
      <c r="B597" s="699" t="s">
        <v>341</v>
      </c>
      <c r="C597" s="49"/>
      <c r="D597" s="94">
        <f>+SUM(F597:Z597)</f>
        <v>8202838.3909464516</v>
      </c>
      <c r="E597" s="94"/>
      <c r="F597" s="83">
        <f>+F553</f>
        <v>8202838.3909464516</v>
      </c>
      <c r="G597" s="83">
        <f t="shared" ref="G597:Z603" si="285">+G553</f>
        <v>0</v>
      </c>
      <c r="H597" s="83">
        <f t="shared" si="285"/>
        <v>0</v>
      </c>
      <c r="I597" s="83">
        <f t="shared" si="285"/>
        <v>0</v>
      </c>
      <c r="J597" s="83">
        <f t="shared" si="285"/>
        <v>0</v>
      </c>
      <c r="K597" s="83">
        <f t="shared" si="285"/>
        <v>0</v>
      </c>
      <c r="L597" s="83">
        <f t="shared" si="285"/>
        <v>0</v>
      </c>
      <c r="M597" s="83">
        <f t="shared" si="285"/>
        <v>0</v>
      </c>
      <c r="N597" s="83">
        <f t="shared" si="285"/>
        <v>0</v>
      </c>
      <c r="O597" s="83">
        <f t="shared" si="285"/>
        <v>0</v>
      </c>
      <c r="P597" s="83">
        <f t="shared" si="285"/>
        <v>0</v>
      </c>
      <c r="Q597" s="83">
        <f t="shared" si="285"/>
        <v>0</v>
      </c>
      <c r="R597" s="83">
        <f t="shared" si="285"/>
        <v>0</v>
      </c>
      <c r="S597" s="83">
        <f t="shared" si="285"/>
        <v>0</v>
      </c>
      <c r="T597" s="83">
        <f t="shared" si="285"/>
        <v>0</v>
      </c>
      <c r="U597" s="83">
        <f t="shared" si="285"/>
        <v>0</v>
      </c>
      <c r="V597" s="83">
        <f t="shared" si="285"/>
        <v>0</v>
      </c>
      <c r="W597" s="83">
        <f t="shared" si="285"/>
        <v>0</v>
      </c>
      <c r="X597" s="83">
        <f t="shared" si="285"/>
        <v>0</v>
      </c>
      <c r="Y597" s="83">
        <f t="shared" si="285"/>
        <v>0</v>
      </c>
      <c r="Z597" s="83">
        <f t="shared" si="285"/>
        <v>0</v>
      </c>
    </row>
    <row r="598" spans="1:26" ht="15.75">
      <c r="A598" s="699"/>
      <c r="B598" s="699" t="s">
        <v>236</v>
      </c>
      <c r="C598" s="49"/>
      <c r="D598" s="94">
        <f t="shared" ref="D598:D604" si="286">+SUM(F598:Z598)</f>
        <v>13505536</v>
      </c>
      <c r="E598" s="94"/>
      <c r="F598" s="83">
        <f t="shared" ref="F598:U603" si="287">+F554</f>
        <v>13505536</v>
      </c>
      <c r="G598" s="83">
        <f t="shared" si="287"/>
        <v>0</v>
      </c>
      <c r="H598" s="83">
        <f t="shared" si="287"/>
        <v>0</v>
      </c>
      <c r="I598" s="83">
        <f t="shared" si="287"/>
        <v>0</v>
      </c>
      <c r="J598" s="83">
        <f t="shared" si="287"/>
        <v>0</v>
      </c>
      <c r="K598" s="83">
        <f t="shared" si="287"/>
        <v>0</v>
      </c>
      <c r="L598" s="83">
        <f t="shared" si="287"/>
        <v>0</v>
      </c>
      <c r="M598" s="83">
        <f t="shared" si="287"/>
        <v>0</v>
      </c>
      <c r="N598" s="83">
        <f t="shared" si="287"/>
        <v>0</v>
      </c>
      <c r="O598" s="83">
        <f t="shared" si="287"/>
        <v>0</v>
      </c>
      <c r="P598" s="83">
        <f t="shared" si="287"/>
        <v>0</v>
      </c>
      <c r="Q598" s="83">
        <f t="shared" si="287"/>
        <v>0</v>
      </c>
      <c r="R598" s="83">
        <f t="shared" si="287"/>
        <v>0</v>
      </c>
      <c r="S598" s="83">
        <f t="shared" si="287"/>
        <v>0</v>
      </c>
      <c r="T598" s="83">
        <f t="shared" si="287"/>
        <v>0</v>
      </c>
      <c r="U598" s="83">
        <f t="shared" si="287"/>
        <v>0</v>
      </c>
      <c r="V598" s="83">
        <f t="shared" si="285"/>
        <v>0</v>
      </c>
      <c r="W598" s="83">
        <f t="shared" si="285"/>
        <v>0</v>
      </c>
      <c r="X598" s="83">
        <f t="shared" si="285"/>
        <v>0</v>
      </c>
      <c r="Y598" s="83">
        <f t="shared" si="285"/>
        <v>0</v>
      </c>
      <c r="Z598" s="83">
        <f t="shared" si="285"/>
        <v>0</v>
      </c>
    </row>
    <row r="599" spans="1:26" ht="15.75">
      <c r="A599" s="699"/>
      <c r="B599" s="699" t="s">
        <v>344</v>
      </c>
      <c r="C599" s="49"/>
      <c r="D599" s="94">
        <f t="shared" ca="1" si="286"/>
        <v>259853383.11158872</v>
      </c>
      <c r="E599" s="94"/>
      <c r="F599" s="83">
        <f t="shared" si="287"/>
        <v>837403.94611875352</v>
      </c>
      <c r="G599" s="83">
        <f t="shared" ca="1" si="285"/>
        <v>129507989.58273499</v>
      </c>
      <c r="H599" s="83">
        <f t="shared" ca="1" si="285"/>
        <v>129507989.58273499</v>
      </c>
      <c r="I599" s="83">
        <f t="shared" si="285"/>
        <v>0</v>
      </c>
      <c r="J599" s="83">
        <f t="shared" si="285"/>
        <v>0</v>
      </c>
      <c r="K599" s="83">
        <f t="shared" si="285"/>
        <v>0</v>
      </c>
      <c r="L599" s="83">
        <f t="shared" si="285"/>
        <v>0</v>
      </c>
      <c r="M599" s="83">
        <f t="shared" si="285"/>
        <v>0</v>
      </c>
      <c r="N599" s="83">
        <f t="shared" si="285"/>
        <v>0</v>
      </c>
      <c r="O599" s="83">
        <f t="shared" si="285"/>
        <v>0</v>
      </c>
      <c r="P599" s="83">
        <f t="shared" si="285"/>
        <v>0</v>
      </c>
      <c r="Q599" s="83">
        <f t="shared" si="285"/>
        <v>0</v>
      </c>
      <c r="R599" s="83">
        <f t="shared" si="285"/>
        <v>0</v>
      </c>
      <c r="S599" s="83">
        <f t="shared" si="285"/>
        <v>0</v>
      </c>
      <c r="T599" s="83">
        <f t="shared" si="285"/>
        <v>0</v>
      </c>
      <c r="U599" s="83">
        <f t="shared" si="285"/>
        <v>0</v>
      </c>
      <c r="V599" s="83">
        <f t="shared" si="285"/>
        <v>0</v>
      </c>
      <c r="W599" s="83">
        <f t="shared" si="285"/>
        <v>0</v>
      </c>
      <c r="X599" s="83">
        <f t="shared" si="285"/>
        <v>0</v>
      </c>
      <c r="Y599" s="83">
        <f t="shared" si="285"/>
        <v>0</v>
      </c>
      <c r="Z599" s="83">
        <f t="shared" si="285"/>
        <v>0</v>
      </c>
    </row>
    <row r="600" spans="1:26" ht="15.75">
      <c r="A600" s="699"/>
      <c r="B600" s="699" t="s">
        <v>345</v>
      </c>
      <c r="C600" s="49"/>
      <c r="D600" s="94">
        <f t="shared" ca="1" si="286"/>
        <v>60322144.417115763</v>
      </c>
      <c r="E600" s="94"/>
      <c r="F600" s="83">
        <f t="shared" ca="1" si="287"/>
        <v>60322144.417115763</v>
      </c>
      <c r="G600" s="83">
        <f t="shared" ca="1" si="285"/>
        <v>0</v>
      </c>
      <c r="H600" s="83">
        <f t="shared" ca="1" si="285"/>
        <v>0</v>
      </c>
      <c r="I600" s="83">
        <f t="shared" si="285"/>
        <v>0</v>
      </c>
      <c r="J600" s="83">
        <f t="shared" si="285"/>
        <v>0</v>
      </c>
      <c r="K600" s="83">
        <f t="shared" si="285"/>
        <v>0</v>
      </c>
      <c r="L600" s="83">
        <f t="shared" si="285"/>
        <v>0</v>
      </c>
      <c r="M600" s="83">
        <f t="shared" si="285"/>
        <v>0</v>
      </c>
      <c r="N600" s="83">
        <f t="shared" si="285"/>
        <v>0</v>
      </c>
      <c r="O600" s="83">
        <f t="shared" si="285"/>
        <v>0</v>
      </c>
      <c r="P600" s="83">
        <f t="shared" si="285"/>
        <v>0</v>
      </c>
      <c r="Q600" s="83">
        <f t="shared" si="285"/>
        <v>0</v>
      </c>
      <c r="R600" s="83">
        <f t="shared" si="285"/>
        <v>0</v>
      </c>
      <c r="S600" s="83">
        <f t="shared" si="285"/>
        <v>0</v>
      </c>
      <c r="T600" s="83">
        <f t="shared" si="285"/>
        <v>0</v>
      </c>
      <c r="U600" s="83">
        <f t="shared" si="285"/>
        <v>0</v>
      </c>
      <c r="V600" s="83">
        <f t="shared" si="285"/>
        <v>0</v>
      </c>
      <c r="W600" s="83">
        <f t="shared" si="285"/>
        <v>0</v>
      </c>
      <c r="X600" s="83">
        <f t="shared" si="285"/>
        <v>0</v>
      </c>
      <c r="Y600" s="83">
        <f t="shared" si="285"/>
        <v>0</v>
      </c>
      <c r="Z600" s="83">
        <f t="shared" si="285"/>
        <v>0</v>
      </c>
    </row>
    <row r="601" spans="1:26" ht="15.75">
      <c r="A601" s="699"/>
      <c r="B601" s="699" t="s">
        <v>347</v>
      </c>
      <c r="C601" s="49"/>
      <c r="D601" s="94">
        <f t="shared" si="286"/>
        <v>0</v>
      </c>
      <c r="E601" s="94"/>
      <c r="F601" s="83">
        <v>0</v>
      </c>
      <c r="G601" s="83">
        <v>0</v>
      </c>
      <c r="H601" s="83">
        <v>0</v>
      </c>
      <c r="I601" s="83">
        <v>0</v>
      </c>
      <c r="J601" s="83">
        <v>0</v>
      </c>
      <c r="K601" s="83">
        <v>0</v>
      </c>
      <c r="L601" s="83">
        <v>0</v>
      </c>
      <c r="M601" s="83">
        <v>0</v>
      </c>
      <c r="N601" s="83">
        <v>0</v>
      </c>
      <c r="O601" s="83">
        <v>0</v>
      </c>
      <c r="P601" s="83">
        <v>0</v>
      </c>
      <c r="Q601" s="83">
        <v>0</v>
      </c>
      <c r="R601" s="83">
        <v>0</v>
      </c>
      <c r="S601" s="83">
        <v>0</v>
      </c>
      <c r="T601" s="83">
        <v>0</v>
      </c>
      <c r="U601" s="83">
        <v>0</v>
      </c>
      <c r="V601" s="83">
        <v>0</v>
      </c>
      <c r="W601" s="83">
        <v>0</v>
      </c>
      <c r="X601" s="83">
        <v>0</v>
      </c>
      <c r="Y601" s="83">
        <v>0</v>
      </c>
      <c r="Z601" s="83">
        <v>0</v>
      </c>
    </row>
    <row r="602" spans="1:26" ht="15.75">
      <c r="A602" s="699"/>
      <c r="B602" s="699" t="s">
        <v>348</v>
      </c>
      <c r="C602" s="49"/>
      <c r="D602" s="94">
        <f t="shared" ca="1" si="286"/>
        <v>8196273.7082984075</v>
      </c>
      <c r="E602" s="94"/>
      <c r="F602" s="83">
        <f t="shared" si="287"/>
        <v>0</v>
      </c>
      <c r="G602" s="83">
        <f t="shared" ca="1" si="285"/>
        <v>4098136.8541492037</v>
      </c>
      <c r="H602" s="83">
        <f t="shared" ca="1" si="285"/>
        <v>4098136.8541492037</v>
      </c>
      <c r="I602" s="83">
        <f t="shared" si="285"/>
        <v>0</v>
      </c>
      <c r="J602" s="83">
        <f t="shared" si="285"/>
        <v>0</v>
      </c>
      <c r="K602" s="83">
        <f t="shared" si="285"/>
        <v>0</v>
      </c>
      <c r="L602" s="83">
        <f t="shared" si="285"/>
        <v>0</v>
      </c>
      <c r="M602" s="83">
        <f t="shared" si="285"/>
        <v>0</v>
      </c>
      <c r="N602" s="83">
        <f t="shared" si="285"/>
        <v>0</v>
      </c>
      <c r="O602" s="83">
        <f t="shared" si="285"/>
        <v>0</v>
      </c>
      <c r="P602" s="83">
        <f t="shared" si="285"/>
        <v>0</v>
      </c>
      <c r="Q602" s="83">
        <f t="shared" si="285"/>
        <v>0</v>
      </c>
      <c r="R602" s="83">
        <f t="shared" si="285"/>
        <v>0</v>
      </c>
      <c r="S602" s="83">
        <f t="shared" si="285"/>
        <v>0</v>
      </c>
      <c r="T602" s="83">
        <f t="shared" si="285"/>
        <v>0</v>
      </c>
      <c r="U602" s="83">
        <f t="shared" si="285"/>
        <v>0</v>
      </c>
      <c r="V602" s="83">
        <f t="shared" si="285"/>
        <v>0</v>
      </c>
      <c r="W602" s="83">
        <f t="shared" si="285"/>
        <v>0</v>
      </c>
      <c r="X602" s="83">
        <f t="shared" si="285"/>
        <v>0</v>
      </c>
      <c r="Y602" s="83">
        <f t="shared" si="285"/>
        <v>0</v>
      </c>
      <c r="Z602" s="83">
        <f t="shared" si="285"/>
        <v>0</v>
      </c>
    </row>
    <row r="603" spans="1:26" ht="15.75">
      <c r="A603" s="699"/>
      <c r="B603" s="699" t="s">
        <v>349</v>
      </c>
      <c r="C603" s="49"/>
      <c r="D603" s="94">
        <f t="shared" ca="1" si="286"/>
        <v>14154099.402868543</v>
      </c>
      <c r="E603" s="94"/>
      <c r="F603" s="83">
        <f t="shared" ca="1" si="287"/>
        <v>14154099.402868543</v>
      </c>
      <c r="G603" s="83">
        <f t="shared" ca="1" si="285"/>
        <v>0</v>
      </c>
      <c r="H603" s="83">
        <f t="shared" ca="1" si="285"/>
        <v>0</v>
      </c>
      <c r="I603" s="83">
        <f t="shared" ca="1" si="285"/>
        <v>0</v>
      </c>
      <c r="J603" s="83">
        <f t="shared" ca="1" si="285"/>
        <v>0</v>
      </c>
      <c r="K603" s="83">
        <f t="shared" si="285"/>
        <v>0</v>
      </c>
      <c r="L603" s="83">
        <f t="shared" si="285"/>
        <v>0</v>
      </c>
      <c r="M603" s="83">
        <f t="shared" si="285"/>
        <v>0</v>
      </c>
      <c r="N603" s="83">
        <f t="shared" si="285"/>
        <v>0</v>
      </c>
      <c r="O603" s="83">
        <f t="shared" si="285"/>
        <v>0</v>
      </c>
      <c r="P603" s="83">
        <f t="shared" si="285"/>
        <v>0</v>
      </c>
      <c r="Q603" s="83">
        <f t="shared" si="285"/>
        <v>0</v>
      </c>
      <c r="R603" s="83">
        <f t="shared" si="285"/>
        <v>0</v>
      </c>
      <c r="S603" s="83">
        <f t="shared" si="285"/>
        <v>0</v>
      </c>
      <c r="T603" s="83">
        <f t="shared" si="285"/>
        <v>0</v>
      </c>
      <c r="U603" s="83">
        <f t="shared" si="285"/>
        <v>0</v>
      </c>
      <c r="V603" s="83">
        <f t="shared" si="285"/>
        <v>0</v>
      </c>
      <c r="W603" s="83">
        <f t="shared" si="285"/>
        <v>0</v>
      </c>
      <c r="X603" s="83">
        <f t="shared" si="285"/>
        <v>0</v>
      </c>
      <c r="Y603" s="83">
        <f t="shared" si="285"/>
        <v>0</v>
      </c>
      <c r="Z603" s="83">
        <f t="shared" si="285"/>
        <v>0</v>
      </c>
    </row>
    <row r="604" spans="1:26" ht="15.75">
      <c r="A604" s="699"/>
      <c r="B604" s="50" t="s">
        <v>1192</v>
      </c>
      <c r="C604" s="50"/>
      <c r="D604" s="55">
        <f t="shared" ca="1" si="286"/>
        <v>364234275.03081787</v>
      </c>
      <c r="E604" s="55"/>
      <c r="F604" s="55">
        <f ca="1">+SUM(F597:F603)</f>
        <v>97022022.157049507</v>
      </c>
      <c r="G604" s="55">
        <f t="shared" ref="G604:Z604" ca="1" si="288">+SUM(G597:G603)</f>
        <v>133606126.43688419</v>
      </c>
      <c r="H604" s="55">
        <f t="shared" ca="1" si="288"/>
        <v>133606126.43688419</v>
      </c>
      <c r="I604" s="55">
        <f t="shared" ca="1" si="288"/>
        <v>0</v>
      </c>
      <c r="J604" s="55">
        <f t="shared" ca="1" si="288"/>
        <v>0</v>
      </c>
      <c r="K604" s="55">
        <f t="shared" si="288"/>
        <v>0</v>
      </c>
      <c r="L604" s="55">
        <f t="shared" si="288"/>
        <v>0</v>
      </c>
      <c r="M604" s="55">
        <f t="shared" si="288"/>
        <v>0</v>
      </c>
      <c r="N604" s="55">
        <f t="shared" si="288"/>
        <v>0</v>
      </c>
      <c r="O604" s="55">
        <f t="shared" si="288"/>
        <v>0</v>
      </c>
      <c r="P604" s="55">
        <f t="shared" si="288"/>
        <v>0</v>
      </c>
      <c r="Q604" s="55">
        <f t="shared" si="288"/>
        <v>0</v>
      </c>
      <c r="R604" s="55">
        <f t="shared" si="288"/>
        <v>0</v>
      </c>
      <c r="S604" s="55">
        <f t="shared" si="288"/>
        <v>0</v>
      </c>
      <c r="T604" s="55">
        <f t="shared" si="288"/>
        <v>0</v>
      </c>
      <c r="U604" s="55">
        <f t="shared" si="288"/>
        <v>0</v>
      </c>
      <c r="V604" s="55">
        <f t="shared" si="288"/>
        <v>0</v>
      </c>
      <c r="W604" s="55">
        <f t="shared" si="288"/>
        <v>0</v>
      </c>
      <c r="X604" s="55">
        <f t="shared" si="288"/>
        <v>0</v>
      </c>
      <c r="Y604" s="55">
        <f t="shared" si="288"/>
        <v>0</v>
      </c>
      <c r="Z604" s="55">
        <f t="shared" si="288"/>
        <v>0</v>
      </c>
    </row>
    <row r="605" spans="1:26">
      <c r="A605" s="699"/>
      <c r="B605" s="49"/>
      <c r="C605" s="49"/>
      <c r="D605" s="49"/>
      <c r="E605" s="49"/>
      <c r="F605" s="49"/>
      <c r="G605" s="49"/>
      <c r="H605" s="49"/>
      <c r="I605" s="49"/>
      <c r="J605" s="49"/>
      <c r="K605" s="49"/>
      <c r="L605" s="49"/>
      <c r="M605" s="49"/>
      <c r="N605" s="49"/>
      <c r="O605" s="49"/>
      <c r="P605" s="49"/>
      <c r="Q605" s="49"/>
      <c r="R605" s="49"/>
      <c r="S605" s="49"/>
      <c r="T605" s="49"/>
      <c r="U605" s="49"/>
      <c r="V605" s="49"/>
      <c r="W605" s="49"/>
      <c r="X605" s="49"/>
      <c r="Y605" s="49"/>
      <c r="Z605" s="49"/>
    </row>
    <row r="606" spans="1:26" ht="15.75">
      <c r="A606" s="699"/>
      <c r="B606" s="112" t="s">
        <v>1193</v>
      </c>
      <c r="C606" s="49"/>
      <c r="D606" s="49"/>
      <c r="E606" s="49"/>
      <c r="F606" s="148">
        <f>+Assumptions!$H$27</f>
        <v>47118</v>
      </c>
      <c r="G606" s="148">
        <f>+EOMONTH(F606,12)</f>
        <v>47483</v>
      </c>
      <c r="H606" s="148">
        <f t="shared" ref="H606:Z606" si="289">+EOMONTH(G606,12)</f>
        <v>47848</v>
      </c>
      <c r="I606" s="148">
        <f t="shared" si="289"/>
        <v>48213</v>
      </c>
      <c r="J606" s="148">
        <f t="shared" si="289"/>
        <v>48579</v>
      </c>
      <c r="K606" s="148">
        <f t="shared" si="289"/>
        <v>48944</v>
      </c>
      <c r="L606" s="148">
        <f t="shared" si="289"/>
        <v>49309</v>
      </c>
      <c r="M606" s="148">
        <f t="shared" si="289"/>
        <v>49674</v>
      </c>
      <c r="N606" s="148">
        <f t="shared" si="289"/>
        <v>50040</v>
      </c>
      <c r="O606" s="148">
        <f t="shared" si="289"/>
        <v>50405</v>
      </c>
      <c r="P606" s="148">
        <f t="shared" si="289"/>
        <v>50770</v>
      </c>
      <c r="Q606" s="148">
        <f t="shared" si="289"/>
        <v>51135</v>
      </c>
      <c r="R606" s="148">
        <f t="shared" si="289"/>
        <v>51501</v>
      </c>
      <c r="S606" s="148">
        <f t="shared" si="289"/>
        <v>51866</v>
      </c>
      <c r="T606" s="148">
        <f t="shared" si="289"/>
        <v>52231</v>
      </c>
      <c r="U606" s="148">
        <f t="shared" si="289"/>
        <v>52596</v>
      </c>
      <c r="V606" s="148">
        <f t="shared" si="289"/>
        <v>52962</v>
      </c>
      <c r="W606" s="148">
        <f t="shared" si="289"/>
        <v>53327</v>
      </c>
      <c r="X606" s="148">
        <f t="shared" si="289"/>
        <v>53692</v>
      </c>
      <c r="Y606" s="148">
        <f t="shared" si="289"/>
        <v>54057</v>
      </c>
      <c r="Z606" s="148">
        <f t="shared" si="289"/>
        <v>54423</v>
      </c>
    </row>
    <row r="607" spans="1:26" ht="15.75">
      <c r="A607" s="699"/>
      <c r="B607" s="699" t="s">
        <v>1194</v>
      </c>
      <c r="C607" s="49"/>
      <c r="D607" s="94">
        <f ca="1">+D604-SUM(D564:D567,D569)</f>
        <v>257127980.59045297</v>
      </c>
      <c r="E607" s="94"/>
      <c r="F607" s="83">
        <f ca="1">+MIN($D$607-SUM($E607:E607),F$604)</f>
        <v>97022022.157049507</v>
      </c>
      <c r="G607" s="83">
        <f ca="1">+MIN($D$607-SUM($E607:F607),G$604)</f>
        <v>133606126.43688419</v>
      </c>
      <c r="H607" s="83">
        <f ca="1">+MIN($D$607-SUM($E607:G607),H$604)</f>
        <v>26499831.996519268</v>
      </c>
      <c r="I607" s="83">
        <f ca="1">+MIN($D$607-SUM($E607:H607),I$604)</f>
        <v>0</v>
      </c>
      <c r="J607" s="83">
        <f ca="1">+MIN($D$607-SUM($E607:I607),J$604)</f>
        <v>0</v>
      </c>
      <c r="K607" s="83">
        <f ca="1">+MIN($D$607-SUM($E607:J607),K$604)</f>
        <v>0</v>
      </c>
      <c r="L607" s="83">
        <f ca="1">+MIN($D$607-SUM($E607:K607),L$604)</f>
        <v>0</v>
      </c>
      <c r="M607" s="83">
        <f ca="1">+MIN($D$607-SUM($E607:L607),M$604)</f>
        <v>0</v>
      </c>
      <c r="N607" s="83">
        <f ca="1">+MIN($D$607-SUM($E607:M607),N$604)</f>
        <v>0</v>
      </c>
      <c r="O607" s="83">
        <f ca="1">+MIN($D$607-SUM($E607:N607),O$604)</f>
        <v>0</v>
      </c>
      <c r="P607" s="83">
        <f ca="1">+MIN($D$607-SUM($E607:O607),P$604)</f>
        <v>0</v>
      </c>
      <c r="Q607" s="83">
        <f ca="1">+MIN($D$607-SUM($E607:P607),Q$604)</f>
        <v>0</v>
      </c>
      <c r="R607" s="83">
        <f ca="1">+MIN($D$607-SUM($E607:Q607),R$604)</f>
        <v>0</v>
      </c>
      <c r="S607" s="83">
        <f ca="1">+MIN($D$607-SUM($E607:R607),S$604)</f>
        <v>0</v>
      </c>
      <c r="T607" s="83">
        <f ca="1">+MIN($D$607-SUM($E607:S607),T$604)</f>
        <v>0</v>
      </c>
      <c r="U607" s="83">
        <f ca="1">+MIN($D$607-SUM($E607:T607),U$604)</f>
        <v>0</v>
      </c>
      <c r="V607" s="83">
        <f ca="1">+MIN($D$607-SUM($E607:U607),V$604)</f>
        <v>0</v>
      </c>
      <c r="W607" s="83">
        <f ca="1">+MIN($D$607-SUM($E607:V607),W$604)</f>
        <v>0</v>
      </c>
      <c r="X607" s="83">
        <f ca="1">+MIN($D$607-SUM($E607:W607),X$604)</f>
        <v>0</v>
      </c>
      <c r="Y607" s="83">
        <f ca="1">+MIN($D$607-SUM($E607:X607),Y$604)</f>
        <v>0</v>
      </c>
      <c r="Z607" s="83">
        <f ca="1">+MIN($D$607-SUM($E607:Y607),Z$604)</f>
        <v>0</v>
      </c>
    </row>
    <row r="608" spans="1:26" ht="15.75">
      <c r="A608" s="699"/>
      <c r="B608" s="699" t="s">
        <v>1209</v>
      </c>
      <c r="C608" s="49"/>
      <c r="D608" s="94">
        <f t="shared" ref="D608:D613" ca="1" si="290">+SUM(F608:Z608)</f>
        <v>0</v>
      </c>
      <c r="E608" s="94"/>
      <c r="F608" s="83">
        <f ca="1">+MIN('S&amp;U'!$J19-SUM($E608:E608),F$604-SUM(F$607:F607))</f>
        <v>0</v>
      </c>
      <c r="G608" s="83">
        <f ca="1">+MIN('S&amp;U'!$J19-SUM($E608:F608),G$604-SUM(G$607:G607))</f>
        <v>0</v>
      </c>
      <c r="H608" s="83">
        <f ca="1">+MIN('S&amp;U'!$J19-SUM($E608:G608),H$604-SUM(H$607:H607))</f>
        <v>0</v>
      </c>
      <c r="I608" s="83">
        <f ca="1">+MIN('S&amp;U'!$J19-SUM($E608:H608),I$604-SUM(I$607:I607))</f>
        <v>0</v>
      </c>
      <c r="J608" s="83">
        <f ca="1">+MIN('S&amp;U'!$J19-SUM($E608:I608),J$604-SUM(J$607:J607))</f>
        <v>0</v>
      </c>
      <c r="K608" s="83">
        <f ca="1">+MIN('S&amp;U'!$J19-SUM($E608:J608),K$604-SUM(K$607:K607))</f>
        <v>0</v>
      </c>
      <c r="L608" s="83">
        <f ca="1">+MIN('S&amp;U'!$J19-SUM($E608:K608),L$604-SUM(L$607:L607))</f>
        <v>0</v>
      </c>
      <c r="M608" s="83">
        <f ca="1">+MIN('S&amp;U'!$J19-SUM($E608:L608),M$604-SUM(M$607:M607))</f>
        <v>0</v>
      </c>
      <c r="N608" s="83">
        <f ca="1">+MIN('S&amp;U'!$J19-SUM($E608:M608),N$604-SUM(N$607:N607))</f>
        <v>0</v>
      </c>
      <c r="O608" s="83">
        <f ca="1">+MIN('S&amp;U'!$J19-SUM($E608:N608),O$604-SUM(O$607:O607))</f>
        <v>0</v>
      </c>
      <c r="P608" s="83">
        <f ca="1">+MIN('S&amp;U'!$J19-SUM($E608:O608),P$604-SUM(P$607:P607))</f>
        <v>0</v>
      </c>
      <c r="Q608" s="83">
        <f ca="1">+MIN('S&amp;U'!$J19-SUM($E608:P608),Q$604-SUM(Q$607:Q607))</f>
        <v>0</v>
      </c>
      <c r="R608" s="83">
        <f ca="1">+MIN('S&amp;U'!$J19-SUM($E608:Q608),R$604-SUM(R$607:R607))</f>
        <v>0</v>
      </c>
      <c r="S608" s="83">
        <f ca="1">+MIN('S&amp;U'!$J19-SUM($E608:R608),S$604-SUM(S$607:S607))</f>
        <v>0</v>
      </c>
      <c r="T608" s="83">
        <f ca="1">+MIN('S&amp;U'!$J19-SUM($E608:S608),T$604-SUM(T$607:T607))</f>
        <v>0</v>
      </c>
      <c r="U608" s="83">
        <f ca="1">+MIN('S&amp;U'!$J19-SUM($E608:T608),U$604-SUM(U$607:U607))</f>
        <v>0</v>
      </c>
      <c r="V608" s="83">
        <f ca="1">+MIN('S&amp;U'!$J19-SUM($E608:U608),V$604-SUM(V$607:V607))</f>
        <v>0</v>
      </c>
      <c r="W608" s="83">
        <f ca="1">+MIN('S&amp;U'!$J19-SUM($E608:V608),W$604-SUM(W$607:W607))</f>
        <v>0</v>
      </c>
      <c r="X608" s="83">
        <f ca="1">+MIN('S&amp;U'!$J19-SUM($E608:W608),X$604-SUM(X$607:X607))</f>
        <v>0</v>
      </c>
      <c r="Y608" s="83">
        <f ca="1">+MIN('S&amp;U'!$J19-SUM($E608:X608),Y$604-SUM(Y$607:Y607))</f>
        <v>0</v>
      </c>
      <c r="Z608" s="83">
        <f ca="1">+MIN('S&amp;U'!$J19-SUM($E608:Y608),Z$604-SUM(Z$607:Z607))</f>
        <v>0</v>
      </c>
    </row>
    <row r="609" spans="2:26" ht="15.75">
      <c r="B609" s="699" t="s">
        <v>1195</v>
      </c>
      <c r="C609" s="49"/>
      <c r="D609" s="94">
        <f t="shared" ca="1" si="290"/>
        <v>56106706.023558073</v>
      </c>
      <c r="E609" s="94"/>
      <c r="F609" s="83">
        <f ca="1">+MIN('S&amp;U'!$J20-SUM($E609:E609),F$604-SUM(F$607:F608))</f>
        <v>0</v>
      </c>
      <c r="G609" s="83">
        <f ca="1">+MIN('S&amp;U'!$J20-SUM($E609:F609),G$604-SUM(G$607:G608))</f>
        <v>0</v>
      </c>
      <c r="H609" s="83">
        <f ca="1">+MIN('S&amp;U'!$J20-SUM($E609:G609),H$604-SUM(H$607:H608))</f>
        <v>56106706.023558073</v>
      </c>
      <c r="I609" s="83">
        <f ca="1">+MIN('S&amp;U'!$J20-SUM($E609:H609),I$604-SUM(I$607:I608))</f>
        <v>0</v>
      </c>
      <c r="J609" s="83">
        <f ca="1">+MIN('S&amp;U'!$J20-SUM($E609:I609),J$604-SUM(J$607:J608))</f>
        <v>0</v>
      </c>
      <c r="K609" s="83">
        <f ca="1">+MIN('S&amp;U'!$J20-SUM($E609:J609),K$604-SUM(K$607:K608))</f>
        <v>0</v>
      </c>
      <c r="L609" s="83">
        <f ca="1">+MIN('S&amp;U'!$J20-SUM($E609:K609),L$604-SUM(L$607:L608))</f>
        <v>0</v>
      </c>
      <c r="M609" s="83">
        <f ca="1">+MIN('S&amp;U'!$J20-SUM($E609:L609),M$604-SUM(M$607:M608))</f>
        <v>0</v>
      </c>
      <c r="N609" s="83">
        <f ca="1">+MIN('S&amp;U'!$J20-SUM($E609:M609),N$604-SUM(N$607:N608))</f>
        <v>0</v>
      </c>
      <c r="O609" s="83">
        <f ca="1">+MIN('S&amp;U'!$J20-SUM($E609:N609),O$604-SUM(O$607:O608))</f>
        <v>0</v>
      </c>
      <c r="P609" s="83">
        <f ca="1">+MIN('S&amp;U'!$J20-SUM($E609:O609),P$604-SUM(P$607:P608))</f>
        <v>0</v>
      </c>
      <c r="Q609" s="83">
        <f ca="1">+MIN('S&amp;U'!$J20-SUM($E609:P609),Q$604-SUM(Q$607:Q608))</f>
        <v>0</v>
      </c>
      <c r="R609" s="83">
        <f ca="1">+MIN('S&amp;U'!$J20-SUM($E609:Q609),R$604-SUM(R$607:R608))</f>
        <v>0</v>
      </c>
      <c r="S609" s="83">
        <f ca="1">+MIN('S&amp;U'!$J20-SUM($E609:R609),S$604-SUM(S$607:S608))</f>
        <v>0</v>
      </c>
      <c r="T609" s="83">
        <f ca="1">+MIN('S&amp;U'!$J20-SUM($E609:S609),T$604-SUM(T$607:T608))</f>
        <v>0</v>
      </c>
      <c r="U609" s="83">
        <f ca="1">+MIN('S&amp;U'!$J20-SUM($E609:T609),U$604-SUM(U$607:U608))</f>
        <v>0</v>
      </c>
      <c r="V609" s="83">
        <f ca="1">+MIN('S&amp;U'!$J20-SUM($E609:U609),V$604-SUM(V$607:V608))</f>
        <v>0</v>
      </c>
      <c r="W609" s="83">
        <f ca="1">+MIN('S&amp;U'!$J20-SUM($E609:V609),W$604-SUM(W$607:W608))</f>
        <v>0</v>
      </c>
      <c r="X609" s="83">
        <f ca="1">+MIN('S&amp;U'!$J20-SUM($E609:W609),X$604-SUM(X$607:X608))</f>
        <v>0</v>
      </c>
      <c r="Y609" s="83">
        <f ca="1">+MIN('S&amp;U'!$J20-SUM($E609:X609),Y$604-SUM(Y$607:Y608))</f>
        <v>0</v>
      </c>
      <c r="Z609" s="83">
        <f ca="1">+MIN('S&amp;U'!$J20-SUM($E609:Y609),Z$604-SUM(Z$607:Z608))</f>
        <v>0</v>
      </c>
    </row>
    <row r="610" spans="2:26" ht="15.75">
      <c r="B610" s="699" t="s">
        <v>1196</v>
      </c>
      <c r="C610" s="49"/>
      <c r="D610" s="94">
        <f t="shared" ca="1" si="290"/>
        <v>0</v>
      </c>
      <c r="E610" s="94"/>
      <c r="F610" s="83">
        <f ca="1">+MIN('S&amp;U'!$J21-SUM($E610:E610),F$604-SUM(F$607:F609))</f>
        <v>0</v>
      </c>
      <c r="G610" s="83">
        <f ca="1">+MIN('S&amp;U'!$J21-SUM($E610:F610),G$604-SUM(G$607:G609))</f>
        <v>0</v>
      </c>
      <c r="H610" s="83">
        <f ca="1">+MIN('S&amp;U'!$J21-SUM($E610:G610),H$604-SUM(H$607:H609))</f>
        <v>0</v>
      </c>
      <c r="I610" s="83">
        <f ca="1">+MIN('S&amp;U'!$J21-SUM($E610:H610),I$604-SUM(I$607:I609))</f>
        <v>0</v>
      </c>
      <c r="J610" s="83">
        <f ca="1">+MIN('S&amp;U'!$J21-SUM($E610:I610),J$604-SUM(J$607:J609))</f>
        <v>0</v>
      </c>
      <c r="K610" s="83">
        <f ca="1">+MIN('S&amp;U'!$J21-SUM($E610:J610),K$604-SUM(K$607:K609))</f>
        <v>0</v>
      </c>
      <c r="L610" s="83">
        <f ca="1">+MIN('S&amp;U'!$J21-SUM($E610:K610),L$604-SUM(L$607:L609))</f>
        <v>0</v>
      </c>
      <c r="M610" s="83">
        <f ca="1">+MIN('S&amp;U'!$J21-SUM($E610:L610),M$604-SUM(M$607:M609))</f>
        <v>0</v>
      </c>
      <c r="N610" s="83">
        <f ca="1">+MIN('S&amp;U'!$J21-SUM($E610:M610),N$604-SUM(N$607:N609))</f>
        <v>0</v>
      </c>
      <c r="O610" s="83">
        <f ca="1">+MIN('S&amp;U'!$J21-SUM($E610:N610),O$604-SUM(O$607:O609))</f>
        <v>0</v>
      </c>
      <c r="P610" s="83">
        <f ca="1">+MIN('S&amp;U'!$J21-SUM($E610:O610),P$604-SUM(P$607:P609))</f>
        <v>0</v>
      </c>
      <c r="Q610" s="83">
        <f ca="1">+MIN('S&amp;U'!$J21-SUM($E610:P610),Q$604-SUM(Q$607:Q609))</f>
        <v>0</v>
      </c>
      <c r="R610" s="83">
        <f ca="1">+MIN('S&amp;U'!$J21-SUM($E610:Q610),R$604-SUM(R$607:R609))</f>
        <v>0</v>
      </c>
      <c r="S610" s="83">
        <f ca="1">+MIN('S&amp;U'!$J21-SUM($E610:R610),S$604-SUM(S$607:S609))</f>
        <v>0</v>
      </c>
      <c r="T610" s="83">
        <f ca="1">+MIN('S&amp;U'!$J21-SUM($E610:S610),T$604-SUM(T$607:T609))</f>
        <v>0</v>
      </c>
      <c r="U610" s="83">
        <f ca="1">+MIN('S&amp;U'!$J21-SUM($E610:T610),U$604-SUM(U$607:U609))</f>
        <v>0</v>
      </c>
      <c r="V610" s="83">
        <f ca="1">+MIN('S&amp;U'!$J21-SUM($E610:U610),V$604-SUM(V$607:V609))</f>
        <v>0</v>
      </c>
      <c r="W610" s="83">
        <f ca="1">+MIN('S&amp;U'!$J21-SUM($E610:V610),W$604-SUM(W$607:W609))</f>
        <v>0</v>
      </c>
      <c r="X610" s="83">
        <f ca="1">+MIN('S&amp;U'!$J21-SUM($E610:W610),X$604-SUM(X$607:X609))</f>
        <v>0</v>
      </c>
      <c r="Y610" s="83">
        <f ca="1">+MIN('S&amp;U'!$J21-SUM($E610:X610),Y$604-SUM(Y$607:Y609))</f>
        <v>0</v>
      </c>
      <c r="Z610" s="83">
        <f ca="1">+MIN('S&amp;U'!$J21-SUM($E610:Y610),Z$604-SUM(Z$607:Z609))</f>
        <v>0</v>
      </c>
    </row>
    <row r="611" spans="2:26" ht="15.75">
      <c r="B611" s="699" t="s">
        <v>1197</v>
      </c>
      <c r="C611" s="49"/>
      <c r="D611" s="94">
        <f t="shared" ca="1" si="290"/>
        <v>0</v>
      </c>
      <c r="E611" s="94"/>
      <c r="F611" s="83">
        <f ca="1">+MIN('S&amp;U'!$J22-SUM($E611:E611),F$604-SUM(F$607:F610))</f>
        <v>0</v>
      </c>
      <c r="G611" s="83">
        <f ca="1">+MIN('S&amp;U'!$J22-SUM($E611:F611),G$604-SUM(G$607:G610))</f>
        <v>0</v>
      </c>
      <c r="H611" s="83">
        <f ca="1">+MIN('S&amp;U'!$J22-SUM($E611:G611),H$604-SUM(H$607:H610))</f>
        <v>0</v>
      </c>
      <c r="I611" s="83">
        <f ca="1">+MIN('S&amp;U'!$J22-SUM($E611:H611),I$604-SUM(I$607:I610))</f>
        <v>0</v>
      </c>
      <c r="J611" s="83">
        <f ca="1">+MIN('S&amp;U'!$J22-SUM($E611:I611),J$604-SUM(J$607:J610))</f>
        <v>0</v>
      </c>
      <c r="K611" s="83">
        <f ca="1">+MIN('S&amp;U'!$J22-SUM($E611:J611),K$604-SUM(K$607:K610))</f>
        <v>0</v>
      </c>
      <c r="L611" s="83">
        <f ca="1">+MIN('S&amp;U'!$J22-SUM($E611:K611),L$604-SUM(L$607:L610))</f>
        <v>0</v>
      </c>
      <c r="M611" s="83">
        <f ca="1">+MIN('S&amp;U'!$J22-SUM($E611:L611),M$604-SUM(M$607:M610))</f>
        <v>0</v>
      </c>
      <c r="N611" s="83">
        <f ca="1">+MIN('S&amp;U'!$J22-SUM($E611:M611),N$604-SUM(N$607:N610))</f>
        <v>0</v>
      </c>
      <c r="O611" s="83">
        <f ca="1">+MIN('S&amp;U'!$J22-SUM($E611:N611),O$604-SUM(O$607:O610))</f>
        <v>0</v>
      </c>
      <c r="P611" s="83">
        <f ca="1">+MIN('S&amp;U'!$J22-SUM($E611:O611),P$604-SUM(P$607:P610))</f>
        <v>0</v>
      </c>
      <c r="Q611" s="83">
        <f ca="1">+MIN('S&amp;U'!$J22-SUM($E611:P611),Q$604-SUM(Q$607:Q610))</f>
        <v>0</v>
      </c>
      <c r="R611" s="83">
        <f ca="1">+MIN('S&amp;U'!$J22-SUM($E611:Q611),R$604-SUM(R$607:R610))</f>
        <v>0</v>
      </c>
      <c r="S611" s="83">
        <f ca="1">+MIN('S&amp;U'!$J22-SUM($E611:R611),S$604-SUM(S$607:S610))</f>
        <v>0</v>
      </c>
      <c r="T611" s="83">
        <f ca="1">+MIN('S&amp;U'!$J22-SUM($E611:S611),T$604-SUM(T$607:T610))</f>
        <v>0</v>
      </c>
      <c r="U611" s="83">
        <f ca="1">+MIN('S&amp;U'!$J22-SUM($E611:T611),U$604-SUM(U$607:U610))</f>
        <v>0</v>
      </c>
      <c r="V611" s="83">
        <f ca="1">+MIN('S&amp;U'!$J22-SUM($E611:U611),V$604-SUM(V$607:V610))</f>
        <v>0</v>
      </c>
      <c r="W611" s="83">
        <f ca="1">+MIN('S&amp;U'!$J22-SUM($E611:V611),W$604-SUM(W$607:W610))</f>
        <v>0</v>
      </c>
      <c r="X611" s="83">
        <f ca="1">+MIN('S&amp;U'!$J22-SUM($E611:W611),X$604-SUM(X$607:X610))</f>
        <v>0</v>
      </c>
      <c r="Y611" s="83">
        <f ca="1">+MIN('S&amp;U'!$J22-SUM($E611:X611),Y$604-SUM(Y$607:Y610))</f>
        <v>0</v>
      </c>
      <c r="Z611" s="83">
        <f ca="1">+MIN('S&amp;U'!$J22-SUM($E611:Y611),Z$604-SUM(Z$607:Z610))</f>
        <v>0</v>
      </c>
    </row>
    <row r="612" spans="2:26" ht="15.75">
      <c r="B612" s="699" t="s">
        <v>323</v>
      </c>
      <c r="C612" s="49"/>
      <c r="D612" s="94">
        <f t="shared" si="290"/>
        <v>0</v>
      </c>
      <c r="E612" s="94"/>
      <c r="F612" s="83">
        <v>0</v>
      </c>
      <c r="G612" s="83">
        <v>0</v>
      </c>
      <c r="H612" s="83">
        <v>0</v>
      </c>
      <c r="I612" s="83">
        <v>0</v>
      </c>
      <c r="J612" s="83">
        <v>0</v>
      </c>
      <c r="K612" s="83">
        <v>0</v>
      </c>
      <c r="L612" s="83">
        <v>0</v>
      </c>
      <c r="M612" s="83">
        <v>0</v>
      </c>
      <c r="N612" s="83">
        <v>0</v>
      </c>
      <c r="O612" s="83">
        <v>0</v>
      </c>
      <c r="P612" s="83">
        <v>0</v>
      </c>
      <c r="Q612" s="83">
        <v>0</v>
      </c>
      <c r="R612" s="83">
        <v>0</v>
      </c>
      <c r="S612" s="83">
        <v>0</v>
      </c>
      <c r="T612" s="83">
        <v>0</v>
      </c>
      <c r="U612" s="83">
        <v>0</v>
      </c>
      <c r="V612" s="83">
        <v>0</v>
      </c>
      <c r="W612" s="83">
        <v>0</v>
      </c>
      <c r="X612" s="83">
        <v>0</v>
      </c>
      <c r="Y612" s="83">
        <v>0</v>
      </c>
      <c r="Z612" s="83">
        <v>0</v>
      </c>
    </row>
    <row r="613" spans="2:26" ht="15.75">
      <c r="B613" s="699" t="s">
        <v>326</v>
      </c>
      <c r="C613" s="49"/>
      <c r="D613" s="94">
        <f t="shared" ca="1" si="290"/>
        <v>50999588.416806847</v>
      </c>
      <c r="E613" s="94"/>
      <c r="F613" s="83">
        <f ca="1">+MIN('S&amp;U'!$J26-SUM($E613:E613),F$604-SUM(F$607:F612))</f>
        <v>0</v>
      </c>
      <c r="G613" s="83">
        <f ca="1">+MIN('S&amp;U'!$J26-SUM($E613:F613),G$604-SUM(G$607:G612))</f>
        <v>0</v>
      </c>
      <c r="H613" s="83">
        <f ca="1">+MIN('S&amp;U'!$J26-SUM($E613:G613),H$604-SUM(H$607:H612))</f>
        <v>50999588.416806847</v>
      </c>
      <c r="I613" s="83">
        <f ca="1">+MIN('S&amp;U'!$J26-SUM($E613:H613),I$604-SUM(I$607:I612))</f>
        <v>0</v>
      </c>
      <c r="J613" s="83">
        <f ca="1">+MIN('S&amp;U'!$J26-SUM($E613:I613),J$604-SUM(J$607:J612))</f>
        <v>0</v>
      </c>
      <c r="K613" s="83">
        <f ca="1">+MIN('S&amp;U'!$J26-SUM($E613:J613),K$604-SUM(K$607:K612))</f>
        <v>0</v>
      </c>
      <c r="L613" s="83">
        <f ca="1">+MIN('S&amp;U'!$J26-SUM($E613:K613),L$604-SUM(L$607:L612))</f>
        <v>0</v>
      </c>
      <c r="M613" s="83">
        <f ca="1">+MIN('S&amp;U'!$J26-SUM($E613:L613),M$604-SUM(M$607:M612))</f>
        <v>0</v>
      </c>
      <c r="N613" s="83">
        <f ca="1">+MIN('S&amp;U'!$J26-SUM($E613:M613),N$604-SUM(N$607:N612))</f>
        <v>0</v>
      </c>
      <c r="O613" s="83">
        <f ca="1">+MIN('S&amp;U'!$J26-SUM($E613:N613),O$604-SUM(O$607:O612))</f>
        <v>0</v>
      </c>
      <c r="P613" s="83">
        <f ca="1">+MIN('S&amp;U'!$J26-SUM($E613:O613),P$604-SUM(P$607:P612))</f>
        <v>0</v>
      </c>
      <c r="Q613" s="83">
        <f ca="1">+MIN('S&amp;U'!$J26-SUM($E613:P613),Q$604-SUM(Q$607:Q612))</f>
        <v>0</v>
      </c>
      <c r="R613" s="83">
        <f ca="1">+MIN('S&amp;U'!$J26-SUM($E613:Q613),R$604-SUM(R$607:R612))</f>
        <v>0</v>
      </c>
      <c r="S613" s="83">
        <f ca="1">+MIN('S&amp;U'!$J26-SUM($E613:R613),S$604-SUM(S$607:S612))</f>
        <v>0</v>
      </c>
      <c r="T613" s="83">
        <f ca="1">+MIN('S&amp;U'!$J26-SUM($E613:S613),T$604-SUM(T$607:T612))</f>
        <v>0</v>
      </c>
      <c r="U613" s="83">
        <f ca="1">+MIN('S&amp;U'!$J26-SUM($E613:T613),U$604-SUM(U$607:U612))</f>
        <v>0</v>
      </c>
      <c r="V613" s="83">
        <f ca="1">+MIN('S&amp;U'!$J26-SUM($E613:U613),V$604-SUM(V$607:V612))</f>
        <v>0</v>
      </c>
      <c r="W613" s="83">
        <f ca="1">+MIN('S&amp;U'!$J26-SUM($E613:V613),W$604-SUM(W$607:W612))</f>
        <v>0</v>
      </c>
      <c r="X613" s="83">
        <f ca="1">+MIN('S&amp;U'!$J26-SUM($E613:W613),X$604-SUM(X$607:X612))</f>
        <v>0</v>
      </c>
      <c r="Y613" s="83">
        <f ca="1">+MIN('S&amp;U'!$J26-SUM($E613:X613),Y$604-SUM(Y$607:Y612))</f>
        <v>0</v>
      </c>
      <c r="Z613" s="83">
        <f ca="1">+MIN('S&amp;U'!$J26-SUM($E613:Y613),Z$604-SUM(Z$607:Z612))</f>
        <v>0</v>
      </c>
    </row>
    <row r="614" spans="2:26" ht="15.75">
      <c r="B614" s="50" t="s">
        <v>1198</v>
      </c>
      <c r="C614" s="50"/>
      <c r="D614" s="55">
        <f ca="1">+SUM(F614:Z614)</f>
        <v>364234275.03081787</v>
      </c>
      <c r="E614" s="55"/>
      <c r="F614" s="55">
        <f ca="1">+SUM(F607:F613)</f>
        <v>97022022.157049507</v>
      </c>
      <c r="G614" s="55">
        <f t="shared" ref="G614:Z614" ca="1" si="291">+SUM(G607:G613)</f>
        <v>133606126.43688419</v>
      </c>
      <c r="H614" s="55">
        <f t="shared" ca="1" si="291"/>
        <v>133606126.43688419</v>
      </c>
      <c r="I614" s="55">
        <f t="shared" ca="1" si="291"/>
        <v>0</v>
      </c>
      <c r="J614" s="55">
        <f t="shared" ca="1" si="291"/>
        <v>0</v>
      </c>
      <c r="K614" s="55">
        <f t="shared" ca="1" si="291"/>
        <v>0</v>
      </c>
      <c r="L614" s="55">
        <f t="shared" ca="1" si="291"/>
        <v>0</v>
      </c>
      <c r="M614" s="55">
        <f t="shared" ca="1" si="291"/>
        <v>0</v>
      </c>
      <c r="N614" s="55">
        <f t="shared" ca="1" si="291"/>
        <v>0</v>
      </c>
      <c r="O614" s="55">
        <f t="shared" ca="1" si="291"/>
        <v>0</v>
      </c>
      <c r="P614" s="55">
        <f t="shared" ca="1" si="291"/>
        <v>0</v>
      </c>
      <c r="Q614" s="55">
        <f t="shared" ca="1" si="291"/>
        <v>0</v>
      </c>
      <c r="R614" s="55">
        <f t="shared" ca="1" si="291"/>
        <v>0</v>
      </c>
      <c r="S614" s="55">
        <f t="shared" ca="1" si="291"/>
        <v>0</v>
      </c>
      <c r="T614" s="55">
        <f t="shared" ca="1" si="291"/>
        <v>0</v>
      </c>
      <c r="U614" s="55">
        <f t="shared" ca="1" si="291"/>
        <v>0</v>
      </c>
      <c r="V614" s="55">
        <f t="shared" ca="1" si="291"/>
        <v>0</v>
      </c>
      <c r="W614" s="55">
        <f t="shared" ca="1" si="291"/>
        <v>0</v>
      </c>
      <c r="X614" s="55">
        <f t="shared" ca="1" si="291"/>
        <v>0</v>
      </c>
      <c r="Y614" s="55">
        <f t="shared" ca="1" si="291"/>
        <v>0</v>
      </c>
      <c r="Z614" s="55">
        <f t="shared" ca="1" si="291"/>
        <v>0</v>
      </c>
    </row>
    <row r="615" spans="2:26">
      <c r="B615" s="49"/>
      <c r="C615" s="49"/>
      <c r="D615" s="49"/>
      <c r="E615" s="49"/>
      <c r="F615" s="49"/>
      <c r="G615" s="49"/>
      <c r="H615" s="49"/>
      <c r="I615" s="49"/>
      <c r="J615" s="49"/>
      <c r="K615" s="49"/>
      <c r="L615" s="49"/>
      <c r="M615" s="49"/>
      <c r="N615" s="49"/>
      <c r="O615" s="49"/>
      <c r="P615" s="49"/>
      <c r="Q615" s="49"/>
      <c r="R615" s="49"/>
      <c r="S615" s="49"/>
      <c r="T615" s="49"/>
      <c r="U615" s="49"/>
      <c r="V615" s="49"/>
      <c r="W615" s="49"/>
      <c r="X615" s="49"/>
      <c r="Y615" s="49"/>
      <c r="Z615" s="49"/>
    </row>
    <row r="616" spans="2:26" ht="15.75">
      <c r="B616" s="112" t="s">
        <v>1200</v>
      </c>
      <c r="C616" s="49"/>
      <c r="D616" s="49"/>
      <c r="E616" s="49"/>
      <c r="F616" s="148"/>
      <c r="G616" s="148"/>
      <c r="H616" s="148"/>
      <c r="I616" s="148"/>
      <c r="J616" s="148"/>
      <c r="K616" s="148"/>
      <c r="L616" s="148"/>
      <c r="M616" s="148"/>
      <c r="N616" s="148"/>
      <c r="O616" s="148"/>
      <c r="P616" s="148"/>
      <c r="Q616" s="148"/>
      <c r="R616" s="148"/>
      <c r="S616" s="148"/>
      <c r="T616" s="148"/>
      <c r="U616" s="148"/>
      <c r="V616" s="148"/>
      <c r="W616" s="148"/>
      <c r="X616" s="148"/>
      <c r="Y616" s="148"/>
      <c r="Z616" s="148"/>
    </row>
    <row r="617" spans="2:26" ht="15.75">
      <c r="B617" s="699" t="s">
        <v>1201</v>
      </c>
      <c r="C617" s="49"/>
      <c r="D617" s="94">
        <f t="shared" ref="D617:D619" ca="1" si="292">+SUM(F617:Z617)</f>
        <v>-257127980.59045297</v>
      </c>
      <c r="E617" s="94"/>
      <c r="F617" s="83">
        <f ca="1">-F607</f>
        <v>-97022022.157049507</v>
      </c>
      <c r="G617" s="83">
        <f t="shared" ref="G617:Z617" ca="1" si="293">-G607</f>
        <v>-133606126.43688419</v>
      </c>
      <c r="H617" s="83">
        <f t="shared" ca="1" si="293"/>
        <v>-26499831.996519268</v>
      </c>
      <c r="I617" s="83">
        <f t="shared" ca="1" si="293"/>
        <v>0</v>
      </c>
      <c r="J617" s="83">
        <f t="shared" ca="1" si="293"/>
        <v>0</v>
      </c>
      <c r="K617" s="83">
        <f t="shared" ca="1" si="293"/>
        <v>0</v>
      </c>
      <c r="L617" s="83">
        <f t="shared" ca="1" si="293"/>
        <v>0</v>
      </c>
      <c r="M617" s="83">
        <f t="shared" ca="1" si="293"/>
        <v>0</v>
      </c>
      <c r="N617" s="83">
        <f t="shared" ca="1" si="293"/>
        <v>0</v>
      </c>
      <c r="O617" s="83">
        <f t="shared" ca="1" si="293"/>
        <v>0</v>
      </c>
      <c r="P617" s="83">
        <f t="shared" ca="1" si="293"/>
        <v>0</v>
      </c>
      <c r="Q617" s="83">
        <f t="shared" ca="1" si="293"/>
        <v>0</v>
      </c>
      <c r="R617" s="83">
        <f t="shared" ca="1" si="293"/>
        <v>0</v>
      </c>
      <c r="S617" s="83">
        <f t="shared" ca="1" si="293"/>
        <v>0</v>
      </c>
      <c r="T617" s="83">
        <f t="shared" ca="1" si="293"/>
        <v>0</v>
      </c>
      <c r="U617" s="83">
        <f t="shared" ca="1" si="293"/>
        <v>0</v>
      </c>
      <c r="V617" s="83">
        <f t="shared" ca="1" si="293"/>
        <v>0</v>
      </c>
      <c r="W617" s="83">
        <f t="shared" ca="1" si="293"/>
        <v>0</v>
      </c>
      <c r="X617" s="83">
        <f t="shared" ca="1" si="293"/>
        <v>0</v>
      </c>
      <c r="Y617" s="83">
        <f t="shared" ca="1" si="293"/>
        <v>0</v>
      </c>
      <c r="Z617" s="83">
        <f t="shared" ca="1" si="293"/>
        <v>0</v>
      </c>
    </row>
    <row r="618" spans="2:26" ht="15.75">
      <c r="B618" s="699" t="s">
        <v>1202</v>
      </c>
      <c r="C618" s="49"/>
      <c r="D618" s="94">
        <f t="shared" ca="1" si="292"/>
        <v>422958717.31095552</v>
      </c>
      <c r="E618" s="94"/>
      <c r="F618" s="90">
        <f ca="1">+IF(YEAR(F$606)&lt;=YEAR(Assumptions!$H$35),'Phase 3 Pro Forma'!F589+'Phase 3 Pro Forma'!F594,0)</f>
        <v>0</v>
      </c>
      <c r="G618" s="90">
        <f ca="1">+IF(YEAR(G$606)&lt;=YEAR(Assumptions!$H$35),'Phase 3 Pro Forma'!G589+'Phase 3 Pro Forma'!G594,0)</f>
        <v>0</v>
      </c>
      <c r="H618" s="90">
        <f ca="1">+IF(YEAR(H$606)&lt;=YEAR(Assumptions!$H$35),'Phase 3 Pro Forma'!H589+'Phase 3 Pro Forma'!H594,0)</f>
        <v>0</v>
      </c>
      <c r="I618" s="90">
        <f ca="1">+IF(YEAR(I$606)&lt;=YEAR(Assumptions!$H$35),'Phase 3 Pro Forma'!I589+'Phase 3 Pro Forma'!I594,0)</f>
        <v>14164604.016006036</v>
      </c>
      <c r="J618" s="90">
        <f ca="1">+IF(YEAR(J$606)&lt;=YEAR(Assumptions!$H$35),'Phase 3 Pro Forma'!J589+'Phase 3 Pro Forma'!J594,0)</f>
        <v>20090672.15795438</v>
      </c>
      <c r="K618" s="90">
        <f ca="1">+IF(YEAR(K$606)&lt;=YEAR(Assumptions!$H$35),'Phase 3 Pro Forma'!K589+'Phase 3 Pro Forma'!K594,0)</f>
        <v>388703441.13699514</v>
      </c>
      <c r="L618" s="90">
        <f>+IF(YEAR(L$606)&lt;=YEAR(Assumptions!$H$35),'Phase 3 Pro Forma'!L589+'Phase 3 Pro Forma'!L594,0)</f>
        <v>0</v>
      </c>
      <c r="M618" s="90">
        <f>+IF(YEAR(M$606)&lt;=YEAR(Assumptions!$H$35),'Phase 3 Pro Forma'!M589+'Phase 3 Pro Forma'!M594,0)</f>
        <v>0</v>
      </c>
      <c r="N618" s="90">
        <f>+IF(YEAR(N$606)&lt;=YEAR(Assumptions!$H$35),'Phase 3 Pro Forma'!N589+'Phase 3 Pro Forma'!N594,0)</f>
        <v>0</v>
      </c>
      <c r="O618" s="90">
        <f>+IF(YEAR(O$606)&lt;=YEAR(Assumptions!$H$35),'Phase 3 Pro Forma'!O589+'Phase 3 Pro Forma'!O594,0)</f>
        <v>0</v>
      </c>
      <c r="P618" s="90">
        <f>+IF(YEAR(P$606)&lt;=YEAR(Assumptions!$H$35),'Phase 3 Pro Forma'!P589+'Phase 3 Pro Forma'!P594,0)</f>
        <v>0</v>
      </c>
      <c r="Q618" s="90">
        <f>+IF(YEAR(Q$606)&lt;=YEAR(Assumptions!$H$35),'Phase 3 Pro Forma'!Q589+'Phase 3 Pro Forma'!Q594,0)</f>
        <v>0</v>
      </c>
      <c r="R618" s="90">
        <f>+IF(YEAR(R$606)&lt;=YEAR(Assumptions!$H$35),'Phase 3 Pro Forma'!R589+'Phase 3 Pro Forma'!R594,0)</f>
        <v>0</v>
      </c>
      <c r="S618" s="90">
        <f>+IF(YEAR(S$606)&lt;=YEAR(Assumptions!$H$35),'Phase 3 Pro Forma'!S589+'Phase 3 Pro Forma'!S594,0)</f>
        <v>0</v>
      </c>
      <c r="T618" s="90">
        <f>+IF(YEAR(T$606)&lt;=YEAR(Assumptions!$H$35),'Phase 3 Pro Forma'!T589+'Phase 3 Pro Forma'!T594,0)</f>
        <v>0</v>
      </c>
      <c r="U618" s="90">
        <f>+IF(YEAR(U$606)&lt;=YEAR(Assumptions!$H$35),'Phase 3 Pro Forma'!U589+'Phase 3 Pro Forma'!U594,0)</f>
        <v>0</v>
      </c>
      <c r="V618" s="90">
        <f>+IF(YEAR(V$606)&lt;=YEAR(Assumptions!$H$35),'Phase 3 Pro Forma'!V589+'Phase 3 Pro Forma'!V594,0)</f>
        <v>0</v>
      </c>
      <c r="W618" s="90">
        <f>+IF(YEAR(W$606)&lt;=YEAR(Assumptions!$H$35),'Phase 3 Pro Forma'!W589+'Phase 3 Pro Forma'!W594,0)</f>
        <v>0</v>
      </c>
      <c r="X618" s="90">
        <f>+IF(YEAR(X$606)&lt;=YEAR(Assumptions!$H$35),'Phase 3 Pro Forma'!X589+'Phase 3 Pro Forma'!X594,0)</f>
        <v>0</v>
      </c>
      <c r="Y618" s="90">
        <f>+IF(YEAR(Y$606)&lt;=YEAR(Assumptions!$H$35),'Phase 3 Pro Forma'!Y589+'Phase 3 Pro Forma'!Y594,0)</f>
        <v>0</v>
      </c>
      <c r="Z618" s="90">
        <f>+IF(YEAR(Z$606)&lt;=YEAR(Assumptions!$H$35),'Phase 3 Pro Forma'!Z589+'Phase 3 Pro Forma'!Z594,0)</f>
        <v>0</v>
      </c>
    </row>
    <row r="619" spans="2:26" ht="15.75">
      <c r="B619" s="50" t="s">
        <v>1203</v>
      </c>
      <c r="C619" s="50"/>
      <c r="D619" s="55">
        <f t="shared" ca="1" si="292"/>
        <v>165830736.72050256</v>
      </c>
      <c r="E619" s="55"/>
      <c r="F619" s="55">
        <f ca="1">+SUM(F617:F618)</f>
        <v>-97022022.157049507</v>
      </c>
      <c r="G619" s="55">
        <f t="shared" ref="G619:Z619" ca="1" si="294">+SUM(G617:G618)</f>
        <v>-133606126.43688419</v>
      </c>
      <c r="H619" s="55">
        <f t="shared" ca="1" si="294"/>
        <v>-26499831.996519268</v>
      </c>
      <c r="I619" s="55">
        <f t="shared" ca="1" si="294"/>
        <v>14164604.016006036</v>
      </c>
      <c r="J619" s="55">
        <f t="shared" ca="1" si="294"/>
        <v>20090672.15795438</v>
      </c>
      <c r="K619" s="55">
        <f t="shared" ca="1" si="294"/>
        <v>388703441.13699514</v>
      </c>
      <c r="L619" s="55">
        <f t="shared" ca="1" si="294"/>
        <v>0</v>
      </c>
      <c r="M619" s="55">
        <f t="shared" ca="1" si="294"/>
        <v>0</v>
      </c>
      <c r="N619" s="55">
        <f t="shared" ca="1" si="294"/>
        <v>0</v>
      </c>
      <c r="O619" s="55">
        <f t="shared" ca="1" si="294"/>
        <v>0</v>
      </c>
      <c r="P619" s="55">
        <f t="shared" ca="1" si="294"/>
        <v>0</v>
      </c>
      <c r="Q619" s="55">
        <f t="shared" ca="1" si="294"/>
        <v>0</v>
      </c>
      <c r="R619" s="55">
        <f t="shared" ca="1" si="294"/>
        <v>0</v>
      </c>
      <c r="S619" s="55">
        <f t="shared" ca="1" si="294"/>
        <v>0</v>
      </c>
      <c r="T619" s="55">
        <f t="shared" ca="1" si="294"/>
        <v>0</v>
      </c>
      <c r="U619" s="55">
        <f t="shared" ca="1" si="294"/>
        <v>0</v>
      </c>
      <c r="V619" s="55">
        <f t="shared" ca="1" si="294"/>
        <v>0</v>
      </c>
      <c r="W619" s="55">
        <f t="shared" ca="1" si="294"/>
        <v>0</v>
      </c>
      <c r="X619" s="55">
        <f t="shared" ca="1" si="294"/>
        <v>0</v>
      </c>
      <c r="Y619" s="55">
        <f t="shared" ca="1" si="294"/>
        <v>0</v>
      </c>
      <c r="Z619" s="55">
        <f t="shared" ca="1" si="294"/>
        <v>0</v>
      </c>
    </row>
    <row r="620" spans="2:26">
      <c r="B620" s="49"/>
      <c r="C620" s="49"/>
      <c r="D620" s="49"/>
      <c r="E620" s="49"/>
      <c r="F620" s="49"/>
      <c r="G620" s="49"/>
      <c r="H620" s="49"/>
      <c r="I620" s="49"/>
      <c r="J620" s="49"/>
      <c r="K620" s="49"/>
      <c r="L620" s="49"/>
      <c r="M620" s="49"/>
      <c r="N620" s="49"/>
      <c r="O620" s="49"/>
      <c r="P620" s="49"/>
      <c r="Q620" s="49"/>
      <c r="R620" s="49"/>
      <c r="S620" s="49"/>
      <c r="T620" s="49"/>
      <c r="U620" s="49"/>
      <c r="V620" s="49"/>
      <c r="W620" s="49"/>
      <c r="X620" s="49"/>
      <c r="Y620" s="49"/>
      <c r="Z620" s="49"/>
    </row>
    <row r="621" spans="2:26" ht="15.75">
      <c r="B621" s="154" t="s">
        <v>377</v>
      </c>
      <c r="C621" s="154"/>
      <c r="D621" s="155">
        <f ca="1">+IRR(F619:Z619)</f>
        <v>0.12666794291558103</v>
      </c>
      <c r="E621" s="49"/>
      <c r="F621" s="49"/>
      <c r="G621" s="49"/>
      <c r="H621" s="49"/>
      <c r="I621" s="49"/>
      <c r="J621" s="49"/>
      <c r="K621" s="49"/>
      <c r="L621" s="49"/>
      <c r="M621" s="49"/>
      <c r="N621" s="49"/>
      <c r="O621" s="49"/>
      <c r="P621" s="49"/>
      <c r="Q621" s="49"/>
      <c r="R621" s="49"/>
      <c r="S621" s="49"/>
      <c r="T621" s="49"/>
      <c r="U621" s="49"/>
      <c r="V621" s="49"/>
      <c r="W621" s="49"/>
      <c r="X621" s="49"/>
      <c r="Y621" s="49"/>
      <c r="Z621" s="49"/>
    </row>
    <row r="622" spans="2:26" ht="15.75">
      <c r="B622" s="113" t="s">
        <v>1204</v>
      </c>
      <c r="C622" s="156"/>
      <c r="D622" s="150">
        <f ca="1">+SUM(F619:Z619)</f>
        <v>165830736.72050256</v>
      </c>
      <c r="E622" s="49"/>
      <c r="F622" s="49"/>
      <c r="G622" s="49"/>
      <c r="H622" s="49"/>
      <c r="I622" s="49"/>
      <c r="J622" s="49"/>
      <c r="K622" s="49"/>
      <c r="L622" s="49"/>
      <c r="M622" s="49"/>
      <c r="N622" s="49"/>
      <c r="O622" s="49"/>
      <c r="P622" s="49"/>
      <c r="Q622" s="49"/>
      <c r="R622" s="49"/>
      <c r="S622" s="49"/>
      <c r="T622" s="49"/>
      <c r="U622" s="49"/>
      <c r="V622" s="49"/>
      <c r="W622" s="49"/>
      <c r="X622" s="49"/>
      <c r="Y622" s="49"/>
      <c r="Z622" s="49"/>
    </row>
    <row r="623" spans="2:26" ht="15.75">
      <c r="B623" s="157" t="s">
        <v>382</v>
      </c>
      <c r="C623" s="158"/>
      <c r="D623" s="159">
        <f ca="1">+D618/-D617</f>
        <v>1.6449346210385154</v>
      </c>
      <c r="E623" s="49"/>
      <c r="F623" s="49"/>
      <c r="G623" s="49"/>
      <c r="H623" s="49"/>
      <c r="I623" s="49"/>
      <c r="J623" s="49"/>
      <c r="K623" s="49"/>
      <c r="L623" s="49"/>
      <c r="M623" s="49"/>
      <c r="N623" s="49"/>
      <c r="O623" s="49"/>
      <c r="P623" s="49"/>
      <c r="Q623" s="49"/>
      <c r="R623" s="49"/>
      <c r="S623" s="49"/>
      <c r="T623" s="49"/>
      <c r="U623" s="49"/>
      <c r="V623" s="49"/>
      <c r="W623" s="49"/>
      <c r="X623" s="49"/>
      <c r="Y623" s="49"/>
      <c r="Z623" s="49"/>
    </row>
    <row r="624" spans="2:26">
      <c r="B624" s="49"/>
      <c r="C624" s="49"/>
      <c r="D624" s="49"/>
      <c r="E624" s="49"/>
      <c r="F624" s="49"/>
      <c r="G624" s="49"/>
      <c r="H624" s="49"/>
      <c r="I624" s="49"/>
      <c r="J624" s="49"/>
      <c r="K624" s="49"/>
      <c r="L624" s="49"/>
      <c r="M624" s="49"/>
      <c r="N624" s="49"/>
      <c r="O624" s="49"/>
      <c r="P624" s="49"/>
      <c r="Q624" s="49"/>
      <c r="R624" s="49"/>
      <c r="S624" s="49"/>
      <c r="T624" s="49"/>
      <c r="U624" s="49"/>
      <c r="V624" s="49"/>
      <c r="W624" s="49"/>
      <c r="X624" s="49"/>
      <c r="Y624" s="49"/>
      <c r="Z624" s="49"/>
    </row>
    <row r="625" spans="1:29" ht="15.75">
      <c r="A625" s="699"/>
      <c r="B625" s="718" t="s">
        <v>1210</v>
      </c>
      <c r="C625" s="151"/>
      <c r="D625" s="151"/>
      <c r="E625" s="151"/>
      <c r="F625" s="971">
        <f>+F596</f>
        <v>47118</v>
      </c>
      <c r="G625" s="971">
        <f t="shared" ref="G625:Z625" si="295">+G596</f>
        <v>47483</v>
      </c>
      <c r="H625" s="971">
        <f t="shared" si="295"/>
        <v>47848</v>
      </c>
      <c r="I625" s="971">
        <f t="shared" si="295"/>
        <v>48213</v>
      </c>
      <c r="J625" s="971">
        <f t="shared" si="295"/>
        <v>48579</v>
      </c>
      <c r="K625" s="971">
        <f t="shared" si="295"/>
        <v>48944</v>
      </c>
      <c r="L625" s="971">
        <f t="shared" si="295"/>
        <v>49309</v>
      </c>
      <c r="M625" s="971">
        <f t="shared" si="295"/>
        <v>49674</v>
      </c>
      <c r="N625" s="971">
        <f t="shared" si="295"/>
        <v>50040</v>
      </c>
      <c r="O625" s="971">
        <f t="shared" si="295"/>
        <v>50405</v>
      </c>
      <c r="P625" s="971">
        <f t="shared" si="295"/>
        <v>50770</v>
      </c>
      <c r="Q625" s="971">
        <f t="shared" si="295"/>
        <v>51135</v>
      </c>
      <c r="R625" s="971">
        <f t="shared" si="295"/>
        <v>51501</v>
      </c>
      <c r="S625" s="971">
        <f t="shared" si="295"/>
        <v>51866</v>
      </c>
      <c r="T625" s="971">
        <f t="shared" si="295"/>
        <v>52231</v>
      </c>
      <c r="U625" s="971">
        <f t="shared" si="295"/>
        <v>52596</v>
      </c>
      <c r="V625" s="971">
        <f t="shared" si="295"/>
        <v>52962</v>
      </c>
      <c r="W625" s="971">
        <f t="shared" si="295"/>
        <v>53327</v>
      </c>
      <c r="X625" s="971">
        <f t="shared" si="295"/>
        <v>53692</v>
      </c>
      <c r="Y625" s="971">
        <f t="shared" si="295"/>
        <v>54057</v>
      </c>
      <c r="Z625" s="971">
        <f t="shared" si="295"/>
        <v>54423</v>
      </c>
      <c r="AA625" s="151"/>
      <c r="AB625" s="151"/>
      <c r="AC625" s="151"/>
    </row>
    <row r="626" spans="1:29" ht="15.75">
      <c r="A626" s="699"/>
      <c r="B626" s="718"/>
      <c r="C626" s="151"/>
      <c r="D626" s="151"/>
      <c r="E626" s="151"/>
      <c r="F626" s="151"/>
      <c r="G626" s="151"/>
      <c r="H626" s="151"/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</row>
    <row r="627" spans="1:29" ht="15.75">
      <c r="A627" s="699"/>
      <c r="B627" s="718" t="s">
        <v>1211</v>
      </c>
      <c r="C627" s="151"/>
      <c r="D627" s="151"/>
      <c r="E627" s="151"/>
      <c r="F627" s="718">
        <v>0</v>
      </c>
      <c r="G627" s="718">
        <f>+F627+1</f>
        <v>1</v>
      </c>
      <c r="H627" s="718">
        <f t="shared" ref="H627:Z627" si="296">+G627+1</f>
        <v>2</v>
      </c>
      <c r="I627" s="718">
        <f t="shared" si="296"/>
        <v>3</v>
      </c>
      <c r="J627" s="718">
        <f t="shared" si="296"/>
        <v>4</v>
      </c>
      <c r="K627" s="718">
        <f t="shared" si="296"/>
        <v>5</v>
      </c>
      <c r="L627" s="718">
        <f t="shared" si="296"/>
        <v>6</v>
      </c>
      <c r="M627" s="718">
        <f t="shared" si="296"/>
        <v>7</v>
      </c>
      <c r="N627" s="718">
        <f t="shared" si="296"/>
        <v>8</v>
      </c>
      <c r="O627" s="718">
        <f t="shared" si="296"/>
        <v>9</v>
      </c>
      <c r="P627" s="718">
        <f t="shared" si="296"/>
        <v>10</v>
      </c>
      <c r="Q627" s="718">
        <f t="shared" si="296"/>
        <v>11</v>
      </c>
      <c r="R627" s="718">
        <f t="shared" si="296"/>
        <v>12</v>
      </c>
      <c r="S627" s="718">
        <f t="shared" si="296"/>
        <v>13</v>
      </c>
      <c r="T627" s="718">
        <f t="shared" si="296"/>
        <v>14</v>
      </c>
      <c r="U627" s="718">
        <f t="shared" si="296"/>
        <v>15</v>
      </c>
      <c r="V627" s="718">
        <f t="shared" si="296"/>
        <v>16</v>
      </c>
      <c r="W627" s="718">
        <f t="shared" si="296"/>
        <v>17</v>
      </c>
      <c r="X627" s="718">
        <f t="shared" si="296"/>
        <v>18</v>
      </c>
      <c r="Y627" s="718">
        <f t="shared" si="296"/>
        <v>19</v>
      </c>
      <c r="Z627" s="718">
        <f t="shared" si="296"/>
        <v>20</v>
      </c>
      <c r="AA627" s="151"/>
      <c r="AB627" s="151"/>
      <c r="AC627" s="151"/>
    </row>
    <row r="628" spans="1:29" ht="15.75">
      <c r="A628" s="699"/>
      <c r="B628" s="151" t="s">
        <v>1212</v>
      </c>
      <c r="C628" s="151"/>
      <c r="D628" s="948"/>
      <c r="E628" s="948"/>
      <c r="F628" s="946">
        <f ca="1">+F$617</f>
        <v>-97022022.157049507</v>
      </c>
      <c r="G628" s="946">
        <f t="shared" ref="G628:Z628" ca="1" si="297">+G$617</f>
        <v>-133606126.43688419</v>
      </c>
      <c r="H628" s="946">
        <f t="shared" ca="1" si="297"/>
        <v>-26499831.996519268</v>
      </c>
      <c r="I628" s="946">
        <f t="shared" ca="1" si="297"/>
        <v>0</v>
      </c>
      <c r="J628" s="946">
        <f t="shared" ca="1" si="297"/>
        <v>0</v>
      </c>
      <c r="K628" s="946">
        <f t="shared" ca="1" si="297"/>
        <v>0</v>
      </c>
      <c r="L628" s="946">
        <f t="shared" ca="1" si="297"/>
        <v>0</v>
      </c>
      <c r="M628" s="946">
        <f t="shared" ca="1" si="297"/>
        <v>0</v>
      </c>
      <c r="N628" s="946">
        <f t="shared" ca="1" si="297"/>
        <v>0</v>
      </c>
      <c r="O628" s="946">
        <f t="shared" ca="1" si="297"/>
        <v>0</v>
      </c>
      <c r="P628" s="946">
        <f t="shared" ca="1" si="297"/>
        <v>0</v>
      </c>
      <c r="Q628" s="946">
        <f t="shared" ca="1" si="297"/>
        <v>0</v>
      </c>
      <c r="R628" s="946">
        <f t="shared" ca="1" si="297"/>
        <v>0</v>
      </c>
      <c r="S628" s="946">
        <f t="shared" ca="1" si="297"/>
        <v>0</v>
      </c>
      <c r="T628" s="946">
        <f t="shared" ca="1" si="297"/>
        <v>0</v>
      </c>
      <c r="U628" s="946">
        <f t="shared" ca="1" si="297"/>
        <v>0</v>
      </c>
      <c r="V628" s="946">
        <f t="shared" ca="1" si="297"/>
        <v>0</v>
      </c>
      <c r="W628" s="946">
        <f t="shared" ca="1" si="297"/>
        <v>0</v>
      </c>
      <c r="X628" s="946">
        <f t="shared" ca="1" si="297"/>
        <v>0</v>
      </c>
      <c r="Y628" s="946">
        <f t="shared" ca="1" si="297"/>
        <v>0</v>
      </c>
      <c r="Z628" s="946">
        <f t="shared" ca="1" si="297"/>
        <v>0</v>
      </c>
      <c r="AA628" s="151"/>
      <c r="AB628" s="151"/>
      <c r="AC628" s="151"/>
    </row>
    <row r="629" spans="1:29" ht="15.75">
      <c r="A629" s="699"/>
      <c r="B629" s="151" t="s">
        <v>1213</v>
      </c>
      <c r="C629" s="151"/>
      <c r="D629" s="948"/>
      <c r="E629" s="948"/>
      <c r="F629" s="972">
        <v>0</v>
      </c>
      <c r="G629" s="972">
        <v>0</v>
      </c>
      <c r="H629" s="972">
        <v>0</v>
      </c>
      <c r="I629" s="972">
        <v>0</v>
      </c>
      <c r="J629" s="972">
        <v>0</v>
      </c>
      <c r="K629" s="972">
        <v>0</v>
      </c>
      <c r="L629" s="972">
        <v>0</v>
      </c>
      <c r="M629" s="972">
        <v>0</v>
      </c>
      <c r="N629" s="972">
        <v>0</v>
      </c>
      <c r="O629" s="972">
        <v>0</v>
      </c>
      <c r="P629" s="972">
        <v>0</v>
      </c>
      <c r="Q629" s="972">
        <v>0</v>
      </c>
      <c r="R629" s="972">
        <v>0</v>
      </c>
      <c r="S629" s="972">
        <v>0</v>
      </c>
      <c r="T629" s="972">
        <v>0</v>
      </c>
      <c r="U629" s="972">
        <v>0</v>
      </c>
      <c r="V629" s="972">
        <v>0</v>
      </c>
      <c r="W629" s="972">
        <v>0</v>
      </c>
      <c r="X629" s="972">
        <v>0</v>
      </c>
      <c r="Y629" s="972">
        <v>0</v>
      </c>
      <c r="Z629" s="972">
        <v>0</v>
      </c>
      <c r="AA629" s="151"/>
      <c r="AB629" s="151"/>
      <c r="AC629" s="151"/>
    </row>
    <row r="630" spans="1:29" ht="15.75">
      <c r="A630" s="699"/>
      <c r="B630" s="151" t="s">
        <v>1214</v>
      </c>
      <c r="C630" s="151"/>
      <c r="D630" s="948"/>
      <c r="E630" s="948"/>
      <c r="F630" s="972">
        <v>0</v>
      </c>
      <c r="G630" s="972">
        <v>0</v>
      </c>
      <c r="H630" s="972">
        <v>0</v>
      </c>
      <c r="I630" s="972">
        <v>0</v>
      </c>
      <c r="J630" s="972">
        <v>0</v>
      </c>
      <c r="K630" s="972">
        <v>0</v>
      </c>
      <c r="L630" s="972">
        <v>0</v>
      </c>
      <c r="M630" s="972">
        <v>0</v>
      </c>
      <c r="N630" s="972">
        <v>0</v>
      </c>
      <c r="O630" s="972">
        <v>0</v>
      </c>
      <c r="P630" s="972">
        <v>0</v>
      </c>
      <c r="Q630" s="972">
        <v>0</v>
      </c>
      <c r="R630" s="972">
        <v>0</v>
      </c>
      <c r="S630" s="972">
        <v>0</v>
      </c>
      <c r="T630" s="972">
        <v>0</v>
      </c>
      <c r="U630" s="972">
        <v>0</v>
      </c>
      <c r="V630" s="972">
        <v>0</v>
      </c>
      <c r="W630" s="972">
        <v>0</v>
      </c>
      <c r="X630" s="972">
        <v>0</v>
      </c>
      <c r="Y630" s="972">
        <v>0</v>
      </c>
      <c r="Z630" s="972">
        <v>0</v>
      </c>
      <c r="AA630" s="151"/>
      <c r="AB630" s="151"/>
      <c r="AC630" s="151"/>
    </row>
    <row r="631" spans="1:29" ht="15.75">
      <c r="A631" s="699"/>
      <c r="B631" s="151" t="s">
        <v>1215</v>
      </c>
      <c r="C631" s="151"/>
      <c r="D631" s="948"/>
      <c r="E631" s="948"/>
      <c r="F631" s="972">
        <f ca="1">-SUM(F658:F659)*Assumptions!$BT$178</f>
        <v>0</v>
      </c>
      <c r="G631" s="972">
        <f ca="1">-SUM(G658:G659)*Assumptions!$BT$178</f>
        <v>0</v>
      </c>
      <c r="H631" s="972">
        <f ca="1">-SUM(H658:H659)*Assumptions!$BT$178</f>
        <v>0</v>
      </c>
      <c r="I631" s="972">
        <f ca="1">-SUM(I658:I659)*Assumptions!$BT$178</f>
        <v>0</v>
      </c>
      <c r="J631" s="972" t="e">
        <f ca="1">-SUM(J658:J659)*Assumptions!$BT$178</f>
        <v>#DIV/0!</v>
      </c>
      <c r="K631" s="972" t="e">
        <f ca="1">-SUM(K658:K659)*Assumptions!$BT$178</f>
        <v>#DIV/0!</v>
      </c>
      <c r="L631" s="972">
        <f>-SUM(L658:L659)*Assumptions!$BT$178</f>
        <v>0</v>
      </c>
      <c r="M631" s="972">
        <f>-SUM(M658:M659)*Assumptions!$BT$178</f>
        <v>0</v>
      </c>
      <c r="N631" s="972">
        <f>-SUM(N658:N659)*Assumptions!$BT$178</f>
        <v>0</v>
      </c>
      <c r="O631" s="972">
        <f>-SUM(O658:O659)*Assumptions!$BT$178</f>
        <v>0</v>
      </c>
      <c r="P631" s="972">
        <f>-SUM(P658:P659)*Assumptions!$BT$178</f>
        <v>0</v>
      </c>
      <c r="Q631" s="972">
        <f>-SUM(Q658:Q659)*Assumptions!$BT$178</f>
        <v>0</v>
      </c>
      <c r="R631" s="972">
        <f>-SUM(R658:R659)*Assumptions!$BT$178</f>
        <v>0</v>
      </c>
      <c r="S631" s="972">
        <f>-SUM(S658:S659)*Assumptions!$BT$178</f>
        <v>0</v>
      </c>
      <c r="T631" s="972">
        <f>-SUM(T658:T659)*Assumptions!$BT$178</f>
        <v>0</v>
      </c>
      <c r="U631" s="972">
        <f>-SUM(U658:U659)*Assumptions!$BT$178</f>
        <v>0</v>
      </c>
      <c r="V631" s="972">
        <f>-SUM(V658:V659)*Assumptions!$BT$178</f>
        <v>0</v>
      </c>
      <c r="W631" s="972">
        <f>-SUM(W658:W659)*Assumptions!$BT$178</f>
        <v>0</v>
      </c>
      <c r="X631" s="972">
        <f>-SUM(X658:X659)*Assumptions!$BT$178</f>
        <v>0</v>
      </c>
      <c r="Y631" s="972">
        <f>-SUM(Y658:Y659)*Assumptions!$BT$178</f>
        <v>0</v>
      </c>
      <c r="Z631" s="972">
        <f>-SUM(Z658:Z659)*Assumptions!$BT$178</f>
        <v>0</v>
      </c>
      <c r="AA631" s="151"/>
      <c r="AB631" s="151"/>
      <c r="AC631" s="151"/>
    </row>
    <row r="632" spans="1:29" ht="15.75">
      <c r="A632" s="699"/>
      <c r="B632" s="151" t="s">
        <v>1216</v>
      </c>
      <c r="C632" s="151"/>
      <c r="D632" s="948"/>
      <c r="E632" s="948"/>
      <c r="F632" s="972">
        <f ca="1">+IF(YEAR(F$625)&lt;=YEAR(Assumptions!$H$35),'Phase 3 Pro Forma'!F589,0)</f>
        <v>0</v>
      </c>
      <c r="G632" s="972">
        <f ca="1">+IF(YEAR(G$625)&lt;=YEAR(Assumptions!$H$35),'Phase 3 Pro Forma'!G589,0)</f>
        <v>0</v>
      </c>
      <c r="H632" s="972">
        <f ca="1">+IF(YEAR(H$625)&lt;=YEAR(Assumptions!$H$35),'Phase 3 Pro Forma'!H589,0)</f>
        <v>0</v>
      </c>
      <c r="I632" s="972">
        <f ca="1">+IF(YEAR(I$625)&lt;=YEAR(Assumptions!$H$35),'Phase 3 Pro Forma'!I589,0)</f>
        <v>6023899.1861092001</v>
      </c>
      <c r="J632" s="972">
        <f ca="1">+IF(YEAR(J$625)&lt;=YEAR(Assumptions!$H$35),'Phase 3 Pro Forma'!J589,0)</f>
        <v>15765854.201241489</v>
      </c>
      <c r="K632" s="972">
        <f ca="1">+IF(YEAR(K$625)&lt;=YEAR(Assumptions!$H$35),'Phase 3 Pro Forma'!K589,0)</f>
        <v>19504090.881404951</v>
      </c>
      <c r="L632" s="972">
        <f>+IF(YEAR(L$625)&lt;=YEAR(Assumptions!$H$35),'Phase 3 Pro Forma'!L589,0)</f>
        <v>0</v>
      </c>
      <c r="M632" s="972">
        <f>+IF(YEAR(M$625)&lt;=YEAR(Assumptions!$H$35),'Phase 3 Pro Forma'!M589,0)</f>
        <v>0</v>
      </c>
      <c r="N632" s="972">
        <f>+IF(YEAR(N$625)&lt;=YEAR(Assumptions!$H$35),'Phase 3 Pro Forma'!N589,0)</f>
        <v>0</v>
      </c>
      <c r="O632" s="972">
        <f>+IF(YEAR(O$625)&lt;=YEAR(Assumptions!$H$35),'Phase 3 Pro Forma'!O589,0)</f>
        <v>0</v>
      </c>
      <c r="P632" s="972">
        <f>+IF(YEAR(P$625)&lt;=YEAR(Assumptions!$H$35),'Phase 3 Pro Forma'!P589,0)</f>
        <v>0</v>
      </c>
      <c r="Q632" s="972">
        <f>+IF(YEAR(Q$625)&lt;=YEAR(Assumptions!$H$35),'Phase 3 Pro Forma'!Q589,0)</f>
        <v>0</v>
      </c>
      <c r="R632" s="972">
        <f>+IF(YEAR(R$625)&lt;=YEAR(Assumptions!$H$35),'Phase 3 Pro Forma'!R589,0)</f>
        <v>0</v>
      </c>
      <c r="S632" s="972">
        <f>+IF(YEAR(S$625)&lt;=YEAR(Assumptions!$H$35),'Phase 3 Pro Forma'!S589,0)</f>
        <v>0</v>
      </c>
      <c r="T632" s="972">
        <f>+IF(YEAR(T$625)&lt;=YEAR(Assumptions!$H$35),'Phase 3 Pro Forma'!T589,0)</f>
        <v>0</v>
      </c>
      <c r="U632" s="972">
        <f>+IF(YEAR(U$625)&lt;=YEAR(Assumptions!$H$35),'Phase 3 Pro Forma'!U589,0)</f>
        <v>0</v>
      </c>
      <c r="V632" s="972">
        <f>+IF(YEAR(V$625)&lt;=YEAR(Assumptions!$H$35),'Phase 3 Pro Forma'!V589,0)</f>
        <v>0</v>
      </c>
      <c r="W632" s="972">
        <f>+IF(YEAR(W$625)&lt;=YEAR(Assumptions!$H$35),'Phase 3 Pro Forma'!W589,0)</f>
        <v>0</v>
      </c>
      <c r="X632" s="972">
        <f>+IF(YEAR(X$625)&lt;=YEAR(Assumptions!$H$35),'Phase 3 Pro Forma'!X589,0)</f>
        <v>0</v>
      </c>
      <c r="Y632" s="972">
        <f>+IF(YEAR(Y$625)&lt;=YEAR(Assumptions!$H$35),'Phase 3 Pro Forma'!Y589,0)</f>
        <v>0</v>
      </c>
      <c r="Z632" s="972">
        <f>+IF(YEAR(Z$625)&lt;=YEAR(Assumptions!$H$35),'Phase 3 Pro Forma'!Z589,0)</f>
        <v>0</v>
      </c>
      <c r="AA632" s="151"/>
      <c r="AB632" s="151"/>
      <c r="AC632" s="151"/>
    </row>
    <row r="633" spans="1:29" ht="15.75">
      <c r="A633" s="699"/>
      <c r="B633" s="151" t="s">
        <v>1217</v>
      </c>
      <c r="C633" s="151"/>
      <c r="D633" s="948"/>
      <c r="E633" s="948"/>
      <c r="F633" s="972">
        <f>+IF(YEAR(F$625)&lt;=YEAR(Assumptions!$H$35),'Phase 3 Pro Forma'!F594,0)</f>
        <v>0</v>
      </c>
      <c r="G633" s="972">
        <f>+IF(YEAR(G$625)&lt;=YEAR(Assumptions!$H$35),'Phase 3 Pro Forma'!G594,0)</f>
        <v>0</v>
      </c>
      <c r="H633" s="972">
        <f>+IF(YEAR(H$625)&lt;=YEAR(Assumptions!$H$35),'Phase 3 Pro Forma'!H594,0)</f>
        <v>0</v>
      </c>
      <c r="I633" s="972">
        <f>+IF(YEAR(I$625)&lt;=YEAR(Assumptions!$H$35),'Phase 3 Pro Forma'!I594,0)</f>
        <v>8140704.8298968356</v>
      </c>
      <c r="J633" s="972">
        <f>+IF(YEAR(J$625)&lt;=YEAR(Assumptions!$H$35),'Phase 3 Pro Forma'!J594,0)</f>
        <v>4324817.9567128923</v>
      </c>
      <c r="K633" s="972">
        <f ca="1">+IF(YEAR(K$625)&lt;=YEAR(Assumptions!$H$35),'Phase 3 Pro Forma'!K594,0)</f>
        <v>369199350.2555902</v>
      </c>
      <c r="L633" s="972">
        <f>+IF(YEAR(L$625)&lt;=YEAR(Assumptions!$H$35),'Phase 3 Pro Forma'!L594,0)</f>
        <v>0</v>
      </c>
      <c r="M633" s="972">
        <f>+IF(YEAR(M$625)&lt;=YEAR(Assumptions!$H$35),'Phase 3 Pro Forma'!M594,0)</f>
        <v>0</v>
      </c>
      <c r="N633" s="972">
        <f>+IF(YEAR(N$625)&lt;=YEAR(Assumptions!$H$35),'Phase 3 Pro Forma'!N594,0)</f>
        <v>0</v>
      </c>
      <c r="O633" s="972">
        <f>+IF(YEAR(O$625)&lt;=YEAR(Assumptions!$H$35),'Phase 3 Pro Forma'!O594,0)</f>
        <v>0</v>
      </c>
      <c r="P633" s="972">
        <f>+IF(YEAR(P$625)&lt;=YEAR(Assumptions!$H$35),'Phase 3 Pro Forma'!P594,0)</f>
        <v>0</v>
      </c>
      <c r="Q633" s="972">
        <f>+IF(YEAR(Q$625)&lt;=YEAR(Assumptions!$H$35),'Phase 3 Pro Forma'!Q594,0)</f>
        <v>0</v>
      </c>
      <c r="R633" s="972">
        <f>+IF(YEAR(R$625)&lt;=YEAR(Assumptions!$H$35),'Phase 3 Pro Forma'!R594,0)</f>
        <v>0</v>
      </c>
      <c r="S633" s="972">
        <f>+IF(YEAR(S$625)&lt;=YEAR(Assumptions!$H$35),'Phase 3 Pro Forma'!S594,0)</f>
        <v>0</v>
      </c>
      <c r="T633" s="972">
        <f>+IF(YEAR(T$625)&lt;=YEAR(Assumptions!$H$35),'Phase 3 Pro Forma'!T594,0)</f>
        <v>0</v>
      </c>
      <c r="U633" s="972">
        <f>+IF(YEAR(U$625)&lt;=YEAR(Assumptions!$H$35),'Phase 3 Pro Forma'!U594,0)</f>
        <v>0</v>
      </c>
      <c r="V633" s="972">
        <f>+IF(YEAR(V$625)&lt;=YEAR(Assumptions!$H$35),'Phase 3 Pro Forma'!V594,0)</f>
        <v>0</v>
      </c>
      <c r="W633" s="972">
        <f>+IF(YEAR(W$625)&lt;=YEAR(Assumptions!$H$35),'Phase 3 Pro Forma'!W594,0)</f>
        <v>0</v>
      </c>
      <c r="X633" s="972">
        <f>+IF(YEAR(X$625)&lt;=YEAR(Assumptions!$H$35),'Phase 3 Pro Forma'!X594,0)</f>
        <v>0</v>
      </c>
      <c r="Y633" s="972">
        <f>+IF(YEAR(Y$625)&lt;=YEAR(Assumptions!$H$35),'Phase 3 Pro Forma'!Y594,0)</f>
        <v>0</v>
      </c>
      <c r="Z633" s="972">
        <f>+IF(YEAR(Z$625)&lt;=YEAR(Assumptions!$H$35),'Phase 3 Pro Forma'!Z594,0)</f>
        <v>0</v>
      </c>
      <c r="AA633" s="151"/>
      <c r="AB633" s="151"/>
      <c r="AC633" s="151"/>
    </row>
    <row r="634" spans="1:29" ht="15.75">
      <c r="A634" s="699" t="s">
        <v>511</v>
      </c>
      <c r="B634" s="151" t="s">
        <v>1218</v>
      </c>
      <c r="C634" s="151"/>
      <c r="D634" s="948"/>
      <c r="E634" s="948"/>
      <c r="F634" s="972">
        <f>-F662*Assumptions!$BT$178</f>
        <v>0</v>
      </c>
      <c r="G634" s="972">
        <f>-G662*Assumptions!$BT$178</f>
        <v>0</v>
      </c>
      <c r="H634" s="972">
        <f>-H662*Assumptions!$BT$178</f>
        <v>0</v>
      </c>
      <c r="I634" s="972">
        <f>-I662*Assumptions!$BT$178</f>
        <v>0</v>
      </c>
      <c r="J634" s="972">
        <f>-J662*Assumptions!$BT$178</f>
        <v>0</v>
      </c>
      <c r="K634" s="972" t="e">
        <f ca="1">-K662*Assumptions!$BT$178</f>
        <v>#DIV/0!</v>
      </c>
      <c r="L634" s="972">
        <f>-L662*Assumptions!$BT$178</f>
        <v>0</v>
      </c>
      <c r="M634" s="972">
        <f>-M662*Assumptions!$BT$178</f>
        <v>0</v>
      </c>
      <c r="N634" s="972">
        <f>-N662*Assumptions!$BT$178</f>
        <v>0</v>
      </c>
      <c r="O634" s="972">
        <f>-O662*Assumptions!$BT$178</f>
        <v>0</v>
      </c>
      <c r="P634" s="972">
        <f>-P662*Assumptions!$BT$178</f>
        <v>0</v>
      </c>
      <c r="Q634" s="972">
        <f>-Q662*Assumptions!$BT$178</f>
        <v>0</v>
      </c>
      <c r="R634" s="972">
        <f>-R662*Assumptions!$BT$178</f>
        <v>0</v>
      </c>
      <c r="S634" s="972">
        <f>-S662*Assumptions!$BT$178</f>
        <v>0</v>
      </c>
      <c r="T634" s="972">
        <f>-T662*Assumptions!$BT$178</f>
        <v>0</v>
      </c>
      <c r="U634" s="972">
        <f>-U662*Assumptions!$BT$178</f>
        <v>0</v>
      </c>
      <c r="V634" s="972">
        <f>-V662*Assumptions!$BT$178</f>
        <v>0</v>
      </c>
      <c r="W634" s="972">
        <f>-W662*Assumptions!$BT$178</f>
        <v>0</v>
      </c>
      <c r="X634" s="972">
        <f>-X662*Assumptions!$BT$178</f>
        <v>0</v>
      </c>
      <c r="Y634" s="972">
        <f>-Y662*Assumptions!$BT$178</f>
        <v>0</v>
      </c>
      <c r="Z634" s="972">
        <f>-Z662*Assumptions!$BT$178</f>
        <v>0</v>
      </c>
      <c r="AA634" s="151"/>
      <c r="AB634" s="151"/>
      <c r="AC634" s="151"/>
    </row>
    <row r="635" spans="1:29" ht="15.75">
      <c r="A635" s="699"/>
      <c r="B635" s="718" t="s">
        <v>1211</v>
      </c>
      <c r="C635" s="718"/>
      <c r="D635" s="948" t="e">
        <f ca="1">+SUM(F635:Z635)</f>
        <v>#DIV/0!</v>
      </c>
      <c r="E635" s="948"/>
      <c r="F635" s="948">
        <f ca="1">+SUM(F628:F634)</f>
        <v>-97022022.157049507</v>
      </c>
      <c r="G635" s="948">
        <f t="shared" ref="G635:Z635" ca="1" si="298">+SUM(G628:G634)</f>
        <v>-133606126.43688419</v>
      </c>
      <c r="H635" s="948">
        <f t="shared" ca="1" si="298"/>
        <v>-26499831.996519268</v>
      </c>
      <c r="I635" s="948">
        <f t="shared" ca="1" si="298"/>
        <v>14164604.016006036</v>
      </c>
      <c r="J635" s="948" t="e">
        <f t="shared" ca="1" si="298"/>
        <v>#DIV/0!</v>
      </c>
      <c r="K635" s="948" t="e">
        <f t="shared" ca="1" si="298"/>
        <v>#DIV/0!</v>
      </c>
      <c r="L635" s="948">
        <f t="shared" ca="1" si="298"/>
        <v>0</v>
      </c>
      <c r="M635" s="948">
        <f t="shared" ca="1" si="298"/>
        <v>0</v>
      </c>
      <c r="N635" s="948">
        <f t="shared" ca="1" si="298"/>
        <v>0</v>
      </c>
      <c r="O635" s="948">
        <f t="shared" ca="1" si="298"/>
        <v>0</v>
      </c>
      <c r="P635" s="948">
        <f t="shared" ca="1" si="298"/>
        <v>0</v>
      </c>
      <c r="Q635" s="948">
        <f t="shared" ca="1" si="298"/>
        <v>0</v>
      </c>
      <c r="R635" s="948">
        <f t="shared" ca="1" si="298"/>
        <v>0</v>
      </c>
      <c r="S635" s="948">
        <f t="shared" ca="1" si="298"/>
        <v>0</v>
      </c>
      <c r="T635" s="948">
        <f t="shared" ca="1" si="298"/>
        <v>0</v>
      </c>
      <c r="U635" s="948">
        <f t="shared" ca="1" si="298"/>
        <v>0</v>
      </c>
      <c r="V635" s="948">
        <f t="shared" ca="1" si="298"/>
        <v>0</v>
      </c>
      <c r="W635" s="948">
        <f t="shared" ca="1" si="298"/>
        <v>0</v>
      </c>
      <c r="X635" s="948">
        <f t="shared" ca="1" si="298"/>
        <v>0</v>
      </c>
      <c r="Y635" s="948">
        <f t="shared" ca="1" si="298"/>
        <v>0</v>
      </c>
      <c r="Z635" s="948">
        <f t="shared" ca="1" si="298"/>
        <v>0</v>
      </c>
      <c r="AA635" s="151"/>
      <c r="AB635" s="151"/>
      <c r="AC635" s="151"/>
    </row>
    <row r="636" spans="1:29" ht="15.75">
      <c r="A636" s="699"/>
      <c r="B636" s="718"/>
      <c r="C636" s="151"/>
      <c r="D636" s="151"/>
      <c r="E636" s="151"/>
      <c r="F636" s="151"/>
      <c r="G636" s="151"/>
      <c r="H636" s="151"/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</row>
    <row r="637" spans="1:29" ht="15.75">
      <c r="A637" s="699"/>
      <c r="B637" s="718" t="s">
        <v>1219</v>
      </c>
      <c r="C637" s="718"/>
      <c r="D637" s="966" t="e">
        <f ca="1">+IRR(F635:Z635)</f>
        <v>#VALUE!</v>
      </c>
      <c r="E637" s="151"/>
      <c r="F637" s="151"/>
      <c r="G637" s="151"/>
      <c r="H637" s="151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</row>
    <row r="638" spans="1:29" ht="15.75">
      <c r="A638" s="699"/>
      <c r="B638" s="718"/>
      <c r="C638" s="151"/>
      <c r="D638" s="748"/>
      <c r="E638" s="151"/>
      <c r="F638" s="151"/>
      <c r="G638" s="151"/>
      <c r="H638" s="151"/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</row>
    <row r="639" spans="1:29" ht="15.75">
      <c r="A639" s="699"/>
      <c r="B639" s="718" t="s">
        <v>1220</v>
      </c>
      <c r="C639" s="151"/>
      <c r="D639" s="151"/>
      <c r="E639" s="151"/>
      <c r="F639" s="718">
        <f>+F627</f>
        <v>0</v>
      </c>
      <c r="G639" s="718">
        <f t="shared" ref="G639:Z640" si="299">+G627</f>
        <v>1</v>
      </c>
      <c r="H639" s="718">
        <f t="shared" si="299"/>
        <v>2</v>
      </c>
      <c r="I639" s="718">
        <f t="shared" si="299"/>
        <v>3</v>
      </c>
      <c r="J639" s="718">
        <f t="shared" si="299"/>
        <v>4</v>
      </c>
      <c r="K639" s="718">
        <f t="shared" si="299"/>
        <v>5</v>
      </c>
      <c r="L639" s="718">
        <f t="shared" si="299"/>
        <v>6</v>
      </c>
      <c r="M639" s="718">
        <f t="shared" si="299"/>
        <v>7</v>
      </c>
      <c r="N639" s="718">
        <f t="shared" si="299"/>
        <v>8</v>
      </c>
      <c r="O639" s="718">
        <f t="shared" si="299"/>
        <v>9</v>
      </c>
      <c r="P639" s="718">
        <f t="shared" si="299"/>
        <v>10</v>
      </c>
      <c r="Q639" s="718">
        <f t="shared" si="299"/>
        <v>11</v>
      </c>
      <c r="R639" s="718">
        <f t="shared" si="299"/>
        <v>12</v>
      </c>
      <c r="S639" s="718">
        <f t="shared" si="299"/>
        <v>13</v>
      </c>
      <c r="T639" s="718">
        <f t="shared" si="299"/>
        <v>14</v>
      </c>
      <c r="U639" s="718">
        <f t="shared" si="299"/>
        <v>15</v>
      </c>
      <c r="V639" s="718">
        <f t="shared" si="299"/>
        <v>16</v>
      </c>
      <c r="W639" s="718">
        <f t="shared" si="299"/>
        <v>17</v>
      </c>
      <c r="X639" s="718">
        <f t="shared" si="299"/>
        <v>18</v>
      </c>
      <c r="Y639" s="718">
        <f t="shared" si="299"/>
        <v>19</v>
      </c>
      <c r="Z639" s="718">
        <f t="shared" si="299"/>
        <v>20</v>
      </c>
      <c r="AA639" s="151"/>
      <c r="AB639" s="151"/>
      <c r="AC639" s="151"/>
    </row>
    <row r="640" spans="1:29" ht="15.75">
      <c r="A640" s="699"/>
      <c r="B640" s="151" t="s">
        <v>1212</v>
      </c>
      <c r="C640" s="151"/>
      <c r="D640" s="948"/>
      <c r="E640" s="948"/>
      <c r="F640" s="946">
        <f ca="1">+F628</f>
        <v>-97022022.157049507</v>
      </c>
      <c r="G640" s="946">
        <f t="shared" ca="1" si="299"/>
        <v>-133606126.43688419</v>
      </c>
      <c r="H640" s="946">
        <f t="shared" ca="1" si="299"/>
        <v>-26499831.996519268</v>
      </c>
      <c r="I640" s="946">
        <f t="shared" ca="1" si="299"/>
        <v>0</v>
      </c>
      <c r="J640" s="946">
        <f t="shared" ca="1" si="299"/>
        <v>0</v>
      </c>
      <c r="K640" s="946">
        <f t="shared" ca="1" si="299"/>
        <v>0</v>
      </c>
      <c r="L640" s="946">
        <f t="shared" ca="1" si="299"/>
        <v>0</v>
      </c>
      <c r="M640" s="946">
        <f t="shared" ca="1" si="299"/>
        <v>0</v>
      </c>
      <c r="N640" s="946">
        <f t="shared" ca="1" si="299"/>
        <v>0</v>
      </c>
      <c r="O640" s="946">
        <f t="shared" ca="1" si="299"/>
        <v>0</v>
      </c>
      <c r="P640" s="946">
        <f t="shared" ca="1" si="299"/>
        <v>0</v>
      </c>
      <c r="Q640" s="946">
        <f t="shared" ca="1" si="299"/>
        <v>0</v>
      </c>
      <c r="R640" s="946">
        <f t="shared" ca="1" si="299"/>
        <v>0</v>
      </c>
      <c r="S640" s="946">
        <f t="shared" ca="1" si="299"/>
        <v>0</v>
      </c>
      <c r="T640" s="946">
        <f t="shared" ca="1" si="299"/>
        <v>0</v>
      </c>
      <c r="U640" s="946">
        <f t="shared" ca="1" si="299"/>
        <v>0</v>
      </c>
      <c r="V640" s="946">
        <f t="shared" ca="1" si="299"/>
        <v>0</v>
      </c>
      <c r="W640" s="946">
        <f t="shared" ca="1" si="299"/>
        <v>0</v>
      </c>
      <c r="X640" s="946">
        <f t="shared" ca="1" si="299"/>
        <v>0</v>
      </c>
      <c r="Y640" s="946">
        <f t="shared" ca="1" si="299"/>
        <v>0</v>
      </c>
      <c r="Z640" s="946">
        <f t="shared" ca="1" si="299"/>
        <v>0</v>
      </c>
      <c r="AA640" s="151"/>
      <c r="AB640" s="151"/>
      <c r="AC640" s="151"/>
    </row>
    <row r="641" spans="2:29" ht="15.75">
      <c r="B641" s="151" t="s">
        <v>1213</v>
      </c>
      <c r="C641" s="151"/>
      <c r="D641" s="948"/>
      <c r="E641" s="948"/>
      <c r="F641" s="972">
        <f ca="1">-F640*Assumptions!$BT$178</f>
        <v>0</v>
      </c>
      <c r="G641" s="972">
        <f ca="1">-G640*Assumptions!$BT$178</f>
        <v>0</v>
      </c>
      <c r="H641" s="972">
        <f ca="1">-H640*Assumptions!$BT$178</f>
        <v>0</v>
      </c>
      <c r="I641" s="972">
        <f ca="1">-I640*Assumptions!$BT$178</f>
        <v>0</v>
      </c>
      <c r="J641" s="972">
        <f ca="1">-J640*Assumptions!$BT$178</f>
        <v>0</v>
      </c>
      <c r="K641" s="972">
        <f ca="1">-K640*Assumptions!$BT$178</f>
        <v>0</v>
      </c>
      <c r="L641" s="972">
        <f ca="1">-L640*Assumptions!$BT$178</f>
        <v>0</v>
      </c>
      <c r="M641" s="972">
        <f ca="1">-M640*Assumptions!$BT$178</f>
        <v>0</v>
      </c>
      <c r="N641" s="972">
        <f ca="1">-N640*Assumptions!$BT$178</f>
        <v>0</v>
      </c>
      <c r="O641" s="972">
        <f ca="1">-O640*Assumptions!$BT$178</f>
        <v>0</v>
      </c>
      <c r="P641" s="972">
        <f ca="1">-P640*Assumptions!$BT$178</f>
        <v>0</v>
      </c>
      <c r="Q641" s="972">
        <f ca="1">-Q640*Assumptions!$BT$178</f>
        <v>0</v>
      </c>
      <c r="R641" s="972">
        <f ca="1">-R640*Assumptions!$BT$178</f>
        <v>0</v>
      </c>
      <c r="S641" s="972">
        <f ca="1">-S640*Assumptions!$BT$178</f>
        <v>0</v>
      </c>
      <c r="T641" s="972">
        <f ca="1">-T640*Assumptions!$BT$178</f>
        <v>0</v>
      </c>
      <c r="U641" s="972">
        <f ca="1">-U640*Assumptions!$BT$178</f>
        <v>0</v>
      </c>
      <c r="V641" s="972">
        <f ca="1">-V640*Assumptions!$BT$178</f>
        <v>0</v>
      </c>
      <c r="W641" s="972">
        <f ca="1">-W640*Assumptions!$BT$178</f>
        <v>0</v>
      </c>
      <c r="X641" s="972">
        <f ca="1">-X640*Assumptions!$BT$178</f>
        <v>0</v>
      </c>
      <c r="Y641" s="972">
        <f ca="1">-Y640*Assumptions!$BT$178</f>
        <v>0</v>
      </c>
      <c r="Z641" s="972">
        <f ca="1">-Z640*Assumptions!$BT$178</f>
        <v>0</v>
      </c>
      <c r="AA641" s="151"/>
      <c r="AB641" s="151"/>
      <c r="AC641" s="151"/>
    </row>
    <row r="642" spans="2:29" ht="15.75">
      <c r="B642" s="151" t="s">
        <v>1214</v>
      </c>
      <c r="C642" s="151"/>
      <c r="D642" s="948"/>
      <c r="E642" s="948"/>
      <c r="F642" s="972">
        <f ca="1">IFERROR(-IF(YEAR(F625)&lt;MIN(YEAR(Assumptions!$H$35),2026),(OFFSET('Phase 3 Pro Forma'!F641,0,-10)),IF(YEAR('Phase 3 Pro Forma'!F625)=MIN(YEAR(Assumptions!$H$35),2026),SUM('Phase 3 Pro Forma'!$E$641:F$641)-SUM($E$642:E$642),0)),0)</f>
        <v>0</v>
      </c>
      <c r="G642" s="972">
        <f ca="1">IFERROR(-IF(YEAR(G625)&lt;MIN(YEAR(Assumptions!$H$35),2026),(OFFSET('Phase 3 Pro Forma'!G641,0,-10)),IF(YEAR('Phase 3 Pro Forma'!G625)=MIN(YEAR(Assumptions!$H$35),2026),SUM('Phase 3 Pro Forma'!$E$641:G$641)-SUM($E$642:F$642),0)),0)</f>
        <v>0</v>
      </c>
      <c r="H642" s="972">
        <f ca="1">IFERROR(-IF(YEAR(H625)&lt;MIN(YEAR(Assumptions!$H$35),2026),(OFFSET('Phase 3 Pro Forma'!H641,0,-10)),IF(YEAR('Phase 3 Pro Forma'!H625)=MIN(YEAR(Assumptions!$H$35),2026),SUM('Phase 3 Pro Forma'!$E$641:H$641)-SUM($E$642:G$642),0)),0)</f>
        <v>0</v>
      </c>
      <c r="I642" s="972">
        <f ca="1">IFERROR(-IF(YEAR(I625)&lt;MIN(YEAR(Assumptions!$H$35),2026),(OFFSET('Phase 3 Pro Forma'!I641,0,-10)),IF(YEAR('Phase 3 Pro Forma'!I625)=MIN(YEAR(Assumptions!$H$35),2026),SUM('Phase 3 Pro Forma'!$E$641:I$641)-SUM($E$642:H$642),0)),0)</f>
        <v>0</v>
      </c>
      <c r="J642" s="972">
        <f ca="1">IFERROR(-IF(YEAR(J625)&lt;MIN(YEAR(Assumptions!$H$35),2026),(OFFSET('Phase 3 Pro Forma'!J641,0,-10)),IF(YEAR('Phase 3 Pro Forma'!J625)=MIN(YEAR(Assumptions!$H$35),2026),SUM('Phase 3 Pro Forma'!$E$641:J$641)-SUM($E$642:I$642),0)),0)</f>
        <v>0</v>
      </c>
      <c r="K642" s="972">
        <f ca="1">IFERROR(-IF(YEAR(K625)&lt;MIN(YEAR(Assumptions!$H$35),2026),(OFFSET('Phase 3 Pro Forma'!K641,0,-10)),IF(YEAR('Phase 3 Pro Forma'!K625)=MIN(YEAR(Assumptions!$H$35),2026),SUM('Phase 3 Pro Forma'!$E$641:K$641)-SUM($E$642:J$642),0)),0)</f>
        <v>0</v>
      </c>
      <c r="L642" s="972">
        <f ca="1">IFERROR(-IF(YEAR(L625)&lt;MIN(YEAR(Assumptions!$H$35),2026),(OFFSET('Phase 3 Pro Forma'!L641,0,-10)),IF(YEAR('Phase 3 Pro Forma'!L625)=MIN(YEAR(Assumptions!$H$35),2026),SUM('Phase 3 Pro Forma'!$E$641:L$641)-SUM($E$642:K$642),0)),0)</f>
        <v>0</v>
      </c>
      <c r="M642" s="972">
        <f ca="1">IFERROR(-IF(YEAR(M625)&lt;MIN(YEAR(Assumptions!$H$35),2026),(OFFSET('Phase 3 Pro Forma'!M641,0,-10)),IF(YEAR('Phase 3 Pro Forma'!M625)=MIN(YEAR(Assumptions!$H$35),2026),SUM('Phase 3 Pro Forma'!$E$641:M$641)-SUM($E$642:L$642),0)),0)</f>
        <v>0</v>
      </c>
      <c r="N642" s="972">
        <f ca="1">IFERROR(-IF(YEAR(N625)&lt;MIN(YEAR(Assumptions!$H$35),2026),(OFFSET('Phase 3 Pro Forma'!N641,0,-10)),IF(YEAR('Phase 3 Pro Forma'!N625)=MIN(YEAR(Assumptions!$H$35),2026),SUM('Phase 3 Pro Forma'!$E$641:N$641)-SUM($E$642:M$642),0)),0)</f>
        <v>0</v>
      </c>
      <c r="O642" s="972">
        <f ca="1">IFERROR(-IF(YEAR(O625)&lt;MIN(YEAR(Assumptions!$H$35),2026),(OFFSET('Phase 3 Pro Forma'!O641,0,-10)),IF(YEAR('Phase 3 Pro Forma'!O625)=MIN(YEAR(Assumptions!$H$35),2026),SUM('Phase 3 Pro Forma'!$E$641:O$641)-SUM($E$642:N$642),0)),0)</f>
        <v>0</v>
      </c>
      <c r="P642" s="972">
        <f ca="1">IFERROR(-IF(YEAR(P625)&lt;MIN(YEAR(Assumptions!$H$35),2026),(OFFSET('Phase 3 Pro Forma'!P641,0,-10)),IF(YEAR('Phase 3 Pro Forma'!P625)=MIN(YEAR(Assumptions!$H$35),2026),SUM('Phase 3 Pro Forma'!$E$641:P$641)-SUM($E$642:O$642),0)),0)</f>
        <v>0</v>
      </c>
      <c r="Q642" s="972">
        <f ca="1">IFERROR(-IF(YEAR(Q625)&lt;MIN(YEAR(Assumptions!$H$35),2026),(OFFSET('Phase 3 Pro Forma'!Q641,0,-10)),IF(YEAR('Phase 3 Pro Forma'!Q625)=MIN(YEAR(Assumptions!$H$35),2026),SUM('Phase 3 Pro Forma'!$E$641:Q$641)-SUM($E$642:P$642),0)),0)</f>
        <v>0</v>
      </c>
      <c r="R642" s="972">
        <f ca="1">IFERROR(-IF(YEAR(R625)&lt;MIN(YEAR(Assumptions!$H$35),2026),(OFFSET('Phase 3 Pro Forma'!R641,0,-10)),IF(YEAR('Phase 3 Pro Forma'!R625)=MIN(YEAR(Assumptions!$H$35),2026),SUM('Phase 3 Pro Forma'!$E$641:R$641)-SUM($E$642:Q$642),0)),0)</f>
        <v>0</v>
      </c>
      <c r="S642" s="972">
        <f ca="1">IFERROR(-IF(YEAR(S625)&lt;MIN(YEAR(Assumptions!$H$35),2026),(OFFSET('Phase 3 Pro Forma'!S641,0,-10)),IF(YEAR('Phase 3 Pro Forma'!S625)=MIN(YEAR(Assumptions!$H$35),2026),SUM('Phase 3 Pro Forma'!$E$641:S$641)-SUM($E$642:R$642),0)),0)</f>
        <v>0</v>
      </c>
      <c r="T642" s="972">
        <f ca="1">IFERROR(-IF(YEAR(T625)&lt;MIN(YEAR(Assumptions!$H$35),2026),(OFFSET('Phase 3 Pro Forma'!T641,0,-10)),IF(YEAR('Phase 3 Pro Forma'!T625)=MIN(YEAR(Assumptions!$H$35),2026),SUM('Phase 3 Pro Forma'!$E$641:T$641)-SUM($E$642:S$642),0)),0)</f>
        <v>0</v>
      </c>
      <c r="U642" s="972">
        <f ca="1">IFERROR(-IF(YEAR(U625)&lt;MIN(YEAR(Assumptions!$H$35),2026),(OFFSET('Phase 3 Pro Forma'!U641,0,-10)),IF(YEAR('Phase 3 Pro Forma'!U625)=MIN(YEAR(Assumptions!$H$35),2026),SUM('Phase 3 Pro Forma'!$E$641:U$641)-SUM($E$642:T$642),0)),0)</f>
        <v>0</v>
      </c>
      <c r="V642" s="972">
        <f ca="1">IFERROR(-IF(YEAR(V625)&lt;MIN(YEAR(Assumptions!$H$35),2026),(OFFSET('Phase 3 Pro Forma'!V641,0,-10)),IF(YEAR('Phase 3 Pro Forma'!V625)=MIN(YEAR(Assumptions!$H$35),2026),SUM('Phase 3 Pro Forma'!$E$641:V$641)-SUM($E$642:U$642),0)),0)</f>
        <v>0</v>
      </c>
      <c r="W642" s="972">
        <f ca="1">IFERROR(-IF(YEAR(W625)&lt;MIN(YEAR(Assumptions!$H$35),2026),(OFFSET('Phase 3 Pro Forma'!W641,0,-10)),IF(YEAR('Phase 3 Pro Forma'!W625)=MIN(YEAR(Assumptions!$H$35),2026),SUM('Phase 3 Pro Forma'!$E$641:W$641)-SUM($E$642:V$642),0)),0)</f>
        <v>0</v>
      </c>
      <c r="X642" s="972">
        <f ca="1">IFERROR(-IF(YEAR(X625)&lt;MIN(YEAR(Assumptions!$H$35),2026),(OFFSET('Phase 3 Pro Forma'!X641,0,-10)),IF(YEAR('Phase 3 Pro Forma'!X625)=MIN(YEAR(Assumptions!$H$35),2026),SUM('Phase 3 Pro Forma'!$E$641:X$641)-SUM($E$642:W$642),0)),0)</f>
        <v>0</v>
      </c>
      <c r="Y642" s="972">
        <f ca="1">IFERROR(-IF(YEAR(Y625)&lt;MIN(YEAR(Assumptions!$H$35),2026),(OFFSET('Phase 3 Pro Forma'!Y641,0,-10)),IF(YEAR('Phase 3 Pro Forma'!Y625)=MIN(YEAR(Assumptions!$H$35),2026),SUM('Phase 3 Pro Forma'!$E$641:Y$641)-SUM($E$642:X$642),0)),0)</f>
        <v>0</v>
      </c>
      <c r="Z642" s="972">
        <f ca="1">IFERROR(-IF(YEAR(Z625)&lt;MIN(YEAR(Assumptions!$H$35),2026),(OFFSET('Phase 3 Pro Forma'!Z641,0,-10)),IF(YEAR('Phase 3 Pro Forma'!Z625)=MIN(YEAR(Assumptions!$H$35),2026),SUM('Phase 3 Pro Forma'!$E$641:Z$641)-SUM($E$642:Y$642),0)),0)</f>
        <v>0</v>
      </c>
      <c r="AA642" s="151"/>
      <c r="AB642" s="151"/>
      <c r="AC642" s="151"/>
    </row>
    <row r="643" spans="2:29" ht="15.75">
      <c r="B643" s="151" t="s">
        <v>1221</v>
      </c>
      <c r="C643" s="151"/>
      <c r="D643" s="948"/>
      <c r="E643" s="948"/>
      <c r="F643" s="972">
        <f>+IF(YEAR(F625)=MIN(YEAR(Assumptions!$H$35),2026),SUM('Phase 3 Pro Forma'!$F$653:$Z$653),0)</f>
        <v>0</v>
      </c>
      <c r="G643" s="972">
        <f>+IF(YEAR(G625)=MIN(YEAR(Assumptions!$H$35),2026),SUM('Phase 3 Pro Forma'!$F$653:$Z$653),0)</f>
        <v>0</v>
      </c>
      <c r="H643" s="972">
        <f>+IF(YEAR(H625)=MIN(YEAR(Assumptions!$H$35),2026),SUM('Phase 3 Pro Forma'!$F$653:$Z$653),0)</f>
        <v>0</v>
      </c>
      <c r="I643" s="972">
        <f>+IF(YEAR(I625)=MIN(YEAR(Assumptions!$H$35),2026),SUM('Phase 3 Pro Forma'!$F$653:$Z$653),0)</f>
        <v>0</v>
      </c>
      <c r="J643" s="972">
        <f>+IF(YEAR(J625)=MIN(YEAR(Assumptions!$H$35),2026),SUM('Phase 3 Pro Forma'!$F$653:$Z$653),0)</f>
        <v>0</v>
      </c>
      <c r="K643" s="972">
        <f>+IF(YEAR(K625)=MIN(YEAR(Assumptions!$H$35),2026),SUM('Phase 3 Pro Forma'!$F$653:$Z$653),0)</f>
        <v>0</v>
      </c>
      <c r="L643" s="972">
        <f>+IF(YEAR(L625)=MIN(YEAR(Assumptions!$H$35),2026),SUM('Phase 3 Pro Forma'!$F$653:$Z$653),0)</f>
        <v>0</v>
      </c>
      <c r="M643" s="972">
        <f>+IF(YEAR(M625)=MIN(YEAR(Assumptions!$H$35),2026),SUM('Phase 3 Pro Forma'!$F$653:$Z$653),0)</f>
        <v>0</v>
      </c>
      <c r="N643" s="972">
        <f>+IF(YEAR(N625)=MIN(YEAR(Assumptions!$H$35),2026),SUM('Phase 3 Pro Forma'!$F$653:$Z$653),0)</f>
        <v>0</v>
      </c>
      <c r="O643" s="972">
        <f>+IF(YEAR(O625)=MIN(YEAR(Assumptions!$H$35),2026),SUM('Phase 3 Pro Forma'!$F$653:$Z$653),0)</f>
        <v>0</v>
      </c>
      <c r="P643" s="972">
        <f>+IF(YEAR(P625)=MIN(YEAR(Assumptions!$H$35),2026),SUM('Phase 3 Pro Forma'!$F$653:$Z$653),0)</f>
        <v>0</v>
      </c>
      <c r="Q643" s="972">
        <f>+IF(YEAR(Q625)=MIN(YEAR(Assumptions!$H$35),2026),SUM('Phase 3 Pro Forma'!$F$653:$Z$653),0)</f>
        <v>0</v>
      </c>
      <c r="R643" s="972">
        <f>+IF(YEAR(R625)=MIN(YEAR(Assumptions!$H$35),2026),SUM('Phase 3 Pro Forma'!$F$653:$Z$653),0)</f>
        <v>0</v>
      </c>
      <c r="S643" s="972">
        <f>+IF(YEAR(S625)=MIN(YEAR(Assumptions!$H$35),2026),SUM('Phase 3 Pro Forma'!$F$653:$Z$653),0)</f>
        <v>0</v>
      </c>
      <c r="T643" s="972">
        <f>+IF(YEAR(T625)=MIN(YEAR(Assumptions!$H$35),2026),SUM('Phase 3 Pro Forma'!$F$653:$Z$653),0)</f>
        <v>0</v>
      </c>
      <c r="U643" s="972">
        <f>+IF(YEAR(U625)=MIN(YEAR(Assumptions!$H$35),2026),SUM('Phase 3 Pro Forma'!$F$653:$Z$653),0)</f>
        <v>0</v>
      </c>
      <c r="V643" s="972">
        <f>+IF(YEAR(V625)=MIN(YEAR(Assumptions!$H$35),2026),SUM('Phase 3 Pro Forma'!$F$653:$Z$653),0)</f>
        <v>0</v>
      </c>
      <c r="W643" s="972">
        <f>+IF(YEAR(W625)=MIN(YEAR(Assumptions!$H$35),2026),SUM('Phase 3 Pro Forma'!$F$653:$Z$653),0)</f>
        <v>0</v>
      </c>
      <c r="X643" s="972">
        <f>+IF(YEAR(X625)=MIN(YEAR(Assumptions!$H$35),2026),SUM('Phase 3 Pro Forma'!$F$653:$Z$653),0)</f>
        <v>0</v>
      </c>
      <c r="Y643" s="972">
        <f>+IF(YEAR(Y625)=MIN(YEAR(Assumptions!$H$35),2026),SUM('Phase 3 Pro Forma'!$F$653:$Z$653),0)</f>
        <v>0</v>
      </c>
      <c r="Z643" s="972">
        <f>+IF(YEAR(Z625)=MIN(YEAR(Assumptions!$H$35),2026),SUM('Phase 3 Pro Forma'!$F$653:$Z$653),0)</f>
        <v>0</v>
      </c>
      <c r="AA643" s="151"/>
      <c r="AB643" s="151"/>
      <c r="AC643" s="151"/>
    </row>
    <row r="644" spans="2:29" ht="15.75">
      <c r="B644" s="151" t="s">
        <v>1215</v>
      </c>
      <c r="C644" s="151"/>
      <c r="D644" s="948"/>
      <c r="E644" s="948"/>
      <c r="F644" s="972">
        <f ca="1">+F631</f>
        <v>0</v>
      </c>
      <c r="G644" s="972">
        <f t="shared" ref="G644:Z646" ca="1" si="300">+G631</f>
        <v>0</v>
      </c>
      <c r="H644" s="972">
        <f t="shared" ca="1" si="300"/>
        <v>0</v>
      </c>
      <c r="I644" s="972">
        <f t="shared" ca="1" si="300"/>
        <v>0</v>
      </c>
      <c r="J644" s="972" t="e">
        <f t="shared" ca="1" si="300"/>
        <v>#DIV/0!</v>
      </c>
      <c r="K644" s="972" t="e">
        <f t="shared" ca="1" si="300"/>
        <v>#DIV/0!</v>
      </c>
      <c r="L644" s="972">
        <f t="shared" si="300"/>
        <v>0</v>
      </c>
      <c r="M644" s="972">
        <f t="shared" si="300"/>
        <v>0</v>
      </c>
      <c r="N644" s="972">
        <f t="shared" si="300"/>
        <v>0</v>
      </c>
      <c r="O644" s="972">
        <f t="shared" si="300"/>
        <v>0</v>
      </c>
      <c r="P644" s="972">
        <f t="shared" si="300"/>
        <v>0</v>
      </c>
      <c r="Q644" s="972">
        <f t="shared" si="300"/>
        <v>0</v>
      </c>
      <c r="R644" s="972">
        <f t="shared" si="300"/>
        <v>0</v>
      </c>
      <c r="S644" s="972">
        <f t="shared" si="300"/>
        <v>0</v>
      </c>
      <c r="T644" s="972">
        <f t="shared" si="300"/>
        <v>0</v>
      </c>
      <c r="U644" s="972">
        <f t="shared" si="300"/>
        <v>0</v>
      </c>
      <c r="V644" s="972">
        <f t="shared" si="300"/>
        <v>0</v>
      </c>
      <c r="W644" s="972">
        <f t="shared" si="300"/>
        <v>0</v>
      </c>
      <c r="X644" s="972">
        <f t="shared" si="300"/>
        <v>0</v>
      </c>
      <c r="Y644" s="972">
        <f t="shared" si="300"/>
        <v>0</v>
      </c>
      <c r="Z644" s="972">
        <f t="shared" si="300"/>
        <v>0</v>
      </c>
      <c r="AA644" s="151"/>
      <c r="AB644" s="151"/>
      <c r="AC644" s="151"/>
    </row>
    <row r="645" spans="2:29" ht="15.75">
      <c r="B645" s="151" t="s">
        <v>1216</v>
      </c>
      <c r="C645" s="151"/>
      <c r="D645" s="948"/>
      <c r="E645" s="948"/>
      <c r="F645" s="972">
        <f ca="1">+F632</f>
        <v>0</v>
      </c>
      <c r="G645" s="972">
        <f t="shared" ca="1" si="300"/>
        <v>0</v>
      </c>
      <c r="H645" s="972">
        <f t="shared" ca="1" si="300"/>
        <v>0</v>
      </c>
      <c r="I645" s="972">
        <f t="shared" ca="1" si="300"/>
        <v>6023899.1861092001</v>
      </c>
      <c r="J645" s="972">
        <f t="shared" ca="1" si="300"/>
        <v>15765854.201241489</v>
      </c>
      <c r="K645" s="972">
        <f t="shared" ca="1" si="300"/>
        <v>19504090.881404951</v>
      </c>
      <c r="L645" s="972">
        <f t="shared" si="300"/>
        <v>0</v>
      </c>
      <c r="M645" s="972">
        <f t="shared" si="300"/>
        <v>0</v>
      </c>
      <c r="N645" s="972">
        <f t="shared" si="300"/>
        <v>0</v>
      </c>
      <c r="O645" s="972">
        <f t="shared" si="300"/>
        <v>0</v>
      </c>
      <c r="P645" s="972">
        <f t="shared" si="300"/>
        <v>0</v>
      </c>
      <c r="Q645" s="972">
        <f t="shared" si="300"/>
        <v>0</v>
      </c>
      <c r="R645" s="972">
        <f t="shared" si="300"/>
        <v>0</v>
      </c>
      <c r="S645" s="972">
        <f t="shared" si="300"/>
        <v>0</v>
      </c>
      <c r="T645" s="972">
        <f t="shared" si="300"/>
        <v>0</v>
      </c>
      <c r="U645" s="972">
        <f t="shared" si="300"/>
        <v>0</v>
      </c>
      <c r="V645" s="972">
        <f t="shared" si="300"/>
        <v>0</v>
      </c>
      <c r="W645" s="972">
        <f t="shared" si="300"/>
        <v>0</v>
      </c>
      <c r="X645" s="972">
        <f t="shared" si="300"/>
        <v>0</v>
      </c>
      <c r="Y645" s="972">
        <f t="shared" si="300"/>
        <v>0</v>
      </c>
      <c r="Z645" s="972">
        <f t="shared" si="300"/>
        <v>0</v>
      </c>
      <c r="AA645" s="151"/>
      <c r="AB645" s="151"/>
      <c r="AC645" s="151"/>
    </row>
    <row r="646" spans="2:29" ht="15.75">
      <c r="B646" s="151" t="s">
        <v>1217</v>
      </c>
      <c r="C646" s="151"/>
      <c r="D646" s="948"/>
      <c r="E646" s="948"/>
      <c r="F646" s="972">
        <f>+F633</f>
        <v>0</v>
      </c>
      <c r="G646" s="972">
        <f t="shared" si="300"/>
        <v>0</v>
      </c>
      <c r="H646" s="972">
        <f t="shared" si="300"/>
        <v>0</v>
      </c>
      <c r="I646" s="972">
        <f t="shared" si="300"/>
        <v>8140704.8298968356</v>
      </c>
      <c r="J646" s="972">
        <f t="shared" si="300"/>
        <v>4324817.9567128923</v>
      </c>
      <c r="K646" s="972">
        <f t="shared" ca="1" si="300"/>
        <v>369199350.2555902</v>
      </c>
      <c r="L646" s="972">
        <f t="shared" si="300"/>
        <v>0</v>
      </c>
      <c r="M646" s="972">
        <f t="shared" si="300"/>
        <v>0</v>
      </c>
      <c r="N646" s="972">
        <f t="shared" si="300"/>
        <v>0</v>
      </c>
      <c r="O646" s="972">
        <f t="shared" si="300"/>
        <v>0</v>
      </c>
      <c r="P646" s="972">
        <f t="shared" si="300"/>
        <v>0</v>
      </c>
      <c r="Q646" s="972">
        <f t="shared" si="300"/>
        <v>0</v>
      </c>
      <c r="R646" s="972">
        <f t="shared" si="300"/>
        <v>0</v>
      </c>
      <c r="S646" s="972">
        <f t="shared" si="300"/>
        <v>0</v>
      </c>
      <c r="T646" s="972">
        <f t="shared" si="300"/>
        <v>0</v>
      </c>
      <c r="U646" s="972">
        <f t="shared" si="300"/>
        <v>0</v>
      </c>
      <c r="V646" s="972">
        <f t="shared" si="300"/>
        <v>0</v>
      </c>
      <c r="W646" s="972">
        <f t="shared" si="300"/>
        <v>0</v>
      </c>
      <c r="X646" s="972">
        <f t="shared" si="300"/>
        <v>0</v>
      </c>
      <c r="Y646" s="972">
        <f t="shared" si="300"/>
        <v>0</v>
      </c>
      <c r="Z646" s="972">
        <f t="shared" si="300"/>
        <v>0</v>
      </c>
      <c r="AA646" s="151"/>
      <c r="AB646" s="151"/>
      <c r="AC646" s="151"/>
    </row>
    <row r="647" spans="2:29" ht="15.75">
      <c r="B647" s="151" t="s">
        <v>1218</v>
      </c>
      <c r="C647" s="151"/>
      <c r="D647" s="948"/>
      <c r="E647" s="948"/>
      <c r="F647" s="972">
        <f>+IF(F627&gt;=10,0,F634)</f>
        <v>0</v>
      </c>
      <c r="G647" s="972">
        <f t="shared" ref="G647:Z647" si="301">+IF(G627&gt;=10,0,G634)</f>
        <v>0</v>
      </c>
      <c r="H647" s="972">
        <f t="shared" si="301"/>
        <v>0</v>
      </c>
      <c r="I647" s="972">
        <f t="shared" si="301"/>
        <v>0</v>
      </c>
      <c r="J647" s="972">
        <f t="shared" si="301"/>
        <v>0</v>
      </c>
      <c r="K647" s="972" t="e">
        <f t="shared" ca="1" si="301"/>
        <v>#DIV/0!</v>
      </c>
      <c r="L647" s="972">
        <f t="shared" si="301"/>
        <v>0</v>
      </c>
      <c r="M647" s="972">
        <f t="shared" si="301"/>
        <v>0</v>
      </c>
      <c r="N647" s="972">
        <f t="shared" si="301"/>
        <v>0</v>
      </c>
      <c r="O647" s="972">
        <f t="shared" si="301"/>
        <v>0</v>
      </c>
      <c r="P647" s="972">
        <f t="shared" si="301"/>
        <v>0</v>
      </c>
      <c r="Q647" s="972">
        <f t="shared" si="301"/>
        <v>0</v>
      </c>
      <c r="R647" s="972">
        <f t="shared" si="301"/>
        <v>0</v>
      </c>
      <c r="S647" s="972">
        <f t="shared" si="301"/>
        <v>0</v>
      </c>
      <c r="T647" s="972">
        <f t="shared" si="301"/>
        <v>0</v>
      </c>
      <c r="U647" s="972">
        <f t="shared" si="301"/>
        <v>0</v>
      </c>
      <c r="V647" s="972">
        <f t="shared" si="301"/>
        <v>0</v>
      </c>
      <c r="W647" s="972">
        <f t="shared" si="301"/>
        <v>0</v>
      </c>
      <c r="X647" s="972">
        <f t="shared" si="301"/>
        <v>0</v>
      </c>
      <c r="Y647" s="972">
        <f t="shared" si="301"/>
        <v>0</v>
      </c>
      <c r="Z647" s="972">
        <f t="shared" si="301"/>
        <v>0</v>
      </c>
      <c r="AA647" s="151"/>
      <c r="AB647" s="151"/>
      <c r="AC647" s="151"/>
    </row>
    <row r="648" spans="2:29" ht="15.75">
      <c r="B648" s="718" t="s">
        <v>1220</v>
      </c>
      <c r="C648" s="718"/>
      <c r="D648" s="948" t="e">
        <f ca="1">+SUM(F648:Z648)</f>
        <v>#DIV/0!</v>
      </c>
      <c r="E648" s="948"/>
      <c r="F648" s="948">
        <f ca="1">+SUM(F640:F647)</f>
        <v>-97022022.157049507</v>
      </c>
      <c r="G648" s="948">
        <f t="shared" ref="G648:Z648" ca="1" si="302">+SUM(G640:G647)</f>
        <v>-133606126.43688419</v>
      </c>
      <c r="H648" s="948">
        <f t="shared" ca="1" si="302"/>
        <v>-26499831.996519268</v>
      </c>
      <c r="I648" s="948">
        <f t="shared" ca="1" si="302"/>
        <v>14164604.016006036</v>
      </c>
      <c r="J648" s="948" t="e">
        <f t="shared" ca="1" si="302"/>
        <v>#DIV/0!</v>
      </c>
      <c r="K648" s="948" t="e">
        <f t="shared" ca="1" si="302"/>
        <v>#DIV/0!</v>
      </c>
      <c r="L648" s="948">
        <f t="shared" ca="1" si="302"/>
        <v>0</v>
      </c>
      <c r="M648" s="948">
        <f t="shared" ca="1" si="302"/>
        <v>0</v>
      </c>
      <c r="N648" s="948">
        <f t="shared" ca="1" si="302"/>
        <v>0</v>
      </c>
      <c r="O648" s="948">
        <f t="shared" ca="1" si="302"/>
        <v>0</v>
      </c>
      <c r="P648" s="948">
        <f t="shared" ca="1" si="302"/>
        <v>0</v>
      </c>
      <c r="Q648" s="948">
        <f t="shared" ca="1" si="302"/>
        <v>0</v>
      </c>
      <c r="R648" s="948">
        <f t="shared" ca="1" si="302"/>
        <v>0</v>
      </c>
      <c r="S648" s="948">
        <f t="shared" ca="1" si="302"/>
        <v>0</v>
      </c>
      <c r="T648" s="948">
        <f t="shared" ca="1" si="302"/>
        <v>0</v>
      </c>
      <c r="U648" s="948">
        <f t="shared" ca="1" si="302"/>
        <v>0</v>
      </c>
      <c r="V648" s="948">
        <f t="shared" ca="1" si="302"/>
        <v>0</v>
      </c>
      <c r="W648" s="948">
        <f t="shared" ca="1" si="302"/>
        <v>0</v>
      </c>
      <c r="X648" s="948">
        <f t="shared" ca="1" si="302"/>
        <v>0</v>
      </c>
      <c r="Y648" s="948">
        <f t="shared" ca="1" si="302"/>
        <v>0</v>
      </c>
      <c r="Z648" s="948">
        <f t="shared" ca="1" si="302"/>
        <v>0</v>
      </c>
      <c r="AA648" s="151"/>
      <c r="AB648" s="151"/>
      <c r="AC648" s="151"/>
    </row>
    <row r="649" spans="2:29">
      <c r="B649" s="151"/>
      <c r="C649" s="151"/>
      <c r="D649" s="151"/>
      <c r="E649" s="151"/>
      <c r="F649" s="151"/>
      <c r="G649" s="151"/>
      <c r="H649" s="151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</row>
    <row r="650" spans="2:29" ht="15.75">
      <c r="B650" s="718" t="s">
        <v>1222</v>
      </c>
      <c r="C650" s="718"/>
      <c r="D650" s="966" t="e">
        <f ca="1">+IRR(F648:Z648)</f>
        <v>#VALUE!</v>
      </c>
      <c r="E650" s="151"/>
      <c r="F650" s="151"/>
      <c r="G650" s="151"/>
      <c r="H650" s="151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</row>
    <row r="651" spans="2:29" ht="15.75">
      <c r="B651" s="718" t="s">
        <v>1223</v>
      </c>
      <c r="C651" s="151"/>
      <c r="D651" s="966" t="e">
        <f ca="1">+D650/(1-Assumptions!$BT$178)</f>
        <v>#VALUE!</v>
      </c>
      <c r="E651" s="151"/>
      <c r="F651" s="151"/>
      <c r="G651" s="151"/>
      <c r="H651" s="151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</row>
    <row r="652" spans="2:29">
      <c r="B652" s="151"/>
      <c r="C652" s="151"/>
      <c r="D652" s="151"/>
      <c r="E652" s="151"/>
      <c r="F652" s="151"/>
      <c r="G652" s="151"/>
      <c r="H652" s="151"/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</row>
    <row r="653" spans="2:29">
      <c r="B653" s="151" t="s">
        <v>1224</v>
      </c>
      <c r="C653" s="151"/>
      <c r="D653" s="151"/>
      <c r="E653" s="151"/>
      <c r="F653" s="972">
        <f ca="1">IFERROR(IF(YEAR(F625)&lt;=YEAR(Assumptions!$H$35),10%*(OFFSET('Phase 3 Pro Forma'!F641,0,-5))+5%*(OFFSET('Phase 3 Pro Forma'!F641,0,-7)),0),0)</f>
        <v>0</v>
      </c>
      <c r="G653" s="972">
        <f ca="1">IFERROR(IF(YEAR(G625)&lt;=YEAR(Assumptions!$H$35),10%*(OFFSET('Phase 3 Pro Forma'!G641,0,-5))+5%*(OFFSET('Phase 3 Pro Forma'!G641,0,-7)),0),0)</f>
        <v>0</v>
      </c>
      <c r="H653" s="972">
        <f ca="1">IFERROR(IF(YEAR(H625)&lt;=YEAR(Assumptions!$H$35),10%*(OFFSET('Phase 3 Pro Forma'!H641,0,-5))+5%*(OFFSET('Phase 3 Pro Forma'!H641,0,-7)),0),0)</f>
        <v>0</v>
      </c>
      <c r="I653" s="972">
        <f ca="1">IFERROR(IF(YEAR(I625)&lt;=YEAR(Assumptions!$H$35),10%*(OFFSET('Phase 3 Pro Forma'!I641,0,-5))+5%*(OFFSET('Phase 3 Pro Forma'!I641,0,-7)),0),0)</f>
        <v>0</v>
      </c>
      <c r="J653" s="972">
        <f ca="1">IFERROR(IF(YEAR(J625)&lt;=YEAR(Assumptions!$H$35),10%*(OFFSET('Phase 3 Pro Forma'!J641,0,-5))+5%*(OFFSET('Phase 3 Pro Forma'!J641,0,-7)),0),0)</f>
        <v>0</v>
      </c>
      <c r="K653" s="972">
        <f ca="1">IFERROR(IF(YEAR(K625)&lt;=YEAR(Assumptions!$H$35),10%*(OFFSET('Phase 3 Pro Forma'!K641,0,-5))+5%*(OFFSET('Phase 3 Pro Forma'!K641,0,-7)),0),0)</f>
        <v>0</v>
      </c>
      <c r="L653" s="972">
        <f ca="1">IFERROR(IF(YEAR(L625)&lt;=YEAR(Assumptions!$H$35),10%*(OFFSET('Phase 3 Pro Forma'!L641,0,-5))+5%*(OFFSET('Phase 3 Pro Forma'!L641,0,-7)),0),0)</f>
        <v>0</v>
      </c>
      <c r="M653" s="972">
        <f ca="1">IFERROR(IF(YEAR(M625)&lt;=YEAR(Assumptions!$H$35),10%*(OFFSET('Phase 3 Pro Forma'!M641,0,-5))+5%*(OFFSET('Phase 3 Pro Forma'!M641,0,-7)),0),0)</f>
        <v>0</v>
      </c>
      <c r="N653" s="972">
        <f ca="1">IFERROR(IF(YEAR(N625)&lt;=YEAR(Assumptions!$H$35),10%*(OFFSET('Phase 3 Pro Forma'!N641,0,-5))+5%*(OFFSET('Phase 3 Pro Forma'!N641,0,-7)),0),0)</f>
        <v>0</v>
      </c>
      <c r="O653" s="972">
        <f ca="1">IFERROR(IF(YEAR(O625)&lt;=YEAR(Assumptions!$H$35),10%*(OFFSET('Phase 3 Pro Forma'!O641,0,-5))+5%*(OFFSET('Phase 3 Pro Forma'!O641,0,-7)),0),0)</f>
        <v>0</v>
      </c>
      <c r="P653" s="972">
        <f ca="1">IFERROR(IF(YEAR(P625)&lt;=YEAR(Assumptions!$H$35),10%*(OFFSET('Phase 3 Pro Forma'!P641,0,-5))+5%*(OFFSET('Phase 3 Pro Forma'!P641,0,-7)),0),0)</f>
        <v>0</v>
      </c>
      <c r="Q653" s="972">
        <f ca="1">IFERROR(IF(YEAR(Q625)&lt;=YEAR(Assumptions!$H$35),10%*(OFFSET('Phase 3 Pro Forma'!Q641,0,-5))+5%*(OFFSET('Phase 3 Pro Forma'!Q641,0,-7)),0),0)</f>
        <v>0</v>
      </c>
      <c r="R653" s="972">
        <f ca="1">IFERROR(IF(YEAR(R625)&lt;=YEAR(Assumptions!$H$35),10%*(OFFSET('Phase 3 Pro Forma'!R641,0,-5))+5%*(OFFSET('Phase 3 Pro Forma'!R641,0,-7)),0),0)</f>
        <v>0</v>
      </c>
      <c r="S653" s="972">
        <f ca="1">IFERROR(IF(YEAR(S625)&lt;=YEAR(Assumptions!$H$35),10%*(OFFSET('Phase 3 Pro Forma'!S641,0,-5))+5%*(OFFSET('Phase 3 Pro Forma'!S641,0,-7)),0),0)</f>
        <v>0</v>
      </c>
      <c r="T653" s="972">
        <f ca="1">IFERROR(IF(YEAR(T625)&lt;=YEAR(Assumptions!$H$35),10%*(OFFSET('Phase 3 Pro Forma'!T641,0,-5))+5%*(OFFSET('Phase 3 Pro Forma'!T641,0,-7)),0),0)</f>
        <v>0</v>
      </c>
      <c r="U653" s="972">
        <f ca="1">IFERROR(IF(YEAR(U625)&lt;=YEAR(Assumptions!$H$35),10%*(OFFSET('Phase 3 Pro Forma'!U641,0,-5))+5%*(OFFSET('Phase 3 Pro Forma'!U641,0,-7)),0),0)</f>
        <v>0</v>
      </c>
      <c r="V653" s="972">
        <f ca="1">IFERROR(IF(YEAR(V625)&lt;=YEAR(Assumptions!$H$35),10%*(OFFSET('Phase 3 Pro Forma'!V641,0,-5))+5%*(OFFSET('Phase 3 Pro Forma'!V641,0,-7)),0),0)</f>
        <v>0</v>
      </c>
      <c r="W653" s="972">
        <f ca="1">IFERROR(IF(YEAR(W625)&lt;=YEAR(Assumptions!$H$35),10%*(OFFSET('Phase 3 Pro Forma'!W641,0,-5))+5%*(OFFSET('Phase 3 Pro Forma'!W641,0,-7)),0),0)</f>
        <v>0</v>
      </c>
      <c r="X653" s="972">
        <f ca="1">IFERROR(IF(YEAR(X625)&lt;=YEAR(Assumptions!$H$35),10%*(OFFSET('Phase 3 Pro Forma'!X641,0,-5))+5%*(OFFSET('Phase 3 Pro Forma'!X641,0,-7)),0),0)</f>
        <v>0</v>
      </c>
      <c r="Y653" s="972">
        <f ca="1">IFERROR(IF(YEAR(Y625)&lt;=YEAR(Assumptions!$H$35),10%*(OFFSET('Phase 3 Pro Forma'!Y641,0,-5))+5%*(OFFSET('Phase 3 Pro Forma'!Y641,0,-7)),0),0)</f>
        <v>0</v>
      </c>
      <c r="Z653" s="972">
        <f ca="1">IFERROR(IF(YEAR(Z625)&lt;=YEAR(Assumptions!$H$35),10%*(OFFSET('Phase 3 Pro Forma'!Z641,0,-5))+5%*(OFFSET('Phase 3 Pro Forma'!Z641,0,-7)),0),0)</f>
        <v>0</v>
      </c>
      <c r="AA653" s="151"/>
      <c r="AB653" s="151"/>
      <c r="AC653" s="151"/>
    </row>
    <row r="654" spans="2:29">
      <c r="B654" s="151"/>
      <c r="C654" s="151"/>
      <c r="D654" s="151"/>
      <c r="E654" s="151"/>
      <c r="F654" s="151"/>
      <c r="G654" s="151"/>
      <c r="H654" s="151"/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</row>
    <row r="655" spans="2:29" ht="15.75">
      <c r="B655" s="718" t="s">
        <v>1225</v>
      </c>
      <c r="C655" s="151"/>
      <c r="D655" s="151"/>
      <c r="E655" s="151"/>
      <c r="F655" s="151"/>
      <c r="G655" s="151"/>
      <c r="H655" s="151"/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</row>
    <row r="656" spans="2:29" ht="15.75">
      <c r="B656" s="151" t="s">
        <v>1226</v>
      </c>
      <c r="C656" s="151"/>
      <c r="D656" s="948" t="e">
        <f ca="1">+SUM(F656:Z656)</f>
        <v>#DIV/0!</v>
      </c>
      <c r="E656" s="948"/>
      <c r="F656" s="946">
        <v>0</v>
      </c>
      <c r="G656" s="946">
        <f ca="1">+F663</f>
        <v>97022022.157049507</v>
      </c>
      <c r="H656" s="946">
        <f t="shared" ref="H656:L656" ca="1" si="303">+G663</f>
        <v>230628148.5939337</v>
      </c>
      <c r="I656" s="946">
        <f t="shared" ca="1" si="303"/>
        <v>257127980.59045297</v>
      </c>
      <c r="J656" s="946">
        <f t="shared" ca="1" si="303"/>
        <v>248987275.76055613</v>
      </c>
      <c r="K656" s="946" t="e">
        <f t="shared" ca="1" si="303"/>
        <v>#DIV/0!</v>
      </c>
      <c r="L656" s="946" t="e">
        <f t="shared" ca="1" si="303"/>
        <v>#DIV/0!</v>
      </c>
      <c r="M656" s="946" t="e">
        <f t="shared" ref="M656" ca="1" si="304">+L663</f>
        <v>#DIV/0!</v>
      </c>
      <c r="N656" s="946" t="e">
        <f t="shared" ref="N656" ca="1" si="305">+M663</f>
        <v>#DIV/0!</v>
      </c>
      <c r="O656" s="946" t="e">
        <f t="shared" ref="O656" ca="1" si="306">+N663</f>
        <v>#DIV/0!</v>
      </c>
      <c r="P656" s="946" t="e">
        <f t="shared" ref="P656" ca="1" si="307">+O663</f>
        <v>#DIV/0!</v>
      </c>
      <c r="Q656" s="946" t="e">
        <f t="shared" ref="Q656" ca="1" si="308">+P663</f>
        <v>#DIV/0!</v>
      </c>
      <c r="R656" s="946" t="e">
        <f t="shared" ref="R656" ca="1" si="309">+Q663</f>
        <v>#DIV/0!</v>
      </c>
      <c r="S656" s="946" t="e">
        <f t="shared" ref="S656" ca="1" si="310">+R663</f>
        <v>#DIV/0!</v>
      </c>
      <c r="T656" s="946" t="e">
        <f t="shared" ref="T656" ca="1" si="311">+S663</f>
        <v>#DIV/0!</v>
      </c>
      <c r="U656" s="946" t="e">
        <f t="shared" ref="U656" ca="1" si="312">+T663</f>
        <v>#DIV/0!</v>
      </c>
      <c r="V656" s="946" t="e">
        <f t="shared" ref="V656" ca="1" si="313">+U663</f>
        <v>#DIV/0!</v>
      </c>
      <c r="W656" s="946" t="e">
        <f t="shared" ref="W656" ca="1" si="314">+V663</f>
        <v>#DIV/0!</v>
      </c>
      <c r="X656" s="946" t="e">
        <f t="shared" ref="X656" ca="1" si="315">+W663</f>
        <v>#DIV/0!</v>
      </c>
      <c r="Y656" s="946" t="e">
        <f t="shared" ref="Y656" ca="1" si="316">+X663</f>
        <v>#DIV/0!</v>
      </c>
      <c r="Z656" s="946" t="e">
        <f t="shared" ref="Z656" ca="1" si="317">+Y663</f>
        <v>#DIV/0!</v>
      </c>
      <c r="AA656" s="151"/>
      <c r="AB656" s="151"/>
      <c r="AC656" s="151"/>
    </row>
    <row r="657" spans="2:29" ht="15.75">
      <c r="B657" s="151" t="s">
        <v>1212</v>
      </c>
      <c r="C657" s="151"/>
      <c r="D657" s="948">
        <f t="shared" ref="D657:D663" ca="1" si="318">+SUM(F657:Z657)</f>
        <v>257127980.59045297</v>
      </c>
      <c r="E657" s="948"/>
      <c r="F657" s="972">
        <f ca="1">-F628</f>
        <v>97022022.157049507</v>
      </c>
      <c r="G657" s="972">
        <f t="shared" ref="G657:Z657" ca="1" si="319">-G628</f>
        <v>133606126.43688419</v>
      </c>
      <c r="H657" s="972">
        <f t="shared" ca="1" si="319"/>
        <v>26499831.996519268</v>
      </c>
      <c r="I657" s="972">
        <f t="shared" ca="1" si="319"/>
        <v>0</v>
      </c>
      <c r="J657" s="972">
        <f t="shared" ca="1" si="319"/>
        <v>0</v>
      </c>
      <c r="K657" s="972">
        <f t="shared" ca="1" si="319"/>
        <v>0</v>
      </c>
      <c r="L657" s="972">
        <f t="shared" ca="1" si="319"/>
        <v>0</v>
      </c>
      <c r="M657" s="972">
        <f t="shared" ca="1" si="319"/>
        <v>0</v>
      </c>
      <c r="N657" s="972">
        <f t="shared" ca="1" si="319"/>
        <v>0</v>
      </c>
      <c r="O657" s="972">
        <f t="shared" ca="1" si="319"/>
        <v>0</v>
      </c>
      <c r="P657" s="972">
        <f t="shared" ca="1" si="319"/>
        <v>0</v>
      </c>
      <c r="Q657" s="972">
        <f t="shared" ca="1" si="319"/>
        <v>0</v>
      </c>
      <c r="R657" s="972">
        <f t="shared" ca="1" si="319"/>
        <v>0</v>
      </c>
      <c r="S657" s="972">
        <f t="shared" ca="1" si="319"/>
        <v>0</v>
      </c>
      <c r="T657" s="972">
        <f t="shared" ca="1" si="319"/>
        <v>0</v>
      </c>
      <c r="U657" s="972">
        <f t="shared" ca="1" si="319"/>
        <v>0</v>
      </c>
      <c r="V657" s="972">
        <f t="shared" ca="1" si="319"/>
        <v>0</v>
      </c>
      <c r="W657" s="972">
        <f t="shared" ca="1" si="319"/>
        <v>0</v>
      </c>
      <c r="X657" s="972">
        <f t="shared" ca="1" si="319"/>
        <v>0</v>
      </c>
      <c r="Y657" s="972">
        <f t="shared" ca="1" si="319"/>
        <v>0</v>
      </c>
      <c r="Z657" s="972">
        <f t="shared" ca="1" si="319"/>
        <v>0</v>
      </c>
      <c r="AA657" s="151"/>
      <c r="AB657" s="151"/>
      <c r="AC657" s="151"/>
    </row>
    <row r="658" spans="2:29" ht="15.75">
      <c r="B658" s="151" t="s">
        <v>1135</v>
      </c>
      <c r="C658" s="151"/>
      <c r="D658" s="948">
        <f t="shared" ca="1" si="318"/>
        <v>41293844.268755645</v>
      </c>
      <c r="E658" s="948"/>
      <c r="F658" s="972">
        <f ca="1">+IF(F625&lt;=Assumptions!$H$35,'Phase 3 Pro Forma'!F589,0)</f>
        <v>0</v>
      </c>
      <c r="G658" s="972">
        <f ca="1">+IF(G625&lt;=Assumptions!$H$35,'Phase 3 Pro Forma'!G589,0)</f>
        <v>0</v>
      </c>
      <c r="H658" s="972">
        <f ca="1">+IF(H625&lt;=Assumptions!$H$35,'Phase 3 Pro Forma'!H589,0)</f>
        <v>0</v>
      </c>
      <c r="I658" s="972">
        <f ca="1">+IF(I625&lt;=Assumptions!$H$35,'Phase 3 Pro Forma'!I589,0)</f>
        <v>6023899.1861092001</v>
      </c>
      <c r="J658" s="972">
        <f ca="1">+IF(J625&lt;=Assumptions!$H$35,'Phase 3 Pro Forma'!J589,0)</f>
        <v>15765854.201241489</v>
      </c>
      <c r="K658" s="972">
        <f ca="1">+IF(K625&lt;=Assumptions!$H$35,'Phase 3 Pro Forma'!K589,0)</f>
        <v>19504090.881404951</v>
      </c>
      <c r="L658" s="972">
        <f>+IF(L625&lt;=Assumptions!$H$35,'Phase 3 Pro Forma'!L589,0)</f>
        <v>0</v>
      </c>
      <c r="M658" s="972">
        <f>+IF(M625&lt;=Assumptions!$H$35,'Phase 3 Pro Forma'!M589,0)</f>
        <v>0</v>
      </c>
      <c r="N658" s="972">
        <f>+IF(N625&lt;=Assumptions!$H$35,'Phase 3 Pro Forma'!N589,0)</f>
        <v>0</v>
      </c>
      <c r="O658" s="972">
        <f>+IF(O625&lt;=Assumptions!$H$35,'Phase 3 Pro Forma'!O589,0)</f>
        <v>0</v>
      </c>
      <c r="P658" s="972">
        <f>+IF(P625&lt;=Assumptions!$H$35,'Phase 3 Pro Forma'!P589,0)</f>
        <v>0</v>
      </c>
      <c r="Q658" s="972">
        <f>+IF(Q625&lt;=Assumptions!$H$35,'Phase 3 Pro Forma'!Q589,0)</f>
        <v>0</v>
      </c>
      <c r="R658" s="972">
        <f>+IF(R625&lt;=Assumptions!$H$35,'Phase 3 Pro Forma'!R589,0)</f>
        <v>0</v>
      </c>
      <c r="S658" s="972">
        <f>+IF(S625&lt;=Assumptions!$H$35,'Phase 3 Pro Forma'!S589,0)</f>
        <v>0</v>
      </c>
      <c r="T658" s="972">
        <f>+IF(T625&lt;=Assumptions!$H$35,'Phase 3 Pro Forma'!T589,0)</f>
        <v>0</v>
      </c>
      <c r="U658" s="972">
        <f>+IF(U625&lt;=Assumptions!$H$35,'Phase 3 Pro Forma'!U589,0)</f>
        <v>0</v>
      </c>
      <c r="V658" s="972">
        <f>+IF(V625&lt;=Assumptions!$H$35,'Phase 3 Pro Forma'!V589,0)</f>
        <v>0</v>
      </c>
      <c r="W658" s="972">
        <f>+IF(W625&lt;=Assumptions!$H$35,'Phase 3 Pro Forma'!W589,0)</f>
        <v>0</v>
      </c>
      <c r="X658" s="972">
        <f>+IF(X625&lt;=Assumptions!$H$35,'Phase 3 Pro Forma'!X589,0)</f>
        <v>0</v>
      </c>
      <c r="Y658" s="972">
        <f>+IF(Y625&lt;=Assumptions!$H$35,'Phase 3 Pro Forma'!Y589,0)</f>
        <v>0</v>
      </c>
      <c r="Z658" s="972">
        <f>+IF(Z625&lt;=Assumptions!$H$35,'Phase 3 Pro Forma'!Z589,0)</f>
        <v>0</v>
      </c>
      <c r="AA658" s="151"/>
      <c r="AB658" s="151"/>
      <c r="AC658" s="151"/>
    </row>
    <row r="659" spans="2:29" ht="15.75">
      <c r="B659" s="151" t="s">
        <v>1227</v>
      </c>
      <c r="C659" s="151"/>
      <c r="D659" s="948" t="e">
        <f t="shared" ca="1" si="318"/>
        <v>#DIV/0!</v>
      </c>
      <c r="E659" s="948"/>
      <c r="F659" s="972">
        <f>-IF(AND(F625&gt;Assumptions!$H$31,F625&lt;=Assumptions!$H$35),Budget!$H$110*Assumptions!$BT$180/Assumptions!$BT$179,0)</f>
        <v>0</v>
      </c>
      <c r="G659" s="972">
        <f>-IF(AND(G625&gt;Assumptions!$H$31,G625&lt;=Assumptions!$H$35),Budget!$H$110*Assumptions!$BT$180/Assumptions!$BT$179,0)</f>
        <v>0</v>
      </c>
      <c r="H659" s="972">
        <f>-IF(AND(H625&gt;Assumptions!$H$31,H625&lt;=Assumptions!$H$35),Budget!$H$110*Assumptions!$BT$180/Assumptions!$BT$179,0)</f>
        <v>0</v>
      </c>
      <c r="I659" s="972">
        <f>-IF(AND(I625&gt;Assumptions!$H$31,I625&lt;=Assumptions!$H$35),Budget!$H$110*Assumptions!$BT$180/Assumptions!$BT$179,0)</f>
        <v>0</v>
      </c>
      <c r="J659" s="972" t="e">
        <f ca="1">-IF(AND(J625&gt;Assumptions!$H$31,J625&lt;=Assumptions!$H$35),Budget!$H$110*Assumptions!$BT$180/Assumptions!$BT$179,0)</f>
        <v>#DIV/0!</v>
      </c>
      <c r="K659" s="972" t="e">
        <f ca="1">-IF(AND(K625&gt;Assumptions!$H$31,K625&lt;=Assumptions!$H$35),Budget!$H$110*Assumptions!$BT$180/Assumptions!$BT$179,0)</f>
        <v>#DIV/0!</v>
      </c>
      <c r="L659" s="972">
        <f>-IF(AND(L625&gt;Assumptions!$H$31,L625&lt;=Assumptions!$H$35),Budget!$H$110*Assumptions!$BT$180/Assumptions!$BT$179,0)</f>
        <v>0</v>
      </c>
      <c r="M659" s="972">
        <f>-IF(AND(M625&gt;Assumptions!$H$31,M625&lt;=Assumptions!$H$35),Budget!$H$110*Assumptions!$BT$180/Assumptions!$BT$179,0)</f>
        <v>0</v>
      </c>
      <c r="N659" s="972">
        <f>-IF(AND(N625&gt;Assumptions!$H$31,N625&lt;=Assumptions!$H$35),Budget!$H$110*Assumptions!$BT$180/Assumptions!$BT$179,0)</f>
        <v>0</v>
      </c>
      <c r="O659" s="972">
        <f>-IF(AND(O625&gt;Assumptions!$H$31,O625&lt;=Assumptions!$H$35),Budget!$H$110*Assumptions!$BT$180/Assumptions!$BT$179,0)</f>
        <v>0</v>
      </c>
      <c r="P659" s="972">
        <f>-IF(AND(P625&gt;Assumptions!$H$31,P625&lt;=Assumptions!$H$35),Budget!$H$110*Assumptions!$BT$180/Assumptions!$BT$179,0)</f>
        <v>0</v>
      </c>
      <c r="Q659" s="972">
        <f>-IF(AND(Q625&gt;Assumptions!$H$31,Q625&lt;=Assumptions!$H$35),Budget!$H$110*Assumptions!$BT$180/Assumptions!$BT$179,0)</f>
        <v>0</v>
      </c>
      <c r="R659" s="972">
        <f>-IF(AND(R625&gt;Assumptions!$H$31,R625&lt;=Assumptions!$H$35),Budget!$H$110*Assumptions!$BT$180/Assumptions!$BT$179,0)</f>
        <v>0</v>
      </c>
      <c r="S659" s="972">
        <f>-IF(AND(S625&gt;Assumptions!$H$31,S625&lt;=Assumptions!$H$35),Budget!$H$110*Assumptions!$BT$180/Assumptions!$BT$179,0)</f>
        <v>0</v>
      </c>
      <c r="T659" s="972">
        <f>-IF(AND(T625&gt;Assumptions!$H$31,T625&lt;=Assumptions!$H$35),Budget!$H$110*Assumptions!$BT$180/Assumptions!$BT$179,0)</f>
        <v>0</v>
      </c>
      <c r="U659" s="972">
        <f>-IF(AND(U625&gt;Assumptions!$H$31,U625&lt;=Assumptions!$H$35),Budget!$H$110*Assumptions!$BT$180/Assumptions!$BT$179,0)</f>
        <v>0</v>
      </c>
      <c r="V659" s="972">
        <f>-IF(AND(V625&gt;Assumptions!$H$31,V625&lt;=Assumptions!$H$35),Budget!$H$110*Assumptions!$BT$180/Assumptions!$BT$179,0)</f>
        <v>0</v>
      </c>
      <c r="W659" s="972">
        <f>-IF(AND(W625&gt;Assumptions!$H$31,W625&lt;=Assumptions!$H$35),Budget!$H$110*Assumptions!$BT$180/Assumptions!$BT$179,0)</f>
        <v>0</v>
      </c>
      <c r="X659" s="972">
        <f>-IF(AND(X625&gt;Assumptions!$H$31,X625&lt;=Assumptions!$H$35),Budget!$H$110*Assumptions!$BT$180/Assumptions!$BT$179,0)</f>
        <v>0</v>
      </c>
      <c r="Y659" s="972">
        <f>-IF(AND(Y625&gt;Assumptions!$H$31,Y625&lt;=Assumptions!$H$35),Budget!$H$110*Assumptions!$BT$180/Assumptions!$BT$179,0)</f>
        <v>0</v>
      </c>
      <c r="Z659" s="972">
        <f>-IF(AND(Z625&gt;Assumptions!$H$31,Z625&lt;=Assumptions!$H$35),Budget!$H$110*Assumptions!$BT$180/Assumptions!$BT$179,0)</f>
        <v>0</v>
      </c>
      <c r="AA659" s="151"/>
      <c r="AB659" s="151"/>
      <c r="AC659" s="151"/>
    </row>
    <row r="660" spans="2:29" ht="15.75">
      <c r="B660" s="151" t="s">
        <v>1228</v>
      </c>
      <c r="C660" s="151"/>
      <c r="D660" s="948">
        <f t="shared" ca="1" si="318"/>
        <v>-41293844.268755645</v>
      </c>
      <c r="E660" s="948"/>
      <c r="F660" s="972">
        <f ca="1">-F632</f>
        <v>0</v>
      </c>
      <c r="G660" s="972">
        <f t="shared" ref="G660:Z661" ca="1" si="320">-G632</f>
        <v>0</v>
      </c>
      <c r="H660" s="972">
        <f t="shared" ca="1" si="320"/>
        <v>0</v>
      </c>
      <c r="I660" s="972">
        <f t="shared" ca="1" si="320"/>
        <v>-6023899.1861092001</v>
      </c>
      <c r="J660" s="972">
        <f t="shared" ca="1" si="320"/>
        <v>-15765854.201241489</v>
      </c>
      <c r="K660" s="972">
        <f t="shared" ca="1" si="320"/>
        <v>-19504090.881404951</v>
      </c>
      <c r="L660" s="972">
        <f t="shared" si="320"/>
        <v>0</v>
      </c>
      <c r="M660" s="972">
        <f t="shared" si="320"/>
        <v>0</v>
      </c>
      <c r="N660" s="972">
        <f t="shared" si="320"/>
        <v>0</v>
      </c>
      <c r="O660" s="972">
        <f t="shared" si="320"/>
        <v>0</v>
      </c>
      <c r="P660" s="972">
        <f t="shared" si="320"/>
        <v>0</v>
      </c>
      <c r="Q660" s="972">
        <f t="shared" si="320"/>
        <v>0</v>
      </c>
      <c r="R660" s="972">
        <f t="shared" si="320"/>
        <v>0</v>
      </c>
      <c r="S660" s="972">
        <f t="shared" si="320"/>
        <v>0</v>
      </c>
      <c r="T660" s="972">
        <f t="shared" si="320"/>
        <v>0</v>
      </c>
      <c r="U660" s="972">
        <f t="shared" si="320"/>
        <v>0</v>
      </c>
      <c r="V660" s="972">
        <f t="shared" si="320"/>
        <v>0</v>
      </c>
      <c r="W660" s="972">
        <f t="shared" si="320"/>
        <v>0</v>
      </c>
      <c r="X660" s="972">
        <f t="shared" si="320"/>
        <v>0</v>
      </c>
      <c r="Y660" s="972">
        <f t="shared" si="320"/>
        <v>0</v>
      </c>
      <c r="Z660" s="972">
        <f t="shared" si="320"/>
        <v>0</v>
      </c>
      <c r="AA660" s="151"/>
      <c r="AB660" s="151"/>
      <c r="AC660" s="151"/>
    </row>
    <row r="661" spans="2:29" ht="15.75">
      <c r="B661" s="151" t="s">
        <v>1217</v>
      </c>
      <c r="C661" s="151"/>
      <c r="D661" s="948">
        <f t="shared" ca="1" si="318"/>
        <v>-381664873.04219991</v>
      </c>
      <c r="E661" s="948"/>
      <c r="F661" s="972">
        <f>-F633</f>
        <v>0</v>
      </c>
      <c r="G661" s="972">
        <f t="shared" si="320"/>
        <v>0</v>
      </c>
      <c r="H661" s="972">
        <f t="shared" si="320"/>
        <v>0</v>
      </c>
      <c r="I661" s="972">
        <f t="shared" si="320"/>
        <v>-8140704.8298968356</v>
      </c>
      <c r="J661" s="972">
        <f t="shared" si="320"/>
        <v>-4324817.9567128923</v>
      </c>
      <c r="K661" s="972">
        <f t="shared" ca="1" si="320"/>
        <v>-369199350.2555902</v>
      </c>
      <c r="L661" s="972">
        <f t="shared" si="320"/>
        <v>0</v>
      </c>
      <c r="M661" s="972">
        <f t="shared" si="320"/>
        <v>0</v>
      </c>
      <c r="N661" s="972">
        <f t="shared" si="320"/>
        <v>0</v>
      </c>
      <c r="O661" s="972">
        <f t="shared" si="320"/>
        <v>0</v>
      </c>
      <c r="P661" s="972">
        <f t="shared" si="320"/>
        <v>0</v>
      </c>
      <c r="Q661" s="972">
        <f t="shared" si="320"/>
        <v>0</v>
      </c>
      <c r="R661" s="972">
        <f t="shared" si="320"/>
        <v>0</v>
      </c>
      <c r="S661" s="972">
        <f t="shared" si="320"/>
        <v>0</v>
      </c>
      <c r="T661" s="972">
        <f t="shared" si="320"/>
        <v>0</v>
      </c>
      <c r="U661" s="972">
        <f t="shared" si="320"/>
        <v>0</v>
      </c>
      <c r="V661" s="972">
        <f t="shared" si="320"/>
        <v>0</v>
      </c>
      <c r="W661" s="972">
        <f t="shared" si="320"/>
        <v>0</v>
      </c>
      <c r="X661" s="972">
        <f t="shared" si="320"/>
        <v>0</v>
      </c>
      <c r="Y661" s="972">
        <f t="shared" si="320"/>
        <v>0</v>
      </c>
      <c r="Z661" s="972">
        <f t="shared" si="320"/>
        <v>0</v>
      </c>
      <c r="AA661" s="151"/>
      <c r="AB661" s="151"/>
      <c r="AC661" s="151"/>
    </row>
    <row r="662" spans="2:29" ht="15.75">
      <c r="B662" s="151" t="s">
        <v>1229</v>
      </c>
      <c r="C662" s="151"/>
      <c r="D662" s="948" t="e">
        <f t="shared" ca="1" si="318"/>
        <v>#DIV/0!</v>
      </c>
      <c r="E662" s="948"/>
      <c r="F662" s="972">
        <f>-IF(YEAR(F625)=YEAR(Assumptions!$H$35),SUM('Phase 3 Pro Forma'!F656:F661),0)</f>
        <v>0</v>
      </c>
      <c r="G662" s="972">
        <f>-IF(YEAR(G625)=YEAR(Assumptions!$H$35),SUM('Phase 3 Pro Forma'!G656:G661),0)</f>
        <v>0</v>
      </c>
      <c r="H662" s="972">
        <f>-IF(YEAR(H625)=YEAR(Assumptions!$H$35),SUM('Phase 3 Pro Forma'!H656:H661),0)</f>
        <v>0</v>
      </c>
      <c r="I662" s="972">
        <f>-IF(YEAR(I625)=YEAR(Assumptions!$H$35),SUM('Phase 3 Pro Forma'!I656:I661),0)</f>
        <v>0</v>
      </c>
      <c r="J662" s="972">
        <f>-IF(YEAR(J625)=YEAR(Assumptions!$H$35),SUM('Phase 3 Pro Forma'!J656:J661),0)</f>
        <v>0</v>
      </c>
      <c r="K662" s="972" t="e">
        <f ca="1">-IF(YEAR(K625)=YEAR(Assumptions!$H$35),SUM('Phase 3 Pro Forma'!K656:K661),0)</f>
        <v>#DIV/0!</v>
      </c>
      <c r="L662" s="972">
        <f>-IF(YEAR(L625)=YEAR(Assumptions!$H$35),SUM('Phase 3 Pro Forma'!L656:L661),0)</f>
        <v>0</v>
      </c>
      <c r="M662" s="972">
        <f>-IF(YEAR(M625)=YEAR(Assumptions!$H$35),SUM('Phase 3 Pro Forma'!M656:M661),0)</f>
        <v>0</v>
      </c>
      <c r="N662" s="972">
        <f>-IF(YEAR(N625)=YEAR(Assumptions!$H$35),SUM('Phase 3 Pro Forma'!N656:N661),0)</f>
        <v>0</v>
      </c>
      <c r="O662" s="972">
        <f>-IF(YEAR(O625)=YEAR(Assumptions!$H$35),SUM('Phase 3 Pro Forma'!O656:O661),0)</f>
        <v>0</v>
      </c>
      <c r="P662" s="972">
        <f>-IF(YEAR(P625)=YEAR(Assumptions!$H$35),SUM('Phase 3 Pro Forma'!P656:P661),0)</f>
        <v>0</v>
      </c>
      <c r="Q662" s="972">
        <f>-IF(YEAR(Q625)=YEAR(Assumptions!$H$35),SUM('Phase 3 Pro Forma'!Q656:Q661),0)</f>
        <v>0</v>
      </c>
      <c r="R662" s="972">
        <f>-IF(YEAR(R625)=YEAR(Assumptions!$H$35),SUM('Phase 3 Pro Forma'!R656:R661),0)</f>
        <v>0</v>
      </c>
      <c r="S662" s="972">
        <f>-IF(YEAR(S625)=YEAR(Assumptions!$H$35),SUM('Phase 3 Pro Forma'!S656:S661),0)</f>
        <v>0</v>
      </c>
      <c r="T662" s="972">
        <f>-IF(YEAR(T625)=YEAR(Assumptions!$H$35),SUM('Phase 3 Pro Forma'!T656:T661),0)</f>
        <v>0</v>
      </c>
      <c r="U662" s="972">
        <f>-IF(YEAR(U625)=YEAR(Assumptions!$H$35),SUM('Phase 3 Pro Forma'!U656:U661),0)</f>
        <v>0</v>
      </c>
      <c r="V662" s="972">
        <f>-IF(YEAR(V625)=YEAR(Assumptions!$H$35),SUM('Phase 3 Pro Forma'!V656:V661),0)</f>
        <v>0</v>
      </c>
      <c r="W662" s="972">
        <f>-IF(YEAR(W625)=YEAR(Assumptions!$H$35),SUM('Phase 3 Pro Forma'!W656:W661),0)</f>
        <v>0</v>
      </c>
      <c r="X662" s="972">
        <f>-IF(YEAR(X625)=YEAR(Assumptions!$H$35),SUM('Phase 3 Pro Forma'!X656:X661),0)</f>
        <v>0</v>
      </c>
      <c r="Y662" s="972">
        <f>-IF(YEAR(Y625)=YEAR(Assumptions!$H$35),SUM('Phase 3 Pro Forma'!Y656:Y661),0)</f>
        <v>0</v>
      </c>
      <c r="Z662" s="972">
        <f>-IF(YEAR(Z625)=YEAR(Assumptions!$H$35),SUM('Phase 3 Pro Forma'!Z656:Z661),0)</f>
        <v>0</v>
      </c>
      <c r="AA662" s="151"/>
      <c r="AB662" s="151"/>
      <c r="AC662" s="151"/>
    </row>
    <row r="663" spans="2:29" ht="15.75">
      <c r="B663" s="718" t="s">
        <v>1230</v>
      </c>
      <c r="C663" s="718"/>
      <c r="D663" s="948" t="e">
        <f t="shared" ca="1" si="318"/>
        <v>#DIV/0!</v>
      </c>
      <c r="E663" s="948"/>
      <c r="F663" s="948">
        <f ca="1">+SUM(F656:F662)</f>
        <v>97022022.157049507</v>
      </c>
      <c r="G663" s="948">
        <f t="shared" ref="G663:Z663" ca="1" si="321">+SUM(G656:G662)</f>
        <v>230628148.5939337</v>
      </c>
      <c r="H663" s="948">
        <f t="shared" ca="1" si="321"/>
        <v>257127980.59045297</v>
      </c>
      <c r="I663" s="948">
        <f t="shared" ca="1" si="321"/>
        <v>248987275.76055613</v>
      </c>
      <c r="J663" s="948" t="e">
        <f t="shared" ca="1" si="321"/>
        <v>#DIV/0!</v>
      </c>
      <c r="K663" s="948" t="e">
        <f t="shared" ca="1" si="321"/>
        <v>#DIV/0!</v>
      </c>
      <c r="L663" s="948" t="e">
        <f t="shared" ca="1" si="321"/>
        <v>#DIV/0!</v>
      </c>
      <c r="M663" s="948" t="e">
        <f t="shared" ca="1" si="321"/>
        <v>#DIV/0!</v>
      </c>
      <c r="N663" s="948" t="e">
        <f t="shared" ca="1" si="321"/>
        <v>#DIV/0!</v>
      </c>
      <c r="O663" s="948" t="e">
        <f t="shared" ca="1" si="321"/>
        <v>#DIV/0!</v>
      </c>
      <c r="P663" s="948" t="e">
        <f t="shared" ca="1" si="321"/>
        <v>#DIV/0!</v>
      </c>
      <c r="Q663" s="948" t="e">
        <f t="shared" ca="1" si="321"/>
        <v>#DIV/0!</v>
      </c>
      <c r="R663" s="948" t="e">
        <f t="shared" ca="1" si="321"/>
        <v>#DIV/0!</v>
      </c>
      <c r="S663" s="948" t="e">
        <f t="shared" ca="1" si="321"/>
        <v>#DIV/0!</v>
      </c>
      <c r="T663" s="948" t="e">
        <f t="shared" ca="1" si="321"/>
        <v>#DIV/0!</v>
      </c>
      <c r="U663" s="948" t="e">
        <f t="shared" ca="1" si="321"/>
        <v>#DIV/0!</v>
      </c>
      <c r="V663" s="948" t="e">
        <f t="shared" ca="1" si="321"/>
        <v>#DIV/0!</v>
      </c>
      <c r="W663" s="948" t="e">
        <f t="shared" ca="1" si="321"/>
        <v>#DIV/0!</v>
      </c>
      <c r="X663" s="948" t="e">
        <f t="shared" ca="1" si="321"/>
        <v>#DIV/0!</v>
      </c>
      <c r="Y663" s="948" t="e">
        <f t="shared" ca="1" si="321"/>
        <v>#DIV/0!</v>
      </c>
      <c r="Z663" s="948" t="e">
        <f t="shared" ca="1" si="321"/>
        <v>#DIV/0!</v>
      </c>
      <c r="AA663" s="151"/>
      <c r="AB663" s="151"/>
      <c r="AC663" s="151"/>
    </row>
    <row r="664" spans="2:29">
      <c r="B664" s="151"/>
      <c r="C664" s="151"/>
      <c r="D664" s="151"/>
      <c r="E664" s="151"/>
      <c r="F664" s="151"/>
      <c r="G664" s="151"/>
      <c r="H664" s="151"/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</row>
    <row r="665" spans="2:29" ht="15.75">
      <c r="B665" s="718" t="s">
        <v>1231</v>
      </c>
      <c r="C665" s="151"/>
      <c r="D665" s="151"/>
      <c r="E665" s="151"/>
      <c r="F665" s="971">
        <f>+F625</f>
        <v>47118</v>
      </c>
      <c r="G665" s="971">
        <f t="shared" ref="G665:Z665" si="322">+G625</f>
        <v>47483</v>
      </c>
      <c r="H665" s="971">
        <f t="shared" si="322"/>
        <v>47848</v>
      </c>
      <c r="I665" s="971">
        <f t="shared" si="322"/>
        <v>48213</v>
      </c>
      <c r="J665" s="971">
        <f t="shared" si="322"/>
        <v>48579</v>
      </c>
      <c r="K665" s="971">
        <f t="shared" si="322"/>
        <v>48944</v>
      </c>
      <c r="L665" s="971">
        <f t="shared" si="322"/>
        <v>49309</v>
      </c>
      <c r="M665" s="971">
        <f t="shared" si="322"/>
        <v>49674</v>
      </c>
      <c r="N665" s="971">
        <f t="shared" si="322"/>
        <v>50040</v>
      </c>
      <c r="O665" s="971">
        <f t="shared" si="322"/>
        <v>50405</v>
      </c>
      <c r="P665" s="971">
        <f t="shared" si="322"/>
        <v>50770</v>
      </c>
      <c r="Q665" s="971">
        <f t="shared" si="322"/>
        <v>51135</v>
      </c>
      <c r="R665" s="971">
        <f t="shared" si="322"/>
        <v>51501</v>
      </c>
      <c r="S665" s="971">
        <f t="shared" si="322"/>
        <v>51866</v>
      </c>
      <c r="T665" s="971">
        <f t="shared" si="322"/>
        <v>52231</v>
      </c>
      <c r="U665" s="971">
        <f t="shared" si="322"/>
        <v>52596</v>
      </c>
      <c r="V665" s="971">
        <f t="shared" si="322"/>
        <v>52962</v>
      </c>
      <c r="W665" s="971">
        <f t="shared" si="322"/>
        <v>53327</v>
      </c>
      <c r="X665" s="971">
        <f t="shared" si="322"/>
        <v>53692</v>
      </c>
      <c r="Y665" s="971">
        <f t="shared" si="322"/>
        <v>54057</v>
      </c>
      <c r="Z665" s="971">
        <f t="shared" si="322"/>
        <v>54423</v>
      </c>
      <c r="AA665" s="151"/>
      <c r="AB665" s="151"/>
      <c r="AC665" s="151"/>
    </row>
    <row r="666" spans="2:29" ht="15.75">
      <c r="B666" s="718"/>
      <c r="C666" s="151"/>
      <c r="D666" s="151"/>
      <c r="E666" s="151"/>
      <c r="F666" s="151"/>
      <c r="G666" s="151"/>
      <c r="H666" s="151"/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</row>
    <row r="667" spans="2:29" ht="15.75">
      <c r="B667" s="718" t="s">
        <v>1232</v>
      </c>
      <c r="C667" s="151"/>
      <c r="D667" s="151"/>
      <c r="E667" s="151"/>
      <c r="F667" s="718">
        <v>0</v>
      </c>
      <c r="G667" s="718">
        <f>+F667+1</f>
        <v>1</v>
      </c>
      <c r="H667" s="718">
        <f t="shared" ref="H667:Z667" si="323">+G667+1</f>
        <v>2</v>
      </c>
      <c r="I667" s="718">
        <f t="shared" si="323"/>
        <v>3</v>
      </c>
      <c r="J667" s="718">
        <f t="shared" si="323"/>
        <v>4</v>
      </c>
      <c r="K667" s="718">
        <f t="shared" si="323"/>
        <v>5</v>
      </c>
      <c r="L667" s="718">
        <f t="shared" si="323"/>
        <v>6</v>
      </c>
      <c r="M667" s="718">
        <f t="shared" si="323"/>
        <v>7</v>
      </c>
      <c r="N667" s="718">
        <f t="shared" si="323"/>
        <v>8</v>
      </c>
      <c r="O667" s="718">
        <f t="shared" si="323"/>
        <v>9</v>
      </c>
      <c r="P667" s="718">
        <f t="shared" si="323"/>
        <v>10</v>
      </c>
      <c r="Q667" s="718">
        <f t="shared" si="323"/>
        <v>11</v>
      </c>
      <c r="R667" s="718">
        <f t="shared" si="323"/>
        <v>12</v>
      </c>
      <c r="S667" s="718">
        <f t="shared" si="323"/>
        <v>13</v>
      </c>
      <c r="T667" s="718">
        <f t="shared" si="323"/>
        <v>14</v>
      </c>
      <c r="U667" s="718">
        <f t="shared" si="323"/>
        <v>15</v>
      </c>
      <c r="V667" s="718">
        <f t="shared" si="323"/>
        <v>16</v>
      </c>
      <c r="W667" s="718">
        <f t="shared" si="323"/>
        <v>17</v>
      </c>
      <c r="X667" s="718">
        <f t="shared" si="323"/>
        <v>18</v>
      </c>
      <c r="Y667" s="718">
        <f t="shared" si="323"/>
        <v>19</v>
      </c>
      <c r="Z667" s="718">
        <f t="shared" si="323"/>
        <v>20</v>
      </c>
      <c r="AA667" s="151"/>
      <c r="AB667" s="151"/>
      <c r="AC667" s="151"/>
    </row>
    <row r="668" spans="2:29" ht="15.75">
      <c r="B668" s="151" t="s">
        <v>1212</v>
      </c>
      <c r="C668" s="151"/>
      <c r="D668" s="948"/>
      <c r="E668" s="948"/>
      <c r="F668" s="946">
        <f ca="1">+F$575</f>
        <v>-97022022.157049507</v>
      </c>
      <c r="G668" s="946">
        <f t="shared" ref="G668:Z668" ca="1" si="324">+G$575</f>
        <v>-49132172.1320723</v>
      </c>
      <c r="H668" s="946">
        <f t="shared" ca="1" si="324"/>
        <v>0</v>
      </c>
      <c r="I668" s="946">
        <f t="shared" ca="1" si="324"/>
        <v>0</v>
      </c>
      <c r="J668" s="946">
        <f t="shared" ca="1" si="324"/>
        <v>0</v>
      </c>
      <c r="K668" s="946">
        <f t="shared" ca="1" si="324"/>
        <v>0</v>
      </c>
      <c r="L668" s="946">
        <f t="shared" ca="1" si="324"/>
        <v>0</v>
      </c>
      <c r="M668" s="946">
        <f t="shared" ca="1" si="324"/>
        <v>0</v>
      </c>
      <c r="N668" s="946">
        <f t="shared" ca="1" si="324"/>
        <v>0</v>
      </c>
      <c r="O668" s="946">
        <f t="shared" ca="1" si="324"/>
        <v>0</v>
      </c>
      <c r="P668" s="946">
        <f t="shared" ca="1" si="324"/>
        <v>0</v>
      </c>
      <c r="Q668" s="946">
        <f t="shared" ca="1" si="324"/>
        <v>0</v>
      </c>
      <c r="R668" s="946">
        <f t="shared" ca="1" si="324"/>
        <v>0</v>
      </c>
      <c r="S668" s="946">
        <f t="shared" ca="1" si="324"/>
        <v>0</v>
      </c>
      <c r="T668" s="946">
        <f t="shared" ca="1" si="324"/>
        <v>0</v>
      </c>
      <c r="U668" s="946">
        <f t="shared" ca="1" si="324"/>
        <v>0</v>
      </c>
      <c r="V668" s="946">
        <f t="shared" ca="1" si="324"/>
        <v>0</v>
      </c>
      <c r="W668" s="946">
        <f t="shared" ca="1" si="324"/>
        <v>0</v>
      </c>
      <c r="X668" s="946">
        <f t="shared" ca="1" si="324"/>
        <v>0</v>
      </c>
      <c r="Y668" s="946">
        <f t="shared" ca="1" si="324"/>
        <v>0</v>
      </c>
      <c r="Z668" s="946">
        <f t="shared" ca="1" si="324"/>
        <v>0</v>
      </c>
      <c r="AA668" s="151"/>
      <c r="AB668" s="151"/>
      <c r="AC668" s="151"/>
    </row>
    <row r="669" spans="2:29" ht="15.75">
      <c r="B669" s="151" t="s">
        <v>1213</v>
      </c>
      <c r="C669" s="151"/>
      <c r="D669" s="948"/>
      <c r="E669" s="948"/>
      <c r="F669" s="972">
        <v>0</v>
      </c>
      <c r="G669" s="972">
        <v>0</v>
      </c>
      <c r="H669" s="972">
        <v>0</v>
      </c>
      <c r="I669" s="972">
        <v>0</v>
      </c>
      <c r="J669" s="972">
        <v>0</v>
      </c>
      <c r="K669" s="972">
        <v>0</v>
      </c>
      <c r="L669" s="972">
        <v>0</v>
      </c>
      <c r="M669" s="972">
        <v>0</v>
      </c>
      <c r="N669" s="972">
        <v>0</v>
      </c>
      <c r="O669" s="972">
        <v>0</v>
      </c>
      <c r="P669" s="972">
        <v>0</v>
      </c>
      <c r="Q669" s="972">
        <v>0</v>
      </c>
      <c r="R669" s="972">
        <v>0</v>
      </c>
      <c r="S669" s="972">
        <v>0</v>
      </c>
      <c r="T669" s="972">
        <v>0</v>
      </c>
      <c r="U669" s="972">
        <v>0</v>
      </c>
      <c r="V669" s="972">
        <v>0</v>
      </c>
      <c r="W669" s="972">
        <v>0</v>
      </c>
      <c r="X669" s="972">
        <v>0</v>
      </c>
      <c r="Y669" s="972">
        <v>0</v>
      </c>
      <c r="Z669" s="972">
        <v>0</v>
      </c>
      <c r="AA669" s="151"/>
      <c r="AB669" s="151"/>
      <c r="AC669" s="151"/>
    </row>
    <row r="670" spans="2:29" ht="15.75">
      <c r="B670" s="151" t="s">
        <v>1214</v>
      </c>
      <c r="C670" s="151"/>
      <c r="D670" s="948"/>
      <c r="E670" s="948"/>
      <c r="F670" s="972">
        <v>0</v>
      </c>
      <c r="G670" s="972">
        <v>0</v>
      </c>
      <c r="H670" s="972">
        <v>0</v>
      </c>
      <c r="I670" s="972">
        <v>0</v>
      </c>
      <c r="J670" s="972">
        <v>0</v>
      </c>
      <c r="K670" s="972">
        <v>0</v>
      </c>
      <c r="L670" s="972">
        <v>0</v>
      </c>
      <c r="M670" s="972">
        <v>0</v>
      </c>
      <c r="N670" s="972">
        <v>0</v>
      </c>
      <c r="O670" s="972">
        <v>0</v>
      </c>
      <c r="P670" s="972">
        <v>0</v>
      </c>
      <c r="Q670" s="972">
        <v>0</v>
      </c>
      <c r="R670" s="972">
        <v>0</v>
      </c>
      <c r="S670" s="972">
        <v>0</v>
      </c>
      <c r="T670" s="972">
        <v>0</v>
      </c>
      <c r="U670" s="972">
        <v>0</v>
      </c>
      <c r="V670" s="972">
        <v>0</v>
      </c>
      <c r="W670" s="972">
        <v>0</v>
      </c>
      <c r="X670" s="972">
        <v>0</v>
      </c>
      <c r="Y670" s="972">
        <v>0</v>
      </c>
      <c r="Z670" s="972">
        <v>0</v>
      </c>
      <c r="AA670" s="151"/>
      <c r="AB670" s="151"/>
      <c r="AC670" s="151"/>
    </row>
    <row r="671" spans="2:29" ht="15.75">
      <c r="B671" s="151" t="s">
        <v>1233</v>
      </c>
      <c r="C671" s="151"/>
      <c r="D671" s="948"/>
      <c r="E671" s="948"/>
      <c r="F671" s="972">
        <f ca="1">-SUM(F698:F699)*Assumptions!$BT$178</f>
        <v>0</v>
      </c>
      <c r="G671" s="972">
        <f ca="1">-SUM(G698:G699)*Assumptions!$BT$178</f>
        <v>0</v>
      </c>
      <c r="H671" s="972">
        <f ca="1">-SUM(H698:H699)*Assumptions!$BT$178</f>
        <v>0</v>
      </c>
      <c r="I671" s="972">
        <f ca="1">-SUM(I698:I699)*Assumptions!$BT$178</f>
        <v>0</v>
      </c>
      <c r="J671" s="972" t="e">
        <f ca="1">-SUM(J698:J699)*Assumptions!$BT$178</f>
        <v>#DIV/0!</v>
      </c>
      <c r="K671" s="972" t="e">
        <f ca="1">-SUM(K698:K699)*Assumptions!$BT$178</f>
        <v>#DIV/0!</v>
      </c>
      <c r="L671" s="972">
        <f>-SUM(L698:L699)*Assumptions!$BT$178</f>
        <v>0</v>
      </c>
      <c r="M671" s="972">
        <f>-SUM(M698:M699)*Assumptions!$BT$178</f>
        <v>0</v>
      </c>
      <c r="N671" s="972">
        <f>-SUM(N698:N699)*Assumptions!$BT$178</f>
        <v>0</v>
      </c>
      <c r="O671" s="972">
        <f>-SUM(O698:O699)*Assumptions!$BT$178</f>
        <v>0</v>
      </c>
      <c r="P671" s="972">
        <f>-SUM(P698:P699)*Assumptions!$BT$178</f>
        <v>0</v>
      </c>
      <c r="Q671" s="972">
        <f>-SUM(Q698:Q699)*Assumptions!$BT$178</f>
        <v>0</v>
      </c>
      <c r="R671" s="972">
        <f>-SUM(R698:R699)*Assumptions!$BT$178</f>
        <v>0</v>
      </c>
      <c r="S671" s="972">
        <f>-SUM(S698:S699)*Assumptions!$BT$178</f>
        <v>0</v>
      </c>
      <c r="T671" s="972">
        <f>-SUM(T698:T699)*Assumptions!$BT$178</f>
        <v>0</v>
      </c>
      <c r="U671" s="972">
        <f>-SUM(U698:U699)*Assumptions!$BT$178</f>
        <v>0</v>
      </c>
      <c r="V671" s="972">
        <f>-SUM(V698:V699)*Assumptions!$BT$178</f>
        <v>0</v>
      </c>
      <c r="W671" s="972">
        <f>-SUM(W698:W699)*Assumptions!$BT$178</f>
        <v>0</v>
      </c>
      <c r="X671" s="972">
        <f>-SUM(X698:X699)*Assumptions!$BT$178</f>
        <v>0</v>
      </c>
      <c r="Y671" s="972">
        <f>-SUM(Y698:Y699)*Assumptions!$BT$178</f>
        <v>0</v>
      </c>
      <c r="Z671" s="972">
        <f>-SUM(Z698:Z699)*Assumptions!$BT$178</f>
        <v>0</v>
      </c>
      <c r="AA671" s="151"/>
      <c r="AB671" s="151"/>
      <c r="AC671" s="151"/>
    </row>
    <row r="672" spans="2:29" ht="15.75">
      <c r="B672" s="151" t="s">
        <v>1234</v>
      </c>
      <c r="C672" s="151"/>
      <c r="D672" s="948"/>
      <c r="E672" s="948"/>
      <c r="F672" s="972">
        <f ca="1">+IF(YEAR(F$625)&lt;=YEAR(Assumptions!$H$35),F535+F463+F417+F347,0)</f>
        <v>0</v>
      </c>
      <c r="G672" s="972">
        <f ca="1">+IF(YEAR(G$625)&lt;=YEAR(Assumptions!$H$35),G535+G463+G417+G347,0)</f>
        <v>0</v>
      </c>
      <c r="H672" s="972">
        <f ca="1">+IF(YEAR(H$625)&lt;=YEAR(Assumptions!$H$35),H535+H463+H417+H347,0)</f>
        <v>0</v>
      </c>
      <c r="I672" s="972">
        <f ca="1">+IF(YEAR(I$625)&lt;=YEAR(Assumptions!$H$35),I535+I463+I417+I347,0)</f>
        <v>-2753614.9208298242</v>
      </c>
      <c r="J672" s="972">
        <f ca="1">+IF(YEAR(J$625)&lt;=YEAR(Assumptions!$H$35),J535+J463+J417+J347,0)</f>
        <v>8217829.4356628843</v>
      </c>
      <c r="K672" s="972">
        <f ca="1">+IF(YEAR(K$625)&lt;=YEAR(Assumptions!$H$35),K535+K463+K417+K347,0)</f>
        <v>11956066.115826346</v>
      </c>
      <c r="L672" s="972">
        <f>+IF(YEAR(L$625)&lt;=YEAR(Assumptions!$H$35),L535+L463+L417+L347,0)</f>
        <v>0</v>
      </c>
      <c r="M672" s="972">
        <f>+IF(YEAR(M$625)&lt;=YEAR(Assumptions!$H$35),M535+M463+M417+M347,0)</f>
        <v>0</v>
      </c>
      <c r="N672" s="972">
        <f>+IF(YEAR(N$625)&lt;=YEAR(Assumptions!$H$35),N535+N463+N417+N347,0)</f>
        <v>0</v>
      </c>
      <c r="O672" s="972">
        <f>+IF(YEAR(O$625)&lt;=YEAR(Assumptions!$H$35),O535+O463+O417+O347,0)</f>
        <v>0</v>
      </c>
      <c r="P672" s="972">
        <f>+IF(YEAR(P$625)&lt;=YEAR(Assumptions!$H$35),P535+P463+P417+P347,0)</f>
        <v>0</v>
      </c>
      <c r="Q672" s="972">
        <f>+IF(YEAR(Q$625)&lt;=YEAR(Assumptions!$H$35),Q535+Q463+Q417+Q347,0)</f>
        <v>0</v>
      </c>
      <c r="R672" s="972">
        <f>+IF(YEAR(R$625)&lt;=YEAR(Assumptions!$H$35),R535+R463+R417+R347,0)</f>
        <v>0</v>
      </c>
      <c r="S672" s="972">
        <f>+IF(YEAR(S$625)&lt;=YEAR(Assumptions!$H$35),S535+S463+S417+S347,0)</f>
        <v>0</v>
      </c>
      <c r="T672" s="972">
        <f>+IF(YEAR(T$625)&lt;=YEAR(Assumptions!$H$35),T535+T463+T417+T347,0)</f>
        <v>0</v>
      </c>
      <c r="U672" s="972">
        <f>+IF(YEAR(U$625)&lt;=YEAR(Assumptions!$H$35),U535+U463+U417+U347,0)</f>
        <v>0</v>
      </c>
      <c r="V672" s="972">
        <f>+IF(YEAR(V$625)&lt;=YEAR(Assumptions!$H$35),V535+V463+V417+V347,0)</f>
        <v>0</v>
      </c>
      <c r="W672" s="972">
        <f>+IF(YEAR(W$625)&lt;=YEAR(Assumptions!$H$35),W535+W463+W417+W347,0)</f>
        <v>0</v>
      </c>
      <c r="X672" s="972">
        <f>+IF(YEAR(X$625)&lt;=YEAR(Assumptions!$H$35),X535+X463+X417+X347,0)</f>
        <v>0</v>
      </c>
      <c r="Y672" s="972">
        <f>+IF(YEAR(Y$625)&lt;=YEAR(Assumptions!$H$35),Y535+Y463+Y417+Y347,0)</f>
        <v>0</v>
      </c>
      <c r="Z672" s="972">
        <f>+IF(YEAR(Z$625)&lt;=YEAR(Assumptions!$H$35),Z535+Z463+Z417+Z347,0)</f>
        <v>0</v>
      </c>
      <c r="AA672" s="151"/>
      <c r="AB672" s="151"/>
      <c r="AC672" s="151"/>
    </row>
    <row r="673" spans="2:29" ht="15.75">
      <c r="B673" s="151" t="s">
        <v>1235</v>
      </c>
      <c r="C673" s="151"/>
      <c r="D673" s="948"/>
      <c r="E673" s="948"/>
      <c r="F673" s="972">
        <f>-IF(YEAR(F$625)&lt;=YEAR(Assumptions!$H$35),F701,0)</f>
        <v>0</v>
      </c>
      <c r="G673" s="972">
        <f>-IF(YEAR(G$625)&lt;=YEAR(Assumptions!$H$35),G701,0)</f>
        <v>0</v>
      </c>
      <c r="H673" s="972">
        <f>-IF(YEAR(H$625)&lt;=YEAR(Assumptions!$H$35),H701,0)</f>
        <v>0</v>
      </c>
      <c r="I673" s="972">
        <f ca="1">-IF(YEAR(I$625)&lt;=YEAR(Assumptions!$H$35),I701,0)</f>
        <v>0</v>
      </c>
      <c r="J673" s="972">
        <f>-IF(YEAR(J$625)&lt;=YEAR(Assumptions!$H$35),J701,0)</f>
        <v>0</v>
      </c>
      <c r="K673" s="972">
        <f ca="1">-IF(YEAR(K$625)&lt;=YEAR(Assumptions!$H$35),K701,0)</f>
        <v>245825885.9519172</v>
      </c>
      <c r="L673" s="972">
        <f>-IF(YEAR(L$625)&lt;=YEAR(Assumptions!$H$35),L701,0)</f>
        <v>0</v>
      </c>
      <c r="M673" s="972">
        <f>-IF(YEAR(M$625)&lt;=YEAR(Assumptions!$H$35),M701,0)</f>
        <v>0</v>
      </c>
      <c r="N673" s="972">
        <f>-IF(YEAR(N$625)&lt;=YEAR(Assumptions!$H$35),N701,0)</f>
        <v>0</v>
      </c>
      <c r="O673" s="972">
        <f>-IF(YEAR(O$625)&lt;=YEAR(Assumptions!$H$35),O701,0)</f>
        <v>0</v>
      </c>
      <c r="P673" s="972">
        <f>-IF(YEAR(P$625)&lt;=YEAR(Assumptions!$H$35),P701,0)</f>
        <v>0</v>
      </c>
      <c r="Q673" s="972">
        <f>+IF(YEAR(Q$625)&lt;=YEAR(Assumptions!$H$35),Q701,0)</f>
        <v>0</v>
      </c>
      <c r="R673" s="972">
        <f>+IF(YEAR(R$625)&lt;=YEAR(Assumptions!$H$35),R701,0)</f>
        <v>0</v>
      </c>
      <c r="S673" s="972">
        <f>+IF(YEAR(S$625)&lt;=YEAR(Assumptions!$H$35),S701,0)</f>
        <v>0</v>
      </c>
      <c r="T673" s="972">
        <f>+IF(YEAR(T$625)&lt;=YEAR(Assumptions!$H$35),T701,0)</f>
        <v>0</v>
      </c>
      <c r="U673" s="972">
        <f>+IF(YEAR(U$625)&lt;=YEAR(Assumptions!$H$35),U701,0)</f>
        <v>0</v>
      </c>
      <c r="V673" s="972">
        <f>+IF(YEAR(V$625)&lt;=YEAR(Assumptions!$H$35),V701,0)</f>
        <v>0</v>
      </c>
      <c r="W673" s="972">
        <f>+IF(YEAR(W$625)&lt;=YEAR(Assumptions!$H$35),W701,0)</f>
        <v>0</v>
      </c>
      <c r="X673" s="972">
        <f>+IF(YEAR(X$625)&lt;=YEAR(Assumptions!$H$35),X701,0)</f>
        <v>0</v>
      </c>
      <c r="Y673" s="972">
        <f>+IF(YEAR(Y$625)&lt;=YEAR(Assumptions!$H$35),Y701,0)</f>
        <v>0</v>
      </c>
      <c r="Z673" s="972">
        <f>+IF(YEAR(Z$625)&lt;=YEAR(Assumptions!$H$35),Z701,0)</f>
        <v>0</v>
      </c>
      <c r="AA673" s="151"/>
      <c r="AB673" s="151"/>
      <c r="AC673" s="151"/>
    </row>
    <row r="674" spans="2:29" ht="15.75">
      <c r="B674" s="151" t="s">
        <v>1218</v>
      </c>
      <c r="C674" s="151"/>
      <c r="D674" s="948"/>
      <c r="E674" s="948"/>
      <c r="F674" s="972">
        <f>-F702*Assumptions!$BT$178</f>
        <v>0</v>
      </c>
      <c r="G674" s="972">
        <f>-G702*Assumptions!$BT$178</f>
        <v>0</v>
      </c>
      <c r="H674" s="972">
        <f>-H702*Assumptions!$BT$178</f>
        <v>0</v>
      </c>
      <c r="I674" s="972">
        <f>-I702*Assumptions!$BT$178</f>
        <v>0</v>
      </c>
      <c r="J674" s="972">
        <f>-J702*Assumptions!$BT$178</f>
        <v>0</v>
      </c>
      <c r="K674" s="972" t="e">
        <f ca="1">-K702*Assumptions!$BT$178</f>
        <v>#DIV/0!</v>
      </c>
      <c r="L674" s="972">
        <f>-L702*Assumptions!$BT$178</f>
        <v>0</v>
      </c>
      <c r="M674" s="972">
        <f>-M702*Assumptions!$BT$178</f>
        <v>0</v>
      </c>
      <c r="N674" s="972">
        <f>-N702*Assumptions!$BT$178</f>
        <v>0</v>
      </c>
      <c r="O674" s="972">
        <f>-O702*Assumptions!$BT$178</f>
        <v>0</v>
      </c>
      <c r="P674" s="972">
        <f>-P702*Assumptions!$BT$178</f>
        <v>0</v>
      </c>
      <c r="Q674" s="972">
        <f>-Q702*Assumptions!$BT$178</f>
        <v>0</v>
      </c>
      <c r="R674" s="972">
        <f>-R702*Assumptions!$BT$178</f>
        <v>0</v>
      </c>
      <c r="S674" s="972">
        <f>-S702*Assumptions!$BT$178</f>
        <v>0</v>
      </c>
      <c r="T674" s="972">
        <f>-T702*Assumptions!$BT$178</f>
        <v>0</v>
      </c>
      <c r="U674" s="972">
        <f>-U702*Assumptions!$BT$178</f>
        <v>0</v>
      </c>
      <c r="V674" s="972">
        <f>-V702*Assumptions!$BT$178</f>
        <v>0</v>
      </c>
      <c r="W674" s="972">
        <f>-W702*Assumptions!$BT$178</f>
        <v>0</v>
      </c>
      <c r="X674" s="972">
        <f>-X702*Assumptions!$BT$178</f>
        <v>0</v>
      </c>
      <c r="Y674" s="972">
        <f>-Y702*Assumptions!$BT$178</f>
        <v>0</v>
      </c>
      <c r="Z674" s="972">
        <f>-Z702*Assumptions!$BT$178</f>
        <v>0</v>
      </c>
      <c r="AA674" s="151"/>
      <c r="AB674" s="151"/>
      <c r="AC674" s="151"/>
    </row>
    <row r="675" spans="2:29" ht="15.75">
      <c r="B675" s="718" t="s">
        <v>1211</v>
      </c>
      <c r="C675" s="718"/>
      <c r="D675" s="948" t="e">
        <f ca="1">+SUM(F675:Z675)</f>
        <v>#DIV/0!</v>
      </c>
      <c r="E675" s="948"/>
      <c r="F675" s="948">
        <f ca="1">+SUM(F668:F674)</f>
        <v>-97022022.157049507</v>
      </c>
      <c r="G675" s="948">
        <f t="shared" ref="G675:Z675" ca="1" si="325">+SUM(G668:G674)</f>
        <v>-49132172.1320723</v>
      </c>
      <c r="H675" s="948">
        <f t="shared" ca="1" si="325"/>
        <v>0</v>
      </c>
      <c r="I675" s="948">
        <f t="shared" ca="1" si="325"/>
        <v>-2753614.9208298242</v>
      </c>
      <c r="J675" s="948" t="e">
        <f t="shared" ca="1" si="325"/>
        <v>#DIV/0!</v>
      </c>
      <c r="K675" s="948" t="e">
        <f t="shared" ca="1" si="325"/>
        <v>#DIV/0!</v>
      </c>
      <c r="L675" s="948">
        <f t="shared" ca="1" si="325"/>
        <v>0</v>
      </c>
      <c r="M675" s="948">
        <f t="shared" ca="1" si="325"/>
        <v>0</v>
      </c>
      <c r="N675" s="948">
        <f t="shared" ca="1" si="325"/>
        <v>0</v>
      </c>
      <c r="O675" s="948">
        <f t="shared" ca="1" si="325"/>
        <v>0</v>
      </c>
      <c r="P675" s="948">
        <f t="shared" ca="1" si="325"/>
        <v>0</v>
      </c>
      <c r="Q675" s="948">
        <f t="shared" ca="1" si="325"/>
        <v>0</v>
      </c>
      <c r="R675" s="948">
        <f t="shared" ca="1" si="325"/>
        <v>0</v>
      </c>
      <c r="S675" s="948">
        <f t="shared" ca="1" si="325"/>
        <v>0</v>
      </c>
      <c r="T675" s="948">
        <f t="shared" ca="1" si="325"/>
        <v>0</v>
      </c>
      <c r="U675" s="948">
        <f t="shared" ca="1" si="325"/>
        <v>0</v>
      </c>
      <c r="V675" s="948">
        <f t="shared" ca="1" si="325"/>
        <v>0</v>
      </c>
      <c r="W675" s="948">
        <f t="shared" ca="1" si="325"/>
        <v>0</v>
      </c>
      <c r="X675" s="948">
        <f t="shared" ca="1" si="325"/>
        <v>0</v>
      </c>
      <c r="Y675" s="948">
        <f t="shared" ca="1" si="325"/>
        <v>0</v>
      </c>
      <c r="Z675" s="948">
        <f t="shared" ca="1" si="325"/>
        <v>0</v>
      </c>
      <c r="AA675" s="151"/>
      <c r="AB675" s="151"/>
      <c r="AC675" s="151"/>
    </row>
    <row r="676" spans="2:29" ht="15.75">
      <c r="B676" s="718"/>
      <c r="C676" s="151"/>
      <c r="D676" s="151"/>
      <c r="E676" s="151"/>
      <c r="F676" s="151"/>
      <c r="G676" s="151"/>
      <c r="H676" s="151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</row>
    <row r="677" spans="2:29" ht="15.75">
      <c r="B677" s="718" t="s">
        <v>1236</v>
      </c>
      <c r="C677" s="718"/>
      <c r="D677" s="966" t="e">
        <f ca="1">+IRR(F675:Z675)</f>
        <v>#VALUE!</v>
      </c>
      <c r="E677" s="151"/>
      <c r="F677" s="151"/>
      <c r="G677" s="946"/>
      <c r="H677" s="151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</row>
    <row r="678" spans="2:29" ht="15.75">
      <c r="B678" s="718"/>
      <c r="C678" s="151"/>
      <c r="D678" s="748"/>
      <c r="E678" s="151"/>
      <c r="F678" s="151"/>
      <c r="G678" s="151"/>
      <c r="H678" s="151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</row>
    <row r="679" spans="2:29" ht="15.75">
      <c r="B679" s="718" t="s">
        <v>1237</v>
      </c>
      <c r="C679" s="151"/>
      <c r="D679" s="151"/>
      <c r="E679" s="151"/>
      <c r="F679" s="718">
        <f>+F667</f>
        <v>0</v>
      </c>
      <c r="G679" s="718">
        <f t="shared" ref="G679:Z680" si="326">+G667</f>
        <v>1</v>
      </c>
      <c r="H679" s="718">
        <f t="shared" si="326"/>
        <v>2</v>
      </c>
      <c r="I679" s="718">
        <f t="shared" si="326"/>
        <v>3</v>
      </c>
      <c r="J679" s="718">
        <f t="shared" si="326"/>
        <v>4</v>
      </c>
      <c r="K679" s="718">
        <f t="shared" si="326"/>
        <v>5</v>
      </c>
      <c r="L679" s="718">
        <f t="shared" si="326"/>
        <v>6</v>
      </c>
      <c r="M679" s="718">
        <f t="shared" si="326"/>
        <v>7</v>
      </c>
      <c r="N679" s="718">
        <f t="shared" si="326"/>
        <v>8</v>
      </c>
      <c r="O679" s="718">
        <f t="shared" si="326"/>
        <v>9</v>
      </c>
      <c r="P679" s="718">
        <f t="shared" si="326"/>
        <v>10</v>
      </c>
      <c r="Q679" s="718">
        <f t="shared" si="326"/>
        <v>11</v>
      </c>
      <c r="R679" s="718">
        <f t="shared" si="326"/>
        <v>12</v>
      </c>
      <c r="S679" s="718">
        <f t="shared" si="326"/>
        <v>13</v>
      </c>
      <c r="T679" s="718">
        <f t="shared" si="326"/>
        <v>14</v>
      </c>
      <c r="U679" s="718">
        <f t="shared" si="326"/>
        <v>15</v>
      </c>
      <c r="V679" s="718">
        <f t="shared" si="326"/>
        <v>16</v>
      </c>
      <c r="W679" s="718">
        <f t="shared" si="326"/>
        <v>17</v>
      </c>
      <c r="X679" s="718">
        <f t="shared" si="326"/>
        <v>18</v>
      </c>
      <c r="Y679" s="718">
        <f t="shared" si="326"/>
        <v>19</v>
      </c>
      <c r="Z679" s="718">
        <f t="shared" si="326"/>
        <v>20</v>
      </c>
      <c r="AA679" s="151"/>
      <c r="AB679" s="151"/>
      <c r="AC679" s="151"/>
    </row>
    <row r="680" spans="2:29" ht="15.75">
      <c r="B680" s="151" t="s">
        <v>1212</v>
      </c>
      <c r="C680" s="151"/>
      <c r="D680" s="948"/>
      <c r="E680" s="948"/>
      <c r="F680" s="946">
        <f ca="1">+F668</f>
        <v>-97022022.157049507</v>
      </c>
      <c r="G680" s="946">
        <f t="shared" ca="1" si="326"/>
        <v>-49132172.1320723</v>
      </c>
      <c r="H680" s="946">
        <f t="shared" ca="1" si="326"/>
        <v>0</v>
      </c>
      <c r="I680" s="946">
        <f t="shared" ca="1" si="326"/>
        <v>0</v>
      </c>
      <c r="J680" s="946">
        <f t="shared" ca="1" si="326"/>
        <v>0</v>
      </c>
      <c r="K680" s="946">
        <f t="shared" ca="1" si="326"/>
        <v>0</v>
      </c>
      <c r="L680" s="946">
        <f t="shared" ca="1" si="326"/>
        <v>0</v>
      </c>
      <c r="M680" s="946">
        <f t="shared" ca="1" si="326"/>
        <v>0</v>
      </c>
      <c r="N680" s="946">
        <f t="shared" ca="1" si="326"/>
        <v>0</v>
      </c>
      <c r="O680" s="946">
        <f t="shared" ca="1" si="326"/>
        <v>0</v>
      </c>
      <c r="P680" s="946">
        <f t="shared" ca="1" si="326"/>
        <v>0</v>
      </c>
      <c r="Q680" s="946">
        <f t="shared" ca="1" si="326"/>
        <v>0</v>
      </c>
      <c r="R680" s="946">
        <f t="shared" ca="1" si="326"/>
        <v>0</v>
      </c>
      <c r="S680" s="946">
        <f t="shared" ca="1" si="326"/>
        <v>0</v>
      </c>
      <c r="T680" s="946">
        <f t="shared" ca="1" si="326"/>
        <v>0</v>
      </c>
      <c r="U680" s="946">
        <f t="shared" ca="1" si="326"/>
        <v>0</v>
      </c>
      <c r="V680" s="946">
        <f t="shared" ca="1" si="326"/>
        <v>0</v>
      </c>
      <c r="W680" s="946">
        <f t="shared" ca="1" si="326"/>
        <v>0</v>
      </c>
      <c r="X680" s="946">
        <f t="shared" ca="1" si="326"/>
        <v>0</v>
      </c>
      <c r="Y680" s="946">
        <f t="shared" ca="1" si="326"/>
        <v>0</v>
      </c>
      <c r="Z680" s="946">
        <f t="shared" ca="1" si="326"/>
        <v>0</v>
      </c>
      <c r="AA680" s="151"/>
      <c r="AB680" s="151"/>
      <c r="AC680" s="151"/>
    </row>
    <row r="681" spans="2:29" ht="15.75">
      <c r="B681" s="151" t="s">
        <v>1213</v>
      </c>
      <c r="C681" s="151"/>
      <c r="D681" s="948"/>
      <c r="E681" s="948"/>
      <c r="F681" s="972">
        <f ca="1">-F680*Assumptions!$BT$178</f>
        <v>0</v>
      </c>
      <c r="G681" s="972">
        <f ca="1">-G680*Assumptions!$BT$178</f>
        <v>0</v>
      </c>
      <c r="H681" s="972">
        <f ca="1">-H680*Assumptions!$BT$178</f>
        <v>0</v>
      </c>
      <c r="I681" s="972">
        <f ca="1">-I680*Assumptions!$BT$178</f>
        <v>0</v>
      </c>
      <c r="J681" s="972">
        <f ca="1">-J680*Assumptions!$BT$178</f>
        <v>0</v>
      </c>
      <c r="K681" s="972">
        <f ca="1">-K680*Assumptions!$BT$178</f>
        <v>0</v>
      </c>
      <c r="L681" s="972">
        <f ca="1">-L680*Assumptions!$BT$178</f>
        <v>0</v>
      </c>
      <c r="M681" s="972">
        <f ca="1">-M680*Assumptions!$BT$178</f>
        <v>0</v>
      </c>
      <c r="N681" s="972">
        <f ca="1">-N680*Assumptions!$BT$178</f>
        <v>0</v>
      </c>
      <c r="O681" s="972">
        <f ca="1">-O680*Assumptions!$BT$178</f>
        <v>0</v>
      </c>
      <c r="P681" s="972">
        <f ca="1">-P680*Assumptions!$BT$178</f>
        <v>0</v>
      </c>
      <c r="Q681" s="972">
        <f ca="1">-Q680*Assumptions!$BT$178</f>
        <v>0</v>
      </c>
      <c r="R681" s="972">
        <f ca="1">-R680*Assumptions!$BT$178</f>
        <v>0</v>
      </c>
      <c r="S681" s="972">
        <f ca="1">-S680*Assumptions!$BT$178</f>
        <v>0</v>
      </c>
      <c r="T681" s="972">
        <f ca="1">-T680*Assumptions!$BT$178</f>
        <v>0</v>
      </c>
      <c r="U681" s="972">
        <f ca="1">-U680*Assumptions!$BT$178</f>
        <v>0</v>
      </c>
      <c r="V681" s="972">
        <f ca="1">-V680*Assumptions!$BT$178</f>
        <v>0</v>
      </c>
      <c r="W681" s="972">
        <f ca="1">-W680*Assumptions!$BT$178</f>
        <v>0</v>
      </c>
      <c r="X681" s="972">
        <f ca="1">-X680*Assumptions!$BT$178</f>
        <v>0</v>
      </c>
      <c r="Y681" s="972">
        <f ca="1">-Y680*Assumptions!$BT$178</f>
        <v>0</v>
      </c>
      <c r="Z681" s="972">
        <f ca="1">-Z680*Assumptions!$BT$178</f>
        <v>0</v>
      </c>
      <c r="AA681" s="151"/>
      <c r="AB681" s="151"/>
      <c r="AC681" s="151"/>
    </row>
    <row r="682" spans="2:29" ht="15.75">
      <c r="B682" s="151" t="s">
        <v>1214</v>
      </c>
      <c r="C682" s="151"/>
      <c r="D682" s="948"/>
      <c r="E682" s="948"/>
      <c r="F682" s="972">
        <f ca="1">IFERROR(-IF(YEAR(F665)&lt;MIN(YEAR(Assumptions!$H$35),2026),(OFFSET('Phase 3 Pro Forma'!F681,0,-10)),IF(YEAR('Phase 3 Pro Forma'!F665)=MIN(YEAR(Assumptions!$H$35),2026),SUM('Phase 3 Pro Forma'!$E$681:F$681)-SUM($E$682:E$682),0)),0)</f>
        <v>0</v>
      </c>
      <c r="G682" s="972">
        <f ca="1">IFERROR(-IF(YEAR(G665)&lt;MIN(YEAR(Assumptions!$H$35),2026),(OFFSET('Phase 3 Pro Forma'!G681,0,-10)),IF(YEAR('Phase 3 Pro Forma'!G665)=MIN(YEAR(Assumptions!$H$35),2026),SUM('Phase 3 Pro Forma'!$E$681:G$681)-SUM($E$682:F$682),0)),0)</f>
        <v>0</v>
      </c>
      <c r="H682" s="972">
        <f ca="1">IFERROR(-IF(YEAR(H665)&lt;MIN(YEAR(Assumptions!$H$35),2026),(OFFSET('Phase 3 Pro Forma'!H681,0,-10)),IF(YEAR('Phase 3 Pro Forma'!H665)=MIN(YEAR(Assumptions!$H$35),2026),SUM('Phase 3 Pro Forma'!$E$681:H$681)-SUM($E$682:G$682),0)),0)</f>
        <v>0</v>
      </c>
      <c r="I682" s="972">
        <f ca="1">IFERROR(-IF(YEAR(I665)&lt;MIN(YEAR(Assumptions!$H$35),2026),(OFFSET('Phase 3 Pro Forma'!I681,0,-10)),IF(YEAR('Phase 3 Pro Forma'!I665)=MIN(YEAR(Assumptions!$H$35),2026),SUM('Phase 3 Pro Forma'!$E$681:I$681)-SUM($E$682:H$682),0)),0)</f>
        <v>0</v>
      </c>
      <c r="J682" s="972">
        <f ca="1">IFERROR(-IF(YEAR(J665)&lt;MIN(YEAR(Assumptions!$H$35),2026),(OFFSET('Phase 3 Pro Forma'!J681,0,-10)),IF(YEAR('Phase 3 Pro Forma'!J665)=MIN(YEAR(Assumptions!$H$35),2026),SUM('Phase 3 Pro Forma'!$E$681:J$681)-SUM($E$682:I$682),0)),0)</f>
        <v>0</v>
      </c>
      <c r="K682" s="972">
        <f ca="1">IFERROR(-IF(YEAR(K665)&lt;MIN(YEAR(Assumptions!$H$35),2026),(OFFSET('Phase 3 Pro Forma'!K681,0,-10)),IF(YEAR('Phase 3 Pro Forma'!K665)=MIN(YEAR(Assumptions!$H$35),2026),SUM('Phase 3 Pro Forma'!$E$681:K$681)-SUM($E$682:J$682),0)),0)</f>
        <v>0</v>
      </c>
      <c r="L682" s="972">
        <f ca="1">IFERROR(-IF(YEAR(L665)&lt;MIN(YEAR(Assumptions!$H$35),2026),(OFFSET('Phase 3 Pro Forma'!L681,0,-10)),IF(YEAR('Phase 3 Pro Forma'!L665)=MIN(YEAR(Assumptions!$H$35),2026),SUM('Phase 3 Pro Forma'!$E$681:L$681)-SUM($E$682:K$682),0)),0)</f>
        <v>0</v>
      </c>
      <c r="M682" s="972">
        <f ca="1">IFERROR(-IF(YEAR(M665)&lt;MIN(YEAR(Assumptions!$H$35),2026),(OFFSET('Phase 3 Pro Forma'!M681,0,-10)),IF(YEAR('Phase 3 Pro Forma'!M665)=MIN(YEAR(Assumptions!$H$35),2026),SUM('Phase 3 Pro Forma'!$E$681:M$681)-SUM($E$682:L$682),0)),0)</f>
        <v>0</v>
      </c>
      <c r="N682" s="972">
        <f ca="1">IFERROR(-IF(YEAR(N665)&lt;MIN(YEAR(Assumptions!$H$35),2026),(OFFSET('Phase 3 Pro Forma'!N681,0,-10)),IF(YEAR('Phase 3 Pro Forma'!N665)=MIN(YEAR(Assumptions!$H$35),2026),SUM('Phase 3 Pro Forma'!$E$681:N$681)-SUM($E$682:M$682),0)),0)</f>
        <v>0</v>
      </c>
      <c r="O682" s="972">
        <f ca="1">IFERROR(-IF(YEAR(O665)&lt;MIN(YEAR(Assumptions!$H$35),2026),(OFFSET('Phase 3 Pro Forma'!O681,0,-10)),IF(YEAR('Phase 3 Pro Forma'!O665)=MIN(YEAR(Assumptions!$H$35),2026),SUM('Phase 3 Pro Forma'!$E$681:O$681)-SUM($E$682:N$682),0)),0)</f>
        <v>0</v>
      </c>
      <c r="P682" s="972">
        <f ca="1">IFERROR(-IF(YEAR(P665)&lt;MIN(YEAR(Assumptions!$H$35),2026),(OFFSET('Phase 3 Pro Forma'!P681,0,-10)),IF(YEAR('Phase 3 Pro Forma'!P665)=MIN(YEAR(Assumptions!$H$35),2026),SUM('Phase 3 Pro Forma'!$E$681:P$681)-SUM($E$682:O$682),0)),0)</f>
        <v>0</v>
      </c>
      <c r="Q682" s="972">
        <f ca="1">IFERROR(-IF(YEAR(Q665)&lt;MIN(YEAR(Assumptions!$H$35),2026),(OFFSET('Phase 3 Pro Forma'!Q681,0,-10)),IF(YEAR('Phase 3 Pro Forma'!Q665)=MIN(YEAR(Assumptions!$H$35),2026),SUM('Phase 3 Pro Forma'!$E$681:Q$681)-SUM($E$682:P$682),0)),0)</f>
        <v>0</v>
      </c>
      <c r="R682" s="972">
        <f ca="1">IFERROR(-IF(YEAR(R665)&lt;MIN(YEAR(Assumptions!$H$35),2026),(OFFSET('Phase 3 Pro Forma'!R681,0,-10)),IF(YEAR('Phase 3 Pro Forma'!R665)=MIN(YEAR(Assumptions!$H$35),2026),SUM('Phase 3 Pro Forma'!$E$681:R$681)-SUM($E$682:Q$682),0)),0)</f>
        <v>0</v>
      </c>
      <c r="S682" s="972">
        <f ca="1">IFERROR(-IF(YEAR(S665)&lt;MIN(YEAR(Assumptions!$H$35),2026),(OFFSET('Phase 3 Pro Forma'!S681,0,-10)),IF(YEAR('Phase 3 Pro Forma'!S665)=MIN(YEAR(Assumptions!$H$35),2026),SUM('Phase 3 Pro Forma'!$E$681:S$681)-SUM($E$682:R$682),0)),0)</f>
        <v>0</v>
      </c>
      <c r="T682" s="972">
        <f ca="1">IFERROR(-IF(YEAR(T665)&lt;MIN(YEAR(Assumptions!$H$35),2026),(OFFSET('Phase 3 Pro Forma'!T681,0,-10)),IF(YEAR('Phase 3 Pro Forma'!T665)=MIN(YEAR(Assumptions!$H$35),2026),SUM('Phase 3 Pro Forma'!$E$681:T$681)-SUM($E$682:S$682),0)),0)</f>
        <v>0</v>
      </c>
      <c r="U682" s="972">
        <f ca="1">IFERROR(-IF(YEAR(U665)&lt;MIN(YEAR(Assumptions!$H$35),2026),(OFFSET('Phase 3 Pro Forma'!U681,0,-10)),IF(YEAR('Phase 3 Pro Forma'!U665)=MIN(YEAR(Assumptions!$H$35),2026),SUM('Phase 3 Pro Forma'!$E$681:U$681)-SUM($E$682:T$682),0)),0)</f>
        <v>0</v>
      </c>
      <c r="V682" s="972">
        <f ca="1">IFERROR(-IF(YEAR(V665)&lt;MIN(YEAR(Assumptions!$H$35),2026),(OFFSET('Phase 3 Pro Forma'!V681,0,-10)),IF(YEAR('Phase 3 Pro Forma'!V665)=MIN(YEAR(Assumptions!$H$35),2026),SUM('Phase 3 Pro Forma'!$E$681:V$681)-SUM($E$682:U$682),0)),0)</f>
        <v>0</v>
      </c>
      <c r="W682" s="972">
        <f ca="1">IFERROR(-IF(YEAR(W665)&lt;MIN(YEAR(Assumptions!$H$35),2026),(OFFSET('Phase 3 Pro Forma'!W681,0,-10)),IF(YEAR('Phase 3 Pro Forma'!W665)=MIN(YEAR(Assumptions!$H$35),2026),SUM('Phase 3 Pro Forma'!$E$681:W$681)-SUM($E$682:V$682),0)),0)</f>
        <v>0</v>
      </c>
      <c r="X682" s="972">
        <f ca="1">IFERROR(-IF(YEAR(X665)&lt;MIN(YEAR(Assumptions!$H$35),2026),(OFFSET('Phase 3 Pro Forma'!X681,0,-10)),IF(YEAR('Phase 3 Pro Forma'!X665)=MIN(YEAR(Assumptions!$H$35),2026),SUM('Phase 3 Pro Forma'!$E$681:X$681)-SUM($E$682:W$682),0)),0)</f>
        <v>0</v>
      </c>
      <c r="Y682" s="972">
        <f ca="1">IFERROR(-IF(YEAR(Y665)&lt;MIN(YEAR(Assumptions!$H$35),2026),(OFFSET('Phase 3 Pro Forma'!Y681,0,-10)),IF(YEAR('Phase 3 Pro Forma'!Y665)=MIN(YEAR(Assumptions!$H$35),2026),SUM('Phase 3 Pro Forma'!$E$681:Y$681)-SUM($E$682:X$682),0)),0)</f>
        <v>0</v>
      </c>
      <c r="Z682" s="972">
        <f ca="1">IFERROR(-IF(YEAR(Z665)&lt;MIN(YEAR(Assumptions!$H$35),2026),(OFFSET('Phase 3 Pro Forma'!Z681,0,-10)),IF(YEAR('Phase 3 Pro Forma'!Z665)=MIN(YEAR(Assumptions!$H$35),2026),SUM('Phase 3 Pro Forma'!$E$681:Z$681)-SUM($E$682:Y$682),0)),0)</f>
        <v>0</v>
      </c>
      <c r="AA682" s="151"/>
      <c r="AB682" s="151"/>
      <c r="AC682" s="151"/>
    </row>
    <row r="683" spans="2:29" ht="15.75">
      <c r="B683" s="151" t="s">
        <v>1221</v>
      </c>
      <c r="C683" s="151"/>
      <c r="D683" s="948"/>
      <c r="E683" s="948"/>
      <c r="F683" s="972">
        <f>+IF(YEAR(F665)=MIN(YEAR(Assumptions!$H$35),2026),SUM('Phase 3 Pro Forma'!$F$693:$Z$693),0)</f>
        <v>0</v>
      </c>
      <c r="G683" s="972">
        <f>+IF(YEAR(G665)=MIN(YEAR(Assumptions!$H$35),2026),SUM('Phase 3 Pro Forma'!$F$693:$Z$693),0)</f>
        <v>0</v>
      </c>
      <c r="H683" s="972">
        <f>+IF(YEAR(H665)=MIN(YEAR(Assumptions!$H$35),2026),SUM('Phase 3 Pro Forma'!$F$693:$Z$693),0)</f>
        <v>0</v>
      </c>
      <c r="I683" s="972">
        <f>+IF(YEAR(I665)=MIN(YEAR(Assumptions!$H$35),2026),SUM('Phase 3 Pro Forma'!$F$693:$Z$693),0)</f>
        <v>0</v>
      </c>
      <c r="J683" s="972">
        <f>+IF(YEAR(J665)=MIN(YEAR(Assumptions!$H$35),2026),SUM('Phase 3 Pro Forma'!$F$693:$Z$693),0)</f>
        <v>0</v>
      </c>
      <c r="K683" s="972">
        <f>+IF(YEAR(K665)=MIN(YEAR(Assumptions!$H$35),2026),SUM('Phase 3 Pro Forma'!$F$693:$Z$693),0)</f>
        <v>0</v>
      </c>
      <c r="L683" s="972">
        <f>+IF(YEAR(L665)=MIN(YEAR(Assumptions!$H$35),2026),SUM('Phase 3 Pro Forma'!$F$693:$Z$693),0)</f>
        <v>0</v>
      </c>
      <c r="M683" s="972">
        <f>+IF(YEAR(M665)=MIN(YEAR(Assumptions!$H$35),2026),SUM('Phase 3 Pro Forma'!$F$693:$Z$693),0)</f>
        <v>0</v>
      </c>
      <c r="N683" s="972">
        <f>+IF(YEAR(N665)=MIN(YEAR(Assumptions!$H$35),2026),SUM('Phase 3 Pro Forma'!$F$693:$Z$693),0)</f>
        <v>0</v>
      </c>
      <c r="O683" s="972">
        <f>+IF(YEAR(O665)=MIN(YEAR(Assumptions!$H$35),2026),SUM('Phase 3 Pro Forma'!$F$693:$Z$693),0)</f>
        <v>0</v>
      </c>
      <c r="P683" s="972">
        <f>+IF(YEAR(P665)=MIN(YEAR(Assumptions!$H$35),2026),SUM('Phase 3 Pro Forma'!$F$693:$Z$693),0)</f>
        <v>0</v>
      </c>
      <c r="Q683" s="972">
        <f>+IF(YEAR(Q665)=MIN(YEAR(Assumptions!$H$35),2026),SUM('Phase 3 Pro Forma'!$F$693:$Z$693),0)</f>
        <v>0</v>
      </c>
      <c r="R683" s="972">
        <f>+IF(YEAR(R665)=MIN(YEAR(Assumptions!$H$35),2026),SUM('Phase 3 Pro Forma'!$F$693:$Z$693),0)</f>
        <v>0</v>
      </c>
      <c r="S683" s="972">
        <f>+IF(YEAR(S665)=MIN(YEAR(Assumptions!$H$35),2026),SUM('Phase 3 Pro Forma'!$F$693:$Z$693),0)</f>
        <v>0</v>
      </c>
      <c r="T683" s="972">
        <f>+IF(YEAR(T665)=MIN(YEAR(Assumptions!$H$35),2026),SUM('Phase 3 Pro Forma'!$F$693:$Z$693),0)</f>
        <v>0</v>
      </c>
      <c r="U683" s="972">
        <f>+IF(YEAR(U665)=MIN(YEAR(Assumptions!$H$35),2026),SUM('Phase 3 Pro Forma'!$F$693:$Z$693),0)</f>
        <v>0</v>
      </c>
      <c r="V683" s="972">
        <f>+IF(YEAR(V665)=MIN(YEAR(Assumptions!$H$35),2026),SUM('Phase 3 Pro Forma'!$F$693:$Z$693),0)</f>
        <v>0</v>
      </c>
      <c r="W683" s="972">
        <f>+IF(YEAR(W665)=MIN(YEAR(Assumptions!$H$35),2026),SUM('Phase 3 Pro Forma'!$F$693:$Z$693),0)</f>
        <v>0</v>
      </c>
      <c r="X683" s="972">
        <f>+IF(YEAR(X665)=MIN(YEAR(Assumptions!$H$35),2026),SUM('Phase 3 Pro Forma'!$F$693:$Z$693),0)</f>
        <v>0</v>
      </c>
      <c r="Y683" s="972">
        <f>+IF(YEAR(Y665)=MIN(YEAR(Assumptions!$H$35),2026),SUM('Phase 3 Pro Forma'!$F$693:$Z$693),0)</f>
        <v>0</v>
      </c>
      <c r="Z683" s="972">
        <f>+IF(YEAR(Z665)=MIN(YEAR(Assumptions!$H$35),2026),SUM('Phase 3 Pro Forma'!$F$693:$Z$693),0)</f>
        <v>0</v>
      </c>
      <c r="AA683" s="151"/>
      <c r="AB683" s="151"/>
      <c r="AC683" s="151"/>
    </row>
    <row r="684" spans="2:29" ht="15.75">
      <c r="B684" s="151" t="s">
        <v>1233</v>
      </c>
      <c r="C684" s="151"/>
      <c r="D684" s="948"/>
      <c r="E684" s="948"/>
      <c r="F684" s="972">
        <f ca="1">+F671</f>
        <v>0</v>
      </c>
      <c r="G684" s="972">
        <f t="shared" ref="G684:Z686" ca="1" si="327">+G671</f>
        <v>0</v>
      </c>
      <c r="H684" s="972">
        <f t="shared" ca="1" si="327"/>
        <v>0</v>
      </c>
      <c r="I684" s="972">
        <f t="shared" ca="1" si="327"/>
        <v>0</v>
      </c>
      <c r="J684" s="972" t="e">
        <f t="shared" ca="1" si="327"/>
        <v>#DIV/0!</v>
      </c>
      <c r="K684" s="972" t="e">
        <f t="shared" ca="1" si="327"/>
        <v>#DIV/0!</v>
      </c>
      <c r="L684" s="972">
        <f t="shared" si="327"/>
        <v>0</v>
      </c>
      <c r="M684" s="972">
        <f t="shared" si="327"/>
        <v>0</v>
      </c>
      <c r="N684" s="972">
        <f t="shared" si="327"/>
        <v>0</v>
      </c>
      <c r="O684" s="972">
        <f t="shared" si="327"/>
        <v>0</v>
      </c>
      <c r="P684" s="972">
        <f t="shared" si="327"/>
        <v>0</v>
      </c>
      <c r="Q684" s="972">
        <f t="shared" si="327"/>
        <v>0</v>
      </c>
      <c r="R684" s="972">
        <f t="shared" si="327"/>
        <v>0</v>
      </c>
      <c r="S684" s="972">
        <f t="shared" si="327"/>
        <v>0</v>
      </c>
      <c r="T684" s="972">
        <f t="shared" si="327"/>
        <v>0</v>
      </c>
      <c r="U684" s="972">
        <f t="shared" si="327"/>
        <v>0</v>
      </c>
      <c r="V684" s="972">
        <f t="shared" si="327"/>
        <v>0</v>
      </c>
      <c r="W684" s="972">
        <f t="shared" si="327"/>
        <v>0</v>
      </c>
      <c r="X684" s="972">
        <f t="shared" si="327"/>
        <v>0</v>
      </c>
      <c r="Y684" s="972">
        <f t="shared" si="327"/>
        <v>0</v>
      </c>
      <c r="Z684" s="972">
        <f t="shared" si="327"/>
        <v>0</v>
      </c>
      <c r="AA684" s="151"/>
      <c r="AB684" s="151"/>
      <c r="AC684" s="151"/>
    </row>
    <row r="685" spans="2:29" ht="15.75">
      <c r="B685" s="151" t="s">
        <v>1234</v>
      </c>
      <c r="C685" s="151"/>
      <c r="D685" s="948"/>
      <c r="E685" s="948"/>
      <c r="F685" s="972">
        <f ca="1">+F672</f>
        <v>0</v>
      </c>
      <c r="G685" s="972">
        <f t="shared" ca="1" si="327"/>
        <v>0</v>
      </c>
      <c r="H685" s="972">
        <f t="shared" ca="1" si="327"/>
        <v>0</v>
      </c>
      <c r="I685" s="972">
        <f t="shared" ca="1" si="327"/>
        <v>-2753614.9208298242</v>
      </c>
      <c r="J685" s="972">
        <f t="shared" ca="1" si="327"/>
        <v>8217829.4356628843</v>
      </c>
      <c r="K685" s="972">
        <f t="shared" ca="1" si="327"/>
        <v>11956066.115826346</v>
      </c>
      <c r="L685" s="972">
        <f t="shared" si="327"/>
        <v>0</v>
      </c>
      <c r="M685" s="972">
        <f t="shared" si="327"/>
        <v>0</v>
      </c>
      <c r="N685" s="972">
        <f t="shared" si="327"/>
        <v>0</v>
      </c>
      <c r="O685" s="972">
        <f t="shared" si="327"/>
        <v>0</v>
      </c>
      <c r="P685" s="972">
        <f t="shared" si="327"/>
        <v>0</v>
      </c>
      <c r="Q685" s="972">
        <f t="shared" si="327"/>
        <v>0</v>
      </c>
      <c r="R685" s="972">
        <f t="shared" si="327"/>
        <v>0</v>
      </c>
      <c r="S685" s="972">
        <f t="shared" si="327"/>
        <v>0</v>
      </c>
      <c r="T685" s="972">
        <f t="shared" si="327"/>
        <v>0</v>
      </c>
      <c r="U685" s="972">
        <f t="shared" si="327"/>
        <v>0</v>
      </c>
      <c r="V685" s="972">
        <f t="shared" si="327"/>
        <v>0</v>
      </c>
      <c r="W685" s="972">
        <f t="shared" si="327"/>
        <v>0</v>
      </c>
      <c r="X685" s="972">
        <f t="shared" si="327"/>
        <v>0</v>
      </c>
      <c r="Y685" s="972">
        <f t="shared" si="327"/>
        <v>0</v>
      </c>
      <c r="Z685" s="972">
        <f t="shared" si="327"/>
        <v>0</v>
      </c>
      <c r="AA685" s="151"/>
      <c r="AB685" s="151"/>
      <c r="AC685" s="151"/>
    </row>
    <row r="686" spans="2:29" ht="15.75">
      <c r="B686" s="151" t="s">
        <v>1235</v>
      </c>
      <c r="C686" s="151"/>
      <c r="D686" s="948"/>
      <c r="E686" s="948"/>
      <c r="F686" s="972">
        <f>+F673</f>
        <v>0</v>
      </c>
      <c r="G686" s="972">
        <f t="shared" si="327"/>
        <v>0</v>
      </c>
      <c r="H686" s="972">
        <f t="shared" si="327"/>
        <v>0</v>
      </c>
      <c r="I686" s="972">
        <f t="shared" ca="1" si="327"/>
        <v>0</v>
      </c>
      <c r="J686" s="972">
        <f t="shared" si="327"/>
        <v>0</v>
      </c>
      <c r="K686" s="972">
        <f t="shared" ca="1" si="327"/>
        <v>245825885.9519172</v>
      </c>
      <c r="L686" s="972">
        <f t="shared" si="327"/>
        <v>0</v>
      </c>
      <c r="M686" s="972">
        <f t="shared" si="327"/>
        <v>0</v>
      </c>
      <c r="N686" s="972">
        <f t="shared" si="327"/>
        <v>0</v>
      </c>
      <c r="O686" s="972">
        <f t="shared" si="327"/>
        <v>0</v>
      </c>
      <c r="P686" s="972">
        <f t="shared" si="327"/>
        <v>0</v>
      </c>
      <c r="Q686" s="972">
        <f t="shared" si="327"/>
        <v>0</v>
      </c>
      <c r="R686" s="972">
        <f t="shared" si="327"/>
        <v>0</v>
      </c>
      <c r="S686" s="972">
        <f t="shared" si="327"/>
        <v>0</v>
      </c>
      <c r="T686" s="972">
        <f t="shared" si="327"/>
        <v>0</v>
      </c>
      <c r="U686" s="972">
        <f t="shared" si="327"/>
        <v>0</v>
      </c>
      <c r="V686" s="972">
        <f t="shared" si="327"/>
        <v>0</v>
      </c>
      <c r="W686" s="972">
        <f t="shared" si="327"/>
        <v>0</v>
      </c>
      <c r="X686" s="972">
        <f t="shared" si="327"/>
        <v>0</v>
      </c>
      <c r="Y686" s="972">
        <f t="shared" si="327"/>
        <v>0</v>
      </c>
      <c r="Z686" s="972">
        <f t="shared" si="327"/>
        <v>0</v>
      </c>
      <c r="AA686" s="151"/>
      <c r="AB686" s="151"/>
      <c r="AC686" s="151"/>
    </row>
    <row r="687" spans="2:29" ht="15.75">
      <c r="B687" s="151" t="s">
        <v>1218</v>
      </c>
      <c r="C687" s="151"/>
      <c r="D687" s="948"/>
      <c r="E687" s="948"/>
      <c r="F687" s="972">
        <f>+IF(F667&gt;=10,0,F674)</f>
        <v>0</v>
      </c>
      <c r="G687" s="972">
        <f t="shared" ref="G687:Z687" si="328">+IF(G667&gt;=10,0,G674)</f>
        <v>0</v>
      </c>
      <c r="H687" s="972">
        <f t="shared" si="328"/>
        <v>0</v>
      </c>
      <c r="I687" s="972">
        <f t="shared" si="328"/>
        <v>0</v>
      </c>
      <c r="J687" s="972">
        <f t="shared" si="328"/>
        <v>0</v>
      </c>
      <c r="K687" s="972" t="e">
        <f t="shared" ca="1" si="328"/>
        <v>#DIV/0!</v>
      </c>
      <c r="L687" s="972">
        <f t="shared" si="328"/>
        <v>0</v>
      </c>
      <c r="M687" s="972">
        <f t="shared" si="328"/>
        <v>0</v>
      </c>
      <c r="N687" s="972">
        <f t="shared" si="328"/>
        <v>0</v>
      </c>
      <c r="O687" s="972">
        <f t="shared" si="328"/>
        <v>0</v>
      </c>
      <c r="P687" s="972">
        <f t="shared" si="328"/>
        <v>0</v>
      </c>
      <c r="Q687" s="972">
        <f t="shared" si="328"/>
        <v>0</v>
      </c>
      <c r="R687" s="972">
        <f t="shared" si="328"/>
        <v>0</v>
      </c>
      <c r="S687" s="972">
        <f t="shared" si="328"/>
        <v>0</v>
      </c>
      <c r="T687" s="972">
        <f t="shared" si="328"/>
        <v>0</v>
      </c>
      <c r="U687" s="972">
        <f t="shared" si="328"/>
        <v>0</v>
      </c>
      <c r="V687" s="972">
        <f t="shared" si="328"/>
        <v>0</v>
      </c>
      <c r="W687" s="972">
        <f t="shared" si="328"/>
        <v>0</v>
      </c>
      <c r="X687" s="972">
        <f t="shared" si="328"/>
        <v>0</v>
      </c>
      <c r="Y687" s="972">
        <f t="shared" si="328"/>
        <v>0</v>
      </c>
      <c r="Z687" s="972">
        <f t="shared" si="328"/>
        <v>0</v>
      </c>
      <c r="AA687" s="151"/>
      <c r="AB687" s="151"/>
      <c r="AC687" s="151"/>
    </row>
    <row r="688" spans="2:29" ht="15.75">
      <c r="B688" s="718" t="s">
        <v>1220</v>
      </c>
      <c r="C688" s="718"/>
      <c r="D688" s="948" t="e">
        <f ca="1">+SUM(F688:Z688)</f>
        <v>#DIV/0!</v>
      </c>
      <c r="E688" s="948"/>
      <c r="F688" s="948">
        <f ca="1">+SUM(F680:F687)</f>
        <v>-97022022.157049507</v>
      </c>
      <c r="G688" s="948">
        <f t="shared" ref="G688:Z688" ca="1" si="329">+SUM(G680:G687)</f>
        <v>-49132172.1320723</v>
      </c>
      <c r="H688" s="948">
        <f t="shared" ca="1" si="329"/>
        <v>0</v>
      </c>
      <c r="I688" s="948">
        <f t="shared" ca="1" si="329"/>
        <v>-2753614.9208298242</v>
      </c>
      <c r="J688" s="948" t="e">
        <f t="shared" ca="1" si="329"/>
        <v>#DIV/0!</v>
      </c>
      <c r="K688" s="948" t="e">
        <f t="shared" ca="1" si="329"/>
        <v>#DIV/0!</v>
      </c>
      <c r="L688" s="948">
        <f t="shared" ca="1" si="329"/>
        <v>0</v>
      </c>
      <c r="M688" s="948">
        <f t="shared" ca="1" si="329"/>
        <v>0</v>
      </c>
      <c r="N688" s="948">
        <f t="shared" ca="1" si="329"/>
        <v>0</v>
      </c>
      <c r="O688" s="948">
        <f t="shared" ca="1" si="329"/>
        <v>0</v>
      </c>
      <c r="P688" s="948">
        <f t="shared" ca="1" si="329"/>
        <v>0</v>
      </c>
      <c r="Q688" s="948">
        <f t="shared" ca="1" si="329"/>
        <v>0</v>
      </c>
      <c r="R688" s="948">
        <f t="shared" ca="1" si="329"/>
        <v>0</v>
      </c>
      <c r="S688" s="948">
        <f t="shared" ca="1" si="329"/>
        <v>0</v>
      </c>
      <c r="T688" s="948">
        <f t="shared" ca="1" si="329"/>
        <v>0</v>
      </c>
      <c r="U688" s="948">
        <f t="shared" ca="1" si="329"/>
        <v>0</v>
      </c>
      <c r="V688" s="948">
        <f t="shared" ca="1" si="329"/>
        <v>0</v>
      </c>
      <c r="W688" s="948">
        <f t="shared" ca="1" si="329"/>
        <v>0</v>
      </c>
      <c r="X688" s="948">
        <f t="shared" ca="1" si="329"/>
        <v>0</v>
      </c>
      <c r="Y688" s="948">
        <f t="shared" ca="1" si="329"/>
        <v>0</v>
      </c>
      <c r="Z688" s="948">
        <f t="shared" ca="1" si="329"/>
        <v>0</v>
      </c>
      <c r="AA688" s="151"/>
      <c r="AB688" s="151"/>
      <c r="AC688" s="151"/>
    </row>
    <row r="689" spans="2:29">
      <c r="B689" s="151"/>
      <c r="C689" s="151"/>
      <c r="D689" s="151"/>
      <c r="E689" s="151"/>
      <c r="F689" s="151"/>
      <c r="G689" s="151"/>
      <c r="H689" s="151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</row>
    <row r="690" spans="2:29" ht="15.75">
      <c r="B690" s="718" t="s">
        <v>1238</v>
      </c>
      <c r="C690" s="718"/>
      <c r="D690" s="966" t="e">
        <f ca="1">+IRR(F688:Z688)</f>
        <v>#VALUE!</v>
      </c>
      <c r="E690" s="151"/>
      <c r="F690" s="151"/>
      <c r="G690" s="151"/>
      <c r="H690" s="151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</row>
    <row r="691" spans="2:29" ht="15.75">
      <c r="B691" s="718" t="s">
        <v>1239</v>
      </c>
      <c r="C691" s="151"/>
      <c r="D691" s="966" t="e">
        <f ca="1">+D690/(1-Assumptions!$BT$178)</f>
        <v>#VALUE!</v>
      </c>
      <c r="E691" s="151"/>
      <c r="F691" s="151"/>
      <c r="G691" s="151"/>
      <c r="H691" s="151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</row>
    <row r="692" spans="2:29">
      <c r="B692" s="151"/>
      <c r="C692" s="151"/>
      <c r="D692" s="151"/>
      <c r="E692" s="151"/>
      <c r="F692" s="151"/>
      <c r="G692" s="151"/>
      <c r="H692" s="151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</row>
    <row r="693" spans="2:29">
      <c r="B693" s="151" t="s">
        <v>1224</v>
      </c>
      <c r="C693" s="151"/>
      <c r="D693" s="151"/>
      <c r="E693" s="151"/>
      <c r="F693" s="972">
        <f ca="1">IFERROR(IF(YEAR(F665)&lt;=YEAR(Assumptions!$H$35),10%*(OFFSET('Phase 3 Pro Forma'!F681,0,-5))+5%*(OFFSET('Phase 3 Pro Forma'!F681,0,-7)),0),0)</f>
        <v>0</v>
      </c>
      <c r="G693" s="972">
        <f ca="1">IFERROR(IF(YEAR(G665)&lt;=YEAR(Assumptions!$H$35),10%*(OFFSET('Phase 3 Pro Forma'!G681,0,-5))+5%*(OFFSET('Phase 3 Pro Forma'!G681,0,-7)),0),0)</f>
        <v>0</v>
      </c>
      <c r="H693" s="972">
        <f ca="1">IFERROR(IF(YEAR(H665)&lt;=YEAR(Assumptions!$H$35),10%*(OFFSET('Phase 3 Pro Forma'!H681,0,-5))+5%*(OFFSET('Phase 3 Pro Forma'!H681,0,-7)),0),0)</f>
        <v>0</v>
      </c>
      <c r="I693" s="972">
        <f ca="1">IFERROR(IF(YEAR(I665)&lt;=YEAR(Assumptions!$H$35),10%*(OFFSET('Phase 3 Pro Forma'!I681,0,-5))+5%*(OFFSET('Phase 3 Pro Forma'!I681,0,-7)),0),0)</f>
        <v>0</v>
      </c>
      <c r="J693" s="972">
        <f ca="1">IFERROR(IF(YEAR(J665)&lt;=YEAR(Assumptions!$H$35),10%*(OFFSET('Phase 3 Pro Forma'!J681,0,-5))+5%*(OFFSET('Phase 3 Pro Forma'!J681,0,-7)),0),0)</f>
        <v>0</v>
      </c>
      <c r="K693" s="972">
        <f ca="1">IFERROR(IF(YEAR(K665)&lt;=YEAR(Assumptions!$H$35),10%*(OFFSET('Phase 3 Pro Forma'!K681,0,-5))+5%*(OFFSET('Phase 3 Pro Forma'!K681,0,-7)),0),0)</f>
        <v>0</v>
      </c>
      <c r="L693" s="972">
        <f ca="1">IFERROR(IF(YEAR(L665)&lt;=YEAR(Assumptions!$H$35),10%*(OFFSET('Phase 3 Pro Forma'!L681,0,-5))+5%*(OFFSET('Phase 3 Pro Forma'!L681,0,-7)),0),0)</f>
        <v>0</v>
      </c>
      <c r="M693" s="972">
        <f ca="1">IFERROR(IF(YEAR(M665)&lt;=YEAR(Assumptions!$H$35),10%*(OFFSET('Phase 3 Pro Forma'!M681,0,-5))+5%*(OFFSET('Phase 3 Pro Forma'!M681,0,-7)),0),0)</f>
        <v>0</v>
      </c>
      <c r="N693" s="972">
        <f ca="1">IFERROR(IF(YEAR(N665)&lt;=YEAR(Assumptions!$H$35),10%*(OFFSET('Phase 3 Pro Forma'!N681,0,-5))+5%*(OFFSET('Phase 3 Pro Forma'!N681,0,-7)),0),0)</f>
        <v>0</v>
      </c>
      <c r="O693" s="972">
        <f ca="1">IFERROR(IF(YEAR(O665)&lt;=YEAR(Assumptions!$H$35),10%*(OFFSET('Phase 3 Pro Forma'!O681,0,-5))+5%*(OFFSET('Phase 3 Pro Forma'!O681,0,-7)),0),0)</f>
        <v>0</v>
      </c>
      <c r="P693" s="972">
        <f ca="1">IFERROR(IF(YEAR(P665)&lt;=YEAR(Assumptions!$H$35),10%*(OFFSET('Phase 3 Pro Forma'!P681,0,-5))+5%*(OFFSET('Phase 3 Pro Forma'!P681,0,-7)),0),0)</f>
        <v>0</v>
      </c>
      <c r="Q693" s="972">
        <f ca="1">IFERROR(IF(YEAR(Q665)&lt;=YEAR(Assumptions!$H$35),10%*(OFFSET('Phase 3 Pro Forma'!Q681,0,-5))+5%*(OFFSET('Phase 3 Pro Forma'!Q681,0,-7)),0),0)</f>
        <v>0</v>
      </c>
      <c r="R693" s="972">
        <f ca="1">IFERROR(IF(YEAR(R665)&lt;=YEAR(Assumptions!$H$35),10%*(OFFSET('Phase 3 Pro Forma'!R681,0,-5))+5%*(OFFSET('Phase 3 Pro Forma'!R681,0,-7)),0),0)</f>
        <v>0</v>
      </c>
      <c r="S693" s="972">
        <f ca="1">IFERROR(IF(YEAR(S665)&lt;=YEAR(Assumptions!$H$35),10%*(OFFSET('Phase 3 Pro Forma'!S681,0,-5))+5%*(OFFSET('Phase 3 Pro Forma'!S681,0,-7)),0),0)</f>
        <v>0</v>
      </c>
      <c r="T693" s="972">
        <f ca="1">IFERROR(IF(YEAR(T665)&lt;=YEAR(Assumptions!$H$35),10%*(OFFSET('Phase 3 Pro Forma'!T681,0,-5))+5%*(OFFSET('Phase 3 Pro Forma'!T681,0,-7)),0),0)</f>
        <v>0</v>
      </c>
      <c r="U693" s="972">
        <f ca="1">IFERROR(IF(YEAR(U665)&lt;=YEAR(Assumptions!$H$35),10%*(OFFSET('Phase 3 Pro Forma'!U681,0,-5))+5%*(OFFSET('Phase 3 Pro Forma'!U681,0,-7)),0),0)</f>
        <v>0</v>
      </c>
      <c r="V693" s="972">
        <f ca="1">IFERROR(IF(YEAR(V665)&lt;=YEAR(Assumptions!$H$35),10%*(OFFSET('Phase 3 Pro Forma'!V681,0,-5))+5%*(OFFSET('Phase 3 Pro Forma'!V681,0,-7)),0),0)</f>
        <v>0</v>
      </c>
      <c r="W693" s="972">
        <f ca="1">IFERROR(IF(YEAR(W665)&lt;=YEAR(Assumptions!$H$35),10%*(OFFSET('Phase 3 Pro Forma'!W681,0,-5))+5%*(OFFSET('Phase 3 Pro Forma'!W681,0,-7)),0),0)</f>
        <v>0</v>
      </c>
      <c r="X693" s="972">
        <f ca="1">IFERROR(IF(YEAR(X665)&lt;=YEAR(Assumptions!$H$35),10%*(OFFSET('Phase 3 Pro Forma'!X681,0,-5))+5%*(OFFSET('Phase 3 Pro Forma'!X681,0,-7)),0),0)</f>
        <v>0</v>
      </c>
      <c r="Y693" s="972">
        <f ca="1">IFERROR(IF(YEAR(Y665)&lt;=YEAR(Assumptions!$H$35),10%*(OFFSET('Phase 3 Pro Forma'!Y681,0,-5))+5%*(OFFSET('Phase 3 Pro Forma'!Y681,0,-7)),0),0)</f>
        <v>0</v>
      </c>
      <c r="Z693" s="972">
        <f ca="1">IFERROR(IF(YEAR(Z665)&lt;=YEAR(Assumptions!$H$35),10%*(OFFSET('Phase 3 Pro Forma'!Z681,0,-5))+5%*(OFFSET('Phase 3 Pro Forma'!Z681,0,-7)),0),0)</f>
        <v>0</v>
      </c>
      <c r="AA693" s="151"/>
      <c r="AB693" s="151"/>
      <c r="AC693" s="151"/>
    </row>
    <row r="694" spans="2:29">
      <c r="B694" s="151"/>
      <c r="C694" s="151"/>
      <c r="D694" s="151"/>
      <c r="E694" s="151"/>
      <c r="F694" s="151"/>
      <c r="G694" s="151"/>
      <c r="H694" s="151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</row>
    <row r="695" spans="2:29" ht="15.75">
      <c r="B695" s="718" t="s">
        <v>1225</v>
      </c>
      <c r="C695" s="151"/>
      <c r="D695" s="151"/>
      <c r="E695" s="151"/>
      <c r="F695" s="151"/>
      <c r="G695" s="151"/>
      <c r="H695" s="151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</row>
    <row r="696" spans="2:29" ht="15.75">
      <c r="B696" s="151" t="s">
        <v>1226</v>
      </c>
      <c r="C696" s="151"/>
      <c r="D696" s="948" t="e">
        <f ca="1">+SUM(F696:Z696)</f>
        <v>#DIV/0!</v>
      </c>
      <c r="E696" s="948"/>
      <c r="F696" s="946">
        <v>0</v>
      </c>
      <c r="G696" s="946">
        <f ca="1">+F703</f>
        <v>97022022.157049507</v>
      </c>
      <c r="H696" s="946">
        <f t="shared" ref="H696:Z696" ca="1" si="330">+G703</f>
        <v>146154194.28912181</v>
      </c>
      <c r="I696" s="946">
        <f t="shared" ca="1" si="330"/>
        <v>146154194.28912181</v>
      </c>
      <c r="J696" s="946">
        <f t="shared" ca="1" si="330"/>
        <v>149399006.35993895</v>
      </c>
      <c r="K696" s="946" t="e">
        <f t="shared" ca="1" si="330"/>
        <v>#DIV/0!</v>
      </c>
      <c r="L696" s="946" t="e">
        <f t="shared" ca="1" si="330"/>
        <v>#DIV/0!</v>
      </c>
      <c r="M696" s="946" t="e">
        <f t="shared" ca="1" si="330"/>
        <v>#DIV/0!</v>
      </c>
      <c r="N696" s="946" t="e">
        <f t="shared" ca="1" si="330"/>
        <v>#DIV/0!</v>
      </c>
      <c r="O696" s="946" t="e">
        <f t="shared" ca="1" si="330"/>
        <v>#DIV/0!</v>
      </c>
      <c r="P696" s="946" t="e">
        <f t="shared" ca="1" si="330"/>
        <v>#DIV/0!</v>
      </c>
      <c r="Q696" s="946" t="e">
        <f t="shared" ca="1" si="330"/>
        <v>#DIV/0!</v>
      </c>
      <c r="R696" s="946" t="e">
        <f t="shared" ca="1" si="330"/>
        <v>#DIV/0!</v>
      </c>
      <c r="S696" s="946" t="e">
        <f t="shared" ca="1" si="330"/>
        <v>#DIV/0!</v>
      </c>
      <c r="T696" s="946" t="e">
        <f t="shared" ca="1" si="330"/>
        <v>#DIV/0!</v>
      </c>
      <c r="U696" s="946" t="e">
        <f t="shared" ca="1" si="330"/>
        <v>#DIV/0!</v>
      </c>
      <c r="V696" s="946" t="e">
        <f t="shared" ca="1" si="330"/>
        <v>#DIV/0!</v>
      </c>
      <c r="W696" s="946" t="e">
        <f t="shared" ca="1" si="330"/>
        <v>#DIV/0!</v>
      </c>
      <c r="X696" s="946" t="e">
        <f t="shared" ca="1" si="330"/>
        <v>#DIV/0!</v>
      </c>
      <c r="Y696" s="946" t="e">
        <f t="shared" ca="1" si="330"/>
        <v>#DIV/0!</v>
      </c>
      <c r="Z696" s="946" t="e">
        <f t="shared" ca="1" si="330"/>
        <v>#DIV/0!</v>
      </c>
      <c r="AA696" s="151"/>
      <c r="AB696" s="151"/>
      <c r="AC696" s="151"/>
    </row>
    <row r="697" spans="2:29" ht="15.75">
      <c r="B697" s="151" t="s">
        <v>1212</v>
      </c>
      <c r="C697" s="151"/>
      <c r="D697" s="948">
        <f t="shared" ref="D697:D703" ca="1" si="331">+SUM(F697:Z697)</f>
        <v>146154194.28912181</v>
      </c>
      <c r="E697" s="948"/>
      <c r="F697" s="972">
        <f ca="1">-F668</f>
        <v>97022022.157049507</v>
      </c>
      <c r="G697" s="972">
        <f t="shared" ref="G697:Z697" ca="1" si="332">-G668</f>
        <v>49132172.1320723</v>
      </c>
      <c r="H697" s="972">
        <f t="shared" ca="1" si="332"/>
        <v>0</v>
      </c>
      <c r="I697" s="972">
        <f t="shared" ca="1" si="332"/>
        <v>0</v>
      </c>
      <c r="J697" s="972">
        <f t="shared" ca="1" si="332"/>
        <v>0</v>
      </c>
      <c r="K697" s="972">
        <f t="shared" ca="1" si="332"/>
        <v>0</v>
      </c>
      <c r="L697" s="972">
        <f t="shared" ca="1" si="332"/>
        <v>0</v>
      </c>
      <c r="M697" s="972">
        <f t="shared" ca="1" si="332"/>
        <v>0</v>
      </c>
      <c r="N697" s="972">
        <f t="shared" ca="1" si="332"/>
        <v>0</v>
      </c>
      <c r="O697" s="972">
        <f t="shared" ca="1" si="332"/>
        <v>0</v>
      </c>
      <c r="P697" s="972">
        <f t="shared" ca="1" si="332"/>
        <v>0</v>
      </c>
      <c r="Q697" s="972">
        <f t="shared" ca="1" si="332"/>
        <v>0</v>
      </c>
      <c r="R697" s="972">
        <f t="shared" ca="1" si="332"/>
        <v>0</v>
      </c>
      <c r="S697" s="972">
        <f t="shared" ca="1" si="332"/>
        <v>0</v>
      </c>
      <c r="T697" s="972">
        <f t="shared" ca="1" si="332"/>
        <v>0</v>
      </c>
      <c r="U697" s="972">
        <f t="shared" ca="1" si="332"/>
        <v>0</v>
      </c>
      <c r="V697" s="972">
        <f t="shared" ca="1" si="332"/>
        <v>0</v>
      </c>
      <c r="W697" s="972">
        <f t="shared" ca="1" si="332"/>
        <v>0</v>
      </c>
      <c r="X697" s="972">
        <f t="shared" ca="1" si="332"/>
        <v>0</v>
      </c>
      <c r="Y697" s="972">
        <f t="shared" ca="1" si="332"/>
        <v>0</v>
      </c>
      <c r="Z697" s="972">
        <f t="shared" ca="1" si="332"/>
        <v>0</v>
      </c>
      <c r="AA697" s="151"/>
      <c r="AB697" s="151"/>
      <c r="AC697" s="151"/>
    </row>
    <row r="698" spans="2:29" ht="15.75">
      <c r="B698" s="151" t="s">
        <v>1240</v>
      </c>
      <c r="C698" s="151"/>
      <c r="D698" s="948">
        <f t="shared" ca="1" si="331"/>
        <v>24971887.7573938</v>
      </c>
      <c r="E698" s="948"/>
      <c r="F698" s="972">
        <f ca="1">+IF(F665&lt;=Assumptions!$H$35,'Phase 3 Pro Forma'!F658-F457-F411-F341,0)</f>
        <v>0</v>
      </c>
      <c r="G698" s="972">
        <f ca="1">+IF(G665&lt;=Assumptions!$H$35,'Phase 3 Pro Forma'!G658-G457-G411-G341,0)</f>
        <v>0</v>
      </c>
      <c r="H698" s="972">
        <f ca="1">+IF(H665&lt;=Assumptions!$H$35,'Phase 3 Pro Forma'!H658-H457-H411-H341,0)</f>
        <v>0</v>
      </c>
      <c r="I698" s="972">
        <f ca="1">+IF(I665&lt;=Assumptions!$H$35,'Phase 3 Pro Forma'!I658-I457-I411-I341,0)</f>
        <v>491197.14998731762</v>
      </c>
      <c r="J698" s="972">
        <f ca="1">+IF(J665&lt;=Assumptions!$H$35,'Phase 3 Pro Forma'!J658-J457-J411-J341,0)</f>
        <v>10323841.687945159</v>
      </c>
      <c r="K698" s="972">
        <f ca="1">+IF(K665&lt;=Assumptions!$H$35,'Phase 3 Pro Forma'!K658-K457-K411-K341,0)</f>
        <v>14156848.919461325</v>
      </c>
      <c r="L698" s="972">
        <f>+IF(L665&lt;=Assumptions!$H$35,'Phase 3 Pro Forma'!L658-L457-L411-L341,0)</f>
        <v>0</v>
      </c>
      <c r="M698" s="972">
        <f>+IF(M665&lt;=Assumptions!$H$35,'Phase 3 Pro Forma'!M658-M457-M411-M341,0)</f>
        <v>0</v>
      </c>
      <c r="N698" s="972">
        <f>+IF(N665&lt;=Assumptions!$H$35,'Phase 3 Pro Forma'!N658-N457-N411-N341,0)</f>
        <v>0</v>
      </c>
      <c r="O698" s="972">
        <f>+IF(O665&lt;=Assumptions!$H$35,'Phase 3 Pro Forma'!O658-O457-O411-O341,0)</f>
        <v>0</v>
      </c>
      <c r="P698" s="972">
        <f>+IF(P665&lt;=Assumptions!$H$35,'Phase 3 Pro Forma'!P658-P457-P411-P341,0)</f>
        <v>0</v>
      </c>
      <c r="Q698" s="972">
        <f>+IF(Q665&lt;=Assumptions!$H$35,'Phase 3 Pro Forma'!Q658-Q457-Q411-Q341,0)</f>
        <v>0</v>
      </c>
      <c r="R698" s="972">
        <f>+IF(R665&lt;=Assumptions!$H$35,'Phase 3 Pro Forma'!R658-R457-R411-R341,0)</f>
        <v>0</v>
      </c>
      <c r="S698" s="972">
        <f>+IF(S665&lt;=Assumptions!$H$35,'Phase 3 Pro Forma'!S658-S457-S411-S341,0)</f>
        <v>0</v>
      </c>
      <c r="T698" s="972">
        <f>+IF(T665&lt;=Assumptions!$H$35,'Phase 3 Pro Forma'!T658-T457-T411-T341,0)</f>
        <v>0</v>
      </c>
      <c r="U698" s="972">
        <f>+IF(U665&lt;=Assumptions!$H$35,'Phase 3 Pro Forma'!U658-U457-U411-U341,0)</f>
        <v>0</v>
      </c>
      <c r="V698" s="972">
        <f>+IF(V665&lt;=Assumptions!$H$35,'Phase 3 Pro Forma'!V658-V457-V411-V341,0)</f>
        <v>0</v>
      </c>
      <c r="W698" s="972">
        <f>+IF(W665&lt;=Assumptions!$H$35,'Phase 3 Pro Forma'!W658-W457-W411-W341,0)</f>
        <v>0</v>
      </c>
      <c r="X698" s="972">
        <f>+IF(X665&lt;=Assumptions!$H$35,'Phase 3 Pro Forma'!X658-X457-X411-X341,0)</f>
        <v>0</v>
      </c>
      <c r="Y698" s="972">
        <f>+IF(Y665&lt;=Assumptions!$H$35,'Phase 3 Pro Forma'!Y658-Y457-Y411-Y341,0)</f>
        <v>0</v>
      </c>
      <c r="Z698" s="972">
        <f>+IF(Z665&lt;=Assumptions!$H$35,'Phase 3 Pro Forma'!Z658-Z457-Z411-Z341,0)</f>
        <v>0</v>
      </c>
      <c r="AA698" s="151"/>
      <c r="AB698" s="151"/>
      <c r="AC698" s="151"/>
    </row>
    <row r="699" spans="2:29" ht="15.75">
      <c r="B699" s="151" t="s">
        <v>1227</v>
      </c>
      <c r="C699" s="151"/>
      <c r="D699" s="948" t="e">
        <f t="shared" ca="1" si="331"/>
        <v>#DIV/0!</v>
      </c>
      <c r="E699" s="948"/>
      <c r="F699" s="972">
        <f>+F659</f>
        <v>0</v>
      </c>
      <c r="G699" s="972">
        <f t="shared" ref="G699:Z699" si="333">+G659</f>
        <v>0</v>
      </c>
      <c r="H699" s="972">
        <f t="shared" si="333"/>
        <v>0</v>
      </c>
      <c r="I699" s="972">
        <f t="shared" si="333"/>
        <v>0</v>
      </c>
      <c r="J699" s="972" t="e">
        <f t="shared" ca="1" si="333"/>
        <v>#DIV/0!</v>
      </c>
      <c r="K699" s="972" t="e">
        <f t="shared" ca="1" si="333"/>
        <v>#DIV/0!</v>
      </c>
      <c r="L699" s="972">
        <f t="shared" si="333"/>
        <v>0</v>
      </c>
      <c r="M699" s="972">
        <f t="shared" si="333"/>
        <v>0</v>
      </c>
      <c r="N699" s="972">
        <f t="shared" si="333"/>
        <v>0</v>
      </c>
      <c r="O699" s="972">
        <f t="shared" si="333"/>
        <v>0</v>
      </c>
      <c r="P699" s="972">
        <f t="shared" si="333"/>
        <v>0</v>
      </c>
      <c r="Q699" s="972">
        <f t="shared" si="333"/>
        <v>0</v>
      </c>
      <c r="R699" s="972">
        <f t="shared" si="333"/>
        <v>0</v>
      </c>
      <c r="S699" s="972">
        <f t="shared" si="333"/>
        <v>0</v>
      </c>
      <c r="T699" s="972">
        <f t="shared" si="333"/>
        <v>0</v>
      </c>
      <c r="U699" s="972">
        <f t="shared" si="333"/>
        <v>0</v>
      </c>
      <c r="V699" s="972">
        <f t="shared" si="333"/>
        <v>0</v>
      </c>
      <c r="W699" s="972">
        <f t="shared" si="333"/>
        <v>0</v>
      </c>
      <c r="X699" s="972">
        <f t="shared" si="333"/>
        <v>0</v>
      </c>
      <c r="Y699" s="972">
        <f t="shared" si="333"/>
        <v>0</v>
      </c>
      <c r="Z699" s="972">
        <f t="shared" si="333"/>
        <v>0</v>
      </c>
      <c r="AA699" s="151"/>
      <c r="AB699" s="151"/>
      <c r="AC699" s="151"/>
    </row>
    <row r="700" spans="2:29" ht="15.75">
      <c r="B700" s="151" t="s">
        <v>1234</v>
      </c>
      <c r="C700" s="151"/>
      <c r="D700" s="948">
        <f t="shared" ca="1" si="331"/>
        <v>-17420280.630659405</v>
      </c>
      <c r="E700" s="948"/>
      <c r="F700" s="972">
        <f ca="1">-F672</f>
        <v>0</v>
      </c>
      <c r="G700" s="972">
        <f t="shared" ref="G700:Z700" ca="1" si="334">-G672</f>
        <v>0</v>
      </c>
      <c r="H700" s="972">
        <f t="shared" ca="1" si="334"/>
        <v>0</v>
      </c>
      <c r="I700" s="972">
        <f t="shared" ca="1" si="334"/>
        <v>2753614.9208298242</v>
      </c>
      <c r="J700" s="972">
        <f t="shared" ca="1" si="334"/>
        <v>-8217829.4356628843</v>
      </c>
      <c r="K700" s="972">
        <f t="shared" ca="1" si="334"/>
        <v>-11956066.115826346</v>
      </c>
      <c r="L700" s="972">
        <f t="shared" si="334"/>
        <v>0</v>
      </c>
      <c r="M700" s="972">
        <f t="shared" si="334"/>
        <v>0</v>
      </c>
      <c r="N700" s="972">
        <f t="shared" si="334"/>
        <v>0</v>
      </c>
      <c r="O700" s="972">
        <f t="shared" si="334"/>
        <v>0</v>
      </c>
      <c r="P700" s="972">
        <f t="shared" si="334"/>
        <v>0</v>
      </c>
      <c r="Q700" s="972">
        <f t="shared" si="334"/>
        <v>0</v>
      </c>
      <c r="R700" s="972">
        <f t="shared" si="334"/>
        <v>0</v>
      </c>
      <c r="S700" s="972">
        <f t="shared" si="334"/>
        <v>0</v>
      </c>
      <c r="T700" s="972">
        <f t="shared" si="334"/>
        <v>0</v>
      </c>
      <c r="U700" s="972">
        <f t="shared" si="334"/>
        <v>0</v>
      </c>
      <c r="V700" s="972">
        <f t="shared" si="334"/>
        <v>0</v>
      </c>
      <c r="W700" s="972">
        <f t="shared" si="334"/>
        <v>0</v>
      </c>
      <c r="X700" s="972">
        <f t="shared" si="334"/>
        <v>0</v>
      </c>
      <c r="Y700" s="972">
        <f t="shared" si="334"/>
        <v>0</v>
      </c>
      <c r="Z700" s="972">
        <f t="shared" si="334"/>
        <v>0</v>
      </c>
      <c r="AA700" s="151"/>
      <c r="AB700" s="151"/>
      <c r="AC700" s="151"/>
    </row>
    <row r="701" spans="2:29" ht="15.75">
      <c r="B701" s="151" t="s">
        <v>1241</v>
      </c>
      <c r="C701" s="151"/>
      <c r="D701" s="948">
        <f t="shared" ca="1" si="331"/>
        <v>-245825885.9519172</v>
      </c>
      <c r="E701" s="948"/>
      <c r="F701" s="972">
        <f t="shared" ref="F701:Z701" si="335">-F469-F423-F354</f>
        <v>0</v>
      </c>
      <c r="G701" s="972">
        <f t="shared" si="335"/>
        <v>0</v>
      </c>
      <c r="H701" s="972">
        <f t="shared" si="335"/>
        <v>0</v>
      </c>
      <c r="I701" s="972">
        <f t="shared" ca="1" si="335"/>
        <v>0</v>
      </c>
      <c r="J701" s="972">
        <f t="shared" si="335"/>
        <v>0</v>
      </c>
      <c r="K701" s="972">
        <f t="shared" ca="1" si="335"/>
        <v>-245825885.9519172</v>
      </c>
      <c r="L701" s="972">
        <f t="shared" si="335"/>
        <v>0</v>
      </c>
      <c r="M701" s="972">
        <f t="shared" si="335"/>
        <v>0</v>
      </c>
      <c r="N701" s="972">
        <f t="shared" si="335"/>
        <v>0</v>
      </c>
      <c r="O701" s="972">
        <f t="shared" si="335"/>
        <v>0</v>
      </c>
      <c r="P701" s="972">
        <f t="shared" si="335"/>
        <v>0</v>
      </c>
      <c r="Q701" s="972">
        <f t="shared" si="335"/>
        <v>0</v>
      </c>
      <c r="R701" s="972">
        <f t="shared" si="335"/>
        <v>0</v>
      </c>
      <c r="S701" s="972">
        <f t="shared" si="335"/>
        <v>0</v>
      </c>
      <c r="T701" s="972">
        <f t="shared" si="335"/>
        <v>0</v>
      </c>
      <c r="U701" s="972">
        <f t="shared" si="335"/>
        <v>0</v>
      </c>
      <c r="V701" s="972">
        <f t="shared" si="335"/>
        <v>0</v>
      </c>
      <c r="W701" s="972">
        <f t="shared" si="335"/>
        <v>0</v>
      </c>
      <c r="X701" s="972">
        <f t="shared" si="335"/>
        <v>0</v>
      </c>
      <c r="Y701" s="972">
        <f t="shared" si="335"/>
        <v>0</v>
      </c>
      <c r="Z701" s="972">
        <f t="shared" si="335"/>
        <v>0</v>
      </c>
      <c r="AA701" s="151"/>
      <c r="AB701" s="151"/>
      <c r="AC701" s="151"/>
    </row>
    <row r="702" spans="2:29" ht="15.75">
      <c r="B702" s="151" t="s">
        <v>1229</v>
      </c>
      <c r="C702" s="151"/>
      <c r="D702" s="948" t="e">
        <f t="shared" ca="1" si="331"/>
        <v>#DIV/0!</v>
      </c>
      <c r="E702" s="948"/>
      <c r="F702" s="972">
        <f>-IF(YEAR(F665)=YEAR(Assumptions!$H$35),SUM('Phase 3 Pro Forma'!F696:F701),0)</f>
        <v>0</v>
      </c>
      <c r="G702" s="972">
        <f>-IF(YEAR(G665)=YEAR(Assumptions!$H$35),SUM('Phase 3 Pro Forma'!G696:G701),0)</f>
        <v>0</v>
      </c>
      <c r="H702" s="972">
        <f>-IF(YEAR(H665)=YEAR(Assumptions!$H$35),SUM('Phase 3 Pro Forma'!H696:H701),0)</f>
        <v>0</v>
      </c>
      <c r="I702" s="972">
        <f>-IF(YEAR(I665)=YEAR(Assumptions!$H$35),SUM('Phase 3 Pro Forma'!I696:I701),0)</f>
        <v>0</v>
      </c>
      <c r="J702" s="972">
        <f>-IF(YEAR(J665)=YEAR(Assumptions!$H$35),SUM('Phase 3 Pro Forma'!J696:J701),0)</f>
        <v>0</v>
      </c>
      <c r="K702" s="972" t="e">
        <f ca="1">-IF(YEAR(K665)=YEAR(Assumptions!$H$35),SUM('Phase 3 Pro Forma'!K696:K701),0)</f>
        <v>#DIV/0!</v>
      </c>
      <c r="L702" s="972">
        <f>-IF(YEAR(L665)=YEAR(Assumptions!$H$35),SUM('Phase 3 Pro Forma'!L696:L701),0)</f>
        <v>0</v>
      </c>
      <c r="M702" s="972">
        <f>-IF(YEAR(M665)=YEAR(Assumptions!$H$35),SUM('Phase 3 Pro Forma'!M696:M701),0)</f>
        <v>0</v>
      </c>
      <c r="N702" s="972">
        <f>-IF(YEAR(N665)=YEAR(Assumptions!$H$35),SUM('Phase 3 Pro Forma'!N696:N701),0)</f>
        <v>0</v>
      </c>
      <c r="O702" s="972">
        <f>-IF(YEAR(O665)=YEAR(Assumptions!$H$35),SUM('Phase 3 Pro Forma'!O696:O701),0)</f>
        <v>0</v>
      </c>
      <c r="P702" s="972">
        <f>-IF(YEAR(P665)=YEAR(Assumptions!$H$35),SUM('Phase 3 Pro Forma'!P696:P701),0)</f>
        <v>0</v>
      </c>
      <c r="Q702" s="972">
        <f>-IF(YEAR(Q665)=YEAR(Assumptions!$H$35),SUM('Phase 3 Pro Forma'!Q696:Q701),0)</f>
        <v>0</v>
      </c>
      <c r="R702" s="972">
        <f>-IF(YEAR(R665)=YEAR(Assumptions!$H$35),SUM('Phase 3 Pro Forma'!R696:R701),0)</f>
        <v>0</v>
      </c>
      <c r="S702" s="972">
        <f>-IF(YEAR(S665)=YEAR(Assumptions!$H$35),SUM('Phase 3 Pro Forma'!S696:S701),0)</f>
        <v>0</v>
      </c>
      <c r="T702" s="972">
        <f>-IF(YEAR(T665)=YEAR(Assumptions!$H$35),SUM('Phase 3 Pro Forma'!T696:T701),0)</f>
        <v>0</v>
      </c>
      <c r="U702" s="972">
        <f>-IF(YEAR(U665)=YEAR(Assumptions!$H$35),SUM('Phase 3 Pro Forma'!U696:U701),0)</f>
        <v>0</v>
      </c>
      <c r="V702" s="972">
        <f>-IF(YEAR(V665)=YEAR(Assumptions!$H$35),SUM('Phase 3 Pro Forma'!V696:V701),0)</f>
        <v>0</v>
      </c>
      <c r="W702" s="972">
        <f>-IF(YEAR(W665)=YEAR(Assumptions!$H$35),SUM('Phase 3 Pro Forma'!W696:W701),0)</f>
        <v>0</v>
      </c>
      <c r="X702" s="972">
        <f>-IF(YEAR(X665)=YEAR(Assumptions!$H$35),SUM('Phase 3 Pro Forma'!X696:X701),0)</f>
        <v>0</v>
      </c>
      <c r="Y702" s="972">
        <f>-IF(YEAR(Y665)=YEAR(Assumptions!$H$35),SUM('Phase 3 Pro Forma'!Y696:Y701),0)</f>
        <v>0</v>
      </c>
      <c r="Z702" s="972">
        <f>-IF(YEAR(Z665)=YEAR(Assumptions!$H$35),SUM('Phase 3 Pro Forma'!Z696:Z701),0)</f>
        <v>0</v>
      </c>
      <c r="AA702" s="151"/>
      <c r="AB702" s="151"/>
      <c r="AC702" s="151"/>
    </row>
    <row r="703" spans="2:29" ht="15.75">
      <c r="B703" s="718" t="s">
        <v>1230</v>
      </c>
      <c r="C703" s="718"/>
      <c r="D703" s="948" t="e">
        <f t="shared" ca="1" si="331"/>
        <v>#DIV/0!</v>
      </c>
      <c r="E703" s="948"/>
      <c r="F703" s="948">
        <f ca="1">+SUM(F696:F702)</f>
        <v>97022022.157049507</v>
      </c>
      <c r="G703" s="948">
        <f t="shared" ref="G703:Z703" ca="1" si="336">+SUM(G696:G702)</f>
        <v>146154194.28912181</v>
      </c>
      <c r="H703" s="948">
        <f t="shared" ca="1" si="336"/>
        <v>146154194.28912181</v>
      </c>
      <c r="I703" s="948">
        <f t="shared" ca="1" si="336"/>
        <v>149399006.35993895</v>
      </c>
      <c r="J703" s="948" t="e">
        <f t="shared" ca="1" si="336"/>
        <v>#DIV/0!</v>
      </c>
      <c r="K703" s="948" t="e">
        <f t="shared" ca="1" si="336"/>
        <v>#DIV/0!</v>
      </c>
      <c r="L703" s="948" t="e">
        <f t="shared" ca="1" si="336"/>
        <v>#DIV/0!</v>
      </c>
      <c r="M703" s="948" t="e">
        <f t="shared" ca="1" si="336"/>
        <v>#DIV/0!</v>
      </c>
      <c r="N703" s="948" t="e">
        <f t="shared" ca="1" si="336"/>
        <v>#DIV/0!</v>
      </c>
      <c r="O703" s="948" t="e">
        <f t="shared" ca="1" si="336"/>
        <v>#DIV/0!</v>
      </c>
      <c r="P703" s="948" t="e">
        <f t="shared" ca="1" si="336"/>
        <v>#DIV/0!</v>
      </c>
      <c r="Q703" s="948" t="e">
        <f t="shared" ca="1" si="336"/>
        <v>#DIV/0!</v>
      </c>
      <c r="R703" s="948" t="e">
        <f t="shared" ca="1" si="336"/>
        <v>#DIV/0!</v>
      </c>
      <c r="S703" s="948" t="e">
        <f t="shared" ca="1" si="336"/>
        <v>#DIV/0!</v>
      </c>
      <c r="T703" s="948" t="e">
        <f t="shared" ca="1" si="336"/>
        <v>#DIV/0!</v>
      </c>
      <c r="U703" s="948" t="e">
        <f t="shared" ca="1" si="336"/>
        <v>#DIV/0!</v>
      </c>
      <c r="V703" s="948" t="e">
        <f t="shared" ca="1" si="336"/>
        <v>#DIV/0!</v>
      </c>
      <c r="W703" s="948" t="e">
        <f t="shared" ca="1" si="336"/>
        <v>#DIV/0!</v>
      </c>
      <c r="X703" s="948" t="e">
        <f t="shared" ca="1" si="336"/>
        <v>#DIV/0!</v>
      </c>
      <c r="Y703" s="948" t="e">
        <f t="shared" ca="1" si="336"/>
        <v>#DIV/0!</v>
      </c>
      <c r="Z703" s="948" t="e">
        <f t="shared" ca="1" si="336"/>
        <v>#DIV/0!</v>
      </c>
      <c r="AA703" s="151"/>
      <c r="AB703" s="151"/>
      <c r="AC703" s="151"/>
    </row>
    <row r="704" spans="2:29">
      <c r="B704" s="151"/>
      <c r="C704" s="151"/>
      <c r="D704" s="151"/>
      <c r="E704" s="151"/>
      <c r="F704" s="151"/>
      <c r="G704" s="151"/>
      <c r="H704" s="151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</row>
    <row r="705" spans="2:29">
      <c r="B705" s="151"/>
      <c r="C705" s="151"/>
      <c r="D705" s="151"/>
      <c r="E705" s="151"/>
      <c r="F705" s="151"/>
      <c r="G705" s="151"/>
      <c r="H705" s="151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</row>
    <row r="706" spans="2:29">
      <c r="B706" s="151"/>
      <c r="C706" s="151"/>
      <c r="D706" s="151"/>
      <c r="E706" s="151"/>
      <c r="F706" s="151"/>
      <c r="G706" s="151"/>
      <c r="H706" s="151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</row>
    <row r="707" spans="2:29">
      <c r="B707" s="151"/>
      <c r="C707" s="151"/>
      <c r="D707" s="151"/>
      <c r="E707" s="151"/>
      <c r="F707" s="151"/>
      <c r="G707" s="151"/>
      <c r="H707" s="151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</row>
    <row r="708" spans="2:29">
      <c r="B708" s="151"/>
      <c r="C708" s="151"/>
      <c r="D708" s="151"/>
      <c r="E708" s="151"/>
      <c r="F708" s="151"/>
      <c r="G708" s="151"/>
      <c r="H708" s="151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</row>
    <row r="709" spans="2:29">
      <c r="B709" s="151"/>
      <c r="C709" s="151"/>
      <c r="D709" s="151"/>
      <c r="E709" s="151"/>
      <c r="F709" s="151"/>
      <c r="G709" s="151"/>
      <c r="H709" s="151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</row>
    <row r="710" spans="2:29">
      <c r="B710" s="151"/>
      <c r="C710" s="151"/>
      <c r="D710" s="151"/>
      <c r="E710" s="151"/>
      <c r="F710" s="151"/>
      <c r="G710" s="151"/>
      <c r="H710" s="151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</row>
    <row r="711" spans="2:29">
      <c r="B711" s="151"/>
      <c r="C711" s="151"/>
      <c r="D711" s="151"/>
      <c r="E711" s="151"/>
      <c r="F711" s="151"/>
      <c r="G711" s="151"/>
      <c r="H711" s="151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</row>
    <row r="712" spans="2:29">
      <c r="B712" s="151"/>
      <c r="C712" s="151"/>
      <c r="D712" s="151"/>
      <c r="E712" s="151"/>
      <c r="F712" s="151"/>
      <c r="G712" s="151"/>
      <c r="H712" s="151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</row>
    <row r="713" spans="2:29">
      <c r="B713" s="151"/>
      <c r="C713" s="151"/>
      <c r="D713" s="151"/>
      <c r="E713" s="151"/>
      <c r="F713" s="151"/>
      <c r="G713" s="151"/>
      <c r="H713" s="151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</row>
    <row r="714" spans="2:29">
      <c r="B714" s="151"/>
      <c r="C714" s="151"/>
      <c r="D714" s="151"/>
      <c r="E714" s="151"/>
      <c r="F714" s="151"/>
      <c r="G714" s="151"/>
      <c r="H714" s="151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</row>
    <row r="715" spans="2:29">
      <c r="B715" s="151"/>
      <c r="C715" s="151"/>
      <c r="D715" s="151"/>
      <c r="E715" s="151"/>
      <c r="F715" s="151"/>
      <c r="G715" s="151"/>
      <c r="H715" s="151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</row>
    <row r="716" spans="2:29">
      <c r="B716" s="151"/>
      <c r="C716" s="151"/>
      <c r="D716" s="151"/>
      <c r="E716" s="151"/>
      <c r="F716" s="151"/>
      <c r="G716" s="151"/>
      <c r="H716" s="151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</row>
    <row r="717" spans="2:29">
      <c r="B717" s="151"/>
      <c r="C717" s="151"/>
      <c r="D717" s="151"/>
      <c r="E717" s="151"/>
      <c r="F717" s="151"/>
      <c r="G717" s="151"/>
      <c r="H717" s="151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</row>
    <row r="718" spans="2:29">
      <c r="B718" s="151"/>
      <c r="C718" s="151"/>
      <c r="D718" s="151"/>
      <c r="E718" s="151"/>
      <c r="F718" s="151"/>
      <c r="G718" s="151"/>
      <c r="H718" s="151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</row>
    <row r="719" spans="2:29">
      <c r="B719" s="151"/>
      <c r="C719" s="151"/>
      <c r="D719" s="151"/>
      <c r="E719" s="151"/>
      <c r="F719" s="151"/>
      <c r="G719" s="151"/>
      <c r="H719" s="151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</row>
    <row r="720" spans="2:29">
      <c r="B720" s="151"/>
      <c r="C720" s="151"/>
      <c r="D720" s="151"/>
      <c r="E720" s="151"/>
      <c r="F720" s="151"/>
      <c r="G720" s="151"/>
      <c r="H720" s="151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</row>
    <row r="721" spans="2:29">
      <c r="B721" s="151"/>
      <c r="C721" s="151"/>
      <c r="D721" s="151"/>
      <c r="E721" s="151"/>
      <c r="F721" s="151"/>
      <c r="G721" s="151"/>
      <c r="H721" s="151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</row>
    <row r="722" spans="2:29">
      <c r="B722" s="151"/>
      <c r="C722" s="151"/>
      <c r="D722" s="151"/>
      <c r="E722" s="151"/>
      <c r="F722" s="151"/>
      <c r="G722" s="151"/>
      <c r="H722" s="151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1703CD-55B9-4CF2-B3B9-71E512583E41}">
  <dimension ref="A1:B12"/>
  <sheetViews>
    <sheetView workbookViewId="0"/>
  </sheetViews>
  <sheetFormatPr defaultColWidth="8.85546875" defaultRowHeight="15"/>
  <cols>
    <col min="1" max="1" width="25.140625" customWidth="1"/>
    <col min="2" max="2" width="31.140625" bestFit="1" customWidth="1"/>
  </cols>
  <sheetData>
    <row r="1" spans="1:2">
      <c r="A1" t="s">
        <v>122</v>
      </c>
    </row>
    <row r="2" spans="1:2">
      <c r="A2" t="s">
        <v>123</v>
      </c>
      <c r="B2" t="s">
        <v>124</v>
      </c>
    </row>
    <row r="3" spans="1:2">
      <c r="A3" t="s">
        <v>125</v>
      </c>
      <c r="B3" t="s">
        <v>126</v>
      </c>
    </row>
    <row r="4" spans="1:2">
      <c r="A4" t="s">
        <v>127</v>
      </c>
      <c r="B4" t="s">
        <v>128</v>
      </c>
    </row>
    <row r="5" spans="1:2">
      <c r="A5" t="s">
        <v>129</v>
      </c>
      <c r="B5" t="s">
        <v>130</v>
      </c>
    </row>
    <row r="6" spans="1:2">
      <c r="A6" t="s">
        <v>131</v>
      </c>
      <c r="B6" t="s">
        <v>132</v>
      </c>
    </row>
    <row r="7" spans="1:2">
      <c r="A7" t="s">
        <v>133</v>
      </c>
      <c r="B7" t="s">
        <v>134</v>
      </c>
    </row>
    <row r="8" spans="1:2">
      <c r="A8" t="s">
        <v>135</v>
      </c>
      <c r="B8" t="s">
        <v>136</v>
      </c>
    </row>
    <row r="9" spans="1:2">
      <c r="A9" t="s">
        <v>137</v>
      </c>
      <c r="B9" t="s">
        <v>138</v>
      </c>
    </row>
    <row r="10" spans="1:2">
      <c r="A10" t="s">
        <v>139</v>
      </c>
      <c r="B10" t="s">
        <v>140</v>
      </c>
    </row>
    <row r="11" spans="1:2">
      <c r="A11" t="s">
        <v>141</v>
      </c>
      <c r="B11" t="s">
        <v>142</v>
      </c>
    </row>
    <row r="12" spans="1:2">
      <c r="A12" t="s">
        <v>143</v>
      </c>
      <c r="B12" t="s">
        <v>144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C7236A-9C4D-44BB-9D39-55978209EEA0}">
  <sheetPr>
    <tabColor rgb="FF00B050"/>
  </sheetPr>
  <dimension ref="A1:Z59"/>
  <sheetViews>
    <sheetView zoomScale="66" zoomScaleNormal="66" workbookViewId="0">
      <selection activeCell="F19" sqref="F19"/>
    </sheetView>
  </sheetViews>
  <sheetFormatPr defaultColWidth="8.85546875" defaultRowHeight="15"/>
  <cols>
    <col min="1" max="1" width="8.85546875" style="5"/>
    <col min="2" max="2" width="10.85546875" style="5" customWidth="1"/>
    <col min="3" max="3" width="22" style="5" customWidth="1"/>
    <col min="4" max="4" width="22.140625" style="5" customWidth="1"/>
    <col min="5" max="5" width="14.7109375" style="5" customWidth="1"/>
    <col min="6" max="9" width="17.42578125" style="5" customWidth="1"/>
    <col min="10" max="10" width="19.42578125" style="5" bestFit="1" customWidth="1"/>
    <col min="11" max="11" width="17.42578125" style="5" customWidth="1"/>
    <col min="12" max="12" width="19.42578125" style="5" bestFit="1" customWidth="1"/>
    <col min="13" max="13" width="15.5703125" style="5" bestFit="1" customWidth="1"/>
    <col min="14" max="15" width="14.7109375" style="5" customWidth="1"/>
    <col min="16" max="16" width="18.85546875" style="5" bestFit="1" customWidth="1"/>
    <col min="17" max="26" width="14.7109375" style="5" customWidth="1"/>
    <col min="27" max="16384" width="8.85546875" style="5"/>
  </cols>
  <sheetData>
    <row r="1" spans="1:26" ht="15.75">
      <c r="A1" s="132" t="s">
        <v>250</v>
      </c>
      <c r="D1" s="49"/>
      <c r="E1" s="49"/>
      <c r="F1" s="117">
        <f>+YEAR(F2)</f>
        <v>2023</v>
      </c>
      <c r="G1" s="117">
        <f t="shared" ref="G1:Z1" si="0">+YEAR(G2)</f>
        <v>2024</v>
      </c>
      <c r="H1" s="117">
        <f t="shared" si="0"/>
        <v>2025</v>
      </c>
      <c r="I1" s="117">
        <f t="shared" si="0"/>
        <v>2026</v>
      </c>
      <c r="J1" s="117">
        <f t="shared" si="0"/>
        <v>2027</v>
      </c>
      <c r="K1" s="117">
        <f t="shared" si="0"/>
        <v>2028</v>
      </c>
      <c r="L1" s="117">
        <f t="shared" si="0"/>
        <v>2029</v>
      </c>
      <c r="M1" s="117">
        <f t="shared" si="0"/>
        <v>2030</v>
      </c>
      <c r="N1" s="117">
        <f t="shared" si="0"/>
        <v>2031</v>
      </c>
      <c r="O1" s="117">
        <f t="shared" si="0"/>
        <v>2032</v>
      </c>
      <c r="P1" s="117">
        <f t="shared" si="0"/>
        <v>2033</v>
      </c>
      <c r="Q1" s="117">
        <f t="shared" si="0"/>
        <v>2034</v>
      </c>
      <c r="R1" s="117">
        <f t="shared" si="0"/>
        <v>2035</v>
      </c>
      <c r="S1" s="117">
        <f t="shared" si="0"/>
        <v>2036</v>
      </c>
      <c r="T1" s="117">
        <f t="shared" si="0"/>
        <v>2037</v>
      </c>
      <c r="U1" s="117">
        <f t="shared" si="0"/>
        <v>2038</v>
      </c>
      <c r="V1" s="117">
        <f t="shared" si="0"/>
        <v>2039</v>
      </c>
      <c r="W1" s="117">
        <f t="shared" si="0"/>
        <v>2040</v>
      </c>
      <c r="X1" s="117">
        <f t="shared" si="0"/>
        <v>2041</v>
      </c>
      <c r="Y1" s="117">
        <f t="shared" si="0"/>
        <v>2042</v>
      </c>
      <c r="Z1" s="117">
        <f t="shared" si="0"/>
        <v>2043</v>
      </c>
    </row>
    <row r="2" spans="1:26" ht="15.75">
      <c r="A2" s="5" t="s">
        <v>511</v>
      </c>
      <c r="B2" s="112" t="s">
        <v>1248</v>
      </c>
      <c r="D2" s="49"/>
      <c r="E2" s="49"/>
      <c r="F2" s="148">
        <f>+Assumptions!$E$27</f>
        <v>45291</v>
      </c>
      <c r="G2" s="148">
        <f>+EOMONTH(F2,12)</f>
        <v>45657</v>
      </c>
      <c r="H2" s="148">
        <f t="shared" ref="H2:Z2" si="1">+EOMONTH(G2,12)</f>
        <v>46022</v>
      </c>
      <c r="I2" s="148">
        <f t="shared" si="1"/>
        <v>46387</v>
      </c>
      <c r="J2" s="148">
        <f t="shared" si="1"/>
        <v>46752</v>
      </c>
      <c r="K2" s="148">
        <f t="shared" si="1"/>
        <v>47118</v>
      </c>
      <c r="L2" s="148">
        <f t="shared" si="1"/>
        <v>47483</v>
      </c>
      <c r="M2" s="148">
        <f t="shared" si="1"/>
        <v>47848</v>
      </c>
      <c r="N2" s="148">
        <f t="shared" si="1"/>
        <v>48213</v>
      </c>
      <c r="O2" s="148">
        <f t="shared" si="1"/>
        <v>48579</v>
      </c>
      <c r="P2" s="148">
        <f t="shared" si="1"/>
        <v>48944</v>
      </c>
      <c r="Q2" s="148">
        <f t="shared" si="1"/>
        <v>49309</v>
      </c>
      <c r="R2" s="148">
        <f t="shared" si="1"/>
        <v>49674</v>
      </c>
      <c r="S2" s="148">
        <f t="shared" si="1"/>
        <v>50040</v>
      </c>
      <c r="T2" s="148">
        <f t="shared" si="1"/>
        <v>50405</v>
      </c>
      <c r="U2" s="148">
        <f t="shared" si="1"/>
        <v>50770</v>
      </c>
      <c r="V2" s="148">
        <f t="shared" si="1"/>
        <v>51135</v>
      </c>
      <c r="W2" s="148">
        <f t="shared" si="1"/>
        <v>51501</v>
      </c>
      <c r="X2" s="148">
        <f t="shared" si="1"/>
        <v>51866</v>
      </c>
      <c r="Y2" s="148">
        <f t="shared" si="1"/>
        <v>52231</v>
      </c>
      <c r="Z2" s="148">
        <f t="shared" si="1"/>
        <v>52596</v>
      </c>
    </row>
    <row r="3" spans="1:26" ht="15.75">
      <c r="B3" s="699" t="s">
        <v>174</v>
      </c>
      <c r="D3" s="94">
        <f ca="1">+SUM(F3:Z3)</f>
        <v>223419627.69682294</v>
      </c>
      <c r="E3" s="49"/>
      <c r="F3" s="83">
        <f ca="1">+IFERROR(INDEX('Phase 1 Pro Forma'!$F$325:$Z$325,1,MATCH('Cash Flow Roll-Up'!F$2,'Phase 1 Pro Forma'!$F$300:$Z$300,0)),0)</f>
        <v>-115496090.7446782</v>
      </c>
      <c r="G3" s="83">
        <f ca="1">+IFERROR(INDEX('Phase 1 Pro Forma'!$F$325:$Z$325,1,MATCH('Cash Flow Roll-Up'!G$2,'Phase 1 Pro Forma'!$F$300:$Z$300,0)),0)</f>
        <v>0</v>
      </c>
      <c r="H3" s="83">
        <f ca="1">+IFERROR(INDEX('Phase 1 Pro Forma'!$F$325:$Z$325,1,MATCH('Cash Flow Roll-Up'!H$2,'Phase 1 Pro Forma'!$F$300:$Z$300,0)),0)</f>
        <v>0</v>
      </c>
      <c r="I3" s="83">
        <f ca="1">+IFERROR(INDEX('Phase 1 Pro Forma'!$F$325:$Z$325,1,MATCH('Cash Flow Roll-Up'!I$2,'Phase 1 Pro Forma'!$F$300:$Z$300,0)),0)</f>
        <v>0</v>
      </c>
      <c r="J3" s="83">
        <f ca="1">+IFERROR(INDEX('Phase 1 Pro Forma'!$F$325:$Z$325,1,MATCH('Cash Flow Roll-Up'!J$2,'Phase 1 Pro Forma'!$F$300:$Z$300,0)),0)</f>
        <v>30895361.55054912</v>
      </c>
      <c r="K3" s="83">
        <f ca="1">+IFERROR(INDEX('Phase 1 Pro Forma'!$F$325:$Z$325,1,MATCH('Cash Flow Roll-Up'!K$2,'Phase 1 Pro Forma'!$F$300:$Z$300,0)),0)</f>
        <v>-3994093.209564859</v>
      </c>
      <c r="L3" s="83">
        <f ca="1">+IFERROR(INDEX('Phase 1 Pro Forma'!$F$325:$Z$325,1,MATCH('Cash Flow Roll-Up'!L$2,'Phase 1 Pro Forma'!$F$300:$Z$300,0)),0)</f>
        <v>4224030.042670738</v>
      </c>
      <c r="M3" s="83">
        <f ca="1">+IFERROR(INDEX('Phase 1 Pro Forma'!$F$325:$Z$325,1,MATCH('Cash Flow Roll-Up'!M$2,'Phase 1 Pro Forma'!$F$300:$Z$300,0)),0)</f>
        <v>5756580.6697915308</v>
      </c>
      <c r="N3" s="83">
        <f ca="1">+IFERROR(INDEX('Phase 1 Pro Forma'!$F$325:$Z$325,1,MATCH('Cash Flow Roll-Up'!N$2,'Phase 1 Pro Forma'!$F$300:$Z$300,0)),0)</f>
        <v>6274115.0239319988</v>
      </c>
      <c r="O3" s="83">
        <f ca="1">+IFERROR(INDEX('Phase 1 Pro Forma'!$F$325:$Z$325,1,MATCH('Cash Flow Roll-Up'!O$2,'Phase 1 Pro Forma'!$F$300:$Z$300,0)),0)</f>
        <v>6807175.408696685</v>
      </c>
      <c r="P3" s="83">
        <f ca="1">+IFERROR(INDEX('Phase 1 Pro Forma'!$F$325:$Z$325,1,MATCH('Cash Flow Roll-Up'!P$2,'Phase 1 Pro Forma'!$F$300:$Z$300,0)),0)</f>
        <v>288952548.95542598</v>
      </c>
      <c r="Q3" s="83">
        <f ca="1">+IFERROR(INDEX('Phase 1 Pro Forma'!$F$325:$Z$325,1,MATCH('Cash Flow Roll-Up'!Q$2,'Phase 1 Pro Forma'!$F$300:$Z$300,0)),0)</f>
        <v>0</v>
      </c>
      <c r="R3" s="83">
        <f ca="1">+IFERROR(INDEX('Phase 1 Pro Forma'!$F$325:$Z$325,1,MATCH('Cash Flow Roll-Up'!R$2,'Phase 1 Pro Forma'!$F$300:$Z$300,0)),0)</f>
        <v>0</v>
      </c>
      <c r="S3" s="83">
        <f ca="1">+IFERROR(INDEX('Phase 1 Pro Forma'!$F$325:$Z$325,1,MATCH('Cash Flow Roll-Up'!S$2,'Phase 1 Pro Forma'!$F$300:$Z$300,0)),0)</f>
        <v>0</v>
      </c>
      <c r="T3" s="83">
        <f ca="1">+IFERROR(INDEX('Phase 1 Pro Forma'!$F$325:$Z$325,1,MATCH('Cash Flow Roll-Up'!T$2,'Phase 1 Pro Forma'!$F$300:$Z$300,0)),0)</f>
        <v>0</v>
      </c>
      <c r="U3" s="83">
        <f ca="1">+IFERROR(INDEX('Phase 1 Pro Forma'!$F$325:$Z$325,1,MATCH('Cash Flow Roll-Up'!U$2,'Phase 1 Pro Forma'!$F$300:$Z$300,0)),0)</f>
        <v>0</v>
      </c>
      <c r="V3" s="83">
        <f ca="1">+IFERROR(INDEX('Phase 1 Pro Forma'!$F$325:$Z$325,1,MATCH('Cash Flow Roll-Up'!V$2,'Phase 1 Pro Forma'!$F$300:$Z$300,0)),0)</f>
        <v>0</v>
      </c>
      <c r="W3" s="83">
        <f ca="1">+IFERROR(INDEX('Phase 1 Pro Forma'!$F$325:$Z$325,1,MATCH('Cash Flow Roll-Up'!W$2,'Phase 1 Pro Forma'!$F$300:$Z$300,0)),0)</f>
        <v>0</v>
      </c>
      <c r="X3" s="83">
        <f ca="1">+IFERROR(INDEX('Phase 1 Pro Forma'!$F$325:$Z$325,1,MATCH('Cash Flow Roll-Up'!X$2,'Phase 1 Pro Forma'!$F$300:$Z$300,0)),0)</f>
        <v>0</v>
      </c>
      <c r="Y3" s="83">
        <f ca="1">+IFERROR(INDEX('Phase 1 Pro Forma'!$F$325:$Z$325,1,MATCH('Cash Flow Roll-Up'!Y$2,'Phase 1 Pro Forma'!$F$300:$Z$300,0)),0)</f>
        <v>0</v>
      </c>
      <c r="Z3" s="83">
        <f ca="1">+IFERROR(INDEX('Phase 1 Pro Forma'!$F$325:$Z$325,1,MATCH('Cash Flow Roll-Up'!Z$2,'Phase 1 Pro Forma'!$F$300:$Z$300,0)),0)</f>
        <v>0</v>
      </c>
    </row>
    <row r="4" spans="1:26" ht="15.75">
      <c r="B4" s="699" t="s">
        <v>175</v>
      </c>
      <c r="D4" s="94">
        <f t="shared" ref="D4:D5" ca="1" si="2">+SUM(F4:Z4)</f>
        <v>218436912.3484081</v>
      </c>
      <c r="E4" s="49"/>
      <c r="F4" s="83">
        <f>+IFERROR(INDEX('Phase 2 Pro Forma'!$F$379:$Z$379,1,MATCH('Cash Flow Roll-Up'!F$2,'Phase 2 Pro Forma'!$F$354:$Z$354,0)),0)</f>
        <v>0</v>
      </c>
      <c r="G4" s="83">
        <f>+IFERROR(INDEX('Phase 2 Pro Forma'!$F$379:$Z$379,1,MATCH('Cash Flow Roll-Up'!G$2,'Phase 2 Pro Forma'!$F$354:$Z$354,0)),0)</f>
        <v>0</v>
      </c>
      <c r="H4" s="83">
        <f>+IFERROR(INDEX('Phase 2 Pro Forma'!$F$379:$Z$379,1,MATCH('Cash Flow Roll-Up'!H$2,'Phase 2 Pro Forma'!$F$354:$Z$354,0)),0)</f>
        <v>0</v>
      </c>
      <c r="I4" s="83">
        <f ca="1">+IFERROR(INDEX('Phase 2 Pro Forma'!$F$379:$Z$379,1,MATCH('Cash Flow Roll-Up'!I$2,'Phase 2 Pro Forma'!$F$354:$Z$354,0)),0)</f>
        <v>-29640547.373204827</v>
      </c>
      <c r="J4" s="83">
        <f ca="1">+IFERROR(INDEX('Phase 2 Pro Forma'!$F$379:$Z$379,1,MATCH('Cash Flow Roll-Up'!J$2,'Phase 2 Pro Forma'!$F$354:$Z$354,0)),0)</f>
        <v>0</v>
      </c>
      <c r="K4" s="83">
        <f ca="1">+IFERROR(INDEX('Phase 2 Pro Forma'!$F$379:$Z$379,1,MATCH('Cash Flow Roll-Up'!K$2,'Phase 2 Pro Forma'!$F$354:$Z$354,0)),0)</f>
        <v>0</v>
      </c>
      <c r="L4" s="83">
        <f ca="1">+IFERROR(INDEX('Phase 2 Pro Forma'!$F$379:$Z$379,1,MATCH('Cash Flow Roll-Up'!L$2,'Phase 2 Pro Forma'!$F$354:$Z$354,0)),0)</f>
        <v>19031441.973054491</v>
      </c>
      <c r="M4" s="83">
        <f ca="1">+IFERROR(INDEX('Phase 2 Pro Forma'!$F$379:$Z$379,1,MATCH('Cash Flow Roll-Up'!M$2,'Phase 2 Pro Forma'!$F$354:$Z$354,0)),0)</f>
        <v>-4809205.8513759598</v>
      </c>
      <c r="N4" s="83">
        <f ca="1">+IFERROR(INDEX('Phase 2 Pro Forma'!$F$379:$Z$379,1,MATCH('Cash Flow Roll-Up'!N$2,'Phase 2 Pro Forma'!$F$354:$Z$354,0)),0)</f>
        <v>3831454.3700697683</v>
      </c>
      <c r="O4" s="83">
        <f ca="1">+IFERROR(INDEX('Phase 2 Pro Forma'!$F$379:$Z$379,1,MATCH('Cash Flow Roll-Up'!O$2,'Phase 2 Pro Forma'!$F$354:$Z$354,0)),0)</f>
        <v>5403807.7384106964</v>
      </c>
      <c r="P4" s="83">
        <f ca="1">+IFERROR(INDEX('Phase 2 Pro Forma'!$F$379:$Z$379,1,MATCH('Cash Flow Roll-Up'!P$2,'Phase 2 Pro Forma'!$F$354:$Z$354,0)),0)</f>
        <v>224619961.49145389</v>
      </c>
      <c r="Q4" s="83">
        <f ca="1">+IFERROR(INDEX('Phase 2 Pro Forma'!$F$379:$Z$379,1,MATCH('Cash Flow Roll-Up'!Q$2,'Phase 2 Pro Forma'!$F$354:$Z$354,0)),0)</f>
        <v>0</v>
      </c>
      <c r="R4" s="83">
        <f ca="1">+IFERROR(INDEX('Phase 2 Pro Forma'!$F$379:$Z$379,1,MATCH('Cash Flow Roll-Up'!R$2,'Phase 2 Pro Forma'!$F$354:$Z$354,0)),0)</f>
        <v>0</v>
      </c>
      <c r="S4" s="83">
        <f ca="1">+IFERROR(INDEX('Phase 2 Pro Forma'!$F$379:$Z$379,1,MATCH('Cash Flow Roll-Up'!S$2,'Phase 2 Pro Forma'!$F$354:$Z$354,0)),0)</f>
        <v>0</v>
      </c>
      <c r="T4" s="83">
        <f ca="1">+IFERROR(INDEX('Phase 2 Pro Forma'!$F$379:$Z$379,1,MATCH('Cash Flow Roll-Up'!T$2,'Phase 2 Pro Forma'!$F$354:$Z$354,0)),0)</f>
        <v>0</v>
      </c>
      <c r="U4" s="83">
        <f ca="1">+IFERROR(INDEX('Phase 2 Pro Forma'!$F$379:$Z$379,1,MATCH('Cash Flow Roll-Up'!U$2,'Phase 2 Pro Forma'!$F$354:$Z$354,0)),0)</f>
        <v>0</v>
      </c>
      <c r="V4" s="83">
        <f ca="1">+IFERROR(INDEX('Phase 2 Pro Forma'!$F$379:$Z$379,1,MATCH('Cash Flow Roll-Up'!V$2,'Phase 2 Pro Forma'!$F$354:$Z$354,0)),0)</f>
        <v>0</v>
      </c>
      <c r="W4" s="83">
        <f ca="1">+IFERROR(INDEX('Phase 2 Pro Forma'!$F$379:$Z$379,1,MATCH('Cash Flow Roll-Up'!W$2,'Phase 2 Pro Forma'!$F$354:$Z$354,0)),0)</f>
        <v>0</v>
      </c>
      <c r="X4" s="83">
        <f ca="1">+IFERROR(INDEX('Phase 2 Pro Forma'!$F$379:$Z$379,1,MATCH('Cash Flow Roll-Up'!X$2,'Phase 2 Pro Forma'!$F$354:$Z$354,0)),0)</f>
        <v>0</v>
      </c>
      <c r="Y4" s="83">
        <f ca="1">+IFERROR(INDEX('Phase 2 Pro Forma'!$F$379:$Z$379,1,MATCH('Cash Flow Roll-Up'!Y$2,'Phase 2 Pro Forma'!$F$354:$Z$354,0)),0)</f>
        <v>0</v>
      </c>
      <c r="Z4" s="83">
        <f ca="1">+IFERROR(INDEX('Phase 2 Pro Forma'!$F$379:$Z$379,1,MATCH('Cash Flow Roll-Up'!Z$2,'Phase 2 Pro Forma'!$F$354:$Z$354,0)),0)</f>
        <v>0</v>
      </c>
    </row>
    <row r="5" spans="1:26" ht="15.75">
      <c r="B5" s="699" t="s">
        <v>176</v>
      </c>
      <c r="D5" s="94">
        <f t="shared" ca="1" si="2"/>
        <v>136304143.03306967</v>
      </c>
      <c r="E5" s="49"/>
      <c r="F5" s="83">
        <f>+IFERROR(INDEX('Phase 3 Pro Forma'!$F$577:$Z$577,1,MATCH('Cash Flow Roll-Up'!F$2,'Phase 3 Pro Forma'!$F$552:$Z$552,0)),0)</f>
        <v>0</v>
      </c>
      <c r="G5" s="83">
        <f>+IFERROR(INDEX('Phase 3 Pro Forma'!$F$577:$Z$577,1,MATCH('Cash Flow Roll-Up'!G$2,'Phase 3 Pro Forma'!$F$552:$Z$552,0)),0)</f>
        <v>0</v>
      </c>
      <c r="H5" s="83">
        <f>+IFERROR(INDEX('Phase 3 Pro Forma'!$F$577:$Z$577,1,MATCH('Cash Flow Roll-Up'!H$2,'Phase 3 Pro Forma'!$F$552:$Z$552,0)),0)</f>
        <v>0</v>
      </c>
      <c r="I5" s="83">
        <f>+IFERROR(INDEX('Phase 3 Pro Forma'!$F$577:$Z$577,1,MATCH('Cash Flow Roll-Up'!I$2,'Phase 3 Pro Forma'!$F$552:$Z$552,0)),0)</f>
        <v>0</v>
      </c>
      <c r="J5" s="83">
        <f>+IFERROR(INDEX('Phase 3 Pro Forma'!$F$577:$Z$577,1,MATCH('Cash Flow Roll-Up'!J$2,'Phase 3 Pro Forma'!$F$552:$Z$552,0)),0)</f>
        <v>0</v>
      </c>
      <c r="K5" s="83">
        <f ca="1">+IFERROR(INDEX('Phase 3 Pro Forma'!$F$577:$Z$577,1,MATCH('Cash Flow Roll-Up'!K$2,'Phase 3 Pro Forma'!$F$552:$Z$552,0)),0)</f>
        <v>-97022022.157049507</v>
      </c>
      <c r="L5" s="83">
        <f ca="1">+IFERROR(INDEX('Phase 3 Pro Forma'!$F$577:$Z$577,1,MATCH('Cash Flow Roll-Up'!L$2,'Phase 3 Pro Forma'!$F$552:$Z$552,0)),0)</f>
        <v>-49132172.1320723</v>
      </c>
      <c r="M5" s="83">
        <f ca="1">+IFERROR(INDEX('Phase 3 Pro Forma'!$F$577:$Z$577,1,MATCH('Cash Flow Roll-Up'!M$2,'Phase 3 Pro Forma'!$F$552:$Z$552,0)),0)</f>
        <v>0</v>
      </c>
      <c r="N5" s="83">
        <f ca="1">+IFERROR(INDEX('Phase 3 Pro Forma'!$F$577:$Z$577,1,MATCH('Cash Flow Roll-Up'!N$2,'Phase 3 Pro Forma'!$F$552:$Z$552,0)),0)</f>
        <v>5387089.9090670114</v>
      </c>
      <c r="O5" s="83">
        <f ca="1">+IFERROR(INDEX('Phase 3 Pro Forma'!$F$577:$Z$577,1,MATCH('Cash Flow Roll-Up'!O$2,'Phase 3 Pro Forma'!$F$552:$Z$552,0)),0)</f>
        <v>12542647.392375777</v>
      </c>
      <c r="P5" s="83">
        <f ca="1">+IFERROR(INDEX('Phase 3 Pro Forma'!$F$577:$Z$577,1,MATCH('Cash Flow Roll-Up'!P$2,'Phase 3 Pro Forma'!$F$552:$Z$552,0)),0)</f>
        <v>264528600.0207487</v>
      </c>
      <c r="Q5" s="83">
        <f ca="1">+IFERROR(INDEX('Phase 3 Pro Forma'!$F$577:$Z$577,1,MATCH('Cash Flow Roll-Up'!Q$2,'Phase 3 Pro Forma'!$F$552:$Z$552,0)),0)</f>
        <v>0</v>
      </c>
      <c r="R5" s="83">
        <f ca="1">+IFERROR(INDEX('Phase 3 Pro Forma'!$F$577:$Z$577,1,MATCH('Cash Flow Roll-Up'!R$2,'Phase 3 Pro Forma'!$F$552:$Z$552,0)),0)</f>
        <v>0</v>
      </c>
      <c r="S5" s="83">
        <f ca="1">+IFERROR(INDEX('Phase 3 Pro Forma'!$F$577:$Z$577,1,MATCH('Cash Flow Roll-Up'!S$2,'Phase 3 Pro Forma'!$F$552:$Z$552,0)),0)</f>
        <v>0</v>
      </c>
      <c r="T5" s="83">
        <f ca="1">+IFERROR(INDEX('Phase 3 Pro Forma'!$F$577:$Z$577,1,MATCH('Cash Flow Roll-Up'!T$2,'Phase 3 Pro Forma'!$F$552:$Z$552,0)),0)</f>
        <v>0</v>
      </c>
      <c r="U5" s="83">
        <f ca="1">+IFERROR(INDEX('Phase 3 Pro Forma'!$F$577:$Z$577,1,MATCH('Cash Flow Roll-Up'!U$2,'Phase 3 Pro Forma'!$F$552:$Z$552,0)),0)</f>
        <v>0</v>
      </c>
      <c r="V5" s="83">
        <f ca="1">+IFERROR(INDEX('Phase 3 Pro Forma'!$F$577:$Z$577,1,MATCH('Cash Flow Roll-Up'!V$2,'Phase 3 Pro Forma'!$F$552:$Z$552,0)),0)</f>
        <v>0</v>
      </c>
      <c r="W5" s="83">
        <f ca="1">+IFERROR(INDEX('Phase 3 Pro Forma'!$F$577:$Z$577,1,MATCH('Cash Flow Roll-Up'!W$2,'Phase 3 Pro Forma'!$F$552:$Z$552,0)),0)</f>
        <v>0</v>
      </c>
      <c r="X5" s="83">
        <f ca="1">+IFERROR(INDEX('Phase 3 Pro Forma'!$F$577:$Z$577,1,MATCH('Cash Flow Roll-Up'!X$2,'Phase 3 Pro Forma'!$F$552:$Z$552,0)),0)</f>
        <v>0</v>
      </c>
      <c r="Y5" s="83">
        <f ca="1">+IFERROR(INDEX('Phase 3 Pro Forma'!$F$577:$Z$577,1,MATCH('Cash Flow Roll-Up'!Y$2,'Phase 3 Pro Forma'!$F$552:$Z$552,0)),0)</f>
        <v>0</v>
      </c>
      <c r="Z5" s="83">
        <f ca="1">+IFERROR(INDEX('Phase 3 Pro Forma'!$F$577:$Z$577,1,MATCH('Cash Flow Roll-Up'!Z$2,'Phase 3 Pro Forma'!$F$552:$Z$552,0)),0)</f>
        <v>0</v>
      </c>
    </row>
    <row r="6" spans="1:26" ht="15.75">
      <c r="B6" s="106" t="s">
        <v>1249</v>
      </c>
      <c r="C6" s="106"/>
      <c r="D6" s="106"/>
      <c r="E6" s="106"/>
      <c r="F6" s="107">
        <f ca="1">+SUM(F3:F5)</f>
        <v>-115496090.7446782</v>
      </c>
      <c r="G6" s="107">
        <f t="shared" ref="G6:Z6" ca="1" si="3">+SUM(G3:G5)</f>
        <v>0</v>
      </c>
      <c r="H6" s="107">
        <f t="shared" ca="1" si="3"/>
        <v>0</v>
      </c>
      <c r="I6" s="107">
        <f t="shared" ca="1" si="3"/>
        <v>-29640547.373204827</v>
      </c>
      <c r="J6" s="107">
        <f t="shared" ca="1" si="3"/>
        <v>30895361.55054912</v>
      </c>
      <c r="K6" s="107">
        <f t="shared" ca="1" si="3"/>
        <v>-101016115.36661437</v>
      </c>
      <c r="L6" s="107">
        <f t="shared" ca="1" si="3"/>
        <v>-25876700.116347071</v>
      </c>
      <c r="M6" s="107">
        <f t="shared" ca="1" si="3"/>
        <v>947374.818415571</v>
      </c>
      <c r="N6" s="107">
        <f t="shared" ca="1" si="3"/>
        <v>15492659.303068779</v>
      </c>
      <c r="O6" s="107">
        <f t="shared" ca="1" si="3"/>
        <v>24753630.53948316</v>
      </c>
      <c r="P6" s="107">
        <f t="shared" ca="1" si="3"/>
        <v>778101110.4676286</v>
      </c>
      <c r="Q6" s="107">
        <f t="shared" ca="1" si="3"/>
        <v>0</v>
      </c>
      <c r="R6" s="107">
        <f t="shared" ca="1" si="3"/>
        <v>0</v>
      </c>
      <c r="S6" s="107">
        <f t="shared" ca="1" si="3"/>
        <v>0</v>
      </c>
      <c r="T6" s="107">
        <f t="shared" ca="1" si="3"/>
        <v>0</v>
      </c>
      <c r="U6" s="107">
        <f t="shared" ca="1" si="3"/>
        <v>0</v>
      </c>
      <c r="V6" s="107">
        <f t="shared" ca="1" si="3"/>
        <v>0</v>
      </c>
      <c r="W6" s="107">
        <f t="shared" ca="1" si="3"/>
        <v>0</v>
      </c>
      <c r="X6" s="107">
        <f t="shared" ca="1" si="3"/>
        <v>0</v>
      </c>
      <c r="Y6" s="107">
        <f t="shared" ca="1" si="3"/>
        <v>0</v>
      </c>
      <c r="Z6" s="107">
        <f t="shared" ca="1" si="3"/>
        <v>0</v>
      </c>
    </row>
    <row r="7" spans="1:26" ht="15.75">
      <c r="B7" s="67"/>
      <c r="D7" s="49"/>
      <c r="E7" s="49"/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</row>
    <row r="8" spans="1:26" ht="15.75">
      <c r="B8" s="154" t="s">
        <v>378</v>
      </c>
      <c r="C8" s="154"/>
      <c r="D8" s="155">
        <f ca="1">+IRR(F6:Z6)</f>
        <v>0.16914395854006492</v>
      </c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</row>
    <row r="9" spans="1:26" ht="15.75">
      <c r="B9" s="157" t="s">
        <v>1204</v>
      </c>
      <c r="C9" s="158"/>
      <c r="D9" s="161">
        <f ca="1">+SUM(F6:Z6)</f>
        <v>578160683.07830071</v>
      </c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</row>
    <row r="10" spans="1:26" ht="15.75">
      <c r="B10" s="67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</row>
    <row r="11" spans="1:26" ht="15.75">
      <c r="B11" s="112" t="s">
        <v>1250</v>
      </c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</row>
    <row r="12" spans="1:26" ht="15.75">
      <c r="B12" s="699" t="s">
        <v>174</v>
      </c>
      <c r="D12" s="94">
        <f t="shared" ref="D12:D14" ca="1" si="4">+SUM(F12:Z12)</f>
        <v>341493833.60306275</v>
      </c>
      <c r="E12" s="49"/>
      <c r="F12" s="83">
        <f ca="1">+IFERROR(INDEX('Phase 1 Pro Forma'!$F$367:$Z$367,1,MATCH('Cash Flow Roll-Up'!F$2,'Phase 1 Pro Forma'!$F$300:$Z$300,0)),0)</f>
        <v>-181675735.02067354</v>
      </c>
      <c r="G12" s="83">
        <f ca="1">+IFERROR(INDEX('Phase 1 Pro Forma'!$F$367:$Z$367,1,MATCH('Cash Flow Roll-Up'!G$2,'Phase 1 Pro Forma'!$F$300:$Z$300,0)),0)</f>
        <v>-106595721.90973967</v>
      </c>
      <c r="H12" s="83">
        <f ca="1">+IFERROR(INDEX('Phase 1 Pro Forma'!$F$367:$Z$367,1,MATCH('Cash Flow Roll-Up'!H$2,'Phase 1 Pro Forma'!$F$300:$Z$300,0)),0)</f>
        <v>-69217964.017271698</v>
      </c>
      <c r="I12" s="83">
        <f ca="1">+IFERROR(INDEX('Phase 1 Pro Forma'!$F$367:$Z$367,1,MATCH('Cash Flow Roll-Up'!I$2,'Phase 1 Pro Forma'!$F$300:$Z$300,0)),0)</f>
        <v>0</v>
      </c>
      <c r="J12" s="83">
        <f ca="1">+IFERROR(INDEX('Phase 1 Pro Forma'!$F$367:$Z$367,1,MATCH('Cash Flow Roll-Up'!J$2,'Phase 1 Pro Forma'!$F$300:$Z$300,0)),0)</f>
        <v>50543671.90414355</v>
      </c>
      <c r="K12" s="83">
        <f ca="1">+IFERROR(INDEX('Phase 1 Pro Forma'!$F$367:$Z$367,1,MATCH('Cash Flow Roll-Up'!K$2,'Phase 1 Pro Forma'!$F$300:$Z$300,0)),0)</f>
        <v>12902026.961117944</v>
      </c>
      <c r="L12" s="83">
        <f ca="1">+IFERROR(INDEX('Phase 1 Pro Forma'!$F$367:$Z$367,1,MATCH('Cash Flow Roll-Up'!L$2,'Phase 1 Pro Forma'!$F$300:$Z$300,0)),0)</f>
        <v>21120150.213353541</v>
      </c>
      <c r="M12" s="83">
        <f ca="1">+IFERROR(INDEX('Phase 1 Pro Forma'!$F$367:$Z$367,1,MATCH('Cash Flow Roll-Up'!M$2,'Phase 1 Pro Forma'!$F$300:$Z$300,0)),0)</f>
        <v>22652700.840474334</v>
      </c>
      <c r="N12" s="83">
        <f ca="1">+IFERROR(INDEX('Phase 1 Pro Forma'!$F$367:$Z$367,1,MATCH('Cash Flow Roll-Up'!N$2,'Phase 1 Pro Forma'!$F$300:$Z$300,0)),0)</f>
        <v>23170235.194614802</v>
      </c>
      <c r="O12" s="83">
        <f ca="1">+IFERROR(INDEX('Phase 1 Pro Forma'!$F$367:$Z$367,1,MATCH('Cash Flow Roll-Up'!O$2,'Phase 1 Pro Forma'!$F$300:$Z$300,0)),0)</f>
        <v>23703295.579379488</v>
      </c>
      <c r="P12" s="83">
        <f ca="1">+IFERROR(INDEX('Phase 1 Pro Forma'!$F$367:$Z$367,1,MATCH('Cash Flow Roll-Up'!P$2,'Phase 1 Pro Forma'!$F$300:$Z$300,0)),0)</f>
        <v>544891173.85766411</v>
      </c>
      <c r="Q12" s="83">
        <f ca="1">+IFERROR(INDEX('Phase 1 Pro Forma'!$F$367:$Z$367,1,MATCH('Cash Flow Roll-Up'!Q$2,'Phase 1 Pro Forma'!$F$300:$Z$300,0)),0)</f>
        <v>0</v>
      </c>
      <c r="R12" s="83">
        <f ca="1">+IFERROR(INDEX('Phase 1 Pro Forma'!$F$367:$Z$367,1,MATCH('Cash Flow Roll-Up'!R$2,'Phase 1 Pro Forma'!$F$300:$Z$300,0)),0)</f>
        <v>0</v>
      </c>
      <c r="S12" s="83">
        <f ca="1">+IFERROR(INDEX('Phase 1 Pro Forma'!$F$367:$Z$367,1,MATCH('Cash Flow Roll-Up'!S$2,'Phase 1 Pro Forma'!$F$300:$Z$300,0)),0)</f>
        <v>0</v>
      </c>
      <c r="T12" s="83">
        <f ca="1">+IFERROR(INDEX('Phase 1 Pro Forma'!$F$367:$Z$367,1,MATCH('Cash Flow Roll-Up'!T$2,'Phase 1 Pro Forma'!$F$300:$Z$300,0)),0)</f>
        <v>0</v>
      </c>
      <c r="U12" s="83">
        <f ca="1">+IFERROR(INDEX('Phase 1 Pro Forma'!$F$367:$Z$367,1,MATCH('Cash Flow Roll-Up'!U$2,'Phase 1 Pro Forma'!$F$300:$Z$300,0)),0)</f>
        <v>0</v>
      </c>
      <c r="V12" s="83">
        <f ca="1">+IFERROR(INDEX('Phase 1 Pro Forma'!$F$367:$Z$367,1,MATCH('Cash Flow Roll-Up'!V$2,'Phase 1 Pro Forma'!$F$300:$Z$300,0)),0)</f>
        <v>0</v>
      </c>
      <c r="W12" s="83">
        <f ca="1">+IFERROR(INDEX('Phase 1 Pro Forma'!$F$367:$Z$367,1,MATCH('Cash Flow Roll-Up'!W$2,'Phase 1 Pro Forma'!$F$300:$Z$300,0)),0)</f>
        <v>0</v>
      </c>
      <c r="X12" s="83">
        <f ca="1">+IFERROR(INDEX('Phase 1 Pro Forma'!$F$367:$Z$367,1,MATCH('Cash Flow Roll-Up'!X$2,'Phase 1 Pro Forma'!$F$300:$Z$300,0)),0)</f>
        <v>0</v>
      </c>
      <c r="Y12" s="83">
        <f ca="1">+IFERROR(INDEX('Phase 1 Pro Forma'!$F$367:$Z$367,1,MATCH('Cash Flow Roll-Up'!Y$2,'Phase 1 Pro Forma'!$F$300:$Z$300,0)),0)</f>
        <v>0</v>
      </c>
      <c r="Z12" s="83">
        <f ca="1">+IFERROR(INDEX('Phase 1 Pro Forma'!$F$367:$Z$367,1,MATCH('Cash Flow Roll-Up'!Z$2,'Phase 1 Pro Forma'!$F$300:$Z$300,0)),0)</f>
        <v>0</v>
      </c>
    </row>
    <row r="13" spans="1:26" ht="15.75">
      <c r="B13" s="699" t="s">
        <v>175</v>
      </c>
      <c r="D13" s="94">
        <f t="shared" ca="1" si="4"/>
        <v>296636959.05176425</v>
      </c>
      <c r="E13" s="49"/>
      <c r="F13" s="83">
        <f>+IFERROR(INDEX('Phase 2 Pro Forma'!$F$421:$Z$421,1,MATCH('Cash Flow Roll-Up'!F$2,'Phase 2 Pro Forma'!$F$354:$Z$354,0)),0)</f>
        <v>0</v>
      </c>
      <c r="G13" s="83">
        <f>+IFERROR(INDEX('Phase 2 Pro Forma'!$F$421:$Z$421,1,MATCH('Cash Flow Roll-Up'!G$2,'Phase 2 Pro Forma'!$F$354:$Z$354,0)),0)</f>
        <v>0</v>
      </c>
      <c r="H13" s="83">
        <f>+IFERROR(INDEX('Phase 2 Pro Forma'!$F$421:$Z$421,1,MATCH('Cash Flow Roll-Up'!H$2,'Phase 2 Pro Forma'!$F$354:$Z$354,0)),0)</f>
        <v>0</v>
      </c>
      <c r="I13" s="83">
        <f ca="1">+IFERROR(INDEX('Phase 2 Pro Forma'!$F$421:$Z$421,1,MATCH('Cash Flow Roll-Up'!I$2,'Phase 2 Pro Forma'!$F$354:$Z$354,0)),0)</f>
        <v>-89534045.099883363</v>
      </c>
      <c r="J13" s="83">
        <f ca="1">+IFERROR(INDEX('Phase 2 Pro Forma'!$F$421:$Z$421,1,MATCH('Cash Flow Roll-Up'!J$2,'Phase 2 Pro Forma'!$F$354:$Z$354,0)),0)</f>
        <v>-145211873.67262015</v>
      </c>
      <c r="K13" s="83">
        <f ca="1">+IFERROR(INDEX('Phase 2 Pro Forma'!$F$421:$Z$421,1,MATCH('Cash Flow Roll-Up'!K$2,'Phase 2 Pro Forma'!$F$354:$Z$354,0)),0)</f>
        <v>-23074498.748574615</v>
      </c>
      <c r="L13" s="83">
        <f ca="1">+IFERROR(INDEX('Phase 2 Pro Forma'!$F$421:$Z$421,1,MATCH('Cash Flow Roll-Up'!L$2,'Phase 2 Pro Forma'!$F$354:$Z$354,0)),0)</f>
        <v>36853664.78119722</v>
      </c>
      <c r="M13" s="83">
        <f ca="1">+IFERROR(INDEX('Phase 2 Pro Forma'!$F$421:$Z$421,1,MATCH('Cash Flow Roll-Up'!M$2,'Phase 2 Pro Forma'!$F$354:$Z$354,0)),0)</f>
        <v>10516611.628902998</v>
      </c>
      <c r="N13" s="83">
        <f ca="1">+IFERROR(INDEX('Phase 2 Pro Forma'!$F$421:$Z$421,1,MATCH('Cash Flow Roll-Up'!N$2,'Phase 2 Pro Forma'!$F$354:$Z$354,0)),0)</f>
        <v>19157271.850348726</v>
      </c>
      <c r="O13" s="83">
        <f ca="1">+IFERROR(INDEX('Phase 2 Pro Forma'!$F$421:$Z$421,1,MATCH('Cash Flow Roll-Up'!O$2,'Phase 2 Pro Forma'!$F$354:$Z$354,0)),0)</f>
        <v>20729625.218689654</v>
      </c>
      <c r="P13" s="83">
        <f ca="1">+IFERROR(INDEX('Phase 2 Pro Forma'!$F$421:$Z$421,1,MATCH('Cash Flow Roll-Up'!P$2,'Phase 2 Pro Forma'!$F$354:$Z$354,0)),0)</f>
        <v>467200203.09370375</v>
      </c>
      <c r="Q13" s="83">
        <f ca="1">+IFERROR(INDEX('Phase 2 Pro Forma'!$F$421:$Z$421,1,MATCH('Cash Flow Roll-Up'!Q$2,'Phase 2 Pro Forma'!$F$354:$Z$354,0)),0)</f>
        <v>0</v>
      </c>
      <c r="R13" s="83">
        <f ca="1">+IFERROR(INDEX('Phase 2 Pro Forma'!$F$421:$Z$421,1,MATCH('Cash Flow Roll-Up'!R$2,'Phase 2 Pro Forma'!$F$354:$Z$354,0)),0)</f>
        <v>0</v>
      </c>
      <c r="S13" s="83">
        <f ca="1">+IFERROR(INDEX('Phase 2 Pro Forma'!$F$421:$Z$421,1,MATCH('Cash Flow Roll-Up'!S$2,'Phase 2 Pro Forma'!$F$354:$Z$354,0)),0)</f>
        <v>0</v>
      </c>
      <c r="T13" s="83">
        <f ca="1">+IFERROR(INDEX('Phase 2 Pro Forma'!$F$421:$Z$421,1,MATCH('Cash Flow Roll-Up'!T$2,'Phase 2 Pro Forma'!$F$354:$Z$354,0)),0)</f>
        <v>0</v>
      </c>
      <c r="U13" s="83">
        <f ca="1">+IFERROR(INDEX('Phase 2 Pro Forma'!$F$421:$Z$421,1,MATCH('Cash Flow Roll-Up'!U$2,'Phase 2 Pro Forma'!$F$354:$Z$354,0)),0)</f>
        <v>0</v>
      </c>
      <c r="V13" s="83">
        <f ca="1">+IFERROR(INDEX('Phase 2 Pro Forma'!$F$421:$Z$421,1,MATCH('Cash Flow Roll-Up'!V$2,'Phase 2 Pro Forma'!$F$354:$Z$354,0)),0)</f>
        <v>0</v>
      </c>
      <c r="W13" s="83">
        <f ca="1">+IFERROR(INDEX('Phase 2 Pro Forma'!$F$421:$Z$421,1,MATCH('Cash Flow Roll-Up'!W$2,'Phase 2 Pro Forma'!$F$354:$Z$354,0)),0)</f>
        <v>0</v>
      </c>
      <c r="X13" s="83">
        <f ca="1">+IFERROR(INDEX('Phase 2 Pro Forma'!$F$421:$Z$421,1,MATCH('Cash Flow Roll-Up'!X$2,'Phase 2 Pro Forma'!$F$354:$Z$354,0)),0)</f>
        <v>0</v>
      </c>
      <c r="Y13" s="83">
        <f ca="1">+IFERROR(INDEX('Phase 2 Pro Forma'!$F$421:$Z$421,1,MATCH('Cash Flow Roll-Up'!Y$2,'Phase 2 Pro Forma'!$F$354:$Z$354,0)),0)</f>
        <v>0</v>
      </c>
      <c r="Z13" s="83">
        <f ca="1">+IFERROR(INDEX('Phase 2 Pro Forma'!$F$421:$Z$421,1,MATCH('Cash Flow Roll-Up'!Z$2,'Phase 2 Pro Forma'!$F$354:$Z$354,0)),0)</f>
        <v>0</v>
      </c>
    </row>
    <row r="14" spans="1:26" ht="15.75">
      <c r="B14" s="699" t="s">
        <v>176</v>
      </c>
      <c r="D14" s="94">
        <f t="shared" ca="1" si="4"/>
        <v>165830736.72050256</v>
      </c>
      <c r="E14" s="49"/>
      <c r="F14" s="83">
        <f>+IFERROR(INDEX('Phase 3 Pro Forma'!$F$619:$Z$619,1,MATCH('Cash Flow Roll-Up'!F$2,'Phase 3 Pro Forma'!$F$552:$Z$552,0)),0)</f>
        <v>0</v>
      </c>
      <c r="G14" s="83">
        <f>+IFERROR(INDEX('Phase 3 Pro Forma'!$F$619:$Z$619,1,MATCH('Cash Flow Roll-Up'!G$2,'Phase 3 Pro Forma'!$F$552:$Z$552,0)),0)</f>
        <v>0</v>
      </c>
      <c r="H14" s="83">
        <f>+IFERROR(INDEX('Phase 3 Pro Forma'!$F$619:$Z$619,1,MATCH('Cash Flow Roll-Up'!H$2,'Phase 3 Pro Forma'!$F$552:$Z$552,0)),0)</f>
        <v>0</v>
      </c>
      <c r="I14" s="83">
        <f>+IFERROR(INDEX('Phase 3 Pro Forma'!$F$619:$Z$619,1,MATCH('Cash Flow Roll-Up'!I$2,'Phase 3 Pro Forma'!$F$552:$Z$552,0)),0)</f>
        <v>0</v>
      </c>
      <c r="J14" s="83">
        <f>+IFERROR(INDEX('Phase 3 Pro Forma'!$F$619:$Z$619,1,MATCH('Cash Flow Roll-Up'!J$2,'Phase 3 Pro Forma'!$F$552:$Z$552,0)),0)</f>
        <v>0</v>
      </c>
      <c r="K14" s="83">
        <f ca="1">+IFERROR(INDEX('Phase 3 Pro Forma'!$F$619:$Z$619,1,MATCH('Cash Flow Roll-Up'!K$2,'Phase 3 Pro Forma'!$F$552:$Z$552,0)),0)</f>
        <v>-97022022.157049507</v>
      </c>
      <c r="L14" s="83">
        <f ca="1">+IFERROR(INDEX('Phase 3 Pro Forma'!$F$619:$Z$619,1,MATCH('Cash Flow Roll-Up'!L$2,'Phase 3 Pro Forma'!$F$552:$Z$552,0)),0)</f>
        <v>-133606126.43688419</v>
      </c>
      <c r="M14" s="83">
        <f ca="1">+IFERROR(INDEX('Phase 3 Pro Forma'!$F$619:$Z$619,1,MATCH('Cash Flow Roll-Up'!M$2,'Phase 3 Pro Forma'!$F$552:$Z$552,0)),0)</f>
        <v>-26499831.996519268</v>
      </c>
      <c r="N14" s="83">
        <f ca="1">+IFERROR(INDEX('Phase 3 Pro Forma'!$F$619:$Z$619,1,MATCH('Cash Flow Roll-Up'!N$2,'Phase 3 Pro Forma'!$F$552:$Z$552,0)),0)</f>
        <v>14164604.016006036</v>
      </c>
      <c r="O14" s="83">
        <f ca="1">+IFERROR(INDEX('Phase 3 Pro Forma'!$F$619:$Z$619,1,MATCH('Cash Flow Roll-Up'!O$2,'Phase 3 Pro Forma'!$F$552:$Z$552,0)),0)</f>
        <v>20090672.15795438</v>
      </c>
      <c r="P14" s="83">
        <f ca="1">+IFERROR(INDEX('Phase 3 Pro Forma'!$F$619:$Z$619,1,MATCH('Cash Flow Roll-Up'!P$2,'Phase 3 Pro Forma'!$F$552:$Z$552,0)),0)</f>
        <v>388703441.13699514</v>
      </c>
      <c r="Q14" s="83">
        <f ca="1">+IFERROR(INDEX('Phase 3 Pro Forma'!$F$619:$Z$619,1,MATCH('Cash Flow Roll-Up'!Q$2,'Phase 3 Pro Forma'!$F$552:$Z$552,0)),0)</f>
        <v>0</v>
      </c>
      <c r="R14" s="83">
        <f ca="1">+IFERROR(INDEX('Phase 3 Pro Forma'!$F$619:$Z$619,1,MATCH('Cash Flow Roll-Up'!R$2,'Phase 3 Pro Forma'!$F$552:$Z$552,0)),0)</f>
        <v>0</v>
      </c>
      <c r="S14" s="83">
        <f ca="1">+IFERROR(INDEX('Phase 3 Pro Forma'!$F$619:$Z$619,1,MATCH('Cash Flow Roll-Up'!S$2,'Phase 3 Pro Forma'!$F$552:$Z$552,0)),0)</f>
        <v>0</v>
      </c>
      <c r="T14" s="83">
        <f ca="1">+IFERROR(INDEX('Phase 3 Pro Forma'!$F$619:$Z$619,1,MATCH('Cash Flow Roll-Up'!T$2,'Phase 3 Pro Forma'!$F$552:$Z$552,0)),0)</f>
        <v>0</v>
      </c>
      <c r="U14" s="83">
        <f ca="1">+IFERROR(INDEX('Phase 3 Pro Forma'!$F$619:$Z$619,1,MATCH('Cash Flow Roll-Up'!U$2,'Phase 3 Pro Forma'!$F$552:$Z$552,0)),0)</f>
        <v>0</v>
      </c>
      <c r="V14" s="83">
        <f ca="1">+IFERROR(INDEX('Phase 3 Pro Forma'!$F$619:$Z$619,1,MATCH('Cash Flow Roll-Up'!V$2,'Phase 3 Pro Forma'!$F$552:$Z$552,0)),0)</f>
        <v>0</v>
      </c>
      <c r="W14" s="83">
        <f ca="1">+IFERROR(INDEX('Phase 3 Pro Forma'!$F$619:$Z$619,1,MATCH('Cash Flow Roll-Up'!W$2,'Phase 3 Pro Forma'!$F$552:$Z$552,0)),0)</f>
        <v>0</v>
      </c>
      <c r="X14" s="83">
        <f ca="1">+IFERROR(INDEX('Phase 3 Pro Forma'!$F$619:$Z$619,1,MATCH('Cash Flow Roll-Up'!X$2,'Phase 3 Pro Forma'!$F$552:$Z$552,0)),0)</f>
        <v>0</v>
      </c>
      <c r="Y14" s="83">
        <f ca="1">+IFERROR(INDEX('Phase 3 Pro Forma'!$F$619:$Z$619,1,MATCH('Cash Flow Roll-Up'!Y$2,'Phase 3 Pro Forma'!$F$552:$Z$552,0)),0)</f>
        <v>0</v>
      </c>
      <c r="Z14" s="83">
        <f ca="1">+IFERROR(INDEX('Phase 3 Pro Forma'!$F$619:$Z$619,1,MATCH('Cash Flow Roll-Up'!Z$2,'Phase 3 Pro Forma'!$F$552:$Z$552,0)),0)</f>
        <v>0</v>
      </c>
    </row>
    <row r="15" spans="1:26" ht="15.75">
      <c r="B15" s="106" t="s">
        <v>1251</v>
      </c>
      <c r="C15" s="106"/>
      <c r="D15" s="106"/>
      <c r="E15" s="106"/>
      <c r="F15" s="107">
        <f ca="1">+SUM(F12:F14)</f>
        <v>-181675735.02067354</v>
      </c>
      <c r="G15" s="107">
        <f t="shared" ref="G15:Z15" ca="1" si="5">+SUM(G12:G14)</f>
        <v>-106595721.90973967</v>
      </c>
      <c r="H15" s="107">
        <f t="shared" ca="1" si="5"/>
        <v>-69217964.017271698</v>
      </c>
      <c r="I15" s="107">
        <f t="shared" ca="1" si="5"/>
        <v>-89534045.099883363</v>
      </c>
      <c r="J15" s="107">
        <f t="shared" ca="1" si="5"/>
        <v>-94668201.768476605</v>
      </c>
      <c r="K15" s="107">
        <f t="shared" ca="1" si="5"/>
        <v>-107194493.94450618</v>
      </c>
      <c r="L15" s="107">
        <f t="shared" ca="1" si="5"/>
        <v>-75632311.44233343</v>
      </c>
      <c r="M15" s="107">
        <f t="shared" ca="1" si="5"/>
        <v>6669480.4728580639</v>
      </c>
      <c r="N15" s="107">
        <f t="shared" ca="1" si="5"/>
        <v>56492111.060969561</v>
      </c>
      <c r="O15" s="107">
        <f t="shared" ca="1" si="5"/>
        <v>64523592.956023522</v>
      </c>
      <c r="P15" s="107">
        <f t="shared" ca="1" si="5"/>
        <v>1400794818.0883629</v>
      </c>
      <c r="Q15" s="107">
        <f t="shared" ca="1" si="5"/>
        <v>0</v>
      </c>
      <c r="R15" s="107">
        <f t="shared" ca="1" si="5"/>
        <v>0</v>
      </c>
      <c r="S15" s="107">
        <f t="shared" ca="1" si="5"/>
        <v>0</v>
      </c>
      <c r="T15" s="107">
        <f t="shared" ca="1" si="5"/>
        <v>0</v>
      </c>
      <c r="U15" s="107">
        <f t="shared" ca="1" si="5"/>
        <v>0</v>
      </c>
      <c r="V15" s="107">
        <f t="shared" ca="1" si="5"/>
        <v>0</v>
      </c>
      <c r="W15" s="107">
        <f t="shared" ca="1" si="5"/>
        <v>0</v>
      </c>
      <c r="X15" s="107">
        <f t="shared" ca="1" si="5"/>
        <v>0</v>
      </c>
      <c r="Y15" s="107">
        <f t="shared" ca="1" si="5"/>
        <v>0</v>
      </c>
      <c r="Z15" s="107">
        <f t="shared" ca="1" si="5"/>
        <v>0</v>
      </c>
    </row>
    <row r="16" spans="1:26" ht="15.75">
      <c r="B16" s="67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</row>
    <row r="17" spans="1:26" ht="15.75">
      <c r="B17" s="154" t="s">
        <v>377</v>
      </c>
      <c r="C17" s="154"/>
      <c r="D17" s="155">
        <f ca="1">+IRR(F15:Z15)</f>
        <v>0.1049548763173207</v>
      </c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</row>
    <row r="18" spans="1:26" ht="15.75">
      <c r="B18" s="157" t="s">
        <v>1204</v>
      </c>
      <c r="C18" s="158"/>
      <c r="D18" s="161">
        <f ca="1">+SUM(F15:Z15)</f>
        <v>803961529.37532961</v>
      </c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</row>
    <row r="19" spans="1:26" ht="15.75">
      <c r="B19" s="67"/>
      <c r="D19" s="67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</row>
    <row r="20" spans="1:26" ht="15.75">
      <c r="A20" s="5" t="s">
        <v>511</v>
      </c>
      <c r="B20" s="112" t="s">
        <v>1252</v>
      </c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</row>
    <row r="21" spans="1:26" ht="15.75">
      <c r="B21" s="699" t="s">
        <v>174</v>
      </c>
      <c r="D21" s="94">
        <f t="shared" ref="D21:D23" ca="1" si="6">+SUM(F21:Z21)</f>
        <v>-306945749.04354143</v>
      </c>
      <c r="E21" s="49"/>
      <c r="F21" s="83">
        <f ca="1">+IFERROR(INDEX('Phase 1 Pro Forma'!$F$396:$Z$396,1,MATCH('Cash Flow Roll-Up'!F$2,'Phase 1 Pro Forma'!$F$300:$Z$300,0)),0)</f>
        <v>-181675735.02067354</v>
      </c>
      <c r="G21" s="83">
        <f ca="1">+IFERROR(INDEX('Phase 1 Pro Forma'!$F$396:$Z$396,1,MATCH('Cash Flow Roll-Up'!G$2,'Phase 1 Pro Forma'!$F$300:$Z$300,0)),0)</f>
        <v>-106595721.90973967</v>
      </c>
      <c r="H21" s="83">
        <f ca="1">+IFERROR(INDEX('Phase 1 Pro Forma'!$F$396:$Z$396,1,MATCH('Cash Flow Roll-Up'!H$2,'Phase 1 Pro Forma'!$F$300:$Z$300,0)),0)</f>
        <v>-69217964.017271698</v>
      </c>
      <c r="I21" s="83">
        <f ca="1">+IFERROR(INDEX('Phase 1 Pro Forma'!$F$396:$Z$396,1,MATCH('Cash Flow Roll-Up'!I$2,'Phase 1 Pro Forma'!$F$300:$Z$300,0)),0)</f>
        <v>0</v>
      </c>
      <c r="J21" s="83">
        <f ca="1">+IFERROR(INDEX('Phase 1 Pro Forma'!$F$396:$Z$396,1,MATCH('Cash Flow Roll-Up'!J$2,'Phase 1 Pro Forma'!$F$300:$Z$300,0)),0)</f>
        <v>50543671.90414355</v>
      </c>
      <c r="K21" s="83">
        <f ca="1">+IFERROR(INDEX('Phase 1 Pro Forma'!$F$396:$Z$396,1,MATCH('Cash Flow Roll-Up'!K$2,'Phase 1 Pro Forma'!$F$300:$Z$300,0)),0)</f>
        <v>0</v>
      </c>
      <c r="L21" s="83">
        <f ca="1">+IFERROR(INDEX('Phase 1 Pro Forma'!$F$396:$Z$396,1,MATCH('Cash Flow Roll-Up'!L$2,'Phase 1 Pro Forma'!$F$300:$Z$300,0)),0)</f>
        <v>0</v>
      </c>
      <c r="M21" s="83">
        <f ca="1">+IFERROR(INDEX('Phase 1 Pro Forma'!$F$396:$Z$396,1,MATCH('Cash Flow Roll-Up'!M$2,'Phase 1 Pro Forma'!$F$300:$Z$300,0)),0)</f>
        <v>0</v>
      </c>
      <c r="N21" s="83">
        <f ca="1">+IFERROR(INDEX('Phase 1 Pro Forma'!$F$396:$Z$396,1,MATCH('Cash Flow Roll-Up'!N$2,'Phase 1 Pro Forma'!$F$300:$Z$300,0)),0)</f>
        <v>0</v>
      </c>
      <c r="O21" s="83">
        <f ca="1">+IFERROR(INDEX('Phase 1 Pro Forma'!$F$396:$Z$396,1,MATCH('Cash Flow Roll-Up'!O$2,'Phase 1 Pro Forma'!$F$300:$Z$300,0)),0)</f>
        <v>0</v>
      </c>
      <c r="P21" s="83">
        <f ca="1">+IFERROR(INDEX('Phase 1 Pro Forma'!$F$396:$Z$396,1,MATCH('Cash Flow Roll-Up'!P$2,'Phase 1 Pro Forma'!$F$300:$Z$300,0)),0)</f>
        <v>0</v>
      </c>
      <c r="Q21" s="83">
        <f ca="1">+IFERROR(INDEX('Phase 1 Pro Forma'!$F$396:$Z$396,1,MATCH('Cash Flow Roll-Up'!Q$2,'Phase 1 Pro Forma'!$F$300:$Z$300,0)),0)</f>
        <v>0</v>
      </c>
      <c r="R21" s="83">
        <f ca="1">+IFERROR(INDEX('Phase 1 Pro Forma'!$F$396:$Z$396,1,MATCH('Cash Flow Roll-Up'!R$2,'Phase 1 Pro Forma'!$F$300:$Z$300,0)),0)</f>
        <v>0</v>
      </c>
      <c r="S21" s="83">
        <f ca="1">+IFERROR(INDEX('Phase 1 Pro Forma'!$F$396:$Z$396,1,MATCH('Cash Flow Roll-Up'!S$2,'Phase 1 Pro Forma'!$F$300:$Z$300,0)),0)</f>
        <v>0</v>
      </c>
      <c r="T21" s="83">
        <f ca="1">+IFERROR(INDEX('Phase 1 Pro Forma'!$F$396:$Z$396,1,MATCH('Cash Flow Roll-Up'!T$2,'Phase 1 Pro Forma'!$F$300:$Z$300,0)),0)</f>
        <v>0</v>
      </c>
      <c r="U21" s="83">
        <f ca="1">+IFERROR(INDEX('Phase 1 Pro Forma'!$F$396:$Z$396,1,MATCH('Cash Flow Roll-Up'!U$2,'Phase 1 Pro Forma'!$F$300:$Z$300,0)),0)</f>
        <v>0</v>
      </c>
      <c r="V21" s="83">
        <f ca="1">+IFERROR(INDEX('Phase 1 Pro Forma'!$F$396:$Z$396,1,MATCH('Cash Flow Roll-Up'!V$2,'Phase 1 Pro Forma'!$F$300:$Z$300,0)),0)</f>
        <v>0</v>
      </c>
      <c r="W21" s="83">
        <f ca="1">+IFERROR(INDEX('Phase 1 Pro Forma'!$F$396:$Z$396,1,MATCH('Cash Flow Roll-Up'!W$2,'Phase 1 Pro Forma'!$F$300:$Z$300,0)),0)</f>
        <v>0</v>
      </c>
      <c r="X21" s="83">
        <f ca="1">+IFERROR(INDEX('Phase 1 Pro Forma'!$F$396:$Z$396,1,MATCH('Cash Flow Roll-Up'!X$2,'Phase 1 Pro Forma'!$F$300:$Z$300,0)),0)</f>
        <v>0</v>
      </c>
      <c r="Y21" s="83">
        <f ca="1">+IFERROR(INDEX('Phase 1 Pro Forma'!$F$396:$Z$396,1,MATCH('Cash Flow Roll-Up'!Y$2,'Phase 1 Pro Forma'!$F$300:$Z$300,0)),0)</f>
        <v>0</v>
      </c>
      <c r="Z21" s="83">
        <f ca="1">+IFERROR(INDEX('Phase 1 Pro Forma'!$F$396:$Z$396,1,MATCH('Cash Flow Roll-Up'!Z$2,'Phase 1 Pro Forma'!$F$300:$Z$300,0)),0)</f>
        <v>0</v>
      </c>
    </row>
    <row r="22" spans="1:26" ht="15.75">
      <c r="B22" s="699" t="s">
        <v>175</v>
      </c>
      <c r="D22" s="94">
        <f t="shared" ca="1" si="6"/>
        <v>-220966752.73988089</v>
      </c>
      <c r="E22" s="49"/>
      <c r="F22" s="83">
        <f>+IFERROR(INDEX('Phase 2 Pro Forma'!$F$450:$Z$450,1,MATCH('Cash Flow Roll-Up'!F$2,'Phase 2 Pro Forma'!$F$354:$Z$354,0)),0)</f>
        <v>0</v>
      </c>
      <c r="G22" s="83">
        <f>+IFERROR(INDEX('Phase 2 Pro Forma'!$F$450:$Z$450,1,MATCH('Cash Flow Roll-Up'!G$2,'Phase 2 Pro Forma'!$F$354:$Z$354,0)),0)</f>
        <v>0</v>
      </c>
      <c r="H22" s="83">
        <f>+IFERROR(INDEX('Phase 2 Pro Forma'!$F$450:$Z$450,1,MATCH('Cash Flow Roll-Up'!H$2,'Phase 2 Pro Forma'!$F$354:$Z$354,0)),0)</f>
        <v>0</v>
      </c>
      <c r="I22" s="83">
        <f ca="1">+IFERROR(INDEX('Phase 2 Pro Forma'!$F$450:$Z$450,1,MATCH('Cash Flow Roll-Up'!I$2,'Phase 2 Pro Forma'!$F$354:$Z$354,0)),0)</f>
        <v>-89534045.099883363</v>
      </c>
      <c r="J22" s="83">
        <f ca="1">+IFERROR(INDEX('Phase 2 Pro Forma'!$F$450:$Z$450,1,MATCH('Cash Flow Roll-Up'!J$2,'Phase 2 Pro Forma'!$F$354:$Z$354,0)),0)</f>
        <v>-145211873.67262015</v>
      </c>
      <c r="K22" s="83">
        <f ca="1">+IFERROR(INDEX('Phase 2 Pro Forma'!$F$450:$Z$450,1,MATCH('Cash Flow Roll-Up'!K$2,'Phase 2 Pro Forma'!$F$354:$Z$354,0)),0)</f>
        <v>-23074498.748574615</v>
      </c>
      <c r="L22" s="83">
        <f ca="1">+IFERROR(INDEX('Phase 2 Pro Forma'!$F$450:$Z$450,1,MATCH('Cash Flow Roll-Up'!L$2,'Phase 2 Pro Forma'!$F$354:$Z$354,0)),0)</f>
        <v>36853664.78119722</v>
      </c>
      <c r="M22" s="83">
        <f ca="1">+IFERROR(INDEX('Phase 2 Pro Forma'!$F$450:$Z$450,1,MATCH('Cash Flow Roll-Up'!M$2,'Phase 2 Pro Forma'!$F$354:$Z$354,0)),0)</f>
        <v>0</v>
      </c>
      <c r="N22" s="83">
        <f ca="1">+IFERROR(INDEX('Phase 2 Pro Forma'!$F$450:$Z$450,1,MATCH('Cash Flow Roll-Up'!N$2,'Phase 2 Pro Forma'!$F$354:$Z$354,0)),0)</f>
        <v>0</v>
      </c>
      <c r="O22" s="83">
        <f ca="1">+IFERROR(INDEX('Phase 2 Pro Forma'!$F$450:$Z$450,1,MATCH('Cash Flow Roll-Up'!O$2,'Phase 2 Pro Forma'!$F$354:$Z$354,0)),0)</f>
        <v>0</v>
      </c>
      <c r="P22" s="83">
        <f ca="1">+IFERROR(INDEX('Phase 2 Pro Forma'!$F$450:$Z$450,1,MATCH('Cash Flow Roll-Up'!P$2,'Phase 2 Pro Forma'!$F$354:$Z$354,0)),0)</f>
        <v>0</v>
      </c>
      <c r="Q22" s="83">
        <f ca="1">+IFERROR(INDEX('Phase 2 Pro Forma'!$F$450:$Z$450,1,MATCH('Cash Flow Roll-Up'!Q$2,'Phase 2 Pro Forma'!$F$354:$Z$354,0)),0)</f>
        <v>0</v>
      </c>
      <c r="R22" s="83">
        <f ca="1">+IFERROR(INDEX('Phase 2 Pro Forma'!$F$450:$Z$450,1,MATCH('Cash Flow Roll-Up'!R$2,'Phase 2 Pro Forma'!$F$354:$Z$354,0)),0)</f>
        <v>0</v>
      </c>
      <c r="S22" s="83">
        <f ca="1">+IFERROR(INDEX('Phase 2 Pro Forma'!$F$450:$Z$450,1,MATCH('Cash Flow Roll-Up'!S$2,'Phase 2 Pro Forma'!$F$354:$Z$354,0)),0)</f>
        <v>0</v>
      </c>
      <c r="T22" s="83">
        <f ca="1">+IFERROR(INDEX('Phase 2 Pro Forma'!$F$450:$Z$450,1,MATCH('Cash Flow Roll-Up'!T$2,'Phase 2 Pro Forma'!$F$354:$Z$354,0)),0)</f>
        <v>0</v>
      </c>
      <c r="U22" s="83">
        <f ca="1">+IFERROR(INDEX('Phase 2 Pro Forma'!$F$450:$Z$450,1,MATCH('Cash Flow Roll-Up'!U$2,'Phase 2 Pro Forma'!$F$354:$Z$354,0)),0)</f>
        <v>0</v>
      </c>
      <c r="V22" s="83">
        <f ca="1">+IFERROR(INDEX('Phase 2 Pro Forma'!$F$450:$Z$450,1,MATCH('Cash Flow Roll-Up'!V$2,'Phase 2 Pro Forma'!$F$354:$Z$354,0)),0)</f>
        <v>0</v>
      </c>
      <c r="W22" s="83">
        <f ca="1">+IFERROR(INDEX('Phase 2 Pro Forma'!$F$450:$Z$450,1,MATCH('Cash Flow Roll-Up'!W$2,'Phase 2 Pro Forma'!$F$354:$Z$354,0)),0)</f>
        <v>0</v>
      </c>
      <c r="X22" s="83">
        <f ca="1">+IFERROR(INDEX('Phase 2 Pro Forma'!$F$450:$Z$450,1,MATCH('Cash Flow Roll-Up'!X$2,'Phase 2 Pro Forma'!$F$354:$Z$354,0)),0)</f>
        <v>0</v>
      </c>
      <c r="Y22" s="83">
        <f ca="1">+IFERROR(INDEX('Phase 2 Pro Forma'!$F$450:$Z$450,1,MATCH('Cash Flow Roll-Up'!Y$2,'Phase 2 Pro Forma'!$F$354:$Z$354,0)),0)</f>
        <v>0</v>
      </c>
      <c r="Z22" s="83">
        <f ca="1">+IFERROR(INDEX('Phase 2 Pro Forma'!$F$450:$Z$450,1,MATCH('Cash Flow Roll-Up'!Z$2,'Phase 2 Pro Forma'!$F$354:$Z$354,0)),0)</f>
        <v>0</v>
      </c>
    </row>
    <row r="23" spans="1:26" ht="15.75">
      <c r="B23" s="699" t="s">
        <v>176</v>
      </c>
      <c r="D23" s="94">
        <f t="shared" ca="1" si="6"/>
        <v>-242963376.57444695</v>
      </c>
      <c r="E23" s="67"/>
      <c r="F23" s="83">
        <f>+IFERROR(INDEX('Phase 3 Pro Forma'!$F$648:$Z$648,1,MATCH('Cash Flow Roll-Up'!F$2,'Phase 3 Pro Forma'!$F$552:$Z$552,0)),0)</f>
        <v>0</v>
      </c>
      <c r="G23" s="83">
        <f>+IFERROR(INDEX('Phase 3 Pro Forma'!$F$648:$Z$648,1,MATCH('Cash Flow Roll-Up'!G$2,'Phase 3 Pro Forma'!$F$552:$Z$552,0)),0)</f>
        <v>0</v>
      </c>
      <c r="H23" s="83">
        <f>+IFERROR(INDEX('Phase 3 Pro Forma'!$F$648:$Z$648,1,MATCH('Cash Flow Roll-Up'!H$2,'Phase 3 Pro Forma'!$F$552:$Z$552,0)),0)</f>
        <v>0</v>
      </c>
      <c r="I23" s="83">
        <f>+IFERROR(INDEX('Phase 3 Pro Forma'!$F$648:$Z$648,1,MATCH('Cash Flow Roll-Up'!I$2,'Phase 3 Pro Forma'!$F$552:$Z$552,0)),0)</f>
        <v>0</v>
      </c>
      <c r="J23" s="83">
        <f>+IFERROR(INDEX('Phase 3 Pro Forma'!$F$648:$Z$648,1,MATCH('Cash Flow Roll-Up'!J$2,'Phase 3 Pro Forma'!$F$552:$Z$552,0)),0)</f>
        <v>0</v>
      </c>
      <c r="K23" s="83">
        <f ca="1">+IFERROR(INDEX('Phase 3 Pro Forma'!$F$648:$Z$648,1,MATCH('Cash Flow Roll-Up'!K$2,'Phase 3 Pro Forma'!$F$552:$Z$552,0)),0)</f>
        <v>-97022022.157049507</v>
      </c>
      <c r="L23" s="83">
        <f ca="1">+IFERROR(INDEX('Phase 3 Pro Forma'!$F$648:$Z$648,1,MATCH('Cash Flow Roll-Up'!L$2,'Phase 3 Pro Forma'!$F$552:$Z$552,0)),0)</f>
        <v>-133606126.43688419</v>
      </c>
      <c r="M23" s="83">
        <f ca="1">+IFERROR(INDEX('Phase 3 Pro Forma'!$F$648:$Z$648,1,MATCH('Cash Flow Roll-Up'!M$2,'Phase 3 Pro Forma'!$F$552:$Z$552,0)),0)</f>
        <v>-26499831.996519268</v>
      </c>
      <c r="N23" s="83">
        <f ca="1">+IFERROR(INDEX('Phase 3 Pro Forma'!$F$648:$Z$648,1,MATCH('Cash Flow Roll-Up'!N$2,'Phase 3 Pro Forma'!$F$552:$Z$552,0)),0)</f>
        <v>14164604.016006036</v>
      </c>
      <c r="O23" s="83">
        <f ca="1">+IFERROR(INDEX('Phase 3 Pro Forma'!$F$648:$Z$648,1,MATCH('Cash Flow Roll-Up'!O$2,'Phase 3 Pro Forma'!$F$552:$Z$552,0)),0)</f>
        <v>0</v>
      </c>
      <c r="P23" s="83">
        <f ca="1">+IFERROR(INDEX('Phase 3 Pro Forma'!$F$648:$Z$648,1,MATCH('Cash Flow Roll-Up'!P$2,'Phase 3 Pro Forma'!$F$552:$Z$552,0)),0)</f>
        <v>0</v>
      </c>
      <c r="Q23" s="83">
        <f ca="1">+IFERROR(INDEX('Phase 3 Pro Forma'!$F$648:$Z$648,1,MATCH('Cash Flow Roll-Up'!Q$2,'Phase 3 Pro Forma'!$F$552:$Z$552,0)),0)</f>
        <v>0</v>
      </c>
      <c r="R23" s="83">
        <f ca="1">+IFERROR(INDEX('Phase 3 Pro Forma'!$F$648:$Z$648,1,MATCH('Cash Flow Roll-Up'!R$2,'Phase 3 Pro Forma'!$F$552:$Z$552,0)),0)</f>
        <v>0</v>
      </c>
      <c r="S23" s="83">
        <f ca="1">+IFERROR(INDEX('Phase 3 Pro Forma'!$F$648:$Z$648,1,MATCH('Cash Flow Roll-Up'!S$2,'Phase 3 Pro Forma'!$F$552:$Z$552,0)),0)</f>
        <v>0</v>
      </c>
      <c r="T23" s="83">
        <f ca="1">+IFERROR(INDEX('Phase 3 Pro Forma'!$F$648:$Z$648,1,MATCH('Cash Flow Roll-Up'!T$2,'Phase 3 Pro Forma'!$F$552:$Z$552,0)),0)</f>
        <v>0</v>
      </c>
      <c r="U23" s="83">
        <f ca="1">+IFERROR(INDEX('Phase 3 Pro Forma'!$F$648:$Z$648,1,MATCH('Cash Flow Roll-Up'!U$2,'Phase 3 Pro Forma'!$F$552:$Z$552,0)),0)</f>
        <v>0</v>
      </c>
      <c r="V23" s="83">
        <f ca="1">+IFERROR(INDEX('Phase 3 Pro Forma'!$F$648:$Z$648,1,MATCH('Cash Flow Roll-Up'!V$2,'Phase 3 Pro Forma'!$F$552:$Z$552,0)),0)</f>
        <v>0</v>
      </c>
      <c r="W23" s="83">
        <f ca="1">+IFERROR(INDEX('Phase 3 Pro Forma'!$F$648:$Z$648,1,MATCH('Cash Flow Roll-Up'!W$2,'Phase 3 Pro Forma'!$F$552:$Z$552,0)),0)</f>
        <v>0</v>
      </c>
      <c r="X23" s="83">
        <f ca="1">+IFERROR(INDEX('Phase 3 Pro Forma'!$F$648:$Z$648,1,MATCH('Cash Flow Roll-Up'!X$2,'Phase 3 Pro Forma'!$F$552:$Z$552,0)),0)</f>
        <v>0</v>
      </c>
      <c r="Y23" s="83">
        <f ca="1">+IFERROR(INDEX('Phase 3 Pro Forma'!$F$648:$Z$648,1,MATCH('Cash Flow Roll-Up'!Y$2,'Phase 3 Pro Forma'!$F$552:$Z$552,0)),0)</f>
        <v>0</v>
      </c>
      <c r="Z23" s="83">
        <f ca="1">+IFERROR(INDEX('Phase 3 Pro Forma'!$F$648:$Z$648,1,MATCH('Cash Flow Roll-Up'!Z$2,'Phase 3 Pro Forma'!$F$552:$Z$552,0)),0)</f>
        <v>0</v>
      </c>
    </row>
    <row r="24" spans="1:26" ht="15.75">
      <c r="B24" s="106" t="s">
        <v>1253</v>
      </c>
      <c r="C24" s="106"/>
      <c r="D24" s="106"/>
      <c r="E24" s="106"/>
      <c r="F24" s="107">
        <f ca="1">+SUM(F21:F23)</f>
        <v>-181675735.02067354</v>
      </c>
      <c r="G24" s="107">
        <f t="shared" ref="G24:Z24" ca="1" si="7">+SUM(G21:G23)</f>
        <v>-106595721.90973967</v>
      </c>
      <c r="H24" s="107">
        <f t="shared" ca="1" si="7"/>
        <v>-69217964.017271698</v>
      </c>
      <c r="I24" s="107">
        <f t="shared" ca="1" si="7"/>
        <v>-89534045.099883363</v>
      </c>
      <c r="J24" s="107">
        <f t="shared" ca="1" si="7"/>
        <v>-94668201.768476605</v>
      </c>
      <c r="K24" s="107">
        <f t="shared" ca="1" si="7"/>
        <v>-120096520.90562412</v>
      </c>
      <c r="L24" s="107">
        <f t="shared" ca="1" si="7"/>
        <v>-96752461.655686975</v>
      </c>
      <c r="M24" s="107">
        <f t="shared" ca="1" si="7"/>
        <v>-26499831.996519268</v>
      </c>
      <c r="N24" s="107">
        <f t="shared" ca="1" si="7"/>
        <v>14164604.016006036</v>
      </c>
      <c r="O24" s="107">
        <f t="shared" ca="1" si="7"/>
        <v>0</v>
      </c>
      <c r="P24" s="107">
        <f t="shared" ca="1" si="7"/>
        <v>0</v>
      </c>
      <c r="Q24" s="107">
        <f t="shared" ca="1" si="7"/>
        <v>0</v>
      </c>
      <c r="R24" s="107">
        <f t="shared" ca="1" si="7"/>
        <v>0</v>
      </c>
      <c r="S24" s="107">
        <f t="shared" ca="1" si="7"/>
        <v>0</v>
      </c>
      <c r="T24" s="107">
        <f t="shared" ca="1" si="7"/>
        <v>0</v>
      </c>
      <c r="U24" s="107">
        <f t="shared" ca="1" si="7"/>
        <v>0</v>
      </c>
      <c r="V24" s="107">
        <f t="shared" ca="1" si="7"/>
        <v>0</v>
      </c>
      <c r="W24" s="107">
        <f t="shared" ca="1" si="7"/>
        <v>0</v>
      </c>
      <c r="X24" s="107">
        <f t="shared" ca="1" si="7"/>
        <v>0</v>
      </c>
      <c r="Y24" s="107">
        <f t="shared" ca="1" si="7"/>
        <v>0</v>
      </c>
      <c r="Z24" s="107">
        <f t="shared" ca="1" si="7"/>
        <v>0</v>
      </c>
    </row>
    <row r="25" spans="1:26" ht="15.75">
      <c r="B25" s="67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</row>
    <row r="26" spans="1:26" ht="15.75">
      <c r="B26" s="718" t="s">
        <v>1254</v>
      </c>
      <c r="C26" s="718"/>
      <c r="D26" s="966" t="e">
        <f ca="1">+IRR(F24:Z24)</f>
        <v>#NUM!</v>
      </c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</row>
    <row r="27" spans="1:26" ht="15.75">
      <c r="B27" s="718" t="s">
        <v>1255</v>
      </c>
      <c r="C27" s="151"/>
      <c r="D27" s="967" t="e">
        <f ca="1">+D26/(1-Assumptions!$BT$178)</f>
        <v>#NUM!</v>
      </c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</row>
    <row r="28" spans="1:26" ht="15.75">
      <c r="B28" s="67"/>
      <c r="D28" s="67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</row>
    <row r="29" spans="1:26" ht="15.75">
      <c r="B29" s="112" t="s">
        <v>1256</v>
      </c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</row>
    <row r="30" spans="1:26" ht="15.75">
      <c r="B30" s="699" t="s">
        <v>174</v>
      </c>
      <c r="D30" s="94">
        <f t="shared" ref="D30:D32" ca="1" si="8">+SUM(F30:Z30)</f>
        <v>-132157408.79100347</v>
      </c>
      <c r="E30" s="49"/>
      <c r="F30" s="83">
        <f ca="1">+IFERROR(INDEX('Phase 1 Pro Forma'!$F$436:$Z$436,1,MATCH('Cash Flow Roll-Up'!F$2,'Phase 1 Pro Forma'!$F$300:$Z$300,0)),0)</f>
        <v>-115496090.7446782</v>
      </c>
      <c r="G30" s="83">
        <f ca="1">+IFERROR(INDEX('Phase 1 Pro Forma'!$F$436:$Z$436,1,MATCH('Cash Flow Roll-Up'!G$2,'Phase 1 Pro Forma'!$F$300:$Z$300,0)),0)</f>
        <v>0</v>
      </c>
      <c r="H30" s="83">
        <f ca="1">+IFERROR(INDEX('Phase 1 Pro Forma'!$F$436:$Z$436,1,MATCH('Cash Flow Roll-Up'!H$2,'Phase 1 Pro Forma'!$F$300:$Z$300,0)),0)</f>
        <v>0</v>
      </c>
      <c r="I30" s="83">
        <f ca="1">+IFERROR(INDEX('Phase 1 Pro Forma'!$F$436:$Z$436,1,MATCH('Cash Flow Roll-Up'!I$2,'Phase 1 Pro Forma'!$F$300:$Z$300,0)),0)</f>
        <v>0</v>
      </c>
      <c r="J30" s="83">
        <f ca="1">+IFERROR(INDEX('Phase 1 Pro Forma'!$F$436:$Z$436,1,MATCH('Cash Flow Roll-Up'!J$2,'Phase 1 Pro Forma'!$F$300:$Z$300,0)),0)</f>
        <v>-16661318.046325371</v>
      </c>
      <c r="K30" s="83">
        <f ca="1">+IFERROR(INDEX('Phase 1 Pro Forma'!$F$436:$Z$436,1,MATCH('Cash Flow Roll-Up'!K$2,'Phase 1 Pro Forma'!$F$300:$Z$300,0)),0)</f>
        <v>0</v>
      </c>
      <c r="L30" s="83">
        <f ca="1">+IFERROR(INDEX('Phase 1 Pro Forma'!$F$436:$Z$436,1,MATCH('Cash Flow Roll-Up'!L$2,'Phase 1 Pro Forma'!$F$300:$Z$300,0)),0)</f>
        <v>0</v>
      </c>
      <c r="M30" s="83">
        <f ca="1">+IFERROR(INDEX('Phase 1 Pro Forma'!$F$436:$Z$436,1,MATCH('Cash Flow Roll-Up'!M$2,'Phase 1 Pro Forma'!$F$300:$Z$300,0)),0)</f>
        <v>0</v>
      </c>
      <c r="N30" s="83">
        <f ca="1">+IFERROR(INDEX('Phase 1 Pro Forma'!$F$436:$Z$436,1,MATCH('Cash Flow Roll-Up'!N$2,'Phase 1 Pro Forma'!$F$300:$Z$300,0)),0)</f>
        <v>0</v>
      </c>
      <c r="O30" s="83">
        <f ca="1">+IFERROR(INDEX('Phase 1 Pro Forma'!$F$436:$Z$436,1,MATCH('Cash Flow Roll-Up'!O$2,'Phase 1 Pro Forma'!$F$300:$Z$300,0)),0)</f>
        <v>0</v>
      </c>
      <c r="P30" s="83">
        <f ca="1">+IFERROR(INDEX('Phase 1 Pro Forma'!$F$436:$Z$436,1,MATCH('Cash Flow Roll-Up'!P$2,'Phase 1 Pro Forma'!$F$300:$Z$300,0)),0)</f>
        <v>0</v>
      </c>
      <c r="Q30" s="83">
        <f ca="1">+IFERROR(INDEX('Phase 1 Pro Forma'!$F$436:$Z$436,1,MATCH('Cash Flow Roll-Up'!Q$2,'Phase 1 Pro Forma'!$F$300:$Z$300,0)),0)</f>
        <v>0</v>
      </c>
      <c r="R30" s="83">
        <f ca="1">+IFERROR(INDEX('Phase 1 Pro Forma'!$F$436:$Z$436,1,MATCH('Cash Flow Roll-Up'!R$2,'Phase 1 Pro Forma'!$F$300:$Z$300,0)),0)</f>
        <v>0</v>
      </c>
      <c r="S30" s="83">
        <f ca="1">+IFERROR(INDEX('Phase 1 Pro Forma'!$F$436:$Z$436,1,MATCH('Cash Flow Roll-Up'!S$2,'Phase 1 Pro Forma'!$F$300:$Z$300,0)),0)</f>
        <v>0</v>
      </c>
      <c r="T30" s="83">
        <f ca="1">+IFERROR(INDEX('Phase 1 Pro Forma'!$F$436:$Z$436,1,MATCH('Cash Flow Roll-Up'!T$2,'Phase 1 Pro Forma'!$F$300:$Z$300,0)),0)</f>
        <v>0</v>
      </c>
      <c r="U30" s="83">
        <f ca="1">+IFERROR(INDEX('Phase 1 Pro Forma'!$F$436:$Z$436,1,MATCH('Cash Flow Roll-Up'!U$2,'Phase 1 Pro Forma'!$F$300:$Z$300,0)),0)</f>
        <v>0</v>
      </c>
      <c r="V30" s="83">
        <f ca="1">+IFERROR(INDEX('Phase 1 Pro Forma'!$F$436:$Z$436,1,MATCH('Cash Flow Roll-Up'!V$2,'Phase 1 Pro Forma'!$F$300:$Z$300,0)),0)</f>
        <v>0</v>
      </c>
      <c r="W30" s="83">
        <f ca="1">+IFERROR(INDEX('Phase 1 Pro Forma'!$F$436:$Z$436,1,MATCH('Cash Flow Roll-Up'!W$2,'Phase 1 Pro Forma'!$F$300:$Z$300,0)),0)</f>
        <v>0</v>
      </c>
      <c r="X30" s="83">
        <f ca="1">+IFERROR(INDEX('Phase 1 Pro Forma'!$F$436:$Z$436,1,MATCH('Cash Flow Roll-Up'!X$2,'Phase 1 Pro Forma'!$F$300:$Z$300,0)),0)</f>
        <v>0</v>
      </c>
      <c r="Y30" s="83">
        <f ca="1">+IFERROR(INDEX('Phase 1 Pro Forma'!$F$436:$Z$436,1,MATCH('Cash Flow Roll-Up'!Y$2,'Phase 1 Pro Forma'!$F$300:$Z$300,0)),0)</f>
        <v>0</v>
      </c>
      <c r="Z30" s="83">
        <f ca="1">+IFERROR(INDEX('Phase 1 Pro Forma'!$F$436:$Z$436,1,MATCH('Cash Flow Roll-Up'!Z$2,'Phase 1 Pro Forma'!$F$300:$Z$300,0)),0)</f>
        <v>0</v>
      </c>
    </row>
    <row r="31" spans="1:26" ht="15.75">
      <c r="B31" s="699" t="s">
        <v>175</v>
      </c>
      <c r="D31" s="94">
        <f t="shared" ca="1" si="8"/>
        <v>-47194144.231721863</v>
      </c>
      <c r="E31" s="49"/>
      <c r="F31" s="83">
        <f>+IFERROR(INDEX('Phase 2 Pro Forma'!$F$490:$Z$490,1,MATCH('Cash Flow Roll-Up'!F$2,'Phase 2 Pro Forma'!$F$354:$Z$354,0)),0)</f>
        <v>0</v>
      </c>
      <c r="G31" s="83">
        <f>+IFERROR(INDEX('Phase 2 Pro Forma'!$F$490:$Z$490,1,MATCH('Cash Flow Roll-Up'!G$2,'Phase 2 Pro Forma'!$F$354:$Z$354,0)),0)</f>
        <v>0</v>
      </c>
      <c r="H31" s="83">
        <f>+IFERROR(INDEX('Phase 2 Pro Forma'!$F$490:$Z$490,1,MATCH('Cash Flow Roll-Up'!H$2,'Phase 2 Pro Forma'!$F$354:$Z$354,0)),0)</f>
        <v>0</v>
      </c>
      <c r="I31" s="83">
        <f ca="1">+IFERROR(INDEX('Phase 2 Pro Forma'!$F$490:$Z$490,1,MATCH('Cash Flow Roll-Up'!I$2,'Phase 2 Pro Forma'!$F$354:$Z$354,0)),0)</f>
        <v>-29640547.373204827</v>
      </c>
      <c r="J31" s="83">
        <f ca="1">+IFERROR(INDEX('Phase 2 Pro Forma'!$F$490:$Z$490,1,MATCH('Cash Flow Roll-Up'!J$2,'Phase 2 Pro Forma'!$F$354:$Z$354,0)),0)</f>
        <v>0</v>
      </c>
      <c r="K31" s="83">
        <f ca="1">+IFERROR(INDEX('Phase 2 Pro Forma'!$F$490:$Z$490,1,MATCH('Cash Flow Roll-Up'!K$2,'Phase 2 Pro Forma'!$F$354:$Z$354,0)),0)</f>
        <v>0</v>
      </c>
      <c r="L31" s="83">
        <f ca="1">+IFERROR(INDEX('Phase 2 Pro Forma'!$F$490:$Z$490,1,MATCH('Cash Flow Roll-Up'!L$2,'Phase 2 Pro Forma'!$F$354:$Z$354,0)),0)</f>
        <v>-17553596.858517036</v>
      </c>
      <c r="M31" s="83">
        <f ca="1">+IFERROR(INDEX('Phase 2 Pro Forma'!$F$490:$Z$490,1,MATCH('Cash Flow Roll-Up'!M$2,'Phase 2 Pro Forma'!$F$354:$Z$354,0)),0)</f>
        <v>0</v>
      </c>
      <c r="N31" s="83">
        <f ca="1">+IFERROR(INDEX('Phase 2 Pro Forma'!$F$490:$Z$490,1,MATCH('Cash Flow Roll-Up'!N$2,'Phase 2 Pro Forma'!$F$354:$Z$354,0)),0)</f>
        <v>0</v>
      </c>
      <c r="O31" s="83">
        <f ca="1">+IFERROR(INDEX('Phase 2 Pro Forma'!$F$490:$Z$490,1,MATCH('Cash Flow Roll-Up'!O$2,'Phase 2 Pro Forma'!$F$354:$Z$354,0)),0)</f>
        <v>0</v>
      </c>
      <c r="P31" s="83">
        <f ca="1">+IFERROR(INDEX('Phase 2 Pro Forma'!$F$490:$Z$490,1,MATCH('Cash Flow Roll-Up'!P$2,'Phase 2 Pro Forma'!$F$354:$Z$354,0)),0)</f>
        <v>0</v>
      </c>
      <c r="Q31" s="83">
        <f ca="1">+IFERROR(INDEX('Phase 2 Pro Forma'!$F$490:$Z$490,1,MATCH('Cash Flow Roll-Up'!Q$2,'Phase 2 Pro Forma'!$F$354:$Z$354,0)),0)</f>
        <v>0</v>
      </c>
      <c r="R31" s="83">
        <f ca="1">+IFERROR(INDEX('Phase 2 Pro Forma'!$F$490:$Z$490,1,MATCH('Cash Flow Roll-Up'!R$2,'Phase 2 Pro Forma'!$F$354:$Z$354,0)),0)</f>
        <v>0</v>
      </c>
      <c r="S31" s="83">
        <f ca="1">+IFERROR(INDEX('Phase 2 Pro Forma'!$F$490:$Z$490,1,MATCH('Cash Flow Roll-Up'!S$2,'Phase 2 Pro Forma'!$F$354:$Z$354,0)),0)</f>
        <v>0</v>
      </c>
      <c r="T31" s="83">
        <f ca="1">+IFERROR(INDEX('Phase 2 Pro Forma'!$F$490:$Z$490,1,MATCH('Cash Flow Roll-Up'!T$2,'Phase 2 Pro Forma'!$F$354:$Z$354,0)),0)</f>
        <v>0</v>
      </c>
      <c r="U31" s="83">
        <f ca="1">+IFERROR(INDEX('Phase 2 Pro Forma'!$F$490:$Z$490,1,MATCH('Cash Flow Roll-Up'!U$2,'Phase 2 Pro Forma'!$F$354:$Z$354,0)),0)</f>
        <v>0</v>
      </c>
      <c r="V31" s="83">
        <f ca="1">+IFERROR(INDEX('Phase 2 Pro Forma'!$F$490:$Z$490,1,MATCH('Cash Flow Roll-Up'!V$2,'Phase 2 Pro Forma'!$F$354:$Z$354,0)),0)</f>
        <v>0</v>
      </c>
      <c r="W31" s="83">
        <f ca="1">+IFERROR(INDEX('Phase 2 Pro Forma'!$F$490:$Z$490,1,MATCH('Cash Flow Roll-Up'!W$2,'Phase 2 Pro Forma'!$F$354:$Z$354,0)),0)</f>
        <v>0</v>
      </c>
      <c r="X31" s="83">
        <f ca="1">+IFERROR(INDEX('Phase 2 Pro Forma'!$F$490:$Z$490,1,MATCH('Cash Flow Roll-Up'!X$2,'Phase 2 Pro Forma'!$F$354:$Z$354,0)),0)</f>
        <v>0</v>
      </c>
      <c r="Y31" s="83">
        <f ca="1">+IFERROR(INDEX('Phase 2 Pro Forma'!$F$490:$Z$490,1,MATCH('Cash Flow Roll-Up'!Y$2,'Phase 2 Pro Forma'!$F$354:$Z$354,0)),0)</f>
        <v>0</v>
      </c>
      <c r="Z31" s="83">
        <f ca="1">+IFERROR(INDEX('Phase 2 Pro Forma'!$F$490:$Z$490,1,MATCH('Cash Flow Roll-Up'!Z$2,'Phase 2 Pro Forma'!$F$354:$Z$354,0)),0)</f>
        <v>0</v>
      </c>
    </row>
    <row r="32" spans="1:26" ht="15.75">
      <c r="B32" s="699" t="s">
        <v>176</v>
      </c>
      <c r="D32" s="94">
        <f t="shared" ca="1" si="8"/>
        <v>-148907809.20995164</v>
      </c>
      <c r="E32" s="49"/>
      <c r="F32" s="83">
        <f>+IFERROR(INDEX('Phase 3 Pro Forma'!$F$688:$Z$688,1,MATCH('Cash Flow Roll-Up'!F$2,'Phase 3 Pro Forma'!$F$552:$Z$552,0)),0)</f>
        <v>0</v>
      </c>
      <c r="G32" s="83">
        <f>+IFERROR(INDEX('Phase 3 Pro Forma'!$F$688:$Z$688,1,MATCH('Cash Flow Roll-Up'!G$2,'Phase 3 Pro Forma'!$F$552:$Z$552,0)),0)</f>
        <v>0</v>
      </c>
      <c r="H32" s="83">
        <f>+IFERROR(INDEX('Phase 3 Pro Forma'!$F$688:$Z$688,1,MATCH('Cash Flow Roll-Up'!H$2,'Phase 3 Pro Forma'!$F$552:$Z$552,0)),0)</f>
        <v>0</v>
      </c>
      <c r="I32" s="83">
        <f>+IFERROR(INDEX('Phase 3 Pro Forma'!$F$688:$Z$688,1,MATCH('Cash Flow Roll-Up'!I$2,'Phase 3 Pro Forma'!$F$552:$Z$552,0)),0)</f>
        <v>0</v>
      </c>
      <c r="J32" s="83">
        <f>+IFERROR(INDEX('Phase 3 Pro Forma'!$F$688:$Z$688,1,MATCH('Cash Flow Roll-Up'!J$2,'Phase 3 Pro Forma'!$F$552:$Z$552,0)),0)</f>
        <v>0</v>
      </c>
      <c r="K32" s="83">
        <f ca="1">+IFERROR(INDEX('Phase 3 Pro Forma'!$F$688:$Z$688,1,MATCH('Cash Flow Roll-Up'!K$2,'Phase 3 Pro Forma'!$F$552:$Z$552,0)),0)</f>
        <v>-97022022.157049507</v>
      </c>
      <c r="L32" s="83">
        <f ca="1">+IFERROR(INDEX('Phase 3 Pro Forma'!$F$688:$Z$688,1,MATCH('Cash Flow Roll-Up'!L$2,'Phase 3 Pro Forma'!$F$552:$Z$552,0)),0)</f>
        <v>-49132172.1320723</v>
      </c>
      <c r="M32" s="83">
        <f ca="1">+IFERROR(INDEX('Phase 3 Pro Forma'!$F$688:$Z$688,1,MATCH('Cash Flow Roll-Up'!M$2,'Phase 3 Pro Forma'!$F$552:$Z$552,0)),0)</f>
        <v>0</v>
      </c>
      <c r="N32" s="83">
        <f ca="1">+IFERROR(INDEX('Phase 3 Pro Forma'!$F$688:$Z$688,1,MATCH('Cash Flow Roll-Up'!N$2,'Phase 3 Pro Forma'!$F$552:$Z$552,0)),0)</f>
        <v>-2753614.9208298242</v>
      </c>
      <c r="O32" s="83">
        <f ca="1">+IFERROR(INDEX('Phase 3 Pro Forma'!$F$688:$Z$688,1,MATCH('Cash Flow Roll-Up'!O$2,'Phase 3 Pro Forma'!$F$552:$Z$552,0)),0)</f>
        <v>0</v>
      </c>
      <c r="P32" s="83">
        <f ca="1">+IFERROR(INDEX('Phase 3 Pro Forma'!$F$688:$Z$688,1,MATCH('Cash Flow Roll-Up'!P$2,'Phase 3 Pro Forma'!$F$552:$Z$552,0)),0)</f>
        <v>0</v>
      </c>
      <c r="Q32" s="83">
        <f ca="1">+IFERROR(INDEX('Phase 3 Pro Forma'!$F$688:$Z$688,1,MATCH('Cash Flow Roll-Up'!Q$2,'Phase 3 Pro Forma'!$F$552:$Z$552,0)),0)</f>
        <v>0</v>
      </c>
      <c r="R32" s="83">
        <f ca="1">+IFERROR(INDEX('Phase 3 Pro Forma'!$F$688:$Z$688,1,MATCH('Cash Flow Roll-Up'!R$2,'Phase 3 Pro Forma'!$F$552:$Z$552,0)),0)</f>
        <v>0</v>
      </c>
      <c r="S32" s="83">
        <f ca="1">+IFERROR(INDEX('Phase 3 Pro Forma'!$F$688:$Z$688,1,MATCH('Cash Flow Roll-Up'!S$2,'Phase 3 Pro Forma'!$F$552:$Z$552,0)),0)</f>
        <v>0</v>
      </c>
      <c r="T32" s="83">
        <f ca="1">+IFERROR(INDEX('Phase 3 Pro Forma'!$F$688:$Z$688,1,MATCH('Cash Flow Roll-Up'!T$2,'Phase 3 Pro Forma'!$F$552:$Z$552,0)),0)</f>
        <v>0</v>
      </c>
      <c r="U32" s="83">
        <f ca="1">+IFERROR(INDEX('Phase 3 Pro Forma'!$F$688:$Z$688,1,MATCH('Cash Flow Roll-Up'!U$2,'Phase 3 Pro Forma'!$F$552:$Z$552,0)),0)</f>
        <v>0</v>
      </c>
      <c r="V32" s="83">
        <f ca="1">+IFERROR(INDEX('Phase 3 Pro Forma'!$F$688:$Z$688,1,MATCH('Cash Flow Roll-Up'!V$2,'Phase 3 Pro Forma'!$F$552:$Z$552,0)),0)</f>
        <v>0</v>
      </c>
      <c r="W32" s="83">
        <f ca="1">+IFERROR(INDEX('Phase 3 Pro Forma'!$F$688:$Z$688,1,MATCH('Cash Flow Roll-Up'!W$2,'Phase 3 Pro Forma'!$F$552:$Z$552,0)),0)</f>
        <v>0</v>
      </c>
      <c r="X32" s="83">
        <f ca="1">+IFERROR(INDEX('Phase 3 Pro Forma'!$F$688:$Z$688,1,MATCH('Cash Flow Roll-Up'!X$2,'Phase 3 Pro Forma'!$F$552:$Z$552,0)),0)</f>
        <v>0</v>
      </c>
      <c r="Y32" s="83">
        <f ca="1">+IFERROR(INDEX('Phase 3 Pro Forma'!$F$688:$Z$688,1,MATCH('Cash Flow Roll-Up'!Y$2,'Phase 3 Pro Forma'!$F$552:$Z$552,0)),0)</f>
        <v>0</v>
      </c>
      <c r="Z32" s="83">
        <f ca="1">+IFERROR(INDEX('Phase 3 Pro Forma'!$F$688:$Z$688,1,MATCH('Cash Flow Roll-Up'!Z$2,'Phase 3 Pro Forma'!$F$552:$Z$552,0)),0)</f>
        <v>0</v>
      </c>
    </row>
    <row r="33" spans="1:26" ht="15.75">
      <c r="B33" s="968" t="s">
        <v>1253</v>
      </c>
      <c r="C33" s="968"/>
      <c r="D33" s="968"/>
      <c r="E33" s="106"/>
      <c r="F33" s="107">
        <f ca="1">+SUM(F30:F32)</f>
        <v>-115496090.7446782</v>
      </c>
      <c r="G33" s="107">
        <f t="shared" ref="G33:Z33" ca="1" si="9">+SUM(G30:G32)</f>
        <v>0</v>
      </c>
      <c r="H33" s="107">
        <f t="shared" ca="1" si="9"/>
        <v>0</v>
      </c>
      <c r="I33" s="107">
        <f t="shared" ca="1" si="9"/>
        <v>-29640547.373204827</v>
      </c>
      <c r="J33" s="107">
        <f t="shared" ca="1" si="9"/>
        <v>-16661318.046325371</v>
      </c>
      <c r="K33" s="107">
        <f t="shared" ca="1" si="9"/>
        <v>-97022022.157049507</v>
      </c>
      <c r="L33" s="107">
        <f t="shared" ca="1" si="9"/>
        <v>-66685768.990589336</v>
      </c>
      <c r="M33" s="107">
        <f t="shared" ca="1" si="9"/>
        <v>0</v>
      </c>
      <c r="N33" s="107">
        <f t="shared" ca="1" si="9"/>
        <v>-2753614.9208298242</v>
      </c>
      <c r="O33" s="107">
        <f t="shared" ca="1" si="9"/>
        <v>0</v>
      </c>
      <c r="P33" s="107">
        <f t="shared" ca="1" si="9"/>
        <v>0</v>
      </c>
      <c r="Q33" s="107">
        <f t="shared" ca="1" si="9"/>
        <v>0</v>
      </c>
      <c r="R33" s="107">
        <f t="shared" ca="1" si="9"/>
        <v>0</v>
      </c>
      <c r="S33" s="107">
        <f t="shared" ca="1" si="9"/>
        <v>0</v>
      </c>
      <c r="T33" s="107">
        <f t="shared" ca="1" si="9"/>
        <v>0</v>
      </c>
      <c r="U33" s="107">
        <f t="shared" ca="1" si="9"/>
        <v>0</v>
      </c>
      <c r="V33" s="107">
        <f t="shared" ca="1" si="9"/>
        <v>0</v>
      </c>
      <c r="W33" s="107">
        <f t="shared" ca="1" si="9"/>
        <v>0</v>
      </c>
      <c r="X33" s="107">
        <f t="shared" ca="1" si="9"/>
        <v>0</v>
      </c>
      <c r="Y33" s="107">
        <f t="shared" ca="1" si="9"/>
        <v>0</v>
      </c>
      <c r="Z33" s="107">
        <f t="shared" ca="1" si="9"/>
        <v>0</v>
      </c>
    </row>
    <row r="34" spans="1:26" ht="15.75">
      <c r="A34" s="689"/>
      <c r="B34" s="151"/>
      <c r="C34" s="689"/>
      <c r="D34" s="151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</row>
    <row r="35" spans="1:26" ht="15.75">
      <c r="A35" s="689"/>
      <c r="B35" s="718" t="s">
        <v>1257</v>
      </c>
      <c r="C35" s="718"/>
      <c r="D35" s="966" t="e">
        <f ca="1">+IRR(F33:Z33)</f>
        <v>#NUM!</v>
      </c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</row>
    <row r="36" spans="1:26" ht="15.75">
      <c r="A36" s="689"/>
      <c r="B36" s="718" t="s">
        <v>1255</v>
      </c>
      <c r="C36" s="151"/>
      <c r="D36" s="967" t="e">
        <f ca="1">+D35/(1-Assumptions!$BT$178)</f>
        <v>#NUM!</v>
      </c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</row>
    <row r="37" spans="1:26" ht="15.75">
      <c r="A37" s="689"/>
      <c r="B37" s="151"/>
      <c r="C37" s="689"/>
      <c r="D37" s="151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</row>
    <row r="38" spans="1:26" ht="15.75">
      <c r="A38" s="5" t="s">
        <v>511</v>
      </c>
      <c r="B38" s="112" t="s">
        <v>1258</v>
      </c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</row>
    <row r="39" spans="1:26" ht="15.75">
      <c r="B39" s="160" t="s">
        <v>1259</v>
      </c>
      <c r="C39" s="160"/>
      <c r="D39" s="160"/>
      <c r="E39" s="160"/>
      <c r="F39" s="164">
        <f ca="1">+IF(F3&lt;0,F3,0)</f>
        <v>-115496090.7446782</v>
      </c>
      <c r="G39" s="164">
        <f t="shared" ref="G39:Z39" ca="1" si="10">+IF(G3&lt;0,G3,0)</f>
        <v>0</v>
      </c>
      <c r="H39" s="164">
        <f t="shared" ca="1" si="10"/>
        <v>0</v>
      </c>
      <c r="I39" s="164">
        <f t="shared" ca="1" si="10"/>
        <v>0</v>
      </c>
      <c r="J39" s="164">
        <f t="shared" ca="1" si="10"/>
        <v>0</v>
      </c>
      <c r="K39" s="164">
        <f t="shared" ca="1" si="10"/>
        <v>-3994093.209564859</v>
      </c>
      <c r="L39" s="164">
        <f t="shared" ca="1" si="10"/>
        <v>0</v>
      </c>
      <c r="M39" s="164">
        <f t="shared" ca="1" si="10"/>
        <v>0</v>
      </c>
      <c r="N39" s="164">
        <f t="shared" ca="1" si="10"/>
        <v>0</v>
      </c>
      <c r="O39" s="164">
        <f t="shared" ca="1" si="10"/>
        <v>0</v>
      </c>
      <c r="P39" s="164">
        <f t="shared" ca="1" si="10"/>
        <v>0</v>
      </c>
      <c r="Q39" s="164">
        <f t="shared" ca="1" si="10"/>
        <v>0</v>
      </c>
      <c r="R39" s="164">
        <f t="shared" ca="1" si="10"/>
        <v>0</v>
      </c>
      <c r="S39" s="164">
        <f t="shared" ca="1" si="10"/>
        <v>0</v>
      </c>
      <c r="T39" s="164">
        <f t="shared" ca="1" si="10"/>
        <v>0</v>
      </c>
      <c r="U39" s="164">
        <f t="shared" ca="1" si="10"/>
        <v>0</v>
      </c>
      <c r="V39" s="164">
        <f t="shared" ca="1" si="10"/>
        <v>0</v>
      </c>
      <c r="W39" s="164">
        <f t="shared" ca="1" si="10"/>
        <v>0</v>
      </c>
      <c r="X39" s="164">
        <f t="shared" ca="1" si="10"/>
        <v>0</v>
      </c>
      <c r="Y39" s="164">
        <f t="shared" ca="1" si="10"/>
        <v>0</v>
      </c>
      <c r="Z39" s="164">
        <f t="shared" ca="1" si="10"/>
        <v>0</v>
      </c>
    </row>
    <row r="40" spans="1:26" ht="15.75">
      <c r="B40" s="152" t="s">
        <v>1260</v>
      </c>
      <c r="C40" s="152"/>
      <c r="D40" s="152"/>
      <c r="E40" s="152"/>
      <c r="F40" s="162">
        <f ca="1">+IF(F3&gt;0,MIN(F3,-SUM($F$39:$Z$39)-SUM($E$40:E$40)),0)</f>
        <v>0</v>
      </c>
      <c r="G40" s="162">
        <f ca="1">+IF(G3&gt;0,MIN(G3,-SUM($F$39:$Z$39)-SUM($E$40:F$40)),0)</f>
        <v>0</v>
      </c>
      <c r="H40" s="162">
        <f ca="1">+IF(H3&gt;0,MIN(H3,-SUM($F$39:$Z$39)-SUM($E$40:G$40)),0)</f>
        <v>0</v>
      </c>
      <c r="I40" s="162">
        <f ca="1">+IF(I3&gt;0,MIN(I3,-SUM($F$39:$Z$39)-SUM($E$40:H$40)),0)</f>
        <v>0</v>
      </c>
      <c r="J40" s="162">
        <f ca="1">+IF(J3&gt;0,MIN(J3,-SUM($F$39:$Z$39)-SUM($E$40:I$40)),0)</f>
        <v>30895361.55054912</v>
      </c>
      <c r="K40" s="162">
        <f ca="1">+IF(K3&gt;0,MIN(K3,-SUM($F$39:$Z$39)-SUM($E$40:J$40)),0)</f>
        <v>0</v>
      </c>
      <c r="L40" s="162">
        <f ca="1">+IF(L3&gt;0,MIN(L3,-SUM($F$39:$Z$39)-SUM($E$40:K$40)),0)</f>
        <v>4224030.042670738</v>
      </c>
      <c r="M40" s="162">
        <f ca="1">+IF(M3&gt;0,MIN(M3,-SUM($F$39:$Z$39)-SUM($E$40:L$40)),0)</f>
        <v>5756580.6697915308</v>
      </c>
      <c r="N40" s="162">
        <f ca="1">+IF(N3&gt;0,MIN(N3,-SUM($F$39:$Z$39)-SUM($E$40:M$40)),0)</f>
        <v>6274115.0239319988</v>
      </c>
      <c r="O40" s="162">
        <f ca="1">+IF(O3&gt;0,MIN(O3,-SUM($F$39:$Z$39)-SUM($E$40:N$40)),0)</f>
        <v>6807175.408696685</v>
      </c>
      <c r="P40" s="162">
        <f ca="1">+IF(P3&gt;0,MIN(P3,-SUM($F$39:$Z$39)-SUM($E$40:O$40)),0)</f>
        <v>65532921.258602992</v>
      </c>
      <c r="Q40" s="162">
        <f ca="1">+IF(Q3&gt;0,MIN(Q3,-SUM($F$39:$Z$39)-SUM($E$40:P$40)),0)</f>
        <v>0</v>
      </c>
      <c r="R40" s="162">
        <f ca="1">+IF(R3&gt;0,MIN(R3,-SUM($F$39:$Z$39)-SUM($E$40:Q$40)),0)</f>
        <v>0</v>
      </c>
      <c r="S40" s="162">
        <f ca="1">+IF(S3&gt;0,MIN(S3,-SUM($F$39:$Z$39)-SUM($E$40:R$40)),0)</f>
        <v>0</v>
      </c>
      <c r="T40" s="162">
        <f ca="1">+IF(T3&gt;0,MIN(T3,-SUM($F$39:$Z$39)-SUM($E$40:S$40)),0)</f>
        <v>0</v>
      </c>
      <c r="U40" s="162">
        <f ca="1">+IF(U3&gt;0,MIN(U3,-SUM($F$39:$Z$39)-SUM($E$40:T$40)),0)</f>
        <v>0</v>
      </c>
      <c r="V40" s="162">
        <f ca="1">+IF(V3&gt;0,MIN(V3,-SUM($F$39:$Z$39)-SUM($E$40:U$40)),0)</f>
        <v>0</v>
      </c>
      <c r="W40" s="162">
        <f ca="1">+IF(W3&gt;0,MIN(W3,-SUM($F$39:$Z$39)-SUM($E$40:V$40)),0)</f>
        <v>0</v>
      </c>
      <c r="X40" s="162">
        <f ca="1">+IF(X3&gt;0,MIN(X3,-SUM($F$39:$Z$39)-SUM($E$40:W$40)),0)</f>
        <v>0</v>
      </c>
      <c r="Y40" s="162">
        <f ca="1">+IF(Y3&gt;0,MIN(Y3,-SUM($F$39:$Z$39)-SUM($E$40:X$40)),0)</f>
        <v>0</v>
      </c>
      <c r="Z40" s="162">
        <f ca="1">+IF(Z3&gt;0,MIN(Z3,-SUM($F$39:$Z$39)-SUM($E$40:Y$40)),0)</f>
        <v>0</v>
      </c>
    </row>
    <row r="41" spans="1:26" ht="15.75">
      <c r="B41" s="160" t="s">
        <v>1261</v>
      </c>
      <c r="C41" s="160"/>
      <c r="D41" s="160"/>
      <c r="E41" s="160"/>
      <c r="F41" s="164">
        <f>+IF(F4&lt;0,F4,0)</f>
        <v>0</v>
      </c>
      <c r="G41" s="164">
        <f t="shared" ref="G41:Z41" si="11">+IF(G4&lt;0,G4,0)</f>
        <v>0</v>
      </c>
      <c r="H41" s="164">
        <f t="shared" si="11"/>
        <v>0</v>
      </c>
      <c r="I41" s="164">
        <f t="shared" ca="1" si="11"/>
        <v>-29640547.373204827</v>
      </c>
      <c r="J41" s="164">
        <f t="shared" ca="1" si="11"/>
        <v>0</v>
      </c>
      <c r="K41" s="164">
        <f t="shared" ca="1" si="11"/>
        <v>0</v>
      </c>
      <c r="L41" s="164">
        <f t="shared" ca="1" si="11"/>
        <v>0</v>
      </c>
      <c r="M41" s="164">
        <f t="shared" ca="1" si="11"/>
        <v>-4809205.8513759598</v>
      </c>
      <c r="N41" s="164">
        <f t="shared" ca="1" si="11"/>
        <v>0</v>
      </c>
      <c r="O41" s="164">
        <f t="shared" ca="1" si="11"/>
        <v>0</v>
      </c>
      <c r="P41" s="164">
        <f t="shared" ca="1" si="11"/>
        <v>0</v>
      </c>
      <c r="Q41" s="164">
        <f t="shared" ca="1" si="11"/>
        <v>0</v>
      </c>
      <c r="R41" s="164">
        <f t="shared" ca="1" si="11"/>
        <v>0</v>
      </c>
      <c r="S41" s="164">
        <f t="shared" ca="1" si="11"/>
        <v>0</v>
      </c>
      <c r="T41" s="164">
        <f t="shared" ca="1" si="11"/>
        <v>0</v>
      </c>
      <c r="U41" s="164">
        <f t="shared" ca="1" si="11"/>
        <v>0</v>
      </c>
      <c r="V41" s="164">
        <f t="shared" ca="1" si="11"/>
        <v>0</v>
      </c>
      <c r="W41" s="164">
        <f t="shared" ca="1" si="11"/>
        <v>0</v>
      </c>
      <c r="X41" s="164">
        <f t="shared" ca="1" si="11"/>
        <v>0</v>
      </c>
      <c r="Y41" s="164">
        <f t="shared" ca="1" si="11"/>
        <v>0</v>
      </c>
      <c r="Z41" s="164">
        <f t="shared" ca="1" si="11"/>
        <v>0</v>
      </c>
    </row>
    <row r="42" spans="1:26" ht="15.75">
      <c r="B42" s="152" t="s">
        <v>1262</v>
      </c>
      <c r="C42" s="152"/>
      <c r="D42" s="152"/>
      <c r="E42" s="152"/>
      <c r="F42" s="162">
        <f>+IF(F4&gt;0,MIN(F4,-SUM($F$41:$Z$41)-SUM($E$42:E$42)),0)</f>
        <v>0</v>
      </c>
      <c r="G42" s="162">
        <f>+IF(G4&gt;0,MIN(G4,-SUM($F$41:$Z$41)-SUM($E$42:F$42)),0)</f>
        <v>0</v>
      </c>
      <c r="H42" s="162">
        <f>+IF(H4&gt;0,MIN(H4,-SUM($F$41:$Z$41)-SUM($E$42:G$42)),0)</f>
        <v>0</v>
      </c>
      <c r="I42" s="162">
        <f ca="1">+IF(I4&gt;0,MIN(I4,-SUM($F$41:$Z$41)-SUM($E$42:H$42)),0)</f>
        <v>0</v>
      </c>
      <c r="J42" s="162">
        <f ca="1">+IF(J4&gt;0,MIN(J4,-SUM($F$41:$Z$41)-SUM($E$42:I$42)),0)</f>
        <v>0</v>
      </c>
      <c r="K42" s="162">
        <f ca="1">+IF(K4&gt;0,MIN(K4,-SUM($F$41:$Z$41)-SUM($E$42:J$42)),0)</f>
        <v>0</v>
      </c>
      <c r="L42" s="162">
        <f ca="1">+IF(L4&gt;0,MIN(L4,-SUM($F$41:$Z$41)-SUM($E$42:K$42)),0)</f>
        <v>19031441.973054491</v>
      </c>
      <c r="M42" s="162">
        <f ca="1">+IF(M4&gt;0,MIN(M4,-SUM($F$41:$Z$41)-SUM($E$42:L$42)),0)</f>
        <v>0</v>
      </c>
      <c r="N42" s="162">
        <f ca="1">+IF(N4&gt;0,MIN(N4,-SUM($F$41:$Z$41)-SUM($E$42:M$42)),0)</f>
        <v>3831454.3700697683</v>
      </c>
      <c r="O42" s="162">
        <f ca="1">+IF(O4&gt;0,MIN(O4,-SUM($F$41:$Z$41)-SUM($E$42:N$42)),0)</f>
        <v>5403807.7384106964</v>
      </c>
      <c r="P42" s="162">
        <f ca="1">+IF(P4&gt;0,MIN(P4,-SUM($F$41:$Z$41)-SUM($E$42:O$42)),0)</f>
        <v>6183049.1430458315</v>
      </c>
      <c r="Q42" s="162">
        <f ca="1">+IF(Q4&gt;0,MIN(Q4,-SUM($F$41:$Z$41)-SUM($E$42:P$42)),0)</f>
        <v>0</v>
      </c>
      <c r="R42" s="162">
        <f ca="1">+IF(R4&gt;0,MIN(R4,-SUM($F$41:$Z$41)-SUM($E$42:Q$42)),0)</f>
        <v>0</v>
      </c>
      <c r="S42" s="162">
        <f ca="1">+IF(S4&gt;0,MIN(S4,-SUM($F$41:$Z$41)-SUM($E$42:R$42)),0)</f>
        <v>0</v>
      </c>
      <c r="T42" s="162">
        <f ca="1">+IF(T4&gt;0,MIN(T4,-SUM($F$41:$Z$41)-SUM($E$42:S$42)),0)</f>
        <v>0</v>
      </c>
      <c r="U42" s="162">
        <f ca="1">+IF(U4&gt;0,MIN(U4,-SUM($F$41:$Z$41)-SUM($E$42:T$42)),0)</f>
        <v>0</v>
      </c>
      <c r="V42" s="162">
        <f ca="1">+IF(V4&gt;0,MIN(V4,-SUM($F$41:$Z$41)-SUM($E$42:U$42)),0)</f>
        <v>0</v>
      </c>
      <c r="W42" s="162">
        <f ca="1">+IF(W4&gt;0,MIN(W4,-SUM($F$41:$Z$41)-SUM($E$42:V$42)),0)</f>
        <v>0</v>
      </c>
      <c r="X42" s="162">
        <f ca="1">+IF(X4&gt;0,MIN(X4,-SUM($F$41:$Z$41)-SUM($E$42:W$42)),0)</f>
        <v>0</v>
      </c>
      <c r="Y42" s="162">
        <f ca="1">+IF(Y4&gt;0,MIN(Y4,-SUM($F$41:$Z$41)-SUM($E$42:X$42)),0)</f>
        <v>0</v>
      </c>
      <c r="Z42" s="162">
        <f ca="1">+IF(Z4&gt;0,MIN(Z4,-SUM($F$41:$Z$41)-SUM($E$42:Y$42)),0)</f>
        <v>0</v>
      </c>
    </row>
    <row r="43" spans="1:26" ht="15.75">
      <c r="B43" s="160" t="s">
        <v>1263</v>
      </c>
      <c r="C43" s="160"/>
      <c r="D43" s="160"/>
      <c r="E43" s="160"/>
      <c r="F43" s="164">
        <f>+IF(F5&lt;0,F5,0)</f>
        <v>0</v>
      </c>
      <c r="G43" s="164">
        <f t="shared" ref="G43:Z43" si="12">+IF(G5&lt;0,G5,0)</f>
        <v>0</v>
      </c>
      <c r="H43" s="164">
        <f t="shared" si="12"/>
        <v>0</v>
      </c>
      <c r="I43" s="164">
        <f t="shared" si="12"/>
        <v>0</v>
      </c>
      <c r="J43" s="164">
        <f t="shared" si="12"/>
        <v>0</v>
      </c>
      <c r="K43" s="164">
        <f t="shared" ca="1" si="12"/>
        <v>-97022022.157049507</v>
      </c>
      <c r="L43" s="164">
        <f t="shared" ca="1" si="12"/>
        <v>-49132172.1320723</v>
      </c>
      <c r="M43" s="164">
        <f t="shared" ca="1" si="12"/>
        <v>0</v>
      </c>
      <c r="N43" s="164">
        <f t="shared" ca="1" si="12"/>
        <v>0</v>
      </c>
      <c r="O43" s="164">
        <f t="shared" ca="1" si="12"/>
        <v>0</v>
      </c>
      <c r="P43" s="164">
        <f t="shared" ca="1" si="12"/>
        <v>0</v>
      </c>
      <c r="Q43" s="164">
        <f t="shared" ca="1" si="12"/>
        <v>0</v>
      </c>
      <c r="R43" s="164">
        <f t="shared" ca="1" si="12"/>
        <v>0</v>
      </c>
      <c r="S43" s="164">
        <f t="shared" ca="1" si="12"/>
        <v>0</v>
      </c>
      <c r="T43" s="164">
        <f t="shared" ca="1" si="12"/>
        <v>0</v>
      </c>
      <c r="U43" s="164">
        <f t="shared" ca="1" si="12"/>
        <v>0</v>
      </c>
      <c r="V43" s="164">
        <f t="shared" ca="1" si="12"/>
        <v>0</v>
      </c>
      <c r="W43" s="164">
        <f t="shared" ca="1" si="12"/>
        <v>0</v>
      </c>
      <c r="X43" s="164">
        <f t="shared" ca="1" si="12"/>
        <v>0</v>
      </c>
      <c r="Y43" s="164">
        <f t="shared" ca="1" si="12"/>
        <v>0</v>
      </c>
      <c r="Z43" s="164">
        <f t="shared" ca="1" si="12"/>
        <v>0</v>
      </c>
    </row>
    <row r="44" spans="1:26" ht="15.75">
      <c r="B44" s="152" t="s">
        <v>1264</v>
      </c>
      <c r="C44" s="152"/>
      <c r="D44" s="152"/>
      <c r="E44" s="152"/>
      <c r="F44" s="162">
        <f>+IF(F5&gt;0,MIN(F5,-SUM($F$43:$Z$43)-SUM($E$44:E$44)),0)</f>
        <v>0</v>
      </c>
      <c r="G44" s="162">
        <f>+IF(G5&gt;0,MIN(G5,-SUM($F$43:$Z$43)-SUM($E$44:F$44)),0)</f>
        <v>0</v>
      </c>
      <c r="H44" s="162">
        <f>+IF(H5&gt;0,MIN(H5,-SUM($F$43:$Z$43)-SUM($E$44:G$44)),0)</f>
        <v>0</v>
      </c>
      <c r="I44" s="162">
        <f>+IF(I5&gt;0,MIN(I5,-SUM($F$43:$Z$43)-SUM($E$44:H$44)),0)</f>
        <v>0</v>
      </c>
      <c r="J44" s="162">
        <f>+IF(J5&gt;0,MIN(J5,-SUM($F$43:$Z$43)-SUM($E$44:I$44)),0)</f>
        <v>0</v>
      </c>
      <c r="K44" s="162">
        <f ca="1">+IF(K5&gt;0,MIN(K5,-SUM($F$43:$Z$43)-SUM($E$44:J$44)),0)</f>
        <v>0</v>
      </c>
      <c r="L44" s="162">
        <f ca="1">+IF(L5&gt;0,MIN(L5,-SUM($F$43:$Z$43)-SUM($E$44:K$44)),0)</f>
        <v>0</v>
      </c>
      <c r="M44" s="162">
        <f ca="1">+IF(M5&gt;0,MIN(M5,-SUM($F$43:$Z$43)-SUM($E$44:L$44)),0)</f>
        <v>0</v>
      </c>
      <c r="N44" s="162">
        <f ca="1">+IF(N5&gt;0,MIN(N5,-SUM($F$43:$Z$43)-SUM($E$44:M$44)),0)</f>
        <v>5387089.9090670114</v>
      </c>
      <c r="O44" s="162">
        <f ca="1">+IF(O5&gt;0,MIN(O5,-SUM($F$43:$Z$43)-SUM($E$44:N$44)),0)</f>
        <v>12542647.392375777</v>
      </c>
      <c r="P44" s="162">
        <f ca="1">+IF(P5&gt;0,MIN(P5,-SUM($F$43:$Z$43)-SUM($E$44:O$44)),0)</f>
        <v>128224456.98767902</v>
      </c>
      <c r="Q44" s="162">
        <f ca="1">+IF(Q5&gt;0,MIN(Q5,-SUM($F$43:$Z$43)-SUM($E$44:P$44)),0)</f>
        <v>0</v>
      </c>
      <c r="R44" s="162">
        <f ca="1">+IF(R5&gt;0,MIN(R5,-SUM($F$43:$Z$43)-SUM($E$44:Q$44)),0)</f>
        <v>0</v>
      </c>
      <c r="S44" s="162">
        <f ca="1">+IF(S5&gt;0,MIN(S5,-SUM($F$43:$Z$43)-SUM($E$44:R$44)),0)</f>
        <v>0</v>
      </c>
      <c r="T44" s="162">
        <f ca="1">+IF(T5&gt;0,MIN(T5,-SUM($F$43:$Z$43)-SUM($E$44:S$44)),0)</f>
        <v>0</v>
      </c>
      <c r="U44" s="162">
        <f ca="1">+IF(U5&gt;0,MIN(U5,-SUM($F$43:$Z$43)-SUM($E$44:T$44)),0)</f>
        <v>0</v>
      </c>
      <c r="V44" s="162">
        <f ca="1">+IF(V5&gt;0,MIN(V5,-SUM($F$43:$Z$43)-SUM($E$44:U$44)),0)</f>
        <v>0</v>
      </c>
      <c r="W44" s="162">
        <f ca="1">+IF(W5&gt;0,MIN(W5,-SUM($F$43:$Z$43)-SUM($E$44:V$44)),0)</f>
        <v>0</v>
      </c>
      <c r="X44" s="162">
        <f ca="1">+IF(X5&gt;0,MIN(X5,-SUM($F$43:$Z$43)-SUM($E$44:W$44)),0)</f>
        <v>0</v>
      </c>
      <c r="Y44" s="162">
        <f ca="1">+IF(Y5&gt;0,MIN(Y5,-SUM($F$43:$Z$43)-SUM($E$44:X$44)),0)</f>
        <v>0</v>
      </c>
      <c r="Z44" s="162">
        <f ca="1">+IF(Z5&gt;0,MIN(Z5,-SUM($F$43:$Z$43)-SUM($E$44:Y$44)),0)</f>
        <v>0</v>
      </c>
    </row>
    <row r="45" spans="1:26" ht="15.75">
      <c r="B45" s="92" t="s">
        <v>1265</v>
      </c>
      <c r="C45" s="92"/>
      <c r="D45" s="92"/>
      <c r="E45" s="92"/>
      <c r="F45" s="164">
        <f ca="1">+IF(F6&lt;0,F6,0)</f>
        <v>-115496090.7446782</v>
      </c>
      <c r="G45" s="164">
        <f t="shared" ref="G45:Z45" ca="1" si="13">+IF(G6&lt;0,G6,0)</f>
        <v>0</v>
      </c>
      <c r="H45" s="164">
        <f t="shared" ca="1" si="13"/>
        <v>0</v>
      </c>
      <c r="I45" s="164">
        <f t="shared" ca="1" si="13"/>
        <v>-29640547.373204827</v>
      </c>
      <c r="J45" s="164">
        <f t="shared" ca="1" si="13"/>
        <v>0</v>
      </c>
      <c r="K45" s="164">
        <f t="shared" ca="1" si="13"/>
        <v>-101016115.36661437</v>
      </c>
      <c r="L45" s="164">
        <f t="shared" ca="1" si="13"/>
        <v>-25876700.116347071</v>
      </c>
      <c r="M45" s="164">
        <f t="shared" ca="1" si="13"/>
        <v>0</v>
      </c>
      <c r="N45" s="164">
        <f t="shared" ca="1" si="13"/>
        <v>0</v>
      </c>
      <c r="O45" s="164">
        <f t="shared" ca="1" si="13"/>
        <v>0</v>
      </c>
      <c r="P45" s="164">
        <f t="shared" ca="1" si="13"/>
        <v>0</v>
      </c>
      <c r="Q45" s="164">
        <f t="shared" ca="1" si="13"/>
        <v>0</v>
      </c>
      <c r="R45" s="164">
        <f t="shared" ca="1" si="13"/>
        <v>0</v>
      </c>
      <c r="S45" s="164">
        <f t="shared" ca="1" si="13"/>
        <v>0</v>
      </c>
      <c r="T45" s="164">
        <f t="shared" ca="1" si="13"/>
        <v>0</v>
      </c>
      <c r="U45" s="164">
        <f t="shared" ca="1" si="13"/>
        <v>0</v>
      </c>
      <c r="V45" s="164">
        <f t="shared" ca="1" si="13"/>
        <v>0</v>
      </c>
      <c r="W45" s="164">
        <f t="shared" ca="1" si="13"/>
        <v>0</v>
      </c>
      <c r="X45" s="164">
        <f t="shared" ca="1" si="13"/>
        <v>0</v>
      </c>
      <c r="Y45" s="164">
        <f t="shared" ca="1" si="13"/>
        <v>0</v>
      </c>
      <c r="Z45" s="164">
        <f t="shared" ca="1" si="13"/>
        <v>0</v>
      </c>
    </row>
    <row r="46" spans="1:26" ht="15.75">
      <c r="B46" s="95" t="s">
        <v>1266</v>
      </c>
      <c r="C46" s="95"/>
      <c r="D46" s="95"/>
      <c r="E46" s="95"/>
      <c r="F46" s="162">
        <f ca="1">+IF(F6&gt;0,MIN(F6,-SUM($F$45:$Z$45)-SUM($E$46:E46)),0)</f>
        <v>0</v>
      </c>
      <c r="G46" s="162">
        <f ca="1">+IF(G6&gt;0,MIN(G6,-SUM($F$45:$Z$45)-SUM($E$46:F46)),0)</f>
        <v>0</v>
      </c>
      <c r="H46" s="162">
        <f ca="1">+IF(H6&gt;0,MIN(H6,-SUM($F$45:$Z$45)-SUM($E$46:G46)),0)</f>
        <v>0</v>
      </c>
      <c r="I46" s="162">
        <f ca="1">+IF(I6&gt;0,MIN(I6,-SUM($F$45:$Z$45)-SUM($E$46:H46)),0)</f>
        <v>0</v>
      </c>
      <c r="J46" s="162">
        <f ca="1">+IF(J6&gt;0,MIN(J6,-SUM($F$45:$Z$45)-SUM($E$46:I46)),0)</f>
        <v>30895361.55054912</v>
      </c>
      <c r="K46" s="162">
        <f ca="1">+IF(K6&gt;0,MIN(K6,-SUM($F$45:$Z$45)-SUM($E$46:J46)),0)</f>
        <v>0</v>
      </c>
      <c r="L46" s="162">
        <f ca="1">+IF(L6&gt;0,MIN(L6,-SUM($F$45:$Z$45)-SUM($E$46:K46)),0)</f>
        <v>0</v>
      </c>
      <c r="M46" s="162">
        <f ca="1">+IF(M6&gt;0,MIN(M6,-SUM($F$45:$Z$45)-SUM($E$46:L46)),0)</f>
        <v>947374.818415571</v>
      </c>
      <c r="N46" s="162">
        <f ca="1">+IF(N6&gt;0,MIN(N6,-SUM($F$45:$Z$45)-SUM($E$46:M46)),0)</f>
        <v>15492659.303068779</v>
      </c>
      <c r="O46" s="162">
        <f ca="1">+IF(O6&gt;0,MIN(O6,-SUM($F$45:$Z$45)-SUM($E$46:N46)),0)</f>
        <v>24753630.53948316</v>
      </c>
      <c r="P46" s="162">
        <f ca="1">+IF(P6&gt;0,MIN(P6,-SUM($F$45:$Z$45)-SUM($E$46:O46)),0)</f>
        <v>199940427.38932782</v>
      </c>
      <c r="Q46" s="162">
        <f ca="1">+IF(Q6&gt;0,MIN(Q6,-SUM($F$45:$Z$45)-SUM($E$46:P46)),0)</f>
        <v>0</v>
      </c>
      <c r="R46" s="162">
        <f ca="1">+IF(R6&gt;0,MIN(R6,-SUM($F$45:$Z$45)-SUM($E$46:Q46)),0)</f>
        <v>0</v>
      </c>
      <c r="S46" s="162">
        <f ca="1">+IF(S6&gt;0,MIN(S6,-SUM($F$45:$Z$45)-SUM($E$46:R46)),0)</f>
        <v>0</v>
      </c>
      <c r="T46" s="162">
        <f ca="1">+IF(T6&gt;0,MIN(T6,-SUM($F$45:$Z$45)-SUM($E$46:S46)),0)</f>
        <v>0</v>
      </c>
      <c r="U46" s="162">
        <f ca="1">+IF(U6&gt;0,MIN(U6,-SUM($F$45:$Z$45)-SUM($E$46:T46)),0)</f>
        <v>0</v>
      </c>
      <c r="V46" s="162">
        <f ca="1">+IF(V6&gt;0,MIN(V6,-SUM($F$45:$Z$45)-SUM($E$46:U46)),0)</f>
        <v>0</v>
      </c>
      <c r="W46" s="162">
        <f ca="1">+IF(W6&gt;0,MIN(W6,-SUM($F$45:$Z$45)-SUM($E$46:V46)),0)</f>
        <v>0</v>
      </c>
      <c r="X46" s="162">
        <f ca="1">+IF(X6&gt;0,MIN(X6,-SUM($F$45:$Z$45)-SUM($E$46:W46)),0)</f>
        <v>0</v>
      </c>
      <c r="Y46" s="162">
        <f ca="1">+IF(Y6&gt;0,MIN(Y6,-SUM($F$45:$Z$45)-SUM($E$46:X46)),0)</f>
        <v>0</v>
      </c>
      <c r="Z46" s="162">
        <f ca="1">+IF(Z6&gt;0,MIN(Z6,-SUM($F$45:$Z$45)-SUM($E$46:Y46)),0)</f>
        <v>0</v>
      </c>
    </row>
    <row r="47" spans="1:26" ht="15.75">
      <c r="B47" s="81" t="s">
        <v>1267</v>
      </c>
      <c r="C47" s="49"/>
      <c r="D47" s="49"/>
      <c r="E47" s="49"/>
      <c r="F47" s="163">
        <f>+F2</f>
        <v>45291</v>
      </c>
      <c r="G47" s="163">
        <f t="shared" ref="G47:Z47" si="14">+G2</f>
        <v>45657</v>
      </c>
      <c r="H47" s="163">
        <f t="shared" si="14"/>
        <v>46022</v>
      </c>
      <c r="I47" s="163">
        <f t="shared" si="14"/>
        <v>46387</v>
      </c>
      <c r="J47" s="163">
        <f t="shared" si="14"/>
        <v>46752</v>
      </c>
      <c r="K47" s="163">
        <f t="shared" si="14"/>
        <v>47118</v>
      </c>
      <c r="L47" s="163">
        <f t="shared" si="14"/>
        <v>47483</v>
      </c>
      <c r="M47" s="163">
        <f t="shared" si="14"/>
        <v>47848</v>
      </c>
      <c r="N47" s="163">
        <f t="shared" si="14"/>
        <v>48213</v>
      </c>
      <c r="O47" s="163">
        <f t="shared" si="14"/>
        <v>48579</v>
      </c>
      <c r="P47" s="163">
        <f t="shared" si="14"/>
        <v>48944</v>
      </c>
      <c r="Q47" s="163">
        <f t="shared" si="14"/>
        <v>49309</v>
      </c>
      <c r="R47" s="163">
        <f t="shared" si="14"/>
        <v>49674</v>
      </c>
      <c r="S47" s="163">
        <f t="shared" si="14"/>
        <v>50040</v>
      </c>
      <c r="T47" s="163">
        <f t="shared" si="14"/>
        <v>50405</v>
      </c>
      <c r="U47" s="163">
        <f t="shared" si="14"/>
        <v>50770</v>
      </c>
      <c r="V47" s="163">
        <f t="shared" si="14"/>
        <v>51135</v>
      </c>
      <c r="W47" s="163">
        <f t="shared" si="14"/>
        <v>51501</v>
      </c>
      <c r="X47" s="163">
        <f t="shared" si="14"/>
        <v>51866</v>
      </c>
      <c r="Y47" s="163">
        <f t="shared" si="14"/>
        <v>52231</v>
      </c>
      <c r="Z47" s="163">
        <f t="shared" si="14"/>
        <v>52596</v>
      </c>
    </row>
    <row r="48" spans="1:26" ht="15.75">
      <c r="B48" s="49" t="s">
        <v>174</v>
      </c>
      <c r="C48" s="49"/>
      <c r="D48" s="49"/>
      <c r="E48" s="49"/>
      <c r="F48" s="90">
        <f ca="1">-SUM($F39:F40)</f>
        <v>115496090.7446782</v>
      </c>
      <c r="G48" s="90">
        <f ca="1">-SUM($F39:G40)</f>
        <v>115496090.7446782</v>
      </c>
      <c r="H48" s="90">
        <f ca="1">-SUM($F39:H40)</f>
        <v>115496090.7446782</v>
      </c>
      <c r="I48" s="90">
        <f ca="1">-SUM($F39:I40)</f>
        <v>115496090.7446782</v>
      </c>
      <c r="J48" s="90">
        <f ca="1">-SUM($F39:J40)</f>
        <v>84600729.19412908</v>
      </c>
      <c r="K48" s="90">
        <f ca="1">-SUM($F39:K40)</f>
        <v>88594822.403693944</v>
      </c>
      <c r="L48" s="90">
        <f ca="1">-SUM($F39:L40)</f>
        <v>84370792.361023203</v>
      </c>
      <c r="M48" s="90">
        <f ca="1">-SUM($F39:M40)</f>
        <v>78614211.691231668</v>
      </c>
      <c r="N48" s="90">
        <f ca="1">-SUM($F39:N40)</f>
        <v>72340096.667299673</v>
      </c>
      <c r="O48" s="90">
        <f ca="1">-SUM($F39:O40)</f>
        <v>65532921.258602992</v>
      </c>
      <c r="P48" s="90">
        <f ca="1">-SUM($F39:P40)</f>
        <v>0</v>
      </c>
      <c r="Q48" s="90">
        <f ca="1">-SUM($F39:Q40)</f>
        <v>0</v>
      </c>
      <c r="R48" s="90">
        <f ca="1">-SUM($F39:R40)</f>
        <v>0</v>
      </c>
      <c r="S48" s="90">
        <f ca="1">-SUM($F39:S40)</f>
        <v>0</v>
      </c>
      <c r="T48" s="90">
        <f ca="1">-SUM($F39:T40)</f>
        <v>0</v>
      </c>
      <c r="U48" s="90">
        <f ca="1">-SUM($F39:U40)</f>
        <v>0</v>
      </c>
      <c r="V48" s="90">
        <f ca="1">-SUM($F39:V40)</f>
        <v>0</v>
      </c>
      <c r="W48" s="90">
        <f ca="1">-SUM($F39:W40)</f>
        <v>0</v>
      </c>
      <c r="X48" s="90">
        <f ca="1">-SUM($F39:X40)</f>
        <v>0</v>
      </c>
      <c r="Y48" s="90">
        <f ca="1">-SUM($F39:Y40)</f>
        <v>0</v>
      </c>
      <c r="Z48" s="90">
        <f ca="1">-SUM($F39:Z40)</f>
        <v>0</v>
      </c>
    </row>
    <row r="49" spans="1:26" ht="15.75">
      <c r="B49" s="49" t="s">
        <v>175</v>
      </c>
      <c r="C49" s="49"/>
      <c r="D49" s="49"/>
      <c r="E49" s="49"/>
      <c r="F49" s="90">
        <f>-SUM($F41:F42)</f>
        <v>0</v>
      </c>
      <c r="G49" s="90">
        <f>-SUM($F41:G42)</f>
        <v>0</v>
      </c>
      <c r="H49" s="90">
        <f>-SUM($F41:H42)</f>
        <v>0</v>
      </c>
      <c r="I49" s="90">
        <f ca="1">-SUM($F41:I42)</f>
        <v>29640547.373204827</v>
      </c>
      <c r="J49" s="90">
        <f ca="1">-SUM($F41:J42)</f>
        <v>29640547.373204827</v>
      </c>
      <c r="K49" s="90">
        <f ca="1">-SUM($F41:K42)</f>
        <v>29640547.373204827</v>
      </c>
      <c r="L49" s="90">
        <f ca="1">-SUM($F41:L42)</f>
        <v>10609105.400150336</v>
      </c>
      <c r="M49" s="90">
        <f ca="1">-SUM($F41:M42)</f>
        <v>15418311.251526296</v>
      </c>
      <c r="N49" s="90">
        <f ca="1">-SUM($F41:N42)</f>
        <v>11586856.881456528</v>
      </c>
      <c r="O49" s="90">
        <f ca="1">-SUM($F41:O42)</f>
        <v>6183049.1430458315</v>
      </c>
      <c r="P49" s="90">
        <f ca="1">-SUM($F41:P42)</f>
        <v>0</v>
      </c>
      <c r="Q49" s="90">
        <f ca="1">-SUM($F41:Q42)</f>
        <v>0</v>
      </c>
      <c r="R49" s="90">
        <f ca="1">-SUM($F41:R42)</f>
        <v>0</v>
      </c>
      <c r="S49" s="90">
        <f ca="1">-SUM($F41:S42)</f>
        <v>0</v>
      </c>
      <c r="T49" s="90">
        <f ca="1">-SUM($F41:T42)</f>
        <v>0</v>
      </c>
      <c r="U49" s="90">
        <f ca="1">-SUM($F41:U42)</f>
        <v>0</v>
      </c>
      <c r="V49" s="90">
        <f ca="1">-SUM($F41:V42)</f>
        <v>0</v>
      </c>
      <c r="W49" s="90">
        <f ca="1">-SUM($F41:W42)</f>
        <v>0</v>
      </c>
      <c r="X49" s="90">
        <f ca="1">-SUM($F41:X42)</f>
        <v>0</v>
      </c>
      <c r="Y49" s="90">
        <f ca="1">-SUM($F41:Y42)</f>
        <v>0</v>
      </c>
      <c r="Z49" s="90">
        <f ca="1">-SUM($F41:Z42)</f>
        <v>0</v>
      </c>
    </row>
    <row r="50" spans="1:26" ht="15.75">
      <c r="B50" s="49" t="s">
        <v>176</v>
      </c>
      <c r="C50" s="49"/>
      <c r="D50" s="49"/>
      <c r="E50" s="49"/>
      <c r="F50" s="90">
        <f>-SUM($F43:F44)</f>
        <v>0</v>
      </c>
      <c r="G50" s="90">
        <f>-SUM($F43:G44)</f>
        <v>0</v>
      </c>
      <c r="H50" s="90">
        <f>-SUM($F43:H44)</f>
        <v>0</v>
      </c>
      <c r="I50" s="90">
        <f>-SUM($F43:I44)</f>
        <v>0</v>
      </c>
      <c r="J50" s="90">
        <f>-SUM($F43:J44)</f>
        <v>0</v>
      </c>
      <c r="K50" s="90">
        <f ca="1">-SUM($F43:K44)</f>
        <v>97022022.157049507</v>
      </c>
      <c r="L50" s="90">
        <f ca="1">-SUM($F43:L44)</f>
        <v>146154194.28912181</v>
      </c>
      <c r="M50" s="90">
        <f ca="1">-SUM($F43:M44)</f>
        <v>146154194.28912181</v>
      </c>
      <c r="N50" s="90">
        <f ca="1">-SUM($F43:N44)</f>
        <v>140767104.3800548</v>
      </c>
      <c r="O50" s="90">
        <f ca="1">-SUM($F43:O44)</f>
        <v>128224456.98767902</v>
      </c>
      <c r="P50" s="90">
        <f ca="1">-SUM($F43:P44)</f>
        <v>0</v>
      </c>
      <c r="Q50" s="90">
        <f ca="1">-SUM($F43:Q44)</f>
        <v>0</v>
      </c>
      <c r="R50" s="90">
        <f ca="1">-SUM($F43:R44)</f>
        <v>0</v>
      </c>
      <c r="S50" s="90">
        <f ca="1">-SUM($F43:S44)</f>
        <v>0</v>
      </c>
      <c r="T50" s="90">
        <f ca="1">-SUM($F43:T44)</f>
        <v>0</v>
      </c>
      <c r="U50" s="90">
        <f ca="1">-SUM($F43:U44)</f>
        <v>0</v>
      </c>
      <c r="V50" s="90">
        <f ca="1">-SUM($F43:V44)</f>
        <v>0</v>
      </c>
      <c r="W50" s="90">
        <f ca="1">-SUM($F43:W44)</f>
        <v>0</v>
      </c>
      <c r="X50" s="90">
        <f ca="1">-SUM($F43:X44)</f>
        <v>0</v>
      </c>
      <c r="Y50" s="90">
        <f ca="1">-SUM($F43:Y44)</f>
        <v>0</v>
      </c>
      <c r="Z50" s="90">
        <f ca="1">-SUM($F43:Z44)</f>
        <v>0</v>
      </c>
    </row>
    <row r="51" spans="1:26" ht="15.75">
      <c r="B51" s="49" t="s">
        <v>1268</v>
      </c>
      <c r="C51" s="49"/>
      <c r="D51" s="49"/>
      <c r="E51" s="49"/>
      <c r="F51" s="90">
        <f ca="1">-SUM($F45:F46)</f>
        <v>115496090.7446782</v>
      </c>
      <c r="G51" s="90">
        <f ca="1">-SUM($F45:G46)</f>
        <v>115496090.7446782</v>
      </c>
      <c r="H51" s="90">
        <f ca="1">-SUM($F45:H46)</f>
        <v>115496090.7446782</v>
      </c>
      <c r="I51" s="90">
        <f ca="1">-SUM($F45:I46)</f>
        <v>145136638.11788303</v>
      </c>
      <c r="J51" s="90">
        <f ca="1">-SUM($F45:J46)</f>
        <v>114241276.56733391</v>
      </c>
      <c r="K51" s="90">
        <f ca="1">-SUM($F45:K46)</f>
        <v>215257391.93394828</v>
      </c>
      <c r="L51" s="90">
        <f ca="1">-SUM($F45:L46)</f>
        <v>241134092.05029532</v>
      </c>
      <c r="M51" s="90">
        <f ca="1">-SUM($F45:M46)</f>
        <v>240186717.23187974</v>
      </c>
      <c r="N51" s="90">
        <f ca="1">-SUM($F45:N46)</f>
        <v>224694057.92881095</v>
      </c>
      <c r="O51" s="90">
        <f ca="1">-SUM($F45:O46)</f>
        <v>199940427.38932779</v>
      </c>
      <c r="P51" s="90">
        <f ca="1">-SUM($F45:P46)</f>
        <v>0</v>
      </c>
      <c r="Q51" s="90">
        <f ca="1">-SUM($F45:Q46)</f>
        <v>-2.9802322387695313E-8</v>
      </c>
      <c r="R51" s="90">
        <f ca="1">-SUM($F45:R46)</f>
        <v>-2.9802322387695313E-8</v>
      </c>
      <c r="S51" s="90">
        <f ca="1">-SUM($F45:S46)</f>
        <v>-2.9802322387695313E-8</v>
      </c>
      <c r="T51" s="90">
        <f ca="1">-SUM($F45:T46)</f>
        <v>-2.9802322387695313E-8</v>
      </c>
      <c r="U51" s="90">
        <f ca="1">-SUM($F45:U46)</f>
        <v>-2.9802322387695313E-8</v>
      </c>
      <c r="V51" s="90">
        <f ca="1">-SUM($F45:V46)</f>
        <v>-2.9802322387695313E-8</v>
      </c>
      <c r="W51" s="90">
        <f ca="1">-SUM($F45:W46)</f>
        <v>-2.9802322387695313E-8</v>
      </c>
      <c r="X51" s="90">
        <f ca="1">-SUM($F45:X46)</f>
        <v>-2.9802322387695313E-8</v>
      </c>
      <c r="Y51" s="90">
        <f ca="1">-SUM($F45:Y46)</f>
        <v>-2.9802322387695313E-8</v>
      </c>
      <c r="Z51" s="90">
        <f ca="1">-SUM($F45:Z46)</f>
        <v>-2.9802322387695313E-8</v>
      </c>
    </row>
    <row r="54" spans="1:26">
      <c r="A54" s="5" t="s">
        <v>511</v>
      </c>
      <c r="C54" s="169" t="s">
        <v>1269</v>
      </c>
      <c r="D54" s="169" t="s">
        <v>1270</v>
      </c>
      <c r="E54" s="963" t="s">
        <v>1271</v>
      </c>
      <c r="F54" s="689"/>
    </row>
    <row r="55" spans="1:26">
      <c r="B55" s="15" t="s">
        <v>174</v>
      </c>
      <c r="C55" s="165">
        <f ca="1">+'Phase 1 Pro Forma'!$D$369</f>
        <v>8.3632841306258587E-2</v>
      </c>
      <c r="D55" s="165">
        <f ca="1">+'Phase 1 Pro Forma'!$D$327</f>
        <v>0.12496530232341252</v>
      </c>
      <c r="E55" s="964" t="e">
        <f ca="1">+'Phase 1 Pro Forma'!$D$439</f>
        <v>#VALUE!</v>
      </c>
      <c r="F55" s="689"/>
    </row>
    <row r="56" spans="1:26">
      <c r="B56" s="15" t="s">
        <v>175</v>
      </c>
      <c r="C56" s="165">
        <f ca="1">+'Phase 2 Pro Forma'!$D$423</f>
        <v>0.14216035742914723</v>
      </c>
      <c r="D56" s="165">
        <f ca="1">+'Phase 2 Pro Forma'!$D$381</f>
        <v>0.39038561957097051</v>
      </c>
      <c r="E56" s="964" t="e">
        <f ca="1">+'Phase 2 Pro Forma'!$D$493</f>
        <v>#VALUE!</v>
      </c>
      <c r="F56" s="689"/>
    </row>
    <row r="57" spans="1:26">
      <c r="B57" s="168" t="s">
        <v>176</v>
      </c>
      <c r="C57" s="166">
        <f ca="1">+'Phase 3 Pro Forma'!$D$621</f>
        <v>0.12666794291558103</v>
      </c>
      <c r="D57" s="166">
        <f ca="1">+'Phase 3 Pro Forma'!$D$579</f>
        <v>0.15442094215274849</v>
      </c>
      <c r="E57" s="964" t="e">
        <f ca="1">+'Phase 3 Pro Forma'!$D$691</f>
        <v>#VALUE!</v>
      </c>
      <c r="F57" s="689"/>
    </row>
    <row r="58" spans="1:26">
      <c r="B58" s="15" t="s">
        <v>258</v>
      </c>
      <c r="C58" s="167">
        <f ca="1">+$D$17</f>
        <v>0.1049548763173207</v>
      </c>
      <c r="D58" s="167">
        <f ca="1">+$D$8</f>
        <v>0.16914395854006492</v>
      </c>
      <c r="E58" s="965" t="e">
        <f ca="1">+D36</f>
        <v>#NUM!</v>
      </c>
      <c r="F58" s="689"/>
    </row>
    <row r="59" spans="1:26">
      <c r="E59" s="689"/>
      <c r="F59" s="689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EAC2B-3D4E-4ABE-ACEE-609FE1CABCF5}">
  <sheetPr>
    <pageSetUpPr fitToPage="1"/>
  </sheetPr>
  <dimension ref="A1:CR124"/>
  <sheetViews>
    <sheetView tabSelected="1" view="pageBreakPreview" zoomScale="50" zoomScaleNormal="50" zoomScaleSheetLayoutView="50" workbookViewId="0">
      <selection activeCell="F113" sqref="F113:G113"/>
    </sheetView>
  </sheetViews>
  <sheetFormatPr defaultColWidth="9.140625" defaultRowHeight="14.1" customHeight="1"/>
  <cols>
    <col min="1" max="1" width="10" style="287" customWidth="1"/>
    <col min="2" max="2" width="44.28515625" style="287" customWidth="1"/>
    <col min="3" max="3" width="13.85546875" style="287" customWidth="1"/>
    <col min="4" max="4" width="22.42578125" style="295" customWidth="1"/>
    <col min="5" max="14" width="22.42578125" style="287" customWidth="1"/>
    <col min="15" max="16384" width="9.140625" style="287"/>
  </cols>
  <sheetData>
    <row r="1" spans="2:14" s="286" customFormat="1" ht="103.35" customHeight="1">
      <c r="B1" s="312"/>
      <c r="C1" s="289"/>
      <c r="D1" s="290"/>
      <c r="M1" s="291" t="s">
        <v>145</v>
      </c>
      <c r="N1" s="292" t="s">
        <v>146</v>
      </c>
    </row>
    <row r="2" spans="2:14" s="286" customFormat="1" ht="13.5" customHeight="1">
      <c r="B2" s="289"/>
      <c r="C2" s="289"/>
      <c r="D2" s="290"/>
      <c r="M2" s="291"/>
      <c r="N2" s="292"/>
    </row>
    <row r="3" spans="2:14" s="286" customFormat="1" ht="13.5" customHeight="1">
      <c r="B3" s="554" t="s">
        <v>147</v>
      </c>
      <c r="C3" s="554"/>
      <c r="D3" s="555"/>
      <c r="E3" s="555"/>
      <c r="F3" s="555"/>
      <c r="G3" s="555"/>
      <c r="H3" s="555"/>
      <c r="I3" s="555"/>
      <c r="J3" s="555"/>
      <c r="K3" s="555"/>
      <c r="L3" s="555"/>
      <c r="M3" s="726" t="s">
        <v>148</v>
      </c>
      <c r="N3" s="726" t="s">
        <v>149</v>
      </c>
    </row>
    <row r="4" spans="2:14" s="286" customFormat="1" ht="13.5" customHeight="1">
      <c r="B4" s="289"/>
      <c r="C4" s="289"/>
      <c r="D4" s="290"/>
      <c r="M4" s="291"/>
      <c r="N4" s="292"/>
    </row>
    <row r="5" spans="2:14" ht="13.7" customHeight="1">
      <c r="D5" s="589" t="s">
        <v>150</v>
      </c>
      <c r="E5" s="293"/>
      <c r="G5" s="612" t="s">
        <v>151</v>
      </c>
      <c r="I5" s="621" t="s">
        <v>152</v>
      </c>
      <c r="N5" s="630" t="s">
        <v>84</v>
      </c>
    </row>
    <row r="6" spans="2:14" ht="15" customHeight="1">
      <c r="B6" s="295"/>
      <c r="C6" s="295"/>
      <c r="D6" s="589" t="s">
        <v>153</v>
      </c>
      <c r="E6" s="294">
        <v>2023</v>
      </c>
      <c r="F6" s="294">
        <f>E6+1</f>
        <v>2024</v>
      </c>
      <c r="G6" s="611">
        <f t="shared" ref="G6:L7" si="0">F6+1</f>
        <v>2025</v>
      </c>
      <c r="H6" s="242">
        <f t="shared" si="0"/>
        <v>2026</v>
      </c>
      <c r="I6" s="712">
        <f t="shared" si="0"/>
        <v>2027</v>
      </c>
      <c r="J6" s="294">
        <f t="shared" si="0"/>
        <v>2028</v>
      </c>
      <c r="K6" s="294">
        <f t="shared" si="0"/>
        <v>2029</v>
      </c>
      <c r="L6" s="294">
        <f t="shared" si="0"/>
        <v>2030</v>
      </c>
      <c r="M6" s="294">
        <f>L6+1</f>
        <v>2031</v>
      </c>
      <c r="N6" s="630">
        <f>M6+1</f>
        <v>2032</v>
      </c>
    </row>
    <row r="7" spans="2:14" ht="18.95" customHeight="1">
      <c r="B7" s="296" t="s">
        <v>154</v>
      </c>
      <c r="C7" s="296"/>
      <c r="D7" s="708">
        <v>2023</v>
      </c>
      <c r="E7" s="293">
        <f>D7+1</f>
        <v>2024</v>
      </c>
      <c r="F7" s="293">
        <f t="shared" ref="F7" si="1">E7+1</f>
        <v>2025</v>
      </c>
      <c r="G7" s="612">
        <f t="shared" si="0"/>
        <v>2026</v>
      </c>
      <c r="H7" s="242">
        <f t="shared" si="0"/>
        <v>2027</v>
      </c>
      <c r="I7" s="627">
        <f t="shared" si="0"/>
        <v>2028</v>
      </c>
      <c r="J7" s="293">
        <f t="shared" si="0"/>
        <v>2029</v>
      </c>
      <c r="K7" s="293">
        <f t="shared" si="0"/>
        <v>2030</v>
      </c>
      <c r="L7" s="293">
        <f t="shared" si="0"/>
        <v>2031</v>
      </c>
      <c r="M7" s="293">
        <f t="shared" ref="M7:N7" si="2">L7+1</f>
        <v>2032</v>
      </c>
      <c r="N7" s="631">
        <f t="shared" si="2"/>
        <v>2033</v>
      </c>
    </row>
    <row r="8" spans="2:14" ht="15">
      <c r="B8" s="286" t="s">
        <v>155</v>
      </c>
      <c r="C8" s="285"/>
      <c r="D8" s="586">
        <f ca="1">+SUMIF('Phase 1 Pro Forma'!$F$6:$Z$6,D$7,'Phase 1 Pro Forma'!$F$49:$Z$49)+SUMIF('Phase 2 Pro Forma'!$F$6:$Z$6,D$7,'Phase 2 Pro Forma'!$F$57:$Z$57)+SUMIF('Phase 3 Pro Forma'!$F$6:$Z$6,D$7,'Phase 3 Pro Forma'!$F$57:$Z$57)+SUMIF('Phase 1 Pro Forma'!$F$6:$Z$6,D$7,'Phase 1 Pro Forma'!$AQ$44:$BK$44)+SUMIF('Phase 2 Pro Forma'!$F$6:$Z$6,D$7,'Phase 2 Pro Forma'!$AW$65:$BQ$65)+SUMIF('Phase 3 Pro Forma'!$F$6:$Z$6,D$7,'Phase 3 Pro Forma'!$F$111:$Z$111)+SUMIF('Phase 1 Pro Forma'!$F$6:$Z$6,D$7,'Phase 1 Pro Forma'!$AQ$137:$BK$137)+SUMIF('Phase 2 Pro Forma'!$F$6:$Z$6,D$7,'Phase 2 Pro Forma'!$AW$167:$BQ$167)+SUMIF('Phase 3 Pro Forma'!$F$6:$Z$6,D$7,'Phase 3 Pro Forma'!$F$213:$Z$213)+SUMIF('Phase 1 Pro Forma'!$F$6:$Z$6,D$7,'Phase 1 Pro Forma'!$AQ$90:$BK$90)+SUMIF('Phase 2 Pro Forma'!$F$6:$Z$6,D$7,'Phase 2 Pro Forma'!$BD$119:$BQ$119)+SUMIF('Phase 3 Pro Forma'!$F$6:$Z$6,D$7,'Phase 3 Pro Forma'!$F$165:$Z$165)</f>
        <v>0</v>
      </c>
      <c r="E8" s="700">
        <f ca="1">+SUMIF('Phase 1 Pro Forma'!$F$6:$Z$6,E$7,'Phase 1 Pro Forma'!$F$49:$Z$49)+SUMIF('Phase 2 Pro Forma'!$F$6:$Z$6,E$7,'Phase 2 Pro Forma'!$F$57:$Z$57)+SUMIF('Phase 3 Pro Forma'!$F$6:$Z$6,E$7,'Phase 3 Pro Forma'!$F$57:$Z$57)+SUMIF('Phase 1 Pro Forma'!$F$6:$Z$6,E$7,'Phase 1 Pro Forma'!$AQ$44:$BK$44)+SUMIF('Phase 2 Pro Forma'!$F$6:$Z$6,E$7,'Phase 2 Pro Forma'!$AW$65:$BQ$65)+SUMIF('Phase 3 Pro Forma'!$F$6:$Z$6,E$7,'Phase 3 Pro Forma'!$F$111:$Z$111)+SUMIF('Phase 1 Pro Forma'!$F$6:$Z$6,E$7,'Phase 1 Pro Forma'!$AQ$137:$BK$137)+SUMIF('Phase 2 Pro Forma'!$F$6:$Z$6,E$7,'Phase 2 Pro Forma'!$AW$167:$BQ$167)+SUMIF('Phase 3 Pro Forma'!$F$6:$Z$6,E$7,'Phase 3 Pro Forma'!$F$213:$Z$213)+SUMIF('Phase 1 Pro Forma'!$F$6:$Z$6,E$7,'Phase 1 Pro Forma'!$AQ$90:$BK$90)+SUMIF('Phase 2 Pro Forma'!$F$6:$Z$6,E$7,'Phase 2 Pro Forma'!$BD$119:$BQ$119)+SUMIF('Phase 3 Pro Forma'!$F$6:$Z$6,E$7,'Phase 3 Pro Forma'!$F$165:$Z$165)</f>
        <v>0</v>
      </c>
      <c r="F8" s="306">
        <f ca="1">+SUMIF('Phase 1 Pro Forma'!$F$6:$Z$6,F$7,'Phase 1 Pro Forma'!$F$49:$Z$49)+SUMIF('Phase 2 Pro Forma'!$F$6:$Z$6,F$7,'Phase 2 Pro Forma'!$F$57:$Z$57)+SUMIF('Phase 3 Pro Forma'!$F$6:$Z$6,F$7,'Phase 3 Pro Forma'!$F$57:$Z$57)+SUMIF('Phase 1 Pro Forma'!$F$6:$Z$6,F$7,'Phase 1 Pro Forma'!$AQ$44:$BK$44)+SUMIF('Phase 2 Pro Forma'!$F$6:$Z$6,F$7,'Phase 2 Pro Forma'!$AW$65:$BQ$65)+SUMIF('Phase 3 Pro Forma'!$F$6:$Z$6,F$7,'Phase 3 Pro Forma'!$F$111:$Z$111)+SUMIF('Phase 1 Pro Forma'!$F$6:$Z$6,F$7,'Phase 1 Pro Forma'!$AQ$137:$BK$137)+SUMIF('Phase 2 Pro Forma'!$F$6:$Z$6,F$7,'Phase 2 Pro Forma'!$AW$167:$BQ$167)+SUMIF('Phase 3 Pro Forma'!$F$6:$Z$6,F$7,'Phase 3 Pro Forma'!$F$213:$Z$213)+SUMIF('Phase 1 Pro Forma'!$F$6:$Z$6,F$7,'Phase 1 Pro Forma'!$AQ$90:$BK$90)+SUMIF('Phase 2 Pro Forma'!$F$6:$Z$6,F$7,'Phase 2 Pro Forma'!$BD$119:$BQ$119)+SUMIF('Phase 3 Pro Forma'!$F$6:$Z$6,F$7,'Phase 3 Pro Forma'!$F$165:$Z$165)</f>
        <v>0</v>
      </c>
      <c r="G8" s="711">
        <f ca="1">+SUMIF('Phase 1 Pro Forma'!$F$6:$Z$6,G$7,'Phase 1 Pro Forma'!$F$49:$Z$49)+SUMIF('Phase 2 Pro Forma'!$F$6:$Z$6,G$7,'Phase 2 Pro Forma'!$F$57:$Z$57)+SUMIF('Phase 3 Pro Forma'!$F$6:$Z$6,G$7,'Phase 3 Pro Forma'!$F$57:$Z$57)+SUMIF('Phase 1 Pro Forma'!$F$6:$Z$6,G$7,'Phase 1 Pro Forma'!$AQ$44:$BK$44)+SUMIF('Phase 2 Pro Forma'!$F$6:$Z$6,G$7,'Phase 2 Pro Forma'!$AW$65:$BQ$65)+SUMIF('Phase 3 Pro Forma'!$F$6:$Z$6,G$7,'Phase 3 Pro Forma'!$F$111:$Z$111)+SUMIF('Phase 1 Pro Forma'!$F$6:$Z$6,G$7,'Phase 1 Pro Forma'!$AQ$137:$BK$137)+SUMIF('Phase 2 Pro Forma'!$F$6:$Z$6,G$7,'Phase 2 Pro Forma'!$AW$167:$BQ$167)+SUMIF('Phase 3 Pro Forma'!$F$6:$Z$6,G$7,'Phase 3 Pro Forma'!$F$213:$Z$213)+SUMIF('Phase 1 Pro Forma'!$F$6:$Z$6,G$7,'Phase 1 Pro Forma'!$AQ$90:$BK$90)+SUMIF('Phase 2 Pro Forma'!$F$6:$Z$6,G$7,'Phase 2 Pro Forma'!$BD$119:$BQ$119)+SUMIF('Phase 3 Pro Forma'!$F$6:$Z$6,G$7,'Phase 3 Pro Forma'!$F$165:$Z$165)</f>
        <v>0</v>
      </c>
      <c r="H8" s="306">
        <f ca="1">+SUMIF('Phase 1 Pro Forma'!$F$6:$Z$6,H$7,'Phase 1 Pro Forma'!$F$49:$Z$49)+SUMIF('Phase 2 Pro Forma'!$F$6:$Z$6,H$7,'Phase 2 Pro Forma'!$F$57:$Z$57)+SUMIF('Phase 3 Pro Forma'!$F$6:$Z$6,H$7,'Phase 3 Pro Forma'!$F$57:$Z$57)+SUMIF('Phase 1 Pro Forma'!$F$6:$Z$6,H$7,'Phase 1 Pro Forma'!$AQ$44:$BK$44)+SUMIF('Phase 2 Pro Forma'!$F$6:$Z$6,H$7,'Phase 2 Pro Forma'!$AW$65:$BQ$65)+SUMIF('Phase 3 Pro Forma'!$F$6:$Z$6,H$7,'Phase 3 Pro Forma'!$F$111:$Z$111)+SUMIF('Phase 1 Pro Forma'!$F$6:$Z$6,H$7,'Phase 1 Pro Forma'!$AQ$137:$BK$137)+SUMIF('Phase 2 Pro Forma'!$F$6:$Z$6,H$7,'Phase 2 Pro Forma'!$AW$167:$BQ$167)+SUMIF('Phase 3 Pro Forma'!$F$6:$Z$6,H$7,'Phase 3 Pro Forma'!$F$213:$Z$213)+SUMIF('Phase 1 Pro Forma'!$F$6:$Z$6,H$7,'Phase 1 Pro Forma'!$AQ$90:$BK$90)+SUMIF('Phase 2 Pro Forma'!$F$6:$Z$6,H$7,'Phase 2 Pro Forma'!$BD$119:$BQ$119)+SUMIF('Phase 3 Pro Forma'!$F$6:$Z$6,H$7,'Phase 3 Pro Forma'!$F$165:$Z$165)</f>
        <v>10515201.575908996</v>
      </c>
      <c r="I8" s="713">
        <f ca="1">+SUMIF('Phase 1 Pro Forma'!$F$6:$Z$6,I$7,'Phase 1 Pro Forma'!$F$49:$Z$49)+SUMIF('Phase 2 Pro Forma'!$F$6:$Z$6,I$7,'Phase 2 Pro Forma'!$F$57:$Z$57)+SUMIF('Phase 3 Pro Forma'!$F$6:$Z$6,I$7,'Phase 3 Pro Forma'!$F$57:$Z$57)+SUMIF('Phase 1 Pro Forma'!$F$6:$Z$6,I$7,'Phase 1 Pro Forma'!$AQ$44:$BK$44)+SUMIF('Phase 2 Pro Forma'!$F$6:$Z$6,I$7,'Phase 2 Pro Forma'!$AW$65:$BQ$65)+SUMIF('Phase 3 Pro Forma'!$F$6:$Z$6,I$7,'Phase 3 Pro Forma'!$F$111:$Z$111)+SUMIF('Phase 1 Pro Forma'!$F$6:$Z$6,I$7,'Phase 1 Pro Forma'!$AQ$137:$BK$137)+SUMIF('Phase 2 Pro Forma'!$F$6:$Z$6,I$7,'Phase 2 Pro Forma'!$AW$167:$BQ$167)+SUMIF('Phase 3 Pro Forma'!$F$6:$Z$6,I$7,'Phase 3 Pro Forma'!$F$213:$Z$213)+SUMIF('Phase 1 Pro Forma'!$F$6:$Z$6,I$7,'Phase 1 Pro Forma'!$AQ$90:$BK$90)+SUMIF('Phase 2 Pro Forma'!$F$6:$Z$6,I$7,'Phase 2 Pro Forma'!$BD$119:$BQ$119)+SUMIF('Phase 3 Pro Forma'!$F$6:$Z$6,I$7,'Phase 3 Pro Forma'!$F$165:$Z$165)</f>
        <v>10902601.161083521</v>
      </c>
      <c r="J8" s="700">
        <f ca="1">+SUMIF('Phase 1 Pro Forma'!$F$6:$Z$6,J$7,'Phase 1 Pro Forma'!$F$49:$Z$49)+SUMIF('Phase 2 Pro Forma'!$F$6:$Z$6,J$7,'Phase 2 Pro Forma'!$F$57:$Z$57)+SUMIF('Phase 3 Pro Forma'!$F$6:$Z$6,J$7,'Phase 3 Pro Forma'!$F$57:$Z$57)+SUMIF('Phase 1 Pro Forma'!$F$6:$Z$6,J$7,'Phase 1 Pro Forma'!$AQ$44:$BK$44)+SUMIF('Phase 2 Pro Forma'!$F$6:$Z$6,J$7,'Phase 2 Pro Forma'!$AW$65:$BQ$65)+SUMIF('Phase 3 Pro Forma'!$F$6:$Z$6,J$7,'Phase 3 Pro Forma'!$F$111:$Z$111)+SUMIF('Phase 1 Pro Forma'!$F$6:$Z$6,J$7,'Phase 1 Pro Forma'!$AQ$137:$BK$137)+SUMIF('Phase 2 Pro Forma'!$F$6:$Z$6,J$7,'Phase 2 Pro Forma'!$AW$167:$BQ$167)+SUMIF('Phase 3 Pro Forma'!$F$6:$Z$6,J$7,'Phase 3 Pro Forma'!$F$213:$Z$213)+SUMIF('Phase 1 Pro Forma'!$F$6:$Z$6,J$7,'Phase 1 Pro Forma'!$AQ$90:$BK$90)+SUMIF('Phase 2 Pro Forma'!$F$6:$Z$6,J$7,'Phase 2 Pro Forma'!$BD$119:$BQ$119)+SUMIF('Phase 3 Pro Forma'!$F$6:$Z$6,J$7,'Phase 3 Pro Forma'!$F$165:$Z$165)</f>
        <v>19799736.961644016</v>
      </c>
      <c r="K8" s="700">
        <f ca="1">+SUMIF('Phase 1 Pro Forma'!$F$6:$Z$6,K$7,'Phase 1 Pro Forma'!$F$49:$Z$49)+SUMIF('Phase 2 Pro Forma'!$F$6:$Z$6,K$7,'Phase 2 Pro Forma'!$F$57:$Z$57)+SUMIF('Phase 3 Pro Forma'!$F$6:$Z$6,K$7,'Phase 3 Pro Forma'!$F$57:$Z$57)+SUMIF('Phase 1 Pro Forma'!$F$6:$Z$6,K$7,'Phase 1 Pro Forma'!$AQ$44:$BK$44)+SUMIF('Phase 2 Pro Forma'!$F$6:$Z$6,K$7,'Phase 2 Pro Forma'!$AW$65:$BQ$65)+SUMIF('Phase 3 Pro Forma'!$F$6:$Z$6,K$7,'Phase 3 Pro Forma'!$F$111:$Z$111)+SUMIF('Phase 1 Pro Forma'!$F$6:$Z$6,K$7,'Phase 1 Pro Forma'!$AQ$137:$BK$137)+SUMIF('Phase 2 Pro Forma'!$F$6:$Z$6,K$7,'Phase 2 Pro Forma'!$AW$167:$BQ$167)+SUMIF('Phase 3 Pro Forma'!$F$6:$Z$6,K$7,'Phase 3 Pro Forma'!$F$213:$Z$213)+SUMIF('Phase 1 Pro Forma'!$F$6:$Z$6,K$7,'Phase 1 Pro Forma'!$AQ$90:$BK$90)+SUMIF('Phase 2 Pro Forma'!$F$6:$Z$6,K$7,'Phase 2 Pro Forma'!$BD$119:$BQ$119)+SUMIF('Phase 3 Pro Forma'!$F$6:$Z$6,K$7,'Phase 3 Pro Forma'!$F$165:$Z$165)</f>
        <v>20383868.329371665</v>
      </c>
      <c r="L8" s="700">
        <f ca="1">+SUMIF('Phase 1 Pro Forma'!$F$6:$Z$6,L$7,'Phase 1 Pro Forma'!$F$49:$Z$49)+SUMIF('Phase 2 Pro Forma'!$F$6:$Z$6,L$7,'Phase 2 Pro Forma'!$F$57:$Z$57)+SUMIF('Phase 3 Pro Forma'!$F$6:$Z$6,L$7,'Phase 3 Pro Forma'!$F$57:$Z$57)+SUMIF('Phase 1 Pro Forma'!$F$6:$Z$6,L$7,'Phase 1 Pro Forma'!$AQ$44:$BK$44)+SUMIF('Phase 2 Pro Forma'!$F$6:$Z$6,L$7,'Phase 2 Pro Forma'!$AW$65:$BQ$65)+SUMIF('Phase 3 Pro Forma'!$F$6:$Z$6,L$7,'Phase 3 Pro Forma'!$F$111:$Z$111)+SUMIF('Phase 1 Pro Forma'!$F$6:$Z$6,L$7,'Phase 1 Pro Forma'!$AQ$137:$BK$137)+SUMIF('Phase 2 Pro Forma'!$F$6:$Z$6,L$7,'Phase 2 Pro Forma'!$AW$167:$BQ$167)+SUMIF('Phase 3 Pro Forma'!$F$6:$Z$6,L$7,'Phase 3 Pro Forma'!$F$213:$Z$213)+SUMIF('Phase 1 Pro Forma'!$F$6:$Z$6,L$7,'Phase 1 Pro Forma'!$AQ$90:$BK$90)+SUMIF('Phase 2 Pro Forma'!$F$6:$Z$6,L$7,'Phase 2 Pro Forma'!$BD$119:$BQ$119)+SUMIF('Phase 3 Pro Forma'!$F$6:$Z$6,L$7,'Phase 3 Pro Forma'!$F$165:$Z$165)</f>
        <v>26051765.917013042</v>
      </c>
      <c r="M8" s="700">
        <f ca="1">+SUMIF('Phase 1 Pro Forma'!$F$6:$Z$6,M$7,'Phase 1 Pro Forma'!$F$49:$Z$49)+SUMIF('Phase 2 Pro Forma'!$F$6:$Z$6,M$7,'Phase 2 Pro Forma'!$F$57:$Z$57)+SUMIF('Phase 3 Pro Forma'!$F$6:$Z$6,M$7,'Phase 3 Pro Forma'!$F$57:$Z$57)+SUMIF('Phase 1 Pro Forma'!$F$6:$Z$6,M$7,'Phase 1 Pro Forma'!$AQ$44:$BK$44)+SUMIF('Phase 2 Pro Forma'!$F$6:$Z$6,M$7,'Phase 2 Pro Forma'!$AW$65:$BQ$65)+SUMIF('Phase 3 Pro Forma'!$F$6:$Z$6,M$7,'Phase 3 Pro Forma'!$F$111:$Z$111)+SUMIF('Phase 1 Pro Forma'!$F$6:$Z$6,M$7,'Phase 1 Pro Forma'!$AQ$137:$BK$137)+SUMIF('Phase 2 Pro Forma'!$F$6:$Z$6,M$7,'Phase 2 Pro Forma'!$AW$167:$BQ$167)+SUMIF('Phase 3 Pro Forma'!$F$6:$Z$6,M$7,'Phase 3 Pro Forma'!$F$213:$Z$213)+SUMIF('Phase 1 Pro Forma'!$F$6:$Z$6,M$7,'Phase 1 Pro Forma'!$AQ$90:$BK$90)+SUMIF('Phase 2 Pro Forma'!$F$6:$Z$6,M$7,'Phase 2 Pro Forma'!$BD$119:$BQ$119)+SUMIF('Phase 3 Pro Forma'!$F$6:$Z$6,M$7,'Phase 3 Pro Forma'!$F$165:$Z$165)</f>
        <v>26949783.977578998</v>
      </c>
      <c r="N8" s="632">
        <f ca="1">+SUMIF('Phase 1 Pro Forma'!$F$6:$Z$6,N$7,'Phase 1 Pro Forma'!$F$49:$Z$49)+SUMIF('Phase 2 Pro Forma'!$F$6:$Z$6,N$7,'Phase 2 Pro Forma'!$F$57:$Z$57)+SUMIF('Phase 3 Pro Forma'!$F$6:$Z$6,N$7,'Phase 3 Pro Forma'!$F$57:$Z$57)+SUMIF('Phase 1 Pro Forma'!$F$6:$Z$6,N$7,'Phase 1 Pro Forma'!$AQ$44:$BK$44)+SUMIF('Phase 2 Pro Forma'!$F$6:$Z$6,N$7,'Phase 2 Pro Forma'!$AW$65:$BQ$65)+SUMIF('Phase 3 Pro Forma'!$F$6:$Z$6,N$7,'Phase 3 Pro Forma'!$F$111:$Z$111)+SUMIF('Phase 1 Pro Forma'!$F$6:$Z$6,N$7,'Phase 1 Pro Forma'!$AQ$137:$BK$137)+SUMIF('Phase 2 Pro Forma'!$F$6:$Z$6,N$7,'Phase 2 Pro Forma'!$AW$167:$BQ$167)+SUMIF('Phase 3 Pro Forma'!$F$6:$Z$6,N$7,'Phase 3 Pro Forma'!$F$213:$Z$213)+SUMIF('Phase 1 Pro Forma'!$F$6:$Z$6,N$7,'Phase 1 Pro Forma'!$AQ$90:$BK$90)+SUMIF('Phase 2 Pro Forma'!$F$6:$Z$6,N$7,'Phase 2 Pro Forma'!$BD$119:$BQ$119)+SUMIF('Phase 3 Pro Forma'!$F$6:$Z$6,N$7,'Phase 3 Pro Forma'!$F$165:$Z$165)</f>
        <v>27776477.861269273</v>
      </c>
    </row>
    <row r="9" spans="2:14" ht="15">
      <c r="B9" s="286" t="s">
        <v>156</v>
      </c>
      <c r="C9" s="285"/>
      <c r="D9" s="586">
        <v>0</v>
      </c>
      <c r="E9" s="700">
        <v>0</v>
      </c>
      <c r="F9" s="306">
        <v>0</v>
      </c>
      <c r="G9" s="711">
        <v>0</v>
      </c>
      <c r="H9" s="306">
        <v>0</v>
      </c>
      <c r="I9" s="713">
        <v>0</v>
      </c>
      <c r="J9" s="700">
        <v>0</v>
      </c>
      <c r="K9" s="700">
        <v>0</v>
      </c>
      <c r="L9" s="700">
        <v>0</v>
      </c>
      <c r="M9" s="700">
        <v>0</v>
      </c>
      <c r="N9" s="632">
        <v>0</v>
      </c>
    </row>
    <row r="10" spans="2:14" ht="15">
      <c r="B10" s="286" t="s">
        <v>157</v>
      </c>
      <c r="C10" s="285"/>
      <c r="D10" s="586">
        <f ca="1">+SUMIF('Phase 1 Pro Forma'!$F$6:$Z$6,D$7,'Phase 1 Pro Forma'!$F$26:$Z$26)+SUMIF('Phase 2 Pro Forma'!$F$6:$Z$6,D$7,'Phase 2 Pro Forma'!$F$30:$Z$30)+SUMIF('Phase 3 Pro Forma'!$F$6:$Z$6,D$7,'Phase 3 Pro Forma'!$F$30:$Z$30)+SUMIF('Phase 1 Pro Forma'!$F$6:$Z$6,D$7,'Phase 1 Pro Forma'!$AQ$21:$BK$21)+SUMIF('Phase 2 Pro Forma'!$F$6:$Z$6,D$7,'Phase 2 Pro Forma'!$AW$38:$BQ$38)+SUMIF('Phase 3 Pro Forma'!$F$6:$Z$6,D$7,'Phase 3 Pro Forma'!$F$84:$Z$84)+SUMIF('Phase 1 Pro Forma'!$F$6:$Z$6,D$7,'Phase 1 Pro Forma'!$AQ$114:$BK$114)+SUMIF('Phase 2 Pro Forma'!$F$6:$Z$6,D$7,'Phase 2 Pro Forma'!$BD$143:$BQ$143)+SUMIF('Phase 3 Pro Forma'!$F$6:$Z$6,D$7,'Phase 3 Pro Forma'!$F$189:$Z$189)+SUMIF('Phase 1 Pro Forma'!$F$6:$Z$6,D$7,'Phase 1 Pro Forma'!$AQ$67:$BK$67)+SUMIF('Phase 2 Pro Forma'!$F$6:$Z$6,D$7,'Phase 2 Pro Forma'!$AW$92:$BQ$92)+SUMIF('Phase 3 Pro Forma'!$F$6:$Z$6,D$7,'Phase 3 Pro Forma'!$F$138:$Z$138)</f>
        <v>0</v>
      </c>
      <c r="E10" s="700">
        <f ca="1">+SUMIF('Phase 1 Pro Forma'!$F$6:$Z$6,E$7,'Phase 1 Pro Forma'!$F$26:$Z$26)+SUMIF('Phase 2 Pro Forma'!$F$6:$Z$6,E$7,'Phase 2 Pro Forma'!$F$30:$Z$30)+SUMIF('Phase 3 Pro Forma'!$F$6:$Z$6,E$7,'Phase 3 Pro Forma'!$F$30:$Z$30)+SUMIF('Phase 1 Pro Forma'!$F$6:$Z$6,E$7,'Phase 1 Pro Forma'!$AQ$21:$BK$21)+SUMIF('Phase 2 Pro Forma'!$F$6:$Z$6,E$7,'Phase 2 Pro Forma'!$AW$38:$BQ$38)+SUMIF('Phase 3 Pro Forma'!$F$6:$Z$6,E$7,'Phase 3 Pro Forma'!$F$84:$Z$84)+SUMIF('Phase 1 Pro Forma'!$F$6:$Z$6,E$7,'Phase 1 Pro Forma'!$AQ$114:$BK$114)+SUMIF('Phase 2 Pro Forma'!$F$6:$Z$6,E$7,'Phase 2 Pro Forma'!$BD$143:$BQ$143)+SUMIF('Phase 3 Pro Forma'!$F$6:$Z$6,E$7,'Phase 3 Pro Forma'!$F$189:$Z$189)+SUMIF('Phase 1 Pro Forma'!$F$6:$Z$6,E$7,'Phase 1 Pro Forma'!$AQ$67:$BK$67)+SUMIF('Phase 2 Pro Forma'!$F$6:$Z$6,E$7,'Phase 2 Pro Forma'!$AW$92:$BQ$92)+SUMIF('Phase 3 Pro Forma'!$F$6:$Z$6,E$7,'Phase 3 Pro Forma'!$F$138:$Z$138)</f>
        <v>0</v>
      </c>
      <c r="F10" s="306">
        <f ca="1">+SUMIF('Phase 1 Pro Forma'!$F$6:$Z$6,F$7,'Phase 1 Pro Forma'!$F$26:$Z$26)+SUMIF('Phase 2 Pro Forma'!$F$6:$Z$6,F$7,'Phase 2 Pro Forma'!$F$30:$Z$30)+SUMIF('Phase 3 Pro Forma'!$F$6:$Z$6,F$7,'Phase 3 Pro Forma'!$F$30:$Z$30)+SUMIF('Phase 1 Pro Forma'!$F$6:$Z$6,F$7,'Phase 1 Pro Forma'!$AQ$21:$BK$21)+SUMIF('Phase 2 Pro Forma'!$F$6:$Z$6,F$7,'Phase 2 Pro Forma'!$AW$38:$BQ$38)+SUMIF('Phase 3 Pro Forma'!$F$6:$Z$6,F$7,'Phase 3 Pro Forma'!$F$84:$Z$84)+SUMIF('Phase 1 Pro Forma'!$F$6:$Z$6,F$7,'Phase 1 Pro Forma'!$AQ$114:$BK$114)+SUMIF('Phase 2 Pro Forma'!$F$6:$Z$6,F$7,'Phase 2 Pro Forma'!$BD$143:$BQ$143)+SUMIF('Phase 3 Pro Forma'!$F$6:$Z$6,F$7,'Phase 3 Pro Forma'!$F$189:$Z$189)+SUMIF('Phase 1 Pro Forma'!$F$6:$Z$6,F$7,'Phase 1 Pro Forma'!$AQ$67:$BK$67)+SUMIF('Phase 2 Pro Forma'!$F$6:$Z$6,F$7,'Phase 2 Pro Forma'!$AW$92:$BQ$92)+SUMIF('Phase 3 Pro Forma'!$F$6:$Z$6,F$7,'Phase 3 Pro Forma'!$F$138:$Z$138)</f>
        <v>0</v>
      </c>
      <c r="G10" s="711">
        <f ca="1">+SUMIF('Phase 1 Pro Forma'!$F$6:$Z$6,G$7,'Phase 1 Pro Forma'!$F$26:$Z$26)+SUMIF('Phase 2 Pro Forma'!$F$6:$Z$6,G$7,'Phase 2 Pro Forma'!$F$30:$Z$30)+SUMIF('Phase 3 Pro Forma'!$F$6:$Z$6,G$7,'Phase 3 Pro Forma'!$F$30:$Z$30)+SUMIF('Phase 1 Pro Forma'!$F$6:$Z$6,G$7,'Phase 1 Pro Forma'!$AQ$21:$BK$21)+SUMIF('Phase 2 Pro Forma'!$F$6:$Z$6,G$7,'Phase 2 Pro Forma'!$AW$38:$BQ$38)+SUMIF('Phase 3 Pro Forma'!$F$6:$Z$6,G$7,'Phase 3 Pro Forma'!$F$84:$Z$84)+SUMIF('Phase 1 Pro Forma'!$F$6:$Z$6,G$7,'Phase 1 Pro Forma'!$AQ$114:$BK$114)+SUMIF('Phase 2 Pro Forma'!$F$6:$Z$6,G$7,'Phase 2 Pro Forma'!$BD$143:$BQ$143)+SUMIF('Phase 3 Pro Forma'!$F$6:$Z$6,G$7,'Phase 3 Pro Forma'!$F$189:$Z$189)+SUMIF('Phase 1 Pro Forma'!$F$6:$Z$6,G$7,'Phase 1 Pro Forma'!$AQ$67:$BK$67)+SUMIF('Phase 2 Pro Forma'!$F$6:$Z$6,G$7,'Phase 2 Pro Forma'!$AW$92:$BQ$92)+SUMIF('Phase 3 Pro Forma'!$F$6:$Z$6,G$7,'Phase 3 Pro Forma'!$F$138:$Z$138)</f>
        <v>0</v>
      </c>
      <c r="H10" s="306">
        <f ca="1">+SUMIF('Phase 1 Pro Forma'!$F$6:$Z$6,H$7,'Phase 1 Pro Forma'!$F$26:$Z$26)+SUMIF('Phase 2 Pro Forma'!$F$6:$Z$6,H$7,'Phase 2 Pro Forma'!$F$30:$Z$30)+SUMIF('Phase 3 Pro Forma'!$F$6:$Z$6,H$7,'Phase 3 Pro Forma'!$F$30:$Z$30)+SUMIF('Phase 1 Pro Forma'!$F$6:$Z$6,H$7,'Phase 1 Pro Forma'!$AQ$21:$BK$21)+SUMIF('Phase 2 Pro Forma'!$F$6:$Z$6,H$7,'Phase 2 Pro Forma'!$AW$38:$BQ$38)+SUMIF('Phase 3 Pro Forma'!$F$6:$Z$6,H$7,'Phase 3 Pro Forma'!$F$84:$Z$84)+SUMIF('Phase 1 Pro Forma'!$F$6:$Z$6,H$7,'Phase 1 Pro Forma'!$AQ$114:$BK$114)+SUMIF('Phase 2 Pro Forma'!$F$6:$Z$6,H$7,'Phase 2 Pro Forma'!$BD$143:$BQ$143)+SUMIF('Phase 3 Pro Forma'!$F$6:$Z$6,H$7,'Phase 3 Pro Forma'!$F$189:$Z$189)+SUMIF('Phase 1 Pro Forma'!$F$6:$Z$6,H$7,'Phase 1 Pro Forma'!$AQ$67:$BK$67)+SUMIF('Phase 2 Pro Forma'!$F$6:$Z$6,H$7,'Phase 2 Pro Forma'!$AW$92:$BQ$92)+SUMIF('Phase 3 Pro Forma'!$F$6:$Z$6,H$7,'Phase 3 Pro Forma'!$F$138:$Z$138)</f>
        <v>1394616.7189061157</v>
      </c>
      <c r="I10" s="713">
        <f ca="1">+SUMIF('Phase 1 Pro Forma'!$F$6:$Z$6,I$7,'Phase 1 Pro Forma'!$F$26:$Z$26)+SUMIF('Phase 2 Pro Forma'!$F$6:$Z$6,I$7,'Phase 2 Pro Forma'!$F$30:$Z$30)+SUMIF('Phase 3 Pro Forma'!$F$6:$Z$6,I$7,'Phase 3 Pro Forma'!$F$30:$Z$30)+SUMIF('Phase 1 Pro Forma'!$F$6:$Z$6,I$7,'Phase 1 Pro Forma'!$AQ$21:$BK$21)+SUMIF('Phase 2 Pro Forma'!$F$6:$Z$6,I$7,'Phase 2 Pro Forma'!$AW$38:$BQ$38)+SUMIF('Phase 3 Pro Forma'!$F$6:$Z$6,I$7,'Phase 3 Pro Forma'!$F$84:$Z$84)+SUMIF('Phase 1 Pro Forma'!$F$6:$Z$6,I$7,'Phase 1 Pro Forma'!$AQ$114:$BK$114)+SUMIF('Phase 2 Pro Forma'!$F$6:$Z$6,I$7,'Phase 2 Pro Forma'!$BD$143:$BQ$143)+SUMIF('Phase 3 Pro Forma'!$F$6:$Z$6,I$7,'Phase 3 Pro Forma'!$F$189:$Z$189)+SUMIF('Phase 1 Pro Forma'!$F$6:$Z$6,I$7,'Phase 1 Pro Forma'!$AQ$67:$BK$67)+SUMIF('Phase 2 Pro Forma'!$F$6:$Z$6,I$7,'Phase 2 Pro Forma'!$AW$92:$BQ$92)+SUMIF('Phase 3 Pro Forma'!$F$6:$Z$6,I$7,'Phase 3 Pro Forma'!$F$138:$Z$138)</f>
        <v>1445996.9929295338</v>
      </c>
      <c r="J10" s="700">
        <f ca="1">+SUMIF('Phase 1 Pro Forma'!$F$6:$Z$6,J$7,'Phase 1 Pro Forma'!$F$26:$Z$26)+SUMIF('Phase 2 Pro Forma'!$F$6:$Z$6,J$7,'Phase 2 Pro Forma'!$F$30:$Z$30)+SUMIF('Phase 3 Pro Forma'!$F$6:$Z$6,J$7,'Phase 3 Pro Forma'!$F$30:$Z$30)+SUMIF('Phase 1 Pro Forma'!$F$6:$Z$6,J$7,'Phase 1 Pro Forma'!$AQ$21:$BK$21)+SUMIF('Phase 2 Pro Forma'!$F$6:$Z$6,J$7,'Phase 2 Pro Forma'!$AW$38:$BQ$38)+SUMIF('Phase 3 Pro Forma'!$F$6:$Z$6,J$7,'Phase 3 Pro Forma'!$F$84:$Z$84)+SUMIF('Phase 1 Pro Forma'!$F$6:$Z$6,J$7,'Phase 1 Pro Forma'!$AQ$114:$BK$114)+SUMIF('Phase 2 Pro Forma'!$F$6:$Z$6,J$7,'Phase 2 Pro Forma'!$BD$143:$BQ$143)+SUMIF('Phase 3 Pro Forma'!$F$6:$Z$6,J$7,'Phase 3 Pro Forma'!$F$189:$Z$189)+SUMIF('Phase 1 Pro Forma'!$F$6:$Z$6,J$7,'Phase 1 Pro Forma'!$AQ$67:$BK$67)+SUMIF('Phase 2 Pro Forma'!$F$6:$Z$6,J$7,'Phase 2 Pro Forma'!$AW$92:$BQ$92)+SUMIF('Phase 3 Pro Forma'!$F$6:$Z$6,J$7,'Phase 3 Pro Forma'!$F$138:$Z$138)</f>
        <v>2681448.7625993965</v>
      </c>
      <c r="K10" s="700">
        <f ca="1">+SUMIF('Phase 1 Pro Forma'!$F$6:$Z$6,K$7,'Phase 1 Pro Forma'!$F$26:$Z$26)+SUMIF('Phase 2 Pro Forma'!$F$6:$Z$6,K$7,'Phase 2 Pro Forma'!$F$30:$Z$30)+SUMIF('Phase 3 Pro Forma'!$F$6:$Z$6,K$7,'Phase 3 Pro Forma'!$F$30:$Z$30)+SUMIF('Phase 1 Pro Forma'!$F$6:$Z$6,K$7,'Phase 1 Pro Forma'!$AQ$21:$BK$21)+SUMIF('Phase 2 Pro Forma'!$F$6:$Z$6,K$7,'Phase 2 Pro Forma'!$AW$38:$BQ$38)+SUMIF('Phase 3 Pro Forma'!$F$6:$Z$6,K$7,'Phase 3 Pro Forma'!$F$84:$Z$84)+SUMIF('Phase 1 Pro Forma'!$F$6:$Z$6,K$7,'Phase 1 Pro Forma'!$AQ$114:$BK$114)+SUMIF('Phase 2 Pro Forma'!$F$6:$Z$6,K$7,'Phase 2 Pro Forma'!$BD$143:$BQ$143)+SUMIF('Phase 3 Pro Forma'!$F$6:$Z$6,K$7,'Phase 3 Pro Forma'!$F$189:$Z$189)+SUMIF('Phase 1 Pro Forma'!$F$6:$Z$6,K$7,'Phase 1 Pro Forma'!$AQ$67:$BK$67)+SUMIF('Phase 2 Pro Forma'!$F$6:$Z$6,K$7,'Phase 2 Pro Forma'!$AW$92:$BQ$92)+SUMIF('Phase 3 Pro Forma'!$F$6:$Z$6,K$7,'Phase 3 Pro Forma'!$F$138:$Z$138)</f>
        <v>2759364.7083691247</v>
      </c>
      <c r="L10" s="700">
        <f ca="1">+SUMIF('Phase 1 Pro Forma'!$F$6:$Z$6,L$7,'Phase 1 Pro Forma'!$F$26:$Z$26)+SUMIF('Phase 2 Pro Forma'!$F$6:$Z$6,L$7,'Phase 2 Pro Forma'!$F$30:$Z$30)+SUMIF('Phase 3 Pro Forma'!$F$6:$Z$6,L$7,'Phase 3 Pro Forma'!$F$30:$Z$30)+SUMIF('Phase 1 Pro Forma'!$F$6:$Z$6,L$7,'Phase 1 Pro Forma'!$AQ$21:$BK$21)+SUMIF('Phase 2 Pro Forma'!$F$6:$Z$6,L$7,'Phase 2 Pro Forma'!$AW$38:$BQ$38)+SUMIF('Phase 3 Pro Forma'!$F$6:$Z$6,L$7,'Phase 3 Pro Forma'!$F$84:$Z$84)+SUMIF('Phase 1 Pro Forma'!$F$6:$Z$6,L$7,'Phase 1 Pro Forma'!$AQ$114:$BK$114)+SUMIF('Phase 2 Pro Forma'!$F$6:$Z$6,L$7,'Phase 2 Pro Forma'!$BD$143:$BQ$143)+SUMIF('Phase 3 Pro Forma'!$F$6:$Z$6,L$7,'Phase 3 Pro Forma'!$F$189:$Z$189)+SUMIF('Phase 1 Pro Forma'!$F$6:$Z$6,L$7,'Phase 1 Pro Forma'!$AQ$67:$BK$67)+SUMIF('Phase 2 Pro Forma'!$F$6:$Z$6,L$7,'Phase 2 Pro Forma'!$AW$92:$BQ$92)+SUMIF('Phase 3 Pro Forma'!$F$6:$Z$6,L$7,'Phase 3 Pro Forma'!$F$138:$Z$138)</f>
        <v>3543030.2412100984</v>
      </c>
      <c r="M10" s="700">
        <f ca="1">+SUMIF('Phase 1 Pro Forma'!$F$6:$Z$6,M$7,'Phase 1 Pro Forma'!$F$26:$Z$26)+SUMIF('Phase 2 Pro Forma'!$F$6:$Z$6,M$7,'Phase 2 Pro Forma'!$F$30:$Z$30)+SUMIF('Phase 3 Pro Forma'!$F$6:$Z$6,M$7,'Phase 3 Pro Forma'!$F$30:$Z$30)+SUMIF('Phase 1 Pro Forma'!$F$6:$Z$6,M$7,'Phase 1 Pro Forma'!$AQ$21:$BK$21)+SUMIF('Phase 2 Pro Forma'!$F$6:$Z$6,M$7,'Phase 2 Pro Forma'!$AW$38:$BQ$38)+SUMIF('Phase 3 Pro Forma'!$F$6:$Z$6,M$7,'Phase 3 Pro Forma'!$F$84:$Z$84)+SUMIF('Phase 1 Pro Forma'!$F$6:$Z$6,M$7,'Phase 1 Pro Forma'!$AQ$114:$BK$114)+SUMIF('Phase 2 Pro Forma'!$F$6:$Z$6,M$7,'Phase 2 Pro Forma'!$BD$143:$BQ$143)+SUMIF('Phase 3 Pro Forma'!$F$6:$Z$6,M$7,'Phase 3 Pro Forma'!$F$189:$Z$189)+SUMIF('Phase 1 Pro Forma'!$F$6:$Z$6,M$7,'Phase 1 Pro Forma'!$AQ$67:$BK$67)+SUMIF('Phase 2 Pro Forma'!$F$6:$Z$6,M$7,'Phase 2 Pro Forma'!$AW$92:$BQ$92)+SUMIF('Phase 3 Pro Forma'!$F$6:$Z$6,M$7,'Phase 3 Pro Forma'!$F$138:$Z$138)</f>
        <v>3663240.1698315646</v>
      </c>
      <c r="N10" s="632">
        <f ca="1">+SUMIF('Phase 1 Pro Forma'!$F$6:$Z$6,N$7,'Phase 1 Pro Forma'!$F$26:$Z$26)+SUMIF('Phase 2 Pro Forma'!$F$6:$Z$6,N$7,'Phase 2 Pro Forma'!$F$30:$Z$30)+SUMIF('Phase 3 Pro Forma'!$F$6:$Z$6,N$7,'Phase 3 Pro Forma'!$F$30:$Z$30)+SUMIF('Phase 1 Pro Forma'!$F$6:$Z$6,N$7,'Phase 1 Pro Forma'!$AQ$21:$BK$21)+SUMIF('Phase 2 Pro Forma'!$F$6:$Z$6,N$7,'Phase 2 Pro Forma'!$AW$38:$BQ$38)+SUMIF('Phase 3 Pro Forma'!$F$6:$Z$6,N$7,'Phase 3 Pro Forma'!$F$84:$Z$84)+SUMIF('Phase 1 Pro Forma'!$F$6:$Z$6,N$7,'Phase 1 Pro Forma'!$AQ$114:$BK$114)+SUMIF('Phase 2 Pro Forma'!$F$6:$Z$6,N$7,'Phase 2 Pro Forma'!$BD$143:$BQ$143)+SUMIF('Phase 3 Pro Forma'!$F$6:$Z$6,N$7,'Phase 3 Pro Forma'!$F$189:$Z$189)+SUMIF('Phase 1 Pro Forma'!$F$6:$Z$6,N$7,'Phase 1 Pro Forma'!$AQ$67:$BK$67)+SUMIF('Phase 2 Pro Forma'!$F$6:$Z$6,N$7,'Phase 2 Pro Forma'!$AW$92:$BQ$92)+SUMIF('Phase 3 Pro Forma'!$F$6:$Z$6,N$7,'Phase 3 Pro Forma'!$F$138:$Z$138)</f>
        <v>3773865.5880659395</v>
      </c>
    </row>
    <row r="11" spans="2:14" ht="15">
      <c r="B11" s="286" t="s">
        <v>158</v>
      </c>
      <c r="C11" s="285"/>
      <c r="D11" s="586">
        <v>0</v>
      </c>
      <c r="E11" s="700">
        <v>0</v>
      </c>
      <c r="F11" s="306">
        <v>0</v>
      </c>
      <c r="G11" s="711">
        <v>0</v>
      </c>
      <c r="H11" s="306">
        <v>0</v>
      </c>
      <c r="I11" s="713">
        <v>0</v>
      </c>
      <c r="J11" s="700">
        <v>0</v>
      </c>
      <c r="K11" s="700">
        <v>0</v>
      </c>
      <c r="L11" s="700">
        <v>0</v>
      </c>
      <c r="M11" s="700">
        <v>0</v>
      </c>
      <c r="N11" s="632">
        <v>0</v>
      </c>
    </row>
    <row r="12" spans="2:14" ht="15">
      <c r="B12" s="287" t="s">
        <v>159</v>
      </c>
      <c r="D12" s="586">
        <f ca="1">+SUMIF('Phase 1 Pro Forma'!$F$6:$Z$6,D$7,'Phase 1 Pro Forma'!$F$70:$Z$70)+SUMIF('Phase 2 Pro Forma'!$F$6:$Z$6,D$7,'Phase 2 Pro Forma'!$F$78:$Z$78)+SUMIF('Phase 3 Pro Forma'!$F$6:$Z$6,D$7,'Phase 3 Pro Forma'!$F$234:$Z$234)</f>
        <v>0</v>
      </c>
      <c r="E12" s="306">
        <f ca="1">+SUMIF('Phase 1 Pro Forma'!$F$6:$Z$6,E$7,'Phase 1 Pro Forma'!$F$70:$Z$70)+SUMIF('Phase 2 Pro Forma'!$F$6:$Z$6,E$7,'Phase 2 Pro Forma'!$F$78:$Z$78)+SUMIF('Phase 3 Pro Forma'!$F$6:$Z$6,E$7,'Phase 3 Pro Forma'!$F$234:$Z$234)</f>
        <v>0</v>
      </c>
      <c r="F12" s="306">
        <f ca="1">+SUMIF('Phase 1 Pro Forma'!$F$6:$Z$6,F$7,'Phase 1 Pro Forma'!$F$70:$Z$70)+SUMIF('Phase 2 Pro Forma'!$F$6:$Z$6,F$7,'Phase 2 Pro Forma'!$F$78:$Z$78)+SUMIF('Phase 3 Pro Forma'!$F$6:$Z$6,F$7,'Phase 3 Pro Forma'!$F$234:$Z$234)</f>
        <v>0</v>
      </c>
      <c r="G12" s="613">
        <f ca="1">+SUMIF('Phase 1 Pro Forma'!$F$6:$Z$6,G$7,'Phase 1 Pro Forma'!$F$70:$Z$70)+SUMIF('Phase 2 Pro Forma'!$F$6:$Z$6,G$7,'Phase 2 Pro Forma'!$F$78:$Z$78)+SUMIF('Phase 3 Pro Forma'!$F$6:$Z$6,G$7,'Phase 3 Pro Forma'!$F$234:$Z$234)</f>
        <v>0</v>
      </c>
      <c r="H12" s="306">
        <f ca="1">+SUMIF('Phase 1 Pro Forma'!$F$6:$Z$6,H$7,'Phase 1 Pro Forma'!$F$70:$Z$70)+SUMIF('Phase 2 Pro Forma'!$F$6:$Z$6,H$7,'Phase 2 Pro Forma'!$F$78:$Z$78)+SUMIF('Phase 3 Pro Forma'!$F$6:$Z$6,H$7,'Phase 3 Pro Forma'!$F$234:$Z$234)</f>
        <v>1046816.6690864038</v>
      </c>
      <c r="I12" s="622">
        <f ca="1">+SUMIF('Phase 1 Pro Forma'!$F$6:$Z$6,I$7,'Phase 1 Pro Forma'!$F$70:$Z$70)+SUMIF('Phase 2 Pro Forma'!$F$6:$Z$6,I$7,'Phase 2 Pro Forma'!$F$78:$Z$78)+SUMIF('Phase 3 Pro Forma'!$F$6:$Z$6,I$7,'Phase 3 Pro Forma'!$F$234:$Z$234)</f>
        <v>2091996.2208919059</v>
      </c>
      <c r="J12" s="306">
        <f ca="1">+SUMIF('Phase 1 Pro Forma'!$F$6:$Z$6,J$7,'Phase 1 Pro Forma'!$F$70:$Z$70)+SUMIF('Phase 2 Pro Forma'!$F$6:$Z$6,J$7,'Phase 2 Pro Forma'!$F$78:$Z$78)+SUMIF('Phase 3 Pro Forma'!$F$6:$Z$6,J$7,'Phase 3 Pro Forma'!$F$234:$Z$234)</f>
        <v>4210705.6724711265</v>
      </c>
      <c r="K12" s="306">
        <f ca="1">+SUMIF('Phase 1 Pro Forma'!$F$6:$Z$6,K$7,'Phase 1 Pro Forma'!$F$70:$Z$70)+SUMIF('Phase 2 Pro Forma'!$F$6:$Z$6,K$7,'Phase 2 Pro Forma'!$F$78:$Z$78)+SUMIF('Phase 3 Pro Forma'!$F$6:$Z$6,K$7,'Phase 3 Pro Forma'!$F$234:$Z$234)</f>
        <v>6651244.6407664483</v>
      </c>
      <c r="L12" s="306">
        <f ca="1">+SUMIF('Phase 1 Pro Forma'!$F$6:$Z$6,L$7,'Phase 1 Pro Forma'!$F$70:$Z$70)+SUMIF('Phase 2 Pro Forma'!$F$6:$Z$6,L$7,'Phase 2 Pro Forma'!$F$78:$Z$78)+SUMIF('Phase 3 Pro Forma'!$F$6:$Z$6,L$7,'Phase 3 Pro Forma'!$F$234:$Z$234)</f>
        <v>6990639.1681367354</v>
      </c>
      <c r="M12" s="306">
        <f ca="1">+SUMIF('Phase 1 Pro Forma'!$F$6:$Z$6,M$7,'Phase 1 Pro Forma'!$F$70:$Z$70)+SUMIF('Phase 2 Pro Forma'!$F$6:$Z$6,M$7,'Phase 2 Pro Forma'!$F$78:$Z$78)+SUMIF('Phase 3 Pro Forma'!$F$6:$Z$6,M$7,'Phase 3 Pro Forma'!$F$234:$Z$234)</f>
        <v>7993474.1205383539</v>
      </c>
      <c r="N12" s="632">
        <f ca="1">+SUMIF('Phase 1 Pro Forma'!$F$6:$Z$6,N$7,'Phase 1 Pro Forma'!$F$70:$Z$70)+SUMIF('Phase 2 Pro Forma'!$F$6:$Z$6,N$7,'Phase 2 Pro Forma'!$F$78:$Z$78)+SUMIF('Phase 3 Pro Forma'!$F$6:$Z$6,N$7,'Phase 3 Pro Forma'!$F$234:$Z$234)</f>
        <v>7983685.87905188</v>
      </c>
    </row>
    <row r="13" spans="2:14" ht="15">
      <c r="B13" s="287" t="s">
        <v>160</v>
      </c>
      <c r="D13" s="586">
        <f ca="1">+SUMIF('Phase 1 Pro Forma'!$F$6:$Z$6,D$7,'Phase 1 Pro Forma'!$F$96:$Z$96)+SUMIF('Phase 2 Pro Forma'!$F$6:$Z$6,D$7,'Phase 2 Pro Forma'!$F$104:$Z$104)+SUMIF('Phase 3 Pro Forma'!$F$6:$Z$6,D$7,'Phase 3 Pro Forma'!$F$260:$Z$260)</f>
        <v>0</v>
      </c>
      <c r="E13" s="306">
        <f ca="1">+SUMIF('Phase 1 Pro Forma'!$F$6:$Z$6,E$7,'Phase 1 Pro Forma'!$F$96:$Z$96)+SUMIF('Phase 2 Pro Forma'!$F$6:$Z$6,E$7,'Phase 2 Pro Forma'!$F$104:$Z$104)+SUMIF('Phase 3 Pro Forma'!$F$6:$Z$6,E$7,'Phase 3 Pro Forma'!$F$260:$Z$260)</f>
        <v>0</v>
      </c>
      <c r="F13" s="306">
        <f ca="1">+SUMIF('Phase 1 Pro Forma'!$F$6:$Z$6,F$7,'Phase 1 Pro Forma'!$F$96:$Z$96)+SUMIF('Phase 2 Pro Forma'!$F$6:$Z$6,F$7,'Phase 2 Pro Forma'!$F$104:$Z$104)+SUMIF('Phase 3 Pro Forma'!$F$6:$Z$6,F$7,'Phase 3 Pro Forma'!$F$260:$Z$260)</f>
        <v>0</v>
      </c>
      <c r="G13" s="613">
        <f ca="1">+SUMIF('Phase 1 Pro Forma'!$F$6:$Z$6,G$7,'Phase 1 Pro Forma'!$F$96:$Z$96)+SUMIF('Phase 2 Pro Forma'!$F$6:$Z$6,G$7,'Phase 2 Pro Forma'!$F$104:$Z$104)+SUMIF('Phase 3 Pro Forma'!$F$6:$Z$6,G$7,'Phase 3 Pro Forma'!$F$260:$Z$260)</f>
        <v>0</v>
      </c>
      <c r="H13" s="306">
        <f ca="1">+SUMIF('Phase 1 Pro Forma'!$F$6:$Z$6,H$7,'Phase 1 Pro Forma'!$F$96:$Z$96)+SUMIF('Phase 2 Pro Forma'!$F$6:$Z$6,H$7,'Phase 2 Pro Forma'!$F$104:$Z$104)+SUMIF('Phase 3 Pro Forma'!$F$6:$Z$6,H$7,'Phase 3 Pro Forma'!$F$260:$Z$260)</f>
        <v>2524563.491931031</v>
      </c>
      <c r="I13" s="622">
        <f ca="1">+SUMIF('Phase 1 Pro Forma'!$F$6:$Z$6,I$7,'Phase 1 Pro Forma'!$F$96:$Z$96)+SUMIF('Phase 2 Pro Forma'!$F$6:$Z$6,I$7,'Phase 2 Pro Forma'!$F$104:$Z$104)+SUMIF('Phase 3 Pro Forma'!$F$6:$Z$6,I$7,'Phase 3 Pro Forma'!$F$260:$Z$260)</f>
        <v>5044849.6550490912</v>
      </c>
      <c r="J13" s="306">
        <f ca="1">+SUMIF('Phase 1 Pro Forma'!$F$6:$Z$6,J$7,'Phase 1 Pro Forma'!$F$96:$Z$96)+SUMIF('Phase 2 Pro Forma'!$F$6:$Z$6,J$7,'Phase 2 Pro Forma'!$F$104:$Z$104)+SUMIF('Phase 3 Pro Forma'!$F$6:$Z$6,J$7,'Phase 3 Pro Forma'!$F$260:$Z$260)</f>
        <v>6628491.6743743606</v>
      </c>
      <c r="K13" s="306">
        <f ca="1">+SUMIF('Phase 1 Pro Forma'!$F$6:$Z$6,K$7,'Phase 1 Pro Forma'!$F$96:$Z$96)+SUMIF('Phase 2 Pro Forma'!$F$6:$Z$6,K$7,'Phase 2 Pro Forma'!$F$104:$Z$104)+SUMIF('Phase 3 Pro Forma'!$F$6:$Z$6,K$7,'Phase 3 Pro Forma'!$F$260:$Z$260)</f>
        <v>8999152.688573692</v>
      </c>
      <c r="L13" s="306">
        <f ca="1">+SUMIF('Phase 1 Pro Forma'!$F$6:$Z$6,L$7,'Phase 1 Pro Forma'!$F$96:$Z$96)+SUMIF('Phase 2 Pro Forma'!$F$6:$Z$6,L$7,'Phase 2 Pro Forma'!$F$104:$Z$104)+SUMIF('Phase 3 Pro Forma'!$F$6:$Z$6,L$7,'Phase 3 Pro Forma'!$F$260:$Z$260)</f>
        <v>10015255.820733016</v>
      </c>
      <c r="M13" s="306">
        <f ca="1">+SUMIF('Phase 1 Pro Forma'!$F$6:$Z$6,M$7,'Phase 1 Pro Forma'!$F$96:$Z$96)+SUMIF('Phase 2 Pro Forma'!$F$6:$Z$6,M$7,'Phase 2 Pro Forma'!$F$104:$Z$104)+SUMIF('Phase 3 Pro Forma'!$F$6:$Z$6,M$7,'Phase 3 Pro Forma'!$F$260:$Z$260)</f>
        <v>11526922.755972123</v>
      </c>
      <c r="N13" s="632">
        <f ca="1">+SUMIF('Phase 1 Pro Forma'!$F$6:$Z$6,N$7,'Phase 1 Pro Forma'!$F$96:$Z$96)+SUMIF('Phase 2 Pro Forma'!$F$6:$Z$6,N$7,'Phase 2 Pro Forma'!$F$104:$Z$104)+SUMIF('Phase 3 Pro Forma'!$F$6:$Z$6,N$7,'Phase 3 Pro Forma'!$F$260:$Z$260)</f>
        <v>11512317.730394725</v>
      </c>
    </row>
    <row r="14" spans="2:14" ht="15">
      <c r="B14" s="287" t="s">
        <v>161</v>
      </c>
      <c r="D14" s="586">
        <f ca="1">+SUMIF('Phase 1 Pro Forma'!$F$6:$Z$6,D$7,'Phase 1 Pro Forma'!$F$475:$Z$475)+SUMIF('Phase 2 Pro Forma'!$F$6:$Z$6,D$7,'Phase 2 Pro Forma'!$AI$129:$BC$129)+SUMIF('Phase 3 Pro Forma'!$F$6:$Z$6,D$7,'Phase 3 Pro Forma'!$F$286:$Z$286)</f>
        <v>0</v>
      </c>
      <c r="E14" s="306">
        <f ca="1">+SUMIF('Phase 1 Pro Forma'!$F$6:$Z$6,E$7,'Phase 1 Pro Forma'!$F$475:$Z$475)+SUMIF('Phase 2 Pro Forma'!$F$6:$Z$6,E$7,'Phase 2 Pro Forma'!$AI$129:$BC$129)+SUMIF('Phase 3 Pro Forma'!$F$6:$Z$6,E$7,'Phase 3 Pro Forma'!$F$286:$Z$286)</f>
        <v>0</v>
      </c>
      <c r="F14" s="306">
        <f ca="1">+SUMIF('Phase 1 Pro Forma'!$F$6:$Z$6,F$7,'Phase 1 Pro Forma'!$F$475:$Z$475)+SUMIF('Phase 2 Pro Forma'!$F$6:$Z$6,F$7,'Phase 2 Pro Forma'!$AI$129:$BC$129)+SUMIF('Phase 3 Pro Forma'!$F$6:$Z$6,F$7,'Phase 3 Pro Forma'!$F$286:$Z$286)</f>
        <v>0</v>
      </c>
      <c r="G14" s="613">
        <f ca="1">+SUMIF('Phase 1 Pro Forma'!$F$6:$Z$6,G$7,'Phase 1 Pro Forma'!$F$475:$Z$475)+SUMIF('Phase 2 Pro Forma'!$F$6:$Z$6,G$7,'Phase 2 Pro Forma'!$AI$129:$BC$129)+SUMIF('Phase 3 Pro Forma'!$F$6:$Z$6,G$7,'Phase 3 Pro Forma'!$F$286:$Z$286)</f>
        <v>0</v>
      </c>
      <c r="H14" s="306">
        <f ca="1">+SUMIF('Phase 1 Pro Forma'!$F$6:$Z$6,H$7,'Phase 1 Pro Forma'!$F$475:$Z$475)+SUMIF('Phase 2 Pro Forma'!$F$6:$Z$6,H$7,'Phase 2 Pro Forma'!$AI$129:$BC$129)+SUMIF('Phase 3 Pro Forma'!$F$6:$Z$6,H$7,'Phase 3 Pro Forma'!$F$286:$Z$286)</f>
        <v>0</v>
      </c>
      <c r="I14" s="622">
        <f ca="1">+SUMIF('Phase 1 Pro Forma'!$F$6:$Z$6,I$7,'Phase 1 Pro Forma'!$F$475:$Z$475)+SUMIF('Phase 2 Pro Forma'!$F$6:$Z$6,I$7,'Phase 2 Pro Forma'!$AI$129:$BC$129)+SUMIF('Phase 3 Pro Forma'!$F$6:$Z$6,I$7,'Phase 3 Pro Forma'!$F$286:$Z$286)</f>
        <v>0</v>
      </c>
      <c r="J14" s="306">
        <f ca="1">+SUMIF('Phase 1 Pro Forma'!$F$6:$Z$6,J$7,'Phase 1 Pro Forma'!$F$475:$Z$475)+SUMIF('Phase 2 Pro Forma'!$F$6:$Z$6,J$7,'Phase 2 Pro Forma'!$AI$129:$BC$129)+SUMIF('Phase 3 Pro Forma'!$F$6:$Z$6,J$7,'Phase 3 Pro Forma'!$F$286:$Z$286)</f>
        <v>0</v>
      </c>
      <c r="K14" s="306">
        <f ca="1">+SUMIF('Phase 1 Pro Forma'!$F$6:$Z$6,K$7,'Phase 1 Pro Forma'!$F$475:$Z$475)+SUMIF('Phase 2 Pro Forma'!$F$6:$Z$6,K$7,'Phase 2 Pro Forma'!$AI$129:$BC$129)+SUMIF('Phase 3 Pro Forma'!$F$6:$Z$6,K$7,'Phase 3 Pro Forma'!$F$286:$Z$286)</f>
        <v>0</v>
      </c>
      <c r="L14" s="306">
        <f ca="1">+SUMIF('Phase 1 Pro Forma'!$F$6:$Z$6,L$7,'Phase 1 Pro Forma'!$F$475:$Z$475)+SUMIF('Phase 2 Pro Forma'!$F$6:$Z$6,L$7,'Phase 2 Pro Forma'!$AI$129:$BC$129)+SUMIF('Phase 3 Pro Forma'!$F$6:$Z$6,L$7,'Phase 3 Pro Forma'!$F$286:$Z$286)</f>
        <v>0</v>
      </c>
      <c r="M14" s="306">
        <f ca="1">+SUMIF('Phase 1 Pro Forma'!$F$6:$Z$6,M$7,'Phase 1 Pro Forma'!$F$475:$Z$475)+SUMIF('Phase 2 Pro Forma'!$F$6:$Z$6,M$7,'Phase 2 Pro Forma'!$AI$129:$BC$129)+SUMIF('Phase 3 Pro Forma'!$F$6:$Z$6,M$7,'Phase 3 Pro Forma'!$F$286:$Z$286)</f>
        <v>0</v>
      </c>
      <c r="N14" s="632">
        <f ca="1">+SUMIF('Phase 1 Pro Forma'!$F$6:$Z$6,N$7,'Phase 1 Pro Forma'!$F$475:$Z$475)+SUMIF('Phase 2 Pro Forma'!$F$6:$Z$6,N$7,'Phase 2 Pro Forma'!$AI$129:$BC$129)+SUMIF('Phase 3 Pro Forma'!$F$6:$Z$6,N$7,'Phase 3 Pro Forma'!$F$286:$Z$286)</f>
        <v>0</v>
      </c>
    </row>
    <row r="15" spans="2:14" ht="15">
      <c r="B15" s="287" t="s">
        <v>162</v>
      </c>
      <c r="D15" s="586">
        <f ca="1">+SUMIF('Phase 1 Pro Forma'!$F$6:$Z$6,D$7,'Phase 1 Pro Forma'!$F$194:$Z$194)+SUMIF('Phase 2 Pro Forma'!$F$6:$Z$6,D$7,'Phase 2 Pro Forma'!$F$203:$Z$203)+SUMIF('Phase 3 Pro Forma'!$F$6:$Z$6,D$7,'Phase 3 Pro Forma'!$F$401:$Z$401)</f>
        <v>0</v>
      </c>
      <c r="E15" s="306">
        <f ca="1">+SUMIF('Phase 1 Pro Forma'!$F$6:$Z$6,E$7,'Phase 1 Pro Forma'!$F$194:$Z$194)+SUMIF('Phase 2 Pro Forma'!$F$6:$Z$6,E$7,'Phase 2 Pro Forma'!$F$203:$Z$203)+SUMIF('Phase 3 Pro Forma'!$F$6:$Z$6,E$7,'Phase 3 Pro Forma'!$F$401:$Z$401)</f>
        <v>0</v>
      </c>
      <c r="F15" s="306">
        <f ca="1">+SUMIF('Phase 1 Pro Forma'!$F$6:$Z$6,F$7,'Phase 1 Pro Forma'!$F$194:$Z$194)+SUMIF('Phase 2 Pro Forma'!$F$6:$Z$6,F$7,'Phase 2 Pro Forma'!$F$203:$Z$203)+SUMIF('Phase 3 Pro Forma'!$F$6:$Z$6,F$7,'Phase 3 Pro Forma'!$F$401:$Z$401)</f>
        <v>0</v>
      </c>
      <c r="G15" s="613">
        <f ca="1">+SUMIF('Phase 1 Pro Forma'!$F$6:$Z$6,G$7,'Phase 1 Pro Forma'!$F$194:$Z$194)+SUMIF('Phase 2 Pro Forma'!$F$6:$Z$6,G$7,'Phase 2 Pro Forma'!$F$203:$Z$203)+SUMIF('Phase 3 Pro Forma'!$F$6:$Z$6,G$7,'Phase 3 Pro Forma'!$F$401:$Z$401)</f>
        <v>0</v>
      </c>
      <c r="H15" s="306">
        <f ca="1">+SUMIF('Phase 1 Pro Forma'!$F$6:$Z$6,H$7,'Phase 1 Pro Forma'!$F$194:$Z$194)+SUMIF('Phase 2 Pro Forma'!$F$6:$Z$6,H$7,'Phase 2 Pro Forma'!$F$203:$Z$203)+SUMIF('Phase 3 Pro Forma'!$F$6:$Z$6,H$7,'Phase 3 Pro Forma'!$F$401:$Z$401)</f>
        <v>0</v>
      </c>
      <c r="I15" s="622">
        <f ca="1">+SUMIF('Phase 1 Pro Forma'!$F$6:$Z$6,I$7,'Phase 1 Pro Forma'!$F$194:$Z$194)+SUMIF('Phase 2 Pro Forma'!$F$6:$Z$6,I$7,'Phase 2 Pro Forma'!$F$203:$Z$203)+SUMIF('Phase 3 Pro Forma'!$F$6:$Z$6,I$7,'Phase 3 Pro Forma'!$F$401:$Z$401)</f>
        <v>0</v>
      </c>
      <c r="J15" s="306">
        <f ca="1">+SUMIF('Phase 1 Pro Forma'!$F$6:$Z$6,J$7,'Phase 1 Pro Forma'!$F$194:$Z$194)+SUMIF('Phase 2 Pro Forma'!$F$6:$Z$6,J$7,'Phase 2 Pro Forma'!$F$203:$Z$203)+SUMIF('Phase 3 Pro Forma'!$F$6:$Z$6,J$7,'Phase 3 Pro Forma'!$F$401:$Z$401)</f>
        <v>0</v>
      </c>
      <c r="K15" s="306">
        <f ca="1">+SUMIF('Phase 1 Pro Forma'!$F$6:$Z$6,K$7,'Phase 1 Pro Forma'!$F$194:$Z$194)+SUMIF('Phase 2 Pro Forma'!$F$6:$Z$6,K$7,'Phase 2 Pro Forma'!$F$203:$Z$203)+SUMIF('Phase 3 Pro Forma'!$F$6:$Z$6,K$7,'Phase 3 Pro Forma'!$F$401:$Z$401)</f>
        <v>0</v>
      </c>
      <c r="L15" s="306">
        <f ca="1">+SUMIF('Phase 1 Pro Forma'!$F$6:$Z$6,L$7,'Phase 1 Pro Forma'!$F$194:$Z$194)+SUMIF('Phase 2 Pro Forma'!$F$6:$Z$6,L$7,'Phase 2 Pro Forma'!$F$203:$Z$203)+SUMIF('Phase 3 Pro Forma'!$F$6:$Z$6,L$7,'Phase 3 Pro Forma'!$F$401:$Z$401)</f>
        <v>3621162.5298845386</v>
      </c>
      <c r="M15" s="306">
        <f ca="1">+SUMIF('Phase 1 Pro Forma'!$F$6:$Z$6,M$7,'Phase 1 Pro Forma'!$F$194:$Z$194)+SUMIF('Phase 2 Pro Forma'!$F$6:$Z$6,M$7,'Phase 2 Pro Forma'!$F$203:$Z$203)+SUMIF('Phase 3 Pro Forma'!$F$6:$Z$6,M$7,'Phase 3 Pro Forma'!$F$401:$Z$401)</f>
        <v>9470599.7740445156</v>
      </c>
      <c r="N15" s="632">
        <f ca="1">+SUMIF('Phase 1 Pro Forma'!$F$6:$Z$6,N$7,'Phase 1 Pro Forma'!$F$194:$Z$194)+SUMIF('Phase 2 Pro Forma'!$F$6:$Z$6,N$7,'Phase 2 Pro Forma'!$F$203:$Z$203)+SUMIF('Phase 3 Pro Forma'!$F$6:$Z$6,N$7,'Phase 3 Pro Forma'!$F$401:$Z$401)</f>
        <v>10069059.924431682</v>
      </c>
    </row>
    <row r="16" spans="2:14" ht="15">
      <c r="B16" s="287" t="s">
        <v>163</v>
      </c>
      <c r="D16" s="586">
        <f>+SUMIF('Phase 1 Pro Forma'!$F$6:$Z$6,D$7,'Phase 1 Pro Forma'!$AQ$160:$BK$160)+SUMIF('Phase 2 Pro Forma'!$F$6:$Z$6,D$7,'Phase 2 Pro Forma'!$F$249:$Z$249)+SUMIF('Phase 3 Pro Forma'!$F$6:$Z$6,D$7,'Phase 3 Pro Forma'!$F$447:$Z$447)</f>
        <v>0</v>
      </c>
      <c r="E16" s="306">
        <f>+SUMIF('Phase 1 Pro Forma'!$F$6:$Z$6,E$7,'Phase 1 Pro Forma'!$AQ$160:$BK$160)+SUMIF('Phase 2 Pro Forma'!$F$6:$Z$6,E$7,'Phase 2 Pro Forma'!$F$249:$Z$249)+SUMIF('Phase 3 Pro Forma'!$F$6:$Z$6,E$7,'Phase 3 Pro Forma'!$F$447:$Z$447)</f>
        <v>0</v>
      </c>
      <c r="F16" s="306">
        <f>+SUMIF('Phase 1 Pro Forma'!$F$6:$Z$6,F$7,'Phase 1 Pro Forma'!$AQ$160:$BK$160)+SUMIF('Phase 2 Pro Forma'!$F$6:$Z$6,F$7,'Phase 2 Pro Forma'!$F$249:$Z$249)+SUMIF('Phase 3 Pro Forma'!$F$6:$Z$6,F$7,'Phase 3 Pro Forma'!$F$447:$Z$447)</f>
        <v>0</v>
      </c>
      <c r="G16" s="613">
        <f>+SUMIF('Phase 1 Pro Forma'!$F$6:$Z$6,G$7,'Phase 1 Pro Forma'!$AQ$160:$BK$160)+SUMIF('Phase 2 Pro Forma'!$F$6:$Z$6,G$7,'Phase 2 Pro Forma'!$F$249:$Z$249)+SUMIF('Phase 3 Pro Forma'!$F$6:$Z$6,G$7,'Phase 3 Pro Forma'!$F$447:$Z$447)</f>
        <v>0</v>
      </c>
      <c r="H16" s="306">
        <f>+SUMIF('Phase 1 Pro Forma'!$F$6:$Z$6,H$7,'Phase 1 Pro Forma'!$AQ$160:$BK$160)+SUMIF('Phase 2 Pro Forma'!$F$6:$Z$6,H$7,'Phase 2 Pro Forma'!$F$249:$Z$249)+SUMIF('Phase 3 Pro Forma'!$F$6:$Z$6,H$7,'Phase 3 Pro Forma'!$F$447:$Z$447)</f>
        <v>0</v>
      </c>
      <c r="I16" s="622">
        <f>+SUMIF('Phase 1 Pro Forma'!$F$6:$Z$6,I$7,'Phase 1 Pro Forma'!$AQ$160:$BK$160)+SUMIF('Phase 2 Pro Forma'!$F$6:$Z$6,I$7,'Phase 2 Pro Forma'!$F$249:$Z$249)+SUMIF('Phase 3 Pro Forma'!$F$6:$Z$6,I$7,'Phase 3 Pro Forma'!$F$447:$Z$447)</f>
        <v>0</v>
      </c>
      <c r="J16" s="306">
        <f>+SUMIF('Phase 1 Pro Forma'!$F$6:$Z$6,J$7,'Phase 1 Pro Forma'!$AQ$160:$BK$160)+SUMIF('Phase 2 Pro Forma'!$F$6:$Z$6,J$7,'Phase 2 Pro Forma'!$F$249:$Z$249)+SUMIF('Phase 3 Pro Forma'!$F$6:$Z$6,J$7,'Phase 3 Pro Forma'!$F$447:$Z$447)</f>
        <v>0</v>
      </c>
      <c r="K16" s="306">
        <f>+SUMIF('Phase 1 Pro Forma'!$F$6:$Z$6,K$7,'Phase 1 Pro Forma'!$AQ$160:$BK$160)+SUMIF('Phase 2 Pro Forma'!$F$6:$Z$6,K$7,'Phase 2 Pro Forma'!$F$249:$Z$249)+SUMIF('Phase 3 Pro Forma'!$F$6:$Z$6,K$7,'Phase 3 Pro Forma'!$F$447:$Z$447)</f>
        <v>0</v>
      </c>
      <c r="L16" s="306">
        <f>+SUMIF('Phase 1 Pro Forma'!$F$6:$Z$6,L$7,'Phase 1 Pro Forma'!$AQ$160:$BK$160)+SUMIF('Phase 2 Pro Forma'!$F$6:$Z$6,L$7,'Phase 2 Pro Forma'!$F$249:$Z$249)+SUMIF('Phase 3 Pro Forma'!$F$6:$Z$6,L$7,'Phase 3 Pro Forma'!$F$447:$Z$447)</f>
        <v>0</v>
      </c>
      <c r="M16" s="306">
        <f>+SUMIF('Phase 1 Pro Forma'!$F$6:$Z$6,M$7,'Phase 1 Pro Forma'!$AQ$160:$BK$160)+SUMIF('Phase 2 Pro Forma'!$F$6:$Z$6,M$7,'Phase 2 Pro Forma'!$F$249:$Z$249)+SUMIF('Phase 3 Pro Forma'!$F$6:$Z$6,M$7,'Phase 3 Pro Forma'!$F$447:$Z$447)</f>
        <v>0</v>
      </c>
      <c r="N16" s="632">
        <f>+SUMIF('Phase 1 Pro Forma'!$F$6:$Z$6,N$7,'Phase 1 Pro Forma'!$AQ$160:$BK$160)+SUMIF('Phase 2 Pro Forma'!$F$6:$Z$6,N$7,'Phase 2 Pro Forma'!$F$249:$Z$249)+SUMIF('Phase 3 Pro Forma'!$F$6:$Z$6,N$7,'Phase 3 Pro Forma'!$F$447:$Z$447)</f>
        <v>0</v>
      </c>
    </row>
    <row r="17" spans="2:14" ht="15">
      <c r="B17" s="287" t="s">
        <v>164</v>
      </c>
      <c r="D17" s="586">
        <f ca="1">+SUMIF('Phase 1 Pro Forma'!$F$6:$Z$6,D$7,'Phase 1 Pro Forma'!$F$123:$Z$123)+SUMIF('Phase 2 Pro Forma'!$F$6:$Z$6,D$7,'Phase 2 Pro Forma'!$F$131:$Z$131)+SUMIF('Phase 3 Pro Forma'!$F$6:$Z$6,D$7,'Phase 3 Pro Forma'!$F$329:$Z$329)</f>
        <v>0</v>
      </c>
      <c r="E17" s="306">
        <f ca="1">+SUMIF('Phase 1 Pro Forma'!$F$6:$Z$6,E$7,'Phase 1 Pro Forma'!$F$123:$Z$123)+SUMIF('Phase 2 Pro Forma'!$F$6:$Z$6,E$7,'Phase 2 Pro Forma'!$F$131:$Z$131)+SUMIF('Phase 3 Pro Forma'!$F$6:$Z$6,E$7,'Phase 3 Pro Forma'!$F$329:$Z$329)</f>
        <v>0</v>
      </c>
      <c r="F17" s="306">
        <f ca="1">+SUMIF('Phase 1 Pro Forma'!$F$6:$Z$6,F$7,'Phase 1 Pro Forma'!$F$123:$Z$123)+SUMIF('Phase 2 Pro Forma'!$F$6:$Z$6,F$7,'Phase 2 Pro Forma'!$F$131:$Z$131)+SUMIF('Phase 3 Pro Forma'!$F$6:$Z$6,F$7,'Phase 3 Pro Forma'!$F$329:$Z$329)</f>
        <v>0</v>
      </c>
      <c r="G17" s="613">
        <f ca="1">+SUMIF('Phase 1 Pro Forma'!$F$6:$Z$6,G$7,'Phase 1 Pro Forma'!$F$123:$Z$123)+SUMIF('Phase 2 Pro Forma'!$F$6:$Z$6,G$7,'Phase 2 Pro Forma'!$F$131:$Z$131)+SUMIF('Phase 3 Pro Forma'!$F$6:$Z$6,G$7,'Phase 3 Pro Forma'!$F$329:$Z$329)</f>
        <v>0</v>
      </c>
      <c r="H17" s="306">
        <f ca="1">+SUMIF('Phase 1 Pro Forma'!$F$6:$Z$6,H$7,'Phase 1 Pro Forma'!$F$123:$Z$123)+SUMIF('Phase 2 Pro Forma'!$F$6:$Z$6,H$7,'Phase 2 Pro Forma'!$F$131:$Z$131)+SUMIF('Phase 3 Pro Forma'!$F$6:$Z$6,H$7,'Phase 3 Pro Forma'!$F$329:$Z$329)</f>
        <v>553064.29191709741</v>
      </c>
      <c r="I17" s="622">
        <f ca="1">+SUMIF('Phase 1 Pro Forma'!$F$6:$Z$6,I$7,'Phase 1 Pro Forma'!$F$123:$Z$123)+SUMIF('Phase 2 Pro Forma'!$F$6:$Z$6,I$7,'Phase 2 Pro Forma'!$F$131:$Z$131)+SUMIF('Phase 3 Pro Forma'!$F$6:$Z$6,I$7,'Phase 3 Pro Forma'!$F$329:$Z$329)</f>
        <v>1146880.4183505012</v>
      </c>
      <c r="J17" s="306">
        <f ca="1">+SUMIF('Phase 1 Pro Forma'!$F$6:$Z$6,J$7,'Phase 1 Pro Forma'!$F$123:$Z$123)+SUMIF('Phase 2 Pro Forma'!$F$6:$Z$6,J$7,'Phase 2 Pro Forma'!$F$131:$Z$131)+SUMIF('Phase 3 Pro Forma'!$F$6:$Z$6,J$7,'Phase 3 Pro Forma'!$F$329:$Z$329)</f>
        <v>1865787.9340345734</v>
      </c>
      <c r="K17" s="306">
        <f ca="1">+SUMIF('Phase 1 Pro Forma'!$F$6:$Z$6,K$7,'Phase 1 Pro Forma'!$F$123:$Z$123)+SUMIF('Phase 2 Pro Forma'!$F$6:$Z$6,K$7,'Phase 2 Pro Forma'!$F$131:$Z$131)+SUMIF('Phase 3 Pro Forma'!$F$6:$Z$6,K$7,'Phase 3 Pro Forma'!$F$329:$Z$329)</f>
        <v>2619002.6919718562</v>
      </c>
      <c r="L17" s="306">
        <f ca="1">+SUMIF('Phase 1 Pro Forma'!$F$6:$Z$6,L$7,'Phase 1 Pro Forma'!$F$123:$Z$123)+SUMIF('Phase 2 Pro Forma'!$F$6:$Z$6,L$7,'Phase 2 Pro Forma'!$F$131:$Z$131)+SUMIF('Phase 3 Pro Forma'!$F$6:$Z$6,L$7,'Phase 3 Pro Forma'!$F$329:$Z$329)</f>
        <v>3051206.3567382838</v>
      </c>
      <c r="M17" s="306">
        <f ca="1">+SUMIF('Phase 1 Pro Forma'!$F$6:$Z$6,M$7,'Phase 1 Pro Forma'!$F$123:$Z$123)+SUMIF('Phase 2 Pro Forma'!$F$6:$Z$6,M$7,'Phase 2 Pro Forma'!$F$131:$Z$131)+SUMIF('Phase 3 Pro Forma'!$F$6:$Z$6,M$7,'Phase 3 Pro Forma'!$F$329:$Z$329)</f>
        <v>3506475.2332939915</v>
      </c>
      <c r="N17" s="632">
        <f ca="1">+SUMIF('Phase 1 Pro Forma'!$F$6:$Z$6,N$7,'Phase 1 Pro Forma'!$F$123:$Z$123)+SUMIF('Phase 2 Pro Forma'!$F$6:$Z$6,N$7,'Phase 2 Pro Forma'!$F$131:$Z$131)+SUMIF('Phase 3 Pro Forma'!$F$6:$Z$6,N$7,'Phase 3 Pro Forma'!$F$329:$Z$329)</f>
        <v>3616245.5363136455</v>
      </c>
    </row>
    <row r="18" spans="2:14" ht="15">
      <c r="B18" s="287" t="s">
        <v>165</v>
      </c>
      <c r="C18" s="285"/>
      <c r="D18" s="587" t="s">
        <v>27</v>
      </c>
      <c r="E18" s="317" t="s">
        <v>27</v>
      </c>
      <c r="F18" s="317" t="s">
        <v>27</v>
      </c>
      <c r="G18" s="614" t="s">
        <v>27</v>
      </c>
      <c r="H18" s="317" t="s">
        <v>27</v>
      </c>
      <c r="I18" s="623" t="s">
        <v>27</v>
      </c>
      <c r="J18" s="317" t="s">
        <v>27</v>
      </c>
      <c r="K18" s="317" t="s">
        <v>27</v>
      </c>
      <c r="L18" s="317" t="s">
        <v>27</v>
      </c>
      <c r="M18" s="317" t="s">
        <v>27</v>
      </c>
      <c r="N18" s="633" t="s">
        <v>27</v>
      </c>
    </row>
    <row r="19" spans="2:14" ht="15">
      <c r="B19" s="287" t="s">
        <v>166</v>
      </c>
      <c r="D19" s="587" t="s">
        <v>27</v>
      </c>
      <c r="E19" s="317" t="s">
        <v>27</v>
      </c>
      <c r="F19" s="317" t="s">
        <v>27</v>
      </c>
      <c r="G19" s="614" t="s">
        <v>27</v>
      </c>
      <c r="H19" s="317" t="s">
        <v>27</v>
      </c>
      <c r="I19" s="623" t="s">
        <v>27</v>
      </c>
      <c r="J19" s="317" t="s">
        <v>27</v>
      </c>
      <c r="K19" s="317" t="s">
        <v>27</v>
      </c>
      <c r="L19" s="317" t="s">
        <v>27</v>
      </c>
      <c r="M19" s="317" t="s">
        <v>27</v>
      </c>
      <c r="N19" s="633" t="s">
        <v>27</v>
      </c>
    </row>
    <row r="20" spans="2:14" ht="15">
      <c r="B20" s="287" t="s">
        <v>167</v>
      </c>
      <c r="D20" s="753">
        <f ca="1">-SUMIF('Phase 1 Pro Forma'!$F$6:$Z$6,D$7,'Phase 1 Pro Forma'!$F$307:$Z$307)-SUMIF('Phase 2 Pro Forma'!$F$6:$Z$6,D$7,'Phase 2 Pro Forma'!$F$361:$Z$361)-SUMIF('Phase 3 Pro Forma'!$F$6:$Z$6,D$7,'Phase 3 Pro Forma'!$F$559:$Z$559)</f>
        <v>-18352104.384487133</v>
      </c>
      <c r="E20" s="307">
        <f ca="1">-SUMIF('Phase 1 Pro Forma'!$F$6:$Z$6,E$7,'Phase 1 Pro Forma'!$F$307:$Z$307)-SUMIF('Phase 2 Pro Forma'!$F$6:$Z$6,E$7,'Phase 2 Pro Forma'!$F$361:$Z$361)-SUMIF('Phase 3 Pro Forma'!$F$6:$Z$6,E$7,'Phase 3 Pro Forma'!$F$559:$Z$559)</f>
        <v>0</v>
      </c>
      <c r="F20" s="307">
        <f ca="1">-SUMIF('Phase 1 Pro Forma'!$F$6:$Z$6,F$7,'Phase 1 Pro Forma'!$F$307:$Z$307)-SUMIF('Phase 2 Pro Forma'!$F$6:$Z$6,F$7,'Phase 2 Pro Forma'!$F$361:$Z$361)-SUMIF('Phase 3 Pro Forma'!$F$6:$Z$6,F$7,'Phase 3 Pro Forma'!$F$559:$Z$559)</f>
        <v>0</v>
      </c>
      <c r="G20" s="615">
        <f ca="1">-SUMIF('Phase 1 Pro Forma'!$F$6:$Z$6,G$7,'Phase 1 Pro Forma'!$F$307:$Z$307)-SUMIF('Phase 2 Pro Forma'!$F$6:$Z$6,G$7,'Phase 2 Pro Forma'!$F$361:$Z$361)-SUMIF('Phase 3 Pro Forma'!$F$6:$Z$6,G$7,'Phase 3 Pro Forma'!$F$559:$Z$559)</f>
        <v>-15258747.913810223</v>
      </c>
      <c r="H20" s="307">
        <f ca="1">-SUMIF('Phase 1 Pro Forma'!$F$6:$Z$6,H$7,'Phase 1 Pro Forma'!$F$307:$Z$307)-SUMIF('Phase 2 Pro Forma'!$F$6:$Z$6,H$7,'Phase 2 Pro Forma'!$F$361:$Z$361)-SUMIF('Phase 3 Pro Forma'!$F$6:$Z$6,H$7,'Phase 3 Pro Forma'!$F$559:$Z$559)</f>
        <v>0</v>
      </c>
      <c r="I20" s="624">
        <f ca="1">-SUMIF('Phase 1 Pro Forma'!$F$6:$Z$6,I$7,'Phase 1 Pro Forma'!$F$307:$Z$307)-SUMIF('Phase 2 Pro Forma'!$F$6:$Z$6,I$7,'Phase 2 Pro Forma'!$F$361:$Z$361)-SUMIF('Phase 3 Pro Forma'!$F$6:$Z$6,I$7,'Phase 3 Pro Forma'!$F$559:$Z$559)</f>
        <v>-14154099.402868543</v>
      </c>
      <c r="J20" s="307">
        <f ca="1">-SUMIF('Phase 1 Pro Forma'!$F$6:$Z$6,J$7,'Phase 1 Pro Forma'!$F$307:$Z$307)-SUMIF('Phase 2 Pro Forma'!$F$6:$Z$6,J$7,'Phase 2 Pro Forma'!$F$361:$Z$361)-SUMIF('Phase 3 Pro Forma'!$F$6:$Z$6,J$7,'Phase 3 Pro Forma'!$F$559:$Z$559)</f>
        <v>0</v>
      </c>
      <c r="K20" s="307">
        <f ca="1">-SUMIF('Phase 1 Pro Forma'!$F$6:$Z$6,K$7,'Phase 1 Pro Forma'!$F$307:$Z$307)-SUMIF('Phase 2 Pro Forma'!$F$6:$Z$6,K$7,'Phase 2 Pro Forma'!$F$361:$Z$361)-SUMIF('Phase 3 Pro Forma'!$F$6:$Z$6,K$7,'Phase 3 Pro Forma'!$F$559:$Z$559)</f>
        <v>0</v>
      </c>
      <c r="L20" s="307">
        <f ca="1">-SUMIF('Phase 1 Pro Forma'!$F$6:$Z$6,L$7,'Phase 1 Pro Forma'!$F$307:$Z$307)-SUMIF('Phase 2 Pro Forma'!$F$6:$Z$6,L$7,'Phase 2 Pro Forma'!$F$361:$Z$361)-SUMIF('Phase 3 Pro Forma'!$F$6:$Z$6,L$7,'Phase 3 Pro Forma'!$F$559:$Z$559)</f>
        <v>0</v>
      </c>
      <c r="M20" s="307">
        <f ca="1">-SUMIF('Phase 1 Pro Forma'!$F$6:$Z$6,M$7,'Phase 1 Pro Forma'!$F$307:$Z$307)-SUMIF('Phase 2 Pro Forma'!$F$6:$Z$6,M$7,'Phase 2 Pro Forma'!$F$361:$Z$361)-SUMIF('Phase 3 Pro Forma'!$F$6:$Z$6,M$7,'Phase 3 Pro Forma'!$F$559:$Z$559)</f>
        <v>0</v>
      </c>
      <c r="N20" s="634">
        <f>-SUMIF('Phase 1 Pro Forma'!$F$6:$Z$6,N$7,'Phase 1 Pro Forma'!$F$307:$Z$307)-SUMIF('Phase 2 Pro Forma'!$F$6:$Z$6,N$7,'Phase 2 Pro Forma'!$F$361:$Z$361)-SUMIF('Phase 3 Pro Forma'!$F$6:$Z$6,N$7,'Phase 3 Pro Forma'!$F$559:$Z$559)</f>
        <v>0</v>
      </c>
    </row>
    <row r="21" spans="2:14" ht="15">
      <c r="B21" s="287" t="s">
        <v>168</v>
      </c>
      <c r="D21" s="586"/>
      <c r="G21" s="616"/>
      <c r="I21" s="625"/>
      <c r="N21" s="635"/>
    </row>
    <row r="22" spans="2:14" ht="15.75">
      <c r="B22" s="1104" t="s">
        <v>169</v>
      </c>
      <c r="C22" s="1104"/>
      <c r="D22" s="701">
        <f ca="1">SUM(D8:D21)</f>
        <v>-18352104.384487133</v>
      </c>
      <c r="E22" s="701">
        <f ca="1">SUM(E8:E21)</f>
        <v>0</v>
      </c>
      <c r="F22" s="701">
        <f t="shared" ref="F22:N22" ca="1" si="3">SUM(F8:F21)</f>
        <v>0</v>
      </c>
      <c r="G22" s="701">
        <f t="shared" ca="1" si="3"/>
        <v>-15258747.913810223</v>
      </c>
      <c r="H22" s="701">
        <f t="shared" ca="1" si="3"/>
        <v>16034262.747749643</v>
      </c>
      <c r="I22" s="701">
        <f t="shared" ca="1" si="3"/>
        <v>6478225.0454360135</v>
      </c>
      <c r="J22" s="701">
        <f t="shared" ca="1" si="3"/>
        <v>35186171.005123474</v>
      </c>
      <c r="K22" s="701">
        <f t="shared" ca="1" si="3"/>
        <v>41412633.05905278</v>
      </c>
      <c r="L22" s="701">
        <f t="shared" ca="1" si="3"/>
        <v>53273060.033715717</v>
      </c>
      <c r="M22" s="701">
        <f t="shared" ca="1" si="3"/>
        <v>63110496.031259552</v>
      </c>
      <c r="N22" s="701">
        <f t="shared" ca="1" si="3"/>
        <v>64731652.519527145</v>
      </c>
    </row>
    <row r="23" spans="2:14" ht="15.75">
      <c r="B23" s="1105" t="s">
        <v>170</v>
      </c>
      <c r="C23" s="1105"/>
      <c r="D23" s="586">
        <f>+SUMIF('Phase 1 Pro Forma'!$F$6:$Z$6,D$7,'Phase 1 Pro Forma'!$F$144:$Z$144)+SUMIF('Phase 2 Pro Forma'!$F$6:$Z$6,D$7,'Phase 2 Pro Forma'!$F$152:$Z$152)+SUMIF('Phase 3 Pro Forma'!$F$6:$Z$6,'Official Summary'!D$7,'Phase 3 Pro Forma'!$F$350:$Z$350)+SUMIF('Phase 1 Pro Forma'!$F$6:$Z$6,D$7,'Phase 1 Pro Forma'!$F$213:$Z$213)+SUMIF('Phase 2 Pro Forma'!$F$6:$Z$6,D$7,'Phase 2 Pro Forma'!$F$222:$Z$222)+SUMIF('Phase 3 Pro Forma'!$F$6:$Z$6,D$7,'Phase 3 Pro Forma'!$F$420:$Z$420)+SUMIF('Phase 1 Pro Forma'!$F$6:$Z$6,D$7,'Phase 1 Pro Forma'!$AQ$179:$BK$179)+SUMIF('Phase 2 Pro Forma'!$F$6:$Z$6,D$7,'Phase 2 Pro Forma'!$F$268:$Z$268)+SUMIF('Phase 3 Pro Forma'!$F$6:$Z$6,D$7,'Phase 3 Pro Forma'!$F$466:$Z$466)+SUMIF('Phase 1 Pro Forma'!$F$6:$Z$6,D$7,'Phase 1 Pro Forma'!$F$286:$Z$286)+SUMIF('Phase 2 Pro Forma'!$F$6:$Z$6,D$7,'Phase 2 Pro Forma'!$F$340:$Z$340)+SUMIF('Phase 3 Pro Forma'!$F$6:$Z$6,D$7,'Phase 3 Pro Forma'!$F$538:$Z$538)</f>
        <v>0</v>
      </c>
      <c r="E23" s="316">
        <f>+SUMIF('Phase 1 Pro Forma'!$F$6:$Z$6,E$7,'Phase 1 Pro Forma'!$F$144:$Z$144)+SUMIF('Phase 2 Pro Forma'!$F$6:$Z$6,E$7,'Phase 2 Pro Forma'!$F$152:$Z$152)+SUMIF('Phase 3 Pro Forma'!$F$6:$Z$6,'Official Summary'!E$7,'Phase 3 Pro Forma'!$F$350:$Z$350)+SUMIF('Phase 1 Pro Forma'!$F$6:$Z$6,E$7,'Phase 1 Pro Forma'!$F$213:$Z$213)+SUMIF('Phase 2 Pro Forma'!$F$6:$Z$6,E$7,'Phase 2 Pro Forma'!$F$222:$Z$222)+SUMIF('Phase 3 Pro Forma'!$F$6:$Z$6,E$7,'Phase 3 Pro Forma'!$F$420:$Z$420)+SUMIF('Phase 1 Pro Forma'!$F$6:$Z$6,E$7,'Phase 1 Pro Forma'!$AQ$179:$BK$179)+SUMIF('Phase 2 Pro Forma'!$F$6:$Z$6,E$7,'Phase 2 Pro Forma'!$F$268:$Z$268)+SUMIF('Phase 3 Pro Forma'!$F$6:$Z$6,E$7,'Phase 3 Pro Forma'!$F$466:$Z$466)+SUMIF('Phase 1 Pro Forma'!$F$6:$Z$6,E$7,'Phase 1 Pro Forma'!$F$286:$Z$286)+SUMIF('Phase 2 Pro Forma'!$F$6:$Z$6,E$7,'Phase 2 Pro Forma'!$F$340:$Z$340)+SUMIF('Phase 3 Pro Forma'!$F$6:$Z$6,E$7,'Phase 3 Pro Forma'!$F$538:$Z$538)</f>
        <v>0</v>
      </c>
      <c r="F23" s="316">
        <f>+SUMIF('Phase 1 Pro Forma'!$F$6:$Z$6,F$7,'Phase 1 Pro Forma'!$F$144:$Z$144)+SUMIF('Phase 2 Pro Forma'!$F$6:$Z$6,F$7,'Phase 2 Pro Forma'!$F$152:$Z$152)+SUMIF('Phase 3 Pro Forma'!$F$6:$Z$6,'Official Summary'!F$7,'Phase 3 Pro Forma'!$F$350:$Z$350)+SUMIF('Phase 1 Pro Forma'!$F$6:$Z$6,F$7,'Phase 1 Pro Forma'!$F$213:$Z$213)+SUMIF('Phase 2 Pro Forma'!$F$6:$Z$6,F$7,'Phase 2 Pro Forma'!$F$222:$Z$222)+SUMIF('Phase 3 Pro Forma'!$F$6:$Z$6,F$7,'Phase 3 Pro Forma'!$F$420:$Z$420)+SUMIF('Phase 1 Pro Forma'!$F$6:$Z$6,F$7,'Phase 1 Pro Forma'!$AQ$179:$BK$179)+SUMIF('Phase 2 Pro Forma'!$F$6:$Z$6,F$7,'Phase 2 Pro Forma'!$F$268:$Z$268)+SUMIF('Phase 3 Pro Forma'!$F$6:$Z$6,F$7,'Phase 3 Pro Forma'!$F$466:$Z$466)+SUMIF('Phase 1 Pro Forma'!$F$6:$Z$6,F$7,'Phase 1 Pro Forma'!$F$286:$Z$286)+SUMIF('Phase 2 Pro Forma'!$F$6:$Z$6,F$7,'Phase 2 Pro Forma'!$F$340:$Z$340)+SUMIF('Phase 3 Pro Forma'!$F$6:$Z$6,F$7,'Phase 3 Pro Forma'!$F$538:$Z$538)</f>
        <v>0</v>
      </c>
      <c r="G23" s="617">
        <f>+SUMIF('Phase 1 Pro Forma'!$F$6:$Z$6,G$7,'Phase 1 Pro Forma'!$F$144:$Z$144)+SUMIF('Phase 2 Pro Forma'!$F$6:$Z$6,G$7,'Phase 2 Pro Forma'!$F$152:$Z$152)+SUMIF('Phase 3 Pro Forma'!$F$6:$Z$6,'Official Summary'!G$7,'Phase 3 Pro Forma'!$F$350:$Z$350)+SUMIF('Phase 1 Pro Forma'!$F$6:$Z$6,G$7,'Phase 1 Pro Forma'!$F$213:$Z$213)+SUMIF('Phase 2 Pro Forma'!$F$6:$Z$6,G$7,'Phase 2 Pro Forma'!$F$222:$Z$222)+SUMIF('Phase 3 Pro Forma'!$F$6:$Z$6,G$7,'Phase 3 Pro Forma'!$F$420:$Z$420)+SUMIF('Phase 1 Pro Forma'!$F$6:$Z$6,G$7,'Phase 1 Pro Forma'!$AQ$179:$BK$179)+SUMIF('Phase 2 Pro Forma'!$F$6:$Z$6,G$7,'Phase 2 Pro Forma'!$F$268:$Z$268)+SUMIF('Phase 3 Pro Forma'!$F$6:$Z$6,G$7,'Phase 3 Pro Forma'!$F$466:$Z$466)+SUMIF('Phase 1 Pro Forma'!$F$6:$Z$6,G$7,'Phase 1 Pro Forma'!$F$286:$Z$286)+SUMIF('Phase 2 Pro Forma'!$F$6:$Z$6,G$7,'Phase 2 Pro Forma'!$F$340:$Z$340)+SUMIF('Phase 3 Pro Forma'!$F$6:$Z$6,G$7,'Phase 3 Pro Forma'!$F$538:$Z$538)</f>
        <v>0</v>
      </c>
      <c r="H23" s="316">
        <f>+SUMIF('Phase 1 Pro Forma'!$F$6:$Z$6,H$7,'Phase 1 Pro Forma'!$F$144:$Z$144)+SUMIF('Phase 2 Pro Forma'!$F$6:$Z$6,H$7,'Phase 2 Pro Forma'!$F$152:$Z$152)+SUMIF('Phase 3 Pro Forma'!$F$6:$Z$6,'Official Summary'!H$7,'Phase 3 Pro Forma'!$F$350:$Z$350)+SUMIF('Phase 1 Pro Forma'!$F$6:$Z$6,H$7,'Phase 1 Pro Forma'!$F$213:$Z$213)+SUMIF('Phase 2 Pro Forma'!$F$6:$Z$6,H$7,'Phase 2 Pro Forma'!$F$222:$Z$222)+SUMIF('Phase 3 Pro Forma'!$F$6:$Z$6,H$7,'Phase 3 Pro Forma'!$F$420:$Z$420)+SUMIF('Phase 1 Pro Forma'!$F$6:$Z$6,H$7,'Phase 1 Pro Forma'!$AQ$179:$BK$179)+SUMIF('Phase 2 Pro Forma'!$F$6:$Z$6,H$7,'Phase 2 Pro Forma'!$F$268:$Z$268)+SUMIF('Phase 3 Pro Forma'!$F$6:$Z$6,H$7,'Phase 3 Pro Forma'!$F$466:$Z$466)+SUMIF('Phase 1 Pro Forma'!$F$6:$Z$6,H$7,'Phase 1 Pro Forma'!$F$286:$Z$286)+SUMIF('Phase 2 Pro Forma'!$F$6:$Z$6,H$7,'Phase 2 Pro Forma'!$F$340:$Z$340)+SUMIF('Phase 3 Pro Forma'!$F$6:$Z$6,H$7,'Phase 3 Pro Forma'!$F$538:$Z$538)</f>
        <v>48037050.09785302</v>
      </c>
      <c r="I23" s="626">
        <f>+SUMIF('Phase 1 Pro Forma'!$F$6:$Z$6,I$7,'Phase 1 Pro Forma'!$F$144:$Z$144)+SUMIF('Phase 2 Pro Forma'!$F$6:$Z$6,I$7,'Phase 2 Pro Forma'!$F$152:$Z$152)+SUMIF('Phase 3 Pro Forma'!$F$6:$Z$6,'Official Summary'!I$7,'Phase 3 Pro Forma'!$F$350:$Z$350)+SUMIF('Phase 1 Pro Forma'!$F$6:$Z$6,I$7,'Phase 1 Pro Forma'!$F$213:$Z$213)+SUMIF('Phase 2 Pro Forma'!$F$6:$Z$6,I$7,'Phase 2 Pro Forma'!$F$222:$Z$222)+SUMIF('Phase 3 Pro Forma'!$F$6:$Z$6,I$7,'Phase 3 Pro Forma'!$F$420:$Z$420)+SUMIF('Phase 1 Pro Forma'!$F$6:$Z$6,I$7,'Phase 1 Pro Forma'!$AQ$179:$BK$179)+SUMIF('Phase 2 Pro Forma'!$F$6:$Z$6,I$7,'Phase 2 Pro Forma'!$F$268:$Z$268)+SUMIF('Phase 3 Pro Forma'!$F$6:$Z$6,I$7,'Phase 3 Pro Forma'!$F$466:$Z$466)+SUMIF('Phase 1 Pro Forma'!$F$6:$Z$6,I$7,'Phase 1 Pro Forma'!$F$286:$Z$286)+SUMIF('Phase 2 Pro Forma'!$F$6:$Z$6,I$7,'Phase 2 Pro Forma'!$F$340:$Z$340)+SUMIF('Phase 3 Pro Forma'!$F$6:$Z$6,I$7,'Phase 3 Pro Forma'!$F$538:$Z$538)</f>
        <v>0</v>
      </c>
      <c r="J23" s="316">
        <f>+SUMIF('Phase 1 Pro Forma'!$F$6:$Z$6,J$7,'Phase 1 Pro Forma'!$F$144:$Z$144)+SUMIF('Phase 2 Pro Forma'!$F$6:$Z$6,J$7,'Phase 2 Pro Forma'!$F$152:$Z$152)+SUMIF('Phase 3 Pro Forma'!$F$6:$Z$6,'Official Summary'!J$7,'Phase 3 Pro Forma'!$F$350:$Z$350)+SUMIF('Phase 1 Pro Forma'!$F$6:$Z$6,J$7,'Phase 1 Pro Forma'!$F$213:$Z$213)+SUMIF('Phase 2 Pro Forma'!$F$6:$Z$6,J$7,'Phase 2 Pro Forma'!$F$222:$Z$222)+SUMIF('Phase 3 Pro Forma'!$F$6:$Z$6,J$7,'Phase 3 Pro Forma'!$F$420:$Z$420)+SUMIF('Phase 1 Pro Forma'!$F$6:$Z$6,J$7,'Phase 1 Pro Forma'!$AQ$179:$BK$179)+SUMIF('Phase 2 Pro Forma'!$F$6:$Z$6,J$7,'Phase 2 Pro Forma'!$F$268:$Z$268)+SUMIF('Phase 3 Pro Forma'!$F$6:$Z$6,J$7,'Phase 3 Pro Forma'!$F$466:$Z$466)+SUMIF('Phase 1 Pro Forma'!$F$6:$Z$6,J$7,'Phase 1 Pro Forma'!$F$286:$Z$286)+SUMIF('Phase 2 Pro Forma'!$F$6:$Z$6,J$7,'Phase 2 Pro Forma'!$F$340:$Z$340)+SUMIF('Phase 3 Pro Forma'!$F$6:$Z$6,J$7,'Phase 3 Pro Forma'!$F$538:$Z$538)</f>
        <v>36954584.678355075</v>
      </c>
      <c r="K23" s="316">
        <f>+SUMIF('Phase 1 Pro Forma'!$F$6:$Z$6,K$7,'Phase 1 Pro Forma'!$F$144:$Z$144)+SUMIF('Phase 2 Pro Forma'!$F$6:$Z$6,K$7,'Phase 2 Pro Forma'!$F$152:$Z$152)+SUMIF('Phase 3 Pro Forma'!$F$6:$Z$6,'Official Summary'!K$7,'Phase 3 Pro Forma'!$F$350:$Z$350)+SUMIF('Phase 1 Pro Forma'!$F$6:$Z$6,K$7,'Phase 1 Pro Forma'!$F$213:$Z$213)+SUMIF('Phase 2 Pro Forma'!$F$6:$Z$6,K$7,'Phase 2 Pro Forma'!$F$222:$Z$222)+SUMIF('Phase 3 Pro Forma'!$F$6:$Z$6,K$7,'Phase 3 Pro Forma'!$F$420:$Z$420)+SUMIF('Phase 1 Pro Forma'!$F$6:$Z$6,K$7,'Phase 1 Pro Forma'!$AQ$179:$BK$179)+SUMIF('Phase 2 Pro Forma'!$F$6:$Z$6,K$7,'Phase 2 Pro Forma'!$F$268:$Z$268)+SUMIF('Phase 3 Pro Forma'!$F$6:$Z$6,K$7,'Phase 3 Pro Forma'!$F$466:$Z$466)+SUMIF('Phase 1 Pro Forma'!$F$6:$Z$6,K$7,'Phase 1 Pro Forma'!$F$286:$Z$286)+SUMIF('Phase 2 Pro Forma'!$F$6:$Z$6,K$7,'Phase 2 Pro Forma'!$F$340:$Z$340)+SUMIF('Phase 3 Pro Forma'!$F$6:$Z$6,K$7,'Phase 3 Pro Forma'!$F$538:$Z$538)</f>
        <v>0</v>
      </c>
      <c r="L23" s="316">
        <f>+SUMIF('Phase 1 Pro Forma'!$F$6:$Z$6,L$7,'Phase 1 Pro Forma'!$F$144:$Z$144)+SUMIF('Phase 2 Pro Forma'!$F$6:$Z$6,L$7,'Phase 2 Pro Forma'!$F$152:$Z$152)+SUMIF('Phase 3 Pro Forma'!$F$6:$Z$6,'Official Summary'!L$7,'Phase 3 Pro Forma'!$F$350:$Z$350)+SUMIF('Phase 1 Pro Forma'!$F$6:$Z$6,L$7,'Phase 1 Pro Forma'!$F$213:$Z$213)+SUMIF('Phase 2 Pro Forma'!$F$6:$Z$6,L$7,'Phase 2 Pro Forma'!$F$222:$Z$222)+SUMIF('Phase 3 Pro Forma'!$F$6:$Z$6,L$7,'Phase 3 Pro Forma'!$F$420:$Z$420)+SUMIF('Phase 1 Pro Forma'!$F$6:$Z$6,L$7,'Phase 1 Pro Forma'!$AQ$179:$BK$179)+SUMIF('Phase 2 Pro Forma'!$F$6:$Z$6,L$7,'Phase 2 Pro Forma'!$F$268:$Z$268)+SUMIF('Phase 3 Pro Forma'!$F$6:$Z$6,L$7,'Phase 3 Pro Forma'!$F$466:$Z$466)+SUMIF('Phase 1 Pro Forma'!$F$6:$Z$6,L$7,'Phase 1 Pro Forma'!$F$286:$Z$286)+SUMIF('Phase 2 Pro Forma'!$F$6:$Z$6,L$7,'Phase 2 Pro Forma'!$F$340:$Z$340)+SUMIF('Phase 3 Pro Forma'!$F$6:$Z$6,L$7,'Phase 3 Pro Forma'!$F$538:$Z$538)</f>
        <v>8222934.1716129649</v>
      </c>
      <c r="M23" s="316">
        <f>+SUMIF('Phase 1 Pro Forma'!$F$6:$Z$6,M$7,'Phase 1 Pro Forma'!$F$144:$Z$144)+SUMIF('Phase 2 Pro Forma'!$F$6:$Z$6,M$7,'Phase 2 Pro Forma'!$F$152:$Z$152)+SUMIF('Phase 3 Pro Forma'!$F$6:$Z$6,'Official Summary'!M$7,'Phase 3 Pro Forma'!$F$350:$Z$350)+SUMIF('Phase 1 Pro Forma'!$F$6:$Z$6,M$7,'Phase 1 Pro Forma'!$F$213:$Z$213)+SUMIF('Phase 2 Pro Forma'!$F$6:$Z$6,M$7,'Phase 2 Pro Forma'!$F$222:$Z$222)+SUMIF('Phase 3 Pro Forma'!$F$6:$Z$6,M$7,'Phase 3 Pro Forma'!$F$420:$Z$420)+SUMIF('Phase 1 Pro Forma'!$F$6:$Z$6,M$7,'Phase 1 Pro Forma'!$AQ$179:$BK$179)+SUMIF('Phase 2 Pro Forma'!$F$6:$Z$6,M$7,'Phase 2 Pro Forma'!$F$268:$Z$268)+SUMIF('Phase 3 Pro Forma'!$F$6:$Z$6,M$7,'Phase 3 Pro Forma'!$F$466:$Z$466)+SUMIF('Phase 1 Pro Forma'!$F$6:$Z$6,M$7,'Phase 1 Pro Forma'!$F$286:$Z$286)+SUMIF('Phase 2 Pro Forma'!$F$6:$Z$6,M$7,'Phase 2 Pro Forma'!$F$340:$Z$340)+SUMIF('Phase 3 Pro Forma'!$F$6:$Z$6,M$7,'Phase 3 Pro Forma'!$F$538:$Z$538)</f>
        <v>4368502.9865786787</v>
      </c>
      <c r="N23" s="637">
        <f ca="1">+SUMIF('Phase 1 Pro Forma'!$F$6:$Z$6,N$7,'Phase 1 Pro Forma'!$F$144:$Z$144)+SUMIF('Phase 2 Pro Forma'!$F$6:$Z$6,N$7,'Phase 2 Pro Forma'!$F$152:$Z$152)+SUMIF('Phase 3 Pro Forma'!$F$6:$Z$6,'Official Summary'!N$7,'Phase 3 Pro Forma'!$F$350:$Z$350)+SUMIF('Phase 1 Pro Forma'!$F$6:$Z$6,N$7,'Phase 1 Pro Forma'!$F$213:$Z$213)+SUMIF('Phase 2 Pro Forma'!$F$6:$Z$6,N$7,'Phase 2 Pro Forma'!$F$222:$Z$222)+SUMIF('Phase 3 Pro Forma'!$F$6:$Z$6,N$7,'Phase 3 Pro Forma'!$F$420:$Z$420)+SUMIF('Phase 1 Pro Forma'!$F$6:$Z$6,N$7,'Phase 1 Pro Forma'!$AQ$179:$BK$179)+SUMIF('Phase 2 Pro Forma'!$F$6:$Z$6,N$7,'Phase 2 Pro Forma'!$F$268:$Z$268)+SUMIF('Phase 3 Pro Forma'!$F$6:$Z$6,N$7,'Phase 3 Pro Forma'!$F$466:$Z$466)+SUMIF('Phase 1 Pro Forma'!$F$6:$Z$6,N$7,'Phase 1 Pro Forma'!$F$286:$Z$286)+SUMIF('Phase 2 Pro Forma'!$F$6:$Z$6,N$7,'Phase 2 Pro Forma'!$F$340:$Z$340)+SUMIF('Phase 3 Pro Forma'!$F$6:$Z$6,N$7,'Phase 3 Pro Forma'!$F$538:$Z$538)</f>
        <v>1349558753.0998342</v>
      </c>
    </row>
    <row r="24" spans="2:14" ht="15.75">
      <c r="B24" s="298" t="s">
        <v>171</v>
      </c>
      <c r="C24" s="298"/>
      <c r="D24" s="586">
        <f>+SUMIF('Phase 1 Pro Forma'!$F$6:$Z$6,D$7,'Phase 1 Pro Forma'!$F$146:$Z$146)+SUMIF('Phase 2 Pro Forma'!$F$6:$Z$6,D$7,'Phase 2 Pro Forma'!$F$154:$Z$154)+SUMIF('Phase 3 Pro Forma'!$F$6:$Z$6,'Official Summary'!D$7,'Phase 3 Pro Forma'!$F$352:$Z$352)+SUMIF('Phase 1 Pro Forma'!$F$6:$Z$6,D$7,'Phase 1 Pro Forma'!$F$214:$Z$214)+SUMIF('Phase 2 Pro Forma'!$F$6:$Z$6,D$7,'Phase 2 Pro Forma'!$F$223:$Z$223)+SUMIF('Phase 3 Pro Forma'!$F$6:$Z$6,D$7,'Phase 3 Pro Forma'!$F$421:$Z$421)+SUMIF('Phase 1 Pro Forma'!$F$6:$Z$6,D$7,'Phase 1 Pro Forma'!$AQ$180:$BK$180)+SUMIF('Phase 2 Pro Forma'!$F$6:$Z$6,D$7,'Phase 2 Pro Forma'!$F$269:$Z$269)+SUMIF('Phase 3 Pro Forma'!$F$6:$Z$6,D$7,'Phase 3 Pro Forma'!$F$467:$Z$467)+SUMIF('Phase 1 Pro Forma'!$F$6:$Z$6,D$7,'Phase 1 Pro Forma'!$F$287:$Z$287)+SUMIF('Phase 2 Pro Forma'!$F$6:$Z$6,D$7,'Phase 2 Pro Forma'!$F$341:$Z$341)+SUMIF('Phase 3 Pro Forma'!$F$6:$Z$6,D$7,'Phase 3 Pro Forma'!$F$539:$Z$539)</f>
        <v>0</v>
      </c>
      <c r="E24" s="316">
        <f>+SUMIF('Phase 1 Pro Forma'!$F$6:$Z$6,E$7,'Phase 1 Pro Forma'!$F$146:$Z$146)+SUMIF('Phase 2 Pro Forma'!$F$6:$Z$6,E$7,'Phase 2 Pro Forma'!$F$154:$Z$154)+SUMIF('Phase 3 Pro Forma'!$F$6:$Z$6,'Official Summary'!E$7,'Phase 3 Pro Forma'!$F$352:$Z$352)+SUMIF('Phase 1 Pro Forma'!$F$6:$Z$6,E$7,'Phase 1 Pro Forma'!$F$214:$Z$214)+SUMIF('Phase 2 Pro Forma'!$F$6:$Z$6,E$7,'Phase 2 Pro Forma'!$F$223:$Z$223)+SUMIF('Phase 3 Pro Forma'!$F$6:$Z$6,E$7,'Phase 3 Pro Forma'!$F$421:$Z$421)+SUMIF('Phase 1 Pro Forma'!$F$6:$Z$6,E$7,'Phase 1 Pro Forma'!$AQ$180:$BK$180)+SUMIF('Phase 2 Pro Forma'!$F$6:$Z$6,E$7,'Phase 2 Pro Forma'!$F$269:$Z$269)+SUMIF('Phase 3 Pro Forma'!$F$6:$Z$6,E$7,'Phase 3 Pro Forma'!$F$467:$Z$467)+SUMIF('Phase 1 Pro Forma'!$F$6:$Z$6,E$7,'Phase 1 Pro Forma'!$F$287:$Z$287)+SUMIF('Phase 2 Pro Forma'!$F$6:$Z$6,E$7,'Phase 2 Pro Forma'!$F$341:$Z$341)+SUMIF('Phase 3 Pro Forma'!$F$6:$Z$6,E$7,'Phase 3 Pro Forma'!$F$539:$Z$539)</f>
        <v>0</v>
      </c>
      <c r="F24" s="316">
        <f>+SUMIF('Phase 1 Pro Forma'!$F$6:$Z$6,F$7,'Phase 1 Pro Forma'!$F$146:$Z$146)+SUMIF('Phase 2 Pro Forma'!$F$6:$Z$6,F$7,'Phase 2 Pro Forma'!$F$154:$Z$154)+SUMIF('Phase 3 Pro Forma'!$F$6:$Z$6,'Official Summary'!F$7,'Phase 3 Pro Forma'!$F$352:$Z$352)+SUMIF('Phase 1 Pro Forma'!$F$6:$Z$6,F$7,'Phase 1 Pro Forma'!$F$214:$Z$214)+SUMIF('Phase 2 Pro Forma'!$F$6:$Z$6,F$7,'Phase 2 Pro Forma'!$F$223:$Z$223)+SUMIF('Phase 3 Pro Forma'!$F$6:$Z$6,F$7,'Phase 3 Pro Forma'!$F$421:$Z$421)+SUMIF('Phase 1 Pro Forma'!$F$6:$Z$6,F$7,'Phase 1 Pro Forma'!$AQ$180:$BK$180)+SUMIF('Phase 2 Pro Forma'!$F$6:$Z$6,F$7,'Phase 2 Pro Forma'!$F$269:$Z$269)+SUMIF('Phase 3 Pro Forma'!$F$6:$Z$6,F$7,'Phase 3 Pro Forma'!$F$467:$Z$467)+SUMIF('Phase 1 Pro Forma'!$F$6:$Z$6,F$7,'Phase 1 Pro Forma'!$F$287:$Z$287)+SUMIF('Phase 2 Pro Forma'!$F$6:$Z$6,F$7,'Phase 2 Pro Forma'!$F$341:$Z$341)+SUMIF('Phase 3 Pro Forma'!$F$6:$Z$6,F$7,'Phase 3 Pro Forma'!$F$539:$Z$539)</f>
        <v>0</v>
      </c>
      <c r="G24" s="617">
        <f>+SUMIF('Phase 1 Pro Forma'!$F$6:$Z$6,G$7,'Phase 1 Pro Forma'!$F$146:$Z$146)+SUMIF('Phase 2 Pro Forma'!$F$6:$Z$6,G$7,'Phase 2 Pro Forma'!$F$154:$Z$154)+SUMIF('Phase 3 Pro Forma'!$F$6:$Z$6,'Official Summary'!G$7,'Phase 3 Pro Forma'!$F$352:$Z$352)+SUMIF('Phase 1 Pro Forma'!$F$6:$Z$6,G$7,'Phase 1 Pro Forma'!$F$214:$Z$214)+SUMIF('Phase 2 Pro Forma'!$F$6:$Z$6,G$7,'Phase 2 Pro Forma'!$F$223:$Z$223)+SUMIF('Phase 3 Pro Forma'!$F$6:$Z$6,G$7,'Phase 3 Pro Forma'!$F$421:$Z$421)+SUMIF('Phase 1 Pro Forma'!$F$6:$Z$6,G$7,'Phase 1 Pro Forma'!$AQ$180:$BK$180)+SUMIF('Phase 2 Pro Forma'!$F$6:$Z$6,G$7,'Phase 2 Pro Forma'!$F$269:$Z$269)+SUMIF('Phase 3 Pro Forma'!$F$6:$Z$6,G$7,'Phase 3 Pro Forma'!$F$467:$Z$467)+SUMIF('Phase 1 Pro Forma'!$F$6:$Z$6,G$7,'Phase 1 Pro Forma'!$F$287:$Z$287)+SUMIF('Phase 2 Pro Forma'!$F$6:$Z$6,G$7,'Phase 2 Pro Forma'!$F$341:$Z$341)+SUMIF('Phase 3 Pro Forma'!$F$6:$Z$6,G$7,'Phase 3 Pro Forma'!$F$539:$Z$539)</f>
        <v>0</v>
      </c>
      <c r="H24" s="316">
        <f>+SUMIF('Phase 1 Pro Forma'!$F$6:$Z$6,H$7,'Phase 1 Pro Forma'!$F$146:$Z$146)+SUMIF('Phase 2 Pro Forma'!$F$6:$Z$6,H$7,'Phase 2 Pro Forma'!$F$154:$Z$154)+SUMIF('Phase 3 Pro Forma'!$F$6:$Z$6,'Official Summary'!H$7,'Phase 3 Pro Forma'!$F$352:$Z$352)+SUMIF('Phase 1 Pro Forma'!$F$6:$Z$6,H$7,'Phase 1 Pro Forma'!$F$214:$Z$214)+SUMIF('Phase 2 Pro Forma'!$F$6:$Z$6,H$7,'Phase 2 Pro Forma'!$F$223:$Z$223)+SUMIF('Phase 3 Pro Forma'!$F$6:$Z$6,H$7,'Phase 3 Pro Forma'!$F$421:$Z$421)+SUMIF('Phase 1 Pro Forma'!$F$6:$Z$6,H$7,'Phase 1 Pro Forma'!$AQ$180:$BK$180)+SUMIF('Phase 2 Pro Forma'!$F$6:$Z$6,H$7,'Phase 2 Pro Forma'!$F$269:$Z$269)+SUMIF('Phase 3 Pro Forma'!$F$6:$Z$6,H$7,'Phase 3 Pro Forma'!$F$467:$Z$467)+SUMIF('Phase 1 Pro Forma'!$F$6:$Z$6,H$7,'Phase 1 Pro Forma'!$F$287:$Z$287)+SUMIF('Phase 2 Pro Forma'!$F$6:$Z$6,H$7,'Phase 2 Pro Forma'!$F$341:$Z$341)+SUMIF('Phase 3 Pro Forma'!$F$6:$Z$6,H$7,'Phase 3 Pro Forma'!$F$539:$Z$539)</f>
        <v>-480370.50097853021</v>
      </c>
      <c r="I24" s="626">
        <f>+SUMIF('Phase 1 Pro Forma'!$F$6:$Z$6,I$7,'Phase 1 Pro Forma'!$F$146:$Z$146)+SUMIF('Phase 2 Pro Forma'!$F$6:$Z$6,I$7,'Phase 2 Pro Forma'!$F$154:$Z$154)+SUMIF('Phase 3 Pro Forma'!$F$6:$Z$6,'Official Summary'!I$7,'Phase 3 Pro Forma'!$F$352:$Z$352)+SUMIF('Phase 1 Pro Forma'!$F$6:$Z$6,I$7,'Phase 1 Pro Forma'!$F$214:$Z$214)+SUMIF('Phase 2 Pro Forma'!$F$6:$Z$6,I$7,'Phase 2 Pro Forma'!$F$223:$Z$223)+SUMIF('Phase 3 Pro Forma'!$F$6:$Z$6,I$7,'Phase 3 Pro Forma'!$F$421:$Z$421)+SUMIF('Phase 1 Pro Forma'!$F$6:$Z$6,I$7,'Phase 1 Pro Forma'!$AQ$180:$BK$180)+SUMIF('Phase 2 Pro Forma'!$F$6:$Z$6,I$7,'Phase 2 Pro Forma'!$F$269:$Z$269)+SUMIF('Phase 3 Pro Forma'!$F$6:$Z$6,I$7,'Phase 3 Pro Forma'!$F$467:$Z$467)+SUMIF('Phase 1 Pro Forma'!$F$6:$Z$6,I$7,'Phase 1 Pro Forma'!$F$287:$Z$287)+SUMIF('Phase 2 Pro Forma'!$F$6:$Z$6,I$7,'Phase 2 Pro Forma'!$F$341:$Z$341)+SUMIF('Phase 3 Pro Forma'!$F$6:$Z$6,I$7,'Phase 3 Pro Forma'!$F$539:$Z$539)</f>
        <v>0</v>
      </c>
      <c r="J24" s="316">
        <f>+SUMIF('Phase 1 Pro Forma'!$F$6:$Z$6,J$7,'Phase 1 Pro Forma'!$F$146:$Z$146)+SUMIF('Phase 2 Pro Forma'!$F$6:$Z$6,J$7,'Phase 2 Pro Forma'!$F$154:$Z$154)+SUMIF('Phase 3 Pro Forma'!$F$6:$Z$6,'Official Summary'!J$7,'Phase 3 Pro Forma'!$F$352:$Z$352)+SUMIF('Phase 1 Pro Forma'!$F$6:$Z$6,J$7,'Phase 1 Pro Forma'!$F$214:$Z$214)+SUMIF('Phase 2 Pro Forma'!$F$6:$Z$6,J$7,'Phase 2 Pro Forma'!$F$223:$Z$223)+SUMIF('Phase 3 Pro Forma'!$F$6:$Z$6,J$7,'Phase 3 Pro Forma'!$F$421:$Z$421)+SUMIF('Phase 1 Pro Forma'!$F$6:$Z$6,J$7,'Phase 1 Pro Forma'!$AQ$180:$BK$180)+SUMIF('Phase 2 Pro Forma'!$F$6:$Z$6,J$7,'Phase 2 Pro Forma'!$F$269:$Z$269)+SUMIF('Phase 3 Pro Forma'!$F$6:$Z$6,J$7,'Phase 3 Pro Forma'!$F$467:$Z$467)+SUMIF('Phase 1 Pro Forma'!$F$6:$Z$6,J$7,'Phase 1 Pro Forma'!$F$287:$Z$287)+SUMIF('Phase 2 Pro Forma'!$F$6:$Z$6,J$7,'Phase 2 Pro Forma'!$F$341:$Z$341)+SUMIF('Phase 3 Pro Forma'!$F$6:$Z$6,J$7,'Phase 3 Pro Forma'!$F$539:$Z$539)</f>
        <v>-369545.84678355075</v>
      </c>
      <c r="K24" s="316">
        <f>+SUMIF('Phase 1 Pro Forma'!$F$6:$Z$6,K$7,'Phase 1 Pro Forma'!$F$146:$Z$146)+SUMIF('Phase 2 Pro Forma'!$F$6:$Z$6,K$7,'Phase 2 Pro Forma'!$F$154:$Z$154)+SUMIF('Phase 3 Pro Forma'!$F$6:$Z$6,'Official Summary'!K$7,'Phase 3 Pro Forma'!$F$352:$Z$352)+SUMIF('Phase 1 Pro Forma'!$F$6:$Z$6,K$7,'Phase 1 Pro Forma'!$F$214:$Z$214)+SUMIF('Phase 2 Pro Forma'!$F$6:$Z$6,K$7,'Phase 2 Pro Forma'!$F$223:$Z$223)+SUMIF('Phase 3 Pro Forma'!$F$6:$Z$6,K$7,'Phase 3 Pro Forma'!$F$421:$Z$421)+SUMIF('Phase 1 Pro Forma'!$F$6:$Z$6,K$7,'Phase 1 Pro Forma'!$AQ$180:$BK$180)+SUMIF('Phase 2 Pro Forma'!$F$6:$Z$6,K$7,'Phase 2 Pro Forma'!$F$269:$Z$269)+SUMIF('Phase 3 Pro Forma'!$F$6:$Z$6,K$7,'Phase 3 Pro Forma'!$F$467:$Z$467)+SUMIF('Phase 1 Pro Forma'!$F$6:$Z$6,K$7,'Phase 1 Pro Forma'!$F$287:$Z$287)+SUMIF('Phase 2 Pro Forma'!$F$6:$Z$6,K$7,'Phase 2 Pro Forma'!$F$341:$Z$341)+SUMIF('Phase 3 Pro Forma'!$F$6:$Z$6,K$7,'Phase 3 Pro Forma'!$F$539:$Z$539)</f>
        <v>0</v>
      </c>
      <c r="L24" s="316">
        <f>+SUMIF('Phase 1 Pro Forma'!$F$6:$Z$6,L$7,'Phase 1 Pro Forma'!$F$146:$Z$146)+SUMIF('Phase 2 Pro Forma'!$F$6:$Z$6,L$7,'Phase 2 Pro Forma'!$F$154:$Z$154)+SUMIF('Phase 3 Pro Forma'!$F$6:$Z$6,'Official Summary'!L$7,'Phase 3 Pro Forma'!$F$352:$Z$352)+SUMIF('Phase 1 Pro Forma'!$F$6:$Z$6,L$7,'Phase 1 Pro Forma'!$F$214:$Z$214)+SUMIF('Phase 2 Pro Forma'!$F$6:$Z$6,L$7,'Phase 2 Pro Forma'!$F$223:$Z$223)+SUMIF('Phase 3 Pro Forma'!$F$6:$Z$6,L$7,'Phase 3 Pro Forma'!$F$421:$Z$421)+SUMIF('Phase 1 Pro Forma'!$F$6:$Z$6,L$7,'Phase 1 Pro Forma'!$AQ$180:$BK$180)+SUMIF('Phase 2 Pro Forma'!$F$6:$Z$6,L$7,'Phase 2 Pro Forma'!$F$269:$Z$269)+SUMIF('Phase 3 Pro Forma'!$F$6:$Z$6,L$7,'Phase 3 Pro Forma'!$F$467:$Z$467)+SUMIF('Phase 1 Pro Forma'!$F$6:$Z$6,L$7,'Phase 1 Pro Forma'!$F$287:$Z$287)+SUMIF('Phase 2 Pro Forma'!$F$6:$Z$6,L$7,'Phase 2 Pro Forma'!$F$341:$Z$341)+SUMIF('Phase 3 Pro Forma'!$F$6:$Z$6,L$7,'Phase 3 Pro Forma'!$F$539:$Z$539)</f>
        <v>-82229.341716129653</v>
      </c>
      <c r="M24" s="316">
        <f>+SUMIF('Phase 1 Pro Forma'!$F$6:$Z$6,M$7,'Phase 1 Pro Forma'!$F$146:$Z$146)+SUMIF('Phase 2 Pro Forma'!$F$6:$Z$6,M$7,'Phase 2 Pro Forma'!$F$154:$Z$154)+SUMIF('Phase 3 Pro Forma'!$F$6:$Z$6,'Official Summary'!M$7,'Phase 3 Pro Forma'!$F$352:$Z$352)+SUMIF('Phase 1 Pro Forma'!$F$6:$Z$6,M$7,'Phase 1 Pro Forma'!$F$214:$Z$214)+SUMIF('Phase 2 Pro Forma'!$F$6:$Z$6,M$7,'Phase 2 Pro Forma'!$F$223:$Z$223)+SUMIF('Phase 3 Pro Forma'!$F$6:$Z$6,M$7,'Phase 3 Pro Forma'!$F$421:$Z$421)+SUMIF('Phase 1 Pro Forma'!$F$6:$Z$6,M$7,'Phase 1 Pro Forma'!$AQ$180:$BK$180)+SUMIF('Phase 2 Pro Forma'!$F$6:$Z$6,M$7,'Phase 2 Pro Forma'!$F$269:$Z$269)+SUMIF('Phase 3 Pro Forma'!$F$6:$Z$6,M$7,'Phase 3 Pro Forma'!$F$467:$Z$467)+SUMIF('Phase 1 Pro Forma'!$F$6:$Z$6,M$7,'Phase 1 Pro Forma'!$F$287:$Z$287)+SUMIF('Phase 2 Pro Forma'!$F$6:$Z$6,M$7,'Phase 2 Pro Forma'!$F$341:$Z$341)+SUMIF('Phase 3 Pro Forma'!$F$6:$Z$6,M$7,'Phase 3 Pro Forma'!$F$539:$Z$539)</f>
        <v>-43685.02986578679</v>
      </c>
      <c r="N24" s="637">
        <f ca="1">+SUMIF('Phase 1 Pro Forma'!$F$6:$Z$6,N$7,'Phase 1 Pro Forma'!$F$146:$Z$146)+SUMIF('Phase 2 Pro Forma'!$F$6:$Z$6,N$7,'Phase 2 Pro Forma'!$F$154:$Z$154)+SUMIF('Phase 3 Pro Forma'!$F$6:$Z$6,'Official Summary'!N$7,'Phase 3 Pro Forma'!$F$352:$Z$352)+SUMIF('Phase 1 Pro Forma'!$F$6:$Z$6,N$7,'Phase 1 Pro Forma'!$F$214:$Z$214)+SUMIF('Phase 2 Pro Forma'!$F$6:$Z$6,N$7,'Phase 2 Pro Forma'!$F$223:$Z$223)+SUMIF('Phase 3 Pro Forma'!$F$6:$Z$6,N$7,'Phase 3 Pro Forma'!$F$421:$Z$421)+SUMIF('Phase 1 Pro Forma'!$F$6:$Z$6,N$7,'Phase 1 Pro Forma'!$AQ$180:$BK$180)+SUMIF('Phase 2 Pro Forma'!$F$6:$Z$6,N$7,'Phase 2 Pro Forma'!$F$269:$Z$269)+SUMIF('Phase 3 Pro Forma'!$F$6:$Z$6,N$7,'Phase 3 Pro Forma'!$F$467:$Z$467)+SUMIF('Phase 1 Pro Forma'!$F$6:$Z$6,N$7,'Phase 1 Pro Forma'!$F$287:$Z$287)+SUMIF('Phase 2 Pro Forma'!$F$6:$Z$6,N$7,'Phase 2 Pro Forma'!$F$341:$Z$341)+SUMIF('Phase 3 Pro Forma'!$F$6:$Z$6,N$7,'Phase 3 Pro Forma'!$F$539:$Z$539)</f>
        <v>-13495587.530998344</v>
      </c>
    </row>
    <row r="25" spans="2:14" ht="21" customHeight="1">
      <c r="B25" s="590" t="s">
        <v>172</v>
      </c>
      <c r="C25" s="590"/>
      <c r="D25" s="591">
        <f ca="1">+SUM(D22:D24)</f>
        <v>-18352104.384487133</v>
      </c>
      <c r="E25" s="591">
        <f t="shared" ref="E25:M25" ca="1" si="4">+SUM(E22:E24)</f>
        <v>0</v>
      </c>
      <c r="F25" s="591">
        <f t="shared" ca="1" si="4"/>
        <v>0</v>
      </c>
      <c r="G25" s="591">
        <f t="shared" ca="1" si="4"/>
        <v>-15258747.913810223</v>
      </c>
      <c r="H25" s="591">
        <f t="shared" ca="1" si="4"/>
        <v>63590942.344624132</v>
      </c>
      <c r="I25" s="591">
        <f t="shared" ca="1" si="4"/>
        <v>6478225.0454360135</v>
      </c>
      <c r="J25" s="591">
        <f t="shared" ca="1" si="4"/>
        <v>71771209.836695001</v>
      </c>
      <c r="K25" s="591">
        <f t="shared" ca="1" si="4"/>
        <v>41412633.05905278</v>
      </c>
      <c r="L25" s="591">
        <f t="shared" ca="1" si="4"/>
        <v>61413764.863612548</v>
      </c>
      <c r="M25" s="591">
        <f t="shared" ca="1" si="4"/>
        <v>67435313.987972438</v>
      </c>
      <c r="N25" s="591">
        <f ca="1">+SUM(N22:N24)</f>
        <v>1400794818.0883632</v>
      </c>
    </row>
    <row r="26" spans="2:14" ht="11.25" customHeight="1">
      <c r="B26" s="298"/>
      <c r="C26" s="298"/>
      <c r="D26" s="586"/>
      <c r="G26" s="616"/>
      <c r="I26" s="625"/>
      <c r="N26" s="635"/>
    </row>
    <row r="27" spans="2:14" ht="20.100000000000001" customHeight="1">
      <c r="B27" s="296" t="s">
        <v>173</v>
      </c>
      <c r="C27" s="296"/>
      <c r="D27" s="589" t="s">
        <v>174</v>
      </c>
      <c r="E27" s="293"/>
      <c r="F27" s="293"/>
      <c r="G27" s="612" t="s">
        <v>175</v>
      </c>
      <c r="I27" s="627" t="s">
        <v>176</v>
      </c>
      <c r="N27" s="630" t="s">
        <v>84</v>
      </c>
    </row>
    <row r="28" spans="2:14" ht="15" customHeight="1">
      <c r="B28" s="318" t="s">
        <v>177</v>
      </c>
      <c r="C28" s="285"/>
      <c r="D28" s="586"/>
      <c r="G28" s="616"/>
      <c r="I28" s="625"/>
      <c r="N28" s="635"/>
    </row>
    <row r="29" spans="2:14" ht="15.95" customHeight="1">
      <c r="B29" s="320" t="s">
        <v>155</v>
      </c>
      <c r="C29" s="285"/>
      <c r="D29" s="586">
        <f ca="1">+(SUMIF('Phase 1 Pro Forma'!$F$6:$Z$6,D$7,'Phase 1 Pro Forma'!$F$303:$Z$303)+SUMIF('Phase 2 Pro Forma'!$F$6:$Z$6,D$7,'Phase 2 Pro Forma'!$F$357:$Z$357)+SUMIF('Phase 3 Pro Forma'!$F$6:$Z$6,D$7,'Phase 3 Pro Forma'!$F$555:$Z$555))*(SUM(Budget!$N$50:$N$68)/SUM(Budget!$M$50:$AC$68))+(SUMIF('Phase 1 Pro Forma'!$F$6:$Z$6,D$7,'Phase 1 Pro Forma'!$F$303:$Z$303)+SUMIF('Phase 2 Pro Forma'!$F$6:$Z$6,D$7,'Phase 2 Pro Forma'!$F$357:$Z$357)+SUMIF('Phase 3 Pro Forma'!$F$6:$Z$6,D$7,'Phase 3 Pro Forma'!$F$555:$Z$555))*(SUM(Budget!$P$50:$P$68)/SUM(Budget!$M$50:$AC$68))+(SUMIF('Phase 1 Pro Forma'!$F$6:$Z$6,D$7,'Phase 1 Pro Forma'!$F$303:$Z$303)+SUMIF('Phase 2 Pro Forma'!$F$6:$Z$6,D$7,'Phase 2 Pro Forma'!$F$357:$Z$357)+SUMIF('Phase 3 Pro Forma'!$F$6:$Z$6,D$7,'Phase 3 Pro Forma'!$F$555:$Z$555))*(SUM(Budget!$R$50:$R$68)/SUM(Budget!$M$50:$AC$68))+(SUMIF('Phase 1 Pro Forma'!$F$6:$Z$6,D$7,'Phase 1 Pro Forma'!$F$303:$Z$303)+SUMIF('Phase 2 Pro Forma'!$F$6:$Z$6,D$7,'Phase 2 Pro Forma'!$F$357:$Z$357)+SUMIF('Phase 3 Pro Forma'!$F$6:$Z$6,D$7,'Phase 3 Pro Forma'!$F$555:$Z$555))*(SUM(Budget!$V$50:$V$68)/SUM(Budget!$M$50:$AC$68))</f>
        <v>1324421.7228392174</v>
      </c>
      <c r="E29" s="306">
        <f ca="1">+(SUMIF('Phase 1 Pro Forma'!$F$6:$Z$6,E$7,'Phase 1 Pro Forma'!$F$303:$Z$303)+SUMIF('Phase 2 Pro Forma'!$F$6:$Z$6,E$7,'Phase 2 Pro Forma'!$F$357:$Z$357)+SUMIF('Phase 3 Pro Forma'!$F$6:$Z$6,E$7,'Phase 3 Pro Forma'!$F$555:$Z$555))*(SUM(Budget!$N$50:$N$68)/SUM(Budget!$M$50:$AC$68))+(SUMIF('Phase 1 Pro Forma'!$F$6:$Z$6,E$7,'Phase 1 Pro Forma'!$F$303:$Z$303)+SUMIF('Phase 2 Pro Forma'!$F$6:$Z$6,E$7,'Phase 2 Pro Forma'!$F$357:$Z$357)+SUMIF('Phase 3 Pro Forma'!$F$6:$Z$6,E$7,'Phase 3 Pro Forma'!$F$555:$Z$555))*(SUM(Budget!$P$50:$P$68)/SUM(Budget!$M$50:$AC$68))+(SUMIF('Phase 1 Pro Forma'!$F$6:$Z$6,E$7,'Phase 1 Pro Forma'!$F$303:$Z$303)+SUMIF('Phase 2 Pro Forma'!$F$6:$Z$6,E$7,'Phase 2 Pro Forma'!$F$357:$Z$357)+SUMIF('Phase 3 Pro Forma'!$F$6:$Z$6,E$7,'Phase 3 Pro Forma'!$F$555:$Z$555))*(SUM(Budget!$R$50:$R$68)/SUM(Budget!$M$50:$AC$68))+(SUMIF('Phase 1 Pro Forma'!$F$6:$Z$6,E$7,'Phase 1 Pro Forma'!$F$303:$Z$303)+SUMIF('Phase 2 Pro Forma'!$F$6:$Z$6,E$7,'Phase 2 Pro Forma'!$F$357:$Z$357)+SUMIF('Phase 3 Pro Forma'!$F$6:$Z$6,E$7,'Phase 3 Pro Forma'!$F$555:$Z$555))*(SUM(Budget!$V$50:$V$68)/SUM(Budget!$M$50:$AC$68))</f>
        <v>33149123.868860919</v>
      </c>
      <c r="F29" s="306">
        <f ca="1">+(SUMIF('Phase 1 Pro Forma'!$F$6:$Z$6,F$7,'Phase 1 Pro Forma'!$F$303:$Z$303)+SUMIF('Phase 2 Pro Forma'!$F$6:$Z$6,F$7,'Phase 2 Pro Forma'!$F$357:$Z$357)+SUMIF('Phase 3 Pro Forma'!$F$6:$Z$6,F$7,'Phase 3 Pro Forma'!$F$555:$Z$555))*(SUM(Budget!$N$50:$N$68)/SUM(Budget!$M$50:$AC$68))+(SUMIF('Phase 1 Pro Forma'!$F$6:$Z$6,F$7,'Phase 1 Pro Forma'!$F$303:$Z$303)+SUMIF('Phase 2 Pro Forma'!$F$6:$Z$6,F$7,'Phase 2 Pro Forma'!$F$357:$Z$357)+SUMIF('Phase 3 Pro Forma'!$F$6:$Z$6,F$7,'Phase 3 Pro Forma'!$F$555:$Z$555))*(SUM(Budget!$P$50:$P$68)/SUM(Budget!$M$50:$AC$68))+(SUMIF('Phase 1 Pro Forma'!$F$6:$Z$6,F$7,'Phase 1 Pro Forma'!$F$303:$Z$303)+SUMIF('Phase 2 Pro Forma'!$F$6:$Z$6,F$7,'Phase 2 Pro Forma'!$F$357:$Z$357)+SUMIF('Phase 3 Pro Forma'!$F$6:$Z$6,F$7,'Phase 3 Pro Forma'!$F$555:$Z$555))*(SUM(Budget!$R$50:$R$68)/SUM(Budget!$M$50:$AC$68))+(SUMIF('Phase 1 Pro Forma'!$F$6:$Z$6,F$7,'Phase 1 Pro Forma'!$F$303:$Z$303)+SUMIF('Phase 2 Pro Forma'!$F$6:$Z$6,F$7,'Phase 2 Pro Forma'!$F$357:$Z$357)+SUMIF('Phase 3 Pro Forma'!$F$6:$Z$6,F$7,'Phase 3 Pro Forma'!$F$555:$Z$555))*(SUM(Budget!$V$50:$V$68)/SUM(Budget!$M$50:$AC$68))</f>
        <v>33149123.868860919</v>
      </c>
      <c r="G29" s="613">
        <f ca="1">+(SUMIF('Phase 1 Pro Forma'!$F$6:$Z$6,G$7,'Phase 1 Pro Forma'!$F$303:$Z$303)+SUMIF('Phase 2 Pro Forma'!$F$6:$Z$6,G$7,'Phase 2 Pro Forma'!$F$357:$Z$357)+SUMIF('Phase 3 Pro Forma'!$F$6:$Z$6,G$7,'Phase 3 Pro Forma'!$F$555:$Z$555))*(SUM(Budget!$N$50:$N$68)/SUM(Budget!$M$50:$AC$68))+(SUMIF('Phase 1 Pro Forma'!$F$6:$Z$6,G$7,'Phase 1 Pro Forma'!$F$303:$Z$303)+SUMIF('Phase 2 Pro Forma'!$F$6:$Z$6,G$7,'Phase 2 Pro Forma'!$F$357:$Z$357)+SUMIF('Phase 3 Pro Forma'!$F$6:$Z$6,G$7,'Phase 3 Pro Forma'!$F$555:$Z$555))*(SUM(Budget!$P$50:$P$68)/SUM(Budget!$M$50:$AC$68))+(SUMIF('Phase 1 Pro Forma'!$F$6:$Z$6,G$7,'Phase 1 Pro Forma'!$F$303:$Z$303)+SUMIF('Phase 2 Pro Forma'!$F$6:$Z$6,G$7,'Phase 2 Pro Forma'!$F$357:$Z$357)+SUMIF('Phase 3 Pro Forma'!$F$6:$Z$6,G$7,'Phase 3 Pro Forma'!$F$555:$Z$555))*(SUM(Budget!$R$50:$R$68)/SUM(Budget!$M$50:$AC$68))+(SUMIF('Phase 1 Pro Forma'!$F$6:$Z$6,G$7,'Phase 1 Pro Forma'!$F$303:$Z$303)+SUMIF('Phase 2 Pro Forma'!$F$6:$Z$6,G$7,'Phase 2 Pro Forma'!$F$357:$Z$357)+SUMIF('Phase 3 Pro Forma'!$F$6:$Z$6,G$7,'Phase 3 Pro Forma'!$F$555:$Z$555))*(SUM(Budget!$V$50:$V$68)/SUM(Budget!$M$50:$AC$68))</f>
        <v>33290765.855149858</v>
      </c>
      <c r="H29" s="306">
        <f ca="1">+(SUMIF('Phase 1 Pro Forma'!$F$6:$Z$6,H$7,'Phase 1 Pro Forma'!$F$303:$Z$303)+SUMIF('Phase 2 Pro Forma'!$F$6:$Z$6,H$7,'Phase 2 Pro Forma'!$F$357:$Z$357)+SUMIF('Phase 3 Pro Forma'!$F$6:$Z$6,H$7,'Phase 3 Pro Forma'!$F$555:$Z$555))*(SUM(Budget!$N$50:$N$68)/SUM(Budget!$M$50:$AC$68))+(SUMIF('Phase 1 Pro Forma'!$F$6:$Z$6,H$7,'Phase 1 Pro Forma'!$F$303:$Z$303)+SUMIF('Phase 2 Pro Forma'!$F$6:$Z$6,H$7,'Phase 2 Pro Forma'!$F$357:$Z$357)+SUMIF('Phase 3 Pro Forma'!$F$6:$Z$6,H$7,'Phase 3 Pro Forma'!$F$555:$Z$555))*(SUM(Budget!$P$50:$P$68)/SUM(Budget!$M$50:$AC$68))+(SUMIF('Phase 1 Pro Forma'!$F$6:$Z$6,H$7,'Phase 1 Pro Forma'!$F$303:$Z$303)+SUMIF('Phase 2 Pro Forma'!$F$6:$Z$6,H$7,'Phase 2 Pro Forma'!$F$357:$Z$357)+SUMIF('Phase 3 Pro Forma'!$F$6:$Z$6,H$7,'Phase 3 Pro Forma'!$F$555:$Z$555))*(SUM(Budget!$R$50:$R$68)/SUM(Budget!$M$50:$AC$68))+(SUMIF('Phase 1 Pro Forma'!$F$6:$Z$6,H$7,'Phase 1 Pro Forma'!$F$303:$Z$303)+SUMIF('Phase 2 Pro Forma'!$F$6:$Z$6,H$7,'Phase 2 Pro Forma'!$F$357:$Z$357)+SUMIF('Phase 3 Pro Forma'!$F$6:$Z$6,H$7,'Phase 3 Pro Forma'!$F$555:$Z$555))*(SUM(Budget!$V$50:$V$68)/SUM(Budget!$M$50:$AC$68))</f>
        <v>44592168.340407133</v>
      </c>
      <c r="I29" s="622">
        <f ca="1">+(SUMIF('Phase 1 Pro Forma'!$F$6:$Z$6,I$7,'Phase 1 Pro Forma'!$F$303:$Z$303)+SUMIF('Phase 2 Pro Forma'!$F$6:$Z$6,I$7,'Phase 2 Pro Forma'!$F$357:$Z$357)+SUMIF('Phase 3 Pro Forma'!$F$6:$Z$6,I$7,'Phase 3 Pro Forma'!$F$555:$Z$555))*(SUM(Budget!$N$50:$N$68)/SUM(Budget!$M$50:$AC$68))+(SUMIF('Phase 1 Pro Forma'!$F$6:$Z$6,I$7,'Phase 1 Pro Forma'!$F$303:$Z$303)+SUMIF('Phase 2 Pro Forma'!$F$6:$Z$6,I$7,'Phase 2 Pro Forma'!$F$357:$Z$357)+SUMIF('Phase 3 Pro Forma'!$F$6:$Z$6,I$7,'Phase 3 Pro Forma'!$F$555:$Z$555))*(SUM(Budget!$P$50:$P$68)/SUM(Budget!$M$50:$AC$68))+(SUMIF('Phase 1 Pro Forma'!$F$6:$Z$6,I$7,'Phase 1 Pro Forma'!$F$303:$Z$303)+SUMIF('Phase 2 Pro Forma'!$F$6:$Z$6,I$7,'Phase 2 Pro Forma'!$F$357:$Z$357)+SUMIF('Phase 3 Pro Forma'!$F$6:$Z$6,I$7,'Phase 3 Pro Forma'!$F$555:$Z$555))*(SUM(Budget!$R$50:$R$68)/SUM(Budget!$M$50:$AC$68))+(SUMIF('Phase 1 Pro Forma'!$F$6:$Z$6,I$7,'Phase 1 Pro Forma'!$F$303:$Z$303)+SUMIF('Phase 2 Pro Forma'!$F$6:$Z$6,I$7,'Phase 2 Pro Forma'!$F$357:$Z$357)+SUMIF('Phase 3 Pro Forma'!$F$6:$Z$6,I$7,'Phase 3 Pro Forma'!$F$555:$Z$555))*(SUM(Budget!$V$50:$V$68)/SUM(Budget!$M$50:$AC$68))</f>
        <v>44871483.598243788</v>
      </c>
      <c r="J29" s="306">
        <f ca="1">+(SUMIF('Phase 1 Pro Forma'!$F$6:$Z$6,J$7,'Phase 1 Pro Forma'!$F$303:$Z$303)+SUMIF('Phase 2 Pro Forma'!$F$6:$Z$6,J$7,'Phase 2 Pro Forma'!$F$357:$Z$357)+SUMIF('Phase 3 Pro Forma'!$F$6:$Z$6,J$7,'Phase 3 Pro Forma'!$F$555:$Z$555))*(SUM(Budget!$N$50:$N$68)/SUM(Budget!$M$50:$AC$68))+(SUMIF('Phase 1 Pro Forma'!$F$6:$Z$6,J$7,'Phase 1 Pro Forma'!$F$303:$Z$303)+SUMIF('Phase 2 Pro Forma'!$F$6:$Z$6,J$7,'Phase 2 Pro Forma'!$F$357:$Z$357)+SUMIF('Phase 3 Pro Forma'!$F$6:$Z$6,J$7,'Phase 3 Pro Forma'!$F$555:$Z$555))*(SUM(Budget!$P$50:$P$68)/SUM(Budget!$M$50:$AC$68))+(SUMIF('Phase 1 Pro Forma'!$F$6:$Z$6,J$7,'Phase 1 Pro Forma'!$F$303:$Z$303)+SUMIF('Phase 2 Pro Forma'!$F$6:$Z$6,J$7,'Phase 2 Pro Forma'!$F$357:$Z$357)+SUMIF('Phase 3 Pro Forma'!$F$6:$Z$6,J$7,'Phase 3 Pro Forma'!$F$555:$Z$555))*(SUM(Budget!$R$50:$R$68)/SUM(Budget!$M$50:$AC$68))+(SUMIF('Phase 1 Pro Forma'!$F$6:$Z$6,J$7,'Phase 1 Pro Forma'!$F$303:$Z$303)+SUMIF('Phase 2 Pro Forma'!$F$6:$Z$6,J$7,'Phase 2 Pro Forma'!$F$357:$Z$357)+SUMIF('Phase 3 Pro Forma'!$F$6:$Z$6,J$7,'Phase 3 Pro Forma'!$F$555:$Z$555))*(SUM(Budget!$V$50:$V$68)/SUM(Budget!$M$50:$AC$68))</f>
        <v>43197261.811181031</v>
      </c>
      <c r="K29" s="306">
        <f ca="1">+(SUMIF('Phase 1 Pro Forma'!$F$6:$Z$6,K$7,'Phase 1 Pro Forma'!$F$303:$Z$303)+SUMIF('Phase 2 Pro Forma'!$F$6:$Z$6,K$7,'Phase 2 Pro Forma'!$F$357:$Z$357)+SUMIF('Phase 3 Pro Forma'!$F$6:$Z$6,K$7,'Phase 3 Pro Forma'!$F$555:$Z$555))*(SUM(Budget!$N$50:$N$68)/SUM(Budget!$M$50:$AC$68))+(SUMIF('Phase 1 Pro Forma'!$F$6:$Z$6,K$7,'Phase 1 Pro Forma'!$F$303:$Z$303)+SUMIF('Phase 2 Pro Forma'!$F$6:$Z$6,K$7,'Phase 2 Pro Forma'!$F$357:$Z$357)+SUMIF('Phase 3 Pro Forma'!$F$6:$Z$6,K$7,'Phase 3 Pro Forma'!$F$555:$Z$555))*(SUM(Budget!$P$50:$P$68)/SUM(Budget!$M$50:$AC$68))+(SUMIF('Phase 1 Pro Forma'!$F$6:$Z$6,K$7,'Phase 1 Pro Forma'!$F$303:$Z$303)+SUMIF('Phase 2 Pro Forma'!$F$6:$Z$6,K$7,'Phase 2 Pro Forma'!$F$357:$Z$357)+SUMIF('Phase 3 Pro Forma'!$F$6:$Z$6,K$7,'Phase 3 Pro Forma'!$F$555:$Z$555))*(SUM(Budget!$R$50:$R$68)/SUM(Budget!$M$50:$AC$68))+(SUMIF('Phase 1 Pro Forma'!$F$6:$Z$6,K$7,'Phase 1 Pro Forma'!$F$303:$Z$303)+SUMIF('Phase 2 Pro Forma'!$F$6:$Z$6,K$7,'Phase 2 Pro Forma'!$F$357:$Z$357)+SUMIF('Phase 3 Pro Forma'!$F$6:$Z$6,K$7,'Phase 3 Pro Forma'!$F$555:$Z$555))*(SUM(Budget!$V$50:$V$68)/SUM(Budget!$M$50:$AC$68))</f>
        <v>43197261.811181031</v>
      </c>
      <c r="L29" s="306">
        <f ca="1">+(SUMIF('Phase 1 Pro Forma'!$F$6:$Z$6,L$7,'Phase 1 Pro Forma'!$F$303:$Z$303)+SUMIF('Phase 2 Pro Forma'!$F$6:$Z$6,L$7,'Phase 2 Pro Forma'!$F$357:$Z$357)+SUMIF('Phase 3 Pro Forma'!$F$6:$Z$6,L$7,'Phase 3 Pro Forma'!$F$555:$Z$555))*(SUM(Budget!$N$50:$N$68)/SUM(Budget!$M$50:$AC$68))+(SUMIF('Phase 1 Pro Forma'!$F$6:$Z$6,L$7,'Phase 1 Pro Forma'!$F$303:$Z$303)+SUMIF('Phase 2 Pro Forma'!$F$6:$Z$6,L$7,'Phase 2 Pro Forma'!$F$357:$Z$357)+SUMIF('Phase 3 Pro Forma'!$F$6:$Z$6,L$7,'Phase 3 Pro Forma'!$F$555:$Z$555))*(SUM(Budget!$P$50:$P$68)/SUM(Budget!$M$50:$AC$68))+(SUMIF('Phase 1 Pro Forma'!$F$6:$Z$6,L$7,'Phase 1 Pro Forma'!$F$303:$Z$303)+SUMIF('Phase 2 Pro Forma'!$F$6:$Z$6,L$7,'Phase 2 Pro Forma'!$F$357:$Z$357)+SUMIF('Phase 3 Pro Forma'!$F$6:$Z$6,L$7,'Phase 3 Pro Forma'!$F$555:$Z$555))*(SUM(Budget!$R$50:$R$68)/SUM(Budget!$M$50:$AC$68))+(SUMIF('Phase 1 Pro Forma'!$F$6:$Z$6,L$7,'Phase 1 Pro Forma'!$F$303:$Z$303)+SUMIF('Phase 2 Pro Forma'!$F$6:$Z$6,L$7,'Phase 2 Pro Forma'!$F$357:$Z$357)+SUMIF('Phase 3 Pro Forma'!$F$6:$Z$6,L$7,'Phase 3 Pro Forma'!$F$555:$Z$555))*(SUM(Budget!$V$50:$V$68)/SUM(Budget!$M$50:$AC$68))</f>
        <v>0</v>
      </c>
      <c r="M29" s="306">
        <f ca="1">+(SUMIF('Phase 1 Pro Forma'!$F$6:$Z$6,M$7,'Phase 1 Pro Forma'!$F$303:$Z$303)+SUMIF('Phase 2 Pro Forma'!$F$6:$Z$6,M$7,'Phase 2 Pro Forma'!$F$357:$Z$357)+SUMIF('Phase 3 Pro Forma'!$F$6:$Z$6,M$7,'Phase 3 Pro Forma'!$F$555:$Z$555))*(SUM(Budget!$N$50:$N$68)/SUM(Budget!$M$50:$AC$68))+(SUMIF('Phase 1 Pro Forma'!$F$6:$Z$6,M$7,'Phase 1 Pro Forma'!$F$303:$Z$303)+SUMIF('Phase 2 Pro Forma'!$F$6:$Z$6,M$7,'Phase 2 Pro Forma'!$F$357:$Z$357)+SUMIF('Phase 3 Pro Forma'!$F$6:$Z$6,M$7,'Phase 3 Pro Forma'!$F$555:$Z$555))*(SUM(Budget!$P$50:$P$68)/SUM(Budget!$M$50:$AC$68))+(SUMIF('Phase 1 Pro Forma'!$F$6:$Z$6,M$7,'Phase 1 Pro Forma'!$F$303:$Z$303)+SUMIF('Phase 2 Pro Forma'!$F$6:$Z$6,M$7,'Phase 2 Pro Forma'!$F$357:$Z$357)+SUMIF('Phase 3 Pro Forma'!$F$6:$Z$6,M$7,'Phase 3 Pro Forma'!$F$555:$Z$555))*(SUM(Budget!$R$50:$R$68)/SUM(Budget!$M$50:$AC$68))+(SUMIF('Phase 1 Pro Forma'!$F$6:$Z$6,M$7,'Phase 1 Pro Forma'!$F$303:$Z$303)+SUMIF('Phase 2 Pro Forma'!$F$6:$Z$6,M$7,'Phase 2 Pro Forma'!$F$357:$Z$357)+SUMIF('Phase 3 Pro Forma'!$F$6:$Z$6,M$7,'Phase 3 Pro Forma'!$F$555:$Z$555))*(SUM(Budget!$V$50:$V$68)/SUM(Budget!$M$50:$AC$68))</f>
        <v>0</v>
      </c>
      <c r="N29" s="632">
        <f ca="1">+(SUMIF('Phase 1 Pro Forma'!$F$6:$Z$6,N$7,'Phase 1 Pro Forma'!$F$303:$Z$303)+SUMIF('Phase 2 Pro Forma'!$F$6:$Z$6,N$7,'Phase 2 Pro Forma'!$F$357:$Z$357)+SUMIF('Phase 3 Pro Forma'!$F$6:$Z$6,N$7,'Phase 3 Pro Forma'!$F$555:$Z$555))*(SUM(Budget!$N$50:$N$68)/SUM(Budget!$M$50:$AC$68))+(SUMIF('Phase 1 Pro Forma'!$F$6:$Z$6,N$7,'Phase 1 Pro Forma'!$F$303:$Z$303)+SUMIF('Phase 2 Pro Forma'!$F$6:$Z$6,N$7,'Phase 2 Pro Forma'!$F$357:$Z$357)+SUMIF('Phase 3 Pro Forma'!$F$6:$Z$6,N$7,'Phase 3 Pro Forma'!$F$555:$Z$555))*(SUM(Budget!$P$50:$P$68)/SUM(Budget!$M$50:$AC$68))+(SUMIF('Phase 1 Pro Forma'!$F$6:$Z$6,N$7,'Phase 1 Pro Forma'!$F$303:$Z$303)+SUMIF('Phase 2 Pro Forma'!$F$6:$Z$6,N$7,'Phase 2 Pro Forma'!$F$357:$Z$357)+SUMIF('Phase 3 Pro Forma'!$F$6:$Z$6,N$7,'Phase 3 Pro Forma'!$F$555:$Z$555))*(SUM(Budget!$R$50:$R$68)/SUM(Budget!$M$50:$AC$68))+(SUMIF('Phase 1 Pro Forma'!$F$6:$Z$6,N$7,'Phase 1 Pro Forma'!$F$303:$Z$303)+SUMIF('Phase 2 Pro Forma'!$F$6:$Z$6,N$7,'Phase 2 Pro Forma'!$F$357:$Z$357)+SUMIF('Phase 3 Pro Forma'!$F$6:$Z$6,N$7,'Phase 3 Pro Forma'!$F$555:$Z$555))*(SUM(Budget!$V$50:$V$68)/SUM(Budget!$M$50:$AC$68))</f>
        <v>0</v>
      </c>
    </row>
    <row r="30" spans="2:14" ht="15.95" customHeight="1">
      <c r="B30" s="320" t="s">
        <v>178</v>
      </c>
      <c r="C30" s="286"/>
      <c r="D30" s="586">
        <f ca="1">+(SUMIF('Phase 1 Pro Forma'!$F$6:$Z$6,D$7,'Phase 1 Pro Forma'!$F$303:$Z$303)+SUMIF('Phase 2 Pro Forma'!$F$6:$Z$6,D$7,'Phase 2 Pro Forma'!$F$357:$Z$357)+SUMIF('Phase 3 Pro Forma'!$F$6:$Z$6,D$7,'Phase 3 Pro Forma'!$F$555:$Z$555))*(SUM(Budget!$T$50:$T$68)/SUM(Budget!$M$50:$AC$68))</f>
        <v>363746.54267732886</v>
      </c>
      <c r="E30" s="306">
        <f ca="1">+(SUMIF('Phase 1 Pro Forma'!$F$6:$Z$6,E$7,'Phase 1 Pro Forma'!$F$303:$Z$303)+SUMIF('Phase 2 Pro Forma'!$F$6:$Z$6,E$7,'Phase 2 Pro Forma'!$F$357:$Z$357)+SUMIF('Phase 3 Pro Forma'!$F$6:$Z$6,E$7,'Phase 3 Pro Forma'!$F$555:$Z$555))*(SUM(Budget!$T$50:$T$68)/SUM(Budget!$M$50:$AC$68))</f>
        <v>9104259.6116829813</v>
      </c>
      <c r="F30" s="306">
        <f ca="1">+(SUMIF('Phase 1 Pro Forma'!$F$6:$Z$6,F$7,'Phase 1 Pro Forma'!$F$303:$Z$303)+SUMIF('Phase 2 Pro Forma'!$F$6:$Z$6,F$7,'Phase 2 Pro Forma'!$F$357:$Z$357)+SUMIF('Phase 3 Pro Forma'!$F$6:$Z$6,F$7,'Phase 3 Pro Forma'!$F$555:$Z$555))*(SUM(Budget!$T$50:$T$68)/SUM(Budget!$M$50:$AC$68))</f>
        <v>9104259.6116829813</v>
      </c>
      <c r="G30" s="613">
        <f ca="1">+(SUMIF('Phase 1 Pro Forma'!$F$6:$Z$6,G$7,'Phase 1 Pro Forma'!$F$303:$Z$303)+SUMIF('Phase 2 Pro Forma'!$F$6:$Z$6,G$7,'Phase 2 Pro Forma'!$F$357:$Z$357)+SUMIF('Phase 3 Pro Forma'!$F$6:$Z$6,G$7,'Phase 3 Pro Forma'!$F$555:$Z$555))*(SUM(Budget!$T$50:$T$68)/SUM(Budget!$M$50:$AC$68))</f>
        <v>9143160.9539987072</v>
      </c>
      <c r="H30" s="306">
        <f ca="1">+(SUMIF('Phase 1 Pro Forma'!$F$6:$Z$6,H$7,'Phase 1 Pro Forma'!$F$303:$Z$303)+SUMIF('Phase 2 Pro Forma'!$F$6:$Z$6,H$7,'Phase 2 Pro Forma'!$F$357:$Z$357)+SUMIF('Phase 3 Pro Forma'!$F$6:$Z$6,H$7,'Phase 3 Pro Forma'!$F$555:$Z$555))*(SUM(Budget!$T$50:$T$68)/SUM(Budget!$M$50:$AC$68))</f>
        <v>12247040.942167971</v>
      </c>
      <c r="I30" s="622">
        <f ca="1">+(SUMIF('Phase 1 Pro Forma'!$F$6:$Z$6,I$7,'Phase 1 Pro Forma'!$F$303:$Z$303)+SUMIF('Phase 2 Pro Forma'!$F$6:$Z$6,I$7,'Phase 2 Pro Forma'!$F$357:$Z$357)+SUMIF('Phase 3 Pro Forma'!$F$6:$Z$6,I$7,'Phase 3 Pro Forma'!$F$555:$Z$555))*(SUM(Budget!$T$50:$T$68)/SUM(Budget!$M$50:$AC$68))</f>
        <v>12323753.636926033</v>
      </c>
      <c r="J30" s="306">
        <f ca="1">+(SUMIF('Phase 1 Pro Forma'!$F$6:$Z$6,J$7,'Phase 1 Pro Forma'!$F$303:$Z$303)+SUMIF('Phase 2 Pro Forma'!$F$6:$Z$6,J$7,'Phase 2 Pro Forma'!$F$357:$Z$357)+SUMIF('Phase 3 Pro Forma'!$F$6:$Z$6,J$7,'Phase 3 Pro Forma'!$F$555:$Z$555))*(SUM(Budget!$T$50:$T$68)/SUM(Budget!$M$50:$AC$68))</f>
        <v>11863936.060532304</v>
      </c>
      <c r="K30" s="306">
        <f ca="1">+(SUMIF('Phase 1 Pro Forma'!$F$6:$Z$6,K$7,'Phase 1 Pro Forma'!$F$303:$Z$303)+SUMIF('Phase 2 Pro Forma'!$F$6:$Z$6,K$7,'Phase 2 Pro Forma'!$F$357:$Z$357)+SUMIF('Phase 3 Pro Forma'!$F$6:$Z$6,K$7,'Phase 3 Pro Forma'!$F$555:$Z$555))*(SUM(Budget!$T$50:$T$68)/SUM(Budget!$M$50:$AC$68))</f>
        <v>11863936.060532304</v>
      </c>
      <c r="L30" s="306">
        <f ca="1">+(SUMIF('Phase 1 Pro Forma'!$F$6:$Z$6,L$7,'Phase 1 Pro Forma'!$F$303:$Z$303)+SUMIF('Phase 2 Pro Forma'!$F$6:$Z$6,L$7,'Phase 2 Pro Forma'!$F$357:$Z$357)+SUMIF('Phase 3 Pro Forma'!$F$6:$Z$6,L$7,'Phase 3 Pro Forma'!$F$555:$Z$555))*(SUM(Budget!$T$50:$T$68)/SUM(Budget!$M$50:$AC$68))</f>
        <v>0</v>
      </c>
      <c r="M30" s="306">
        <f ca="1">+(SUMIF('Phase 1 Pro Forma'!$F$6:$Z$6,M$7,'Phase 1 Pro Forma'!$F$303:$Z$303)+SUMIF('Phase 2 Pro Forma'!$F$6:$Z$6,M$7,'Phase 2 Pro Forma'!$F$357:$Z$357)+SUMIF('Phase 3 Pro Forma'!$F$6:$Z$6,M$7,'Phase 3 Pro Forma'!$F$555:$Z$555))*(SUM(Budget!$T$50:$T$68)/SUM(Budget!$M$50:$AC$68))</f>
        <v>0</v>
      </c>
      <c r="N30" s="632">
        <f ca="1">+(SUMIF('Phase 1 Pro Forma'!$F$6:$Z$6,N$7,'Phase 1 Pro Forma'!$F$303:$Z$303)+SUMIF('Phase 2 Pro Forma'!$F$6:$Z$6,N$7,'Phase 2 Pro Forma'!$F$357:$Z$357)+SUMIF('Phase 3 Pro Forma'!$F$6:$Z$6,N$7,'Phase 3 Pro Forma'!$F$555:$Z$555))*(SUM(Budget!$T$50:$T$68)/SUM(Budget!$M$50:$AC$68))</f>
        <v>0</v>
      </c>
    </row>
    <row r="31" spans="2:14" ht="15.95" customHeight="1">
      <c r="B31" s="320" t="s">
        <v>157</v>
      </c>
      <c r="C31" s="286"/>
      <c r="D31" s="586">
        <f ca="1">+(SUMIF('Phase 1 Pro Forma'!$F$6:$Z$6,D$7,'Phase 1 Pro Forma'!$F$303:$Z$303)+SUMIF('Phase 2 Pro Forma'!$F$6:$Z$6,D$7,'Phase 2 Pro Forma'!$F$357:$Z$357)+SUMIF('Phase 3 Pro Forma'!$F$6:$Z$6,D$7,'Phase 3 Pro Forma'!$F$555:$Z$555))*(SUM(Budget!$M$50:$M$68)/SUM(Budget!$M$50:$AC$68))+(SUMIF('Phase 1 Pro Forma'!$F$6:$Z$6,D$7,'Phase 1 Pro Forma'!$F$303:$Z$303)+SUMIF('Phase 2 Pro Forma'!$F$6:$Z$6,D$7,'Phase 2 Pro Forma'!$F$357:$Z$357)+SUMIF('Phase 3 Pro Forma'!$F$6:$Z$6,D$7,'Phase 3 Pro Forma'!$F$555:$Z$555))*(SUM(Budget!$O$50:$O$68)/SUM(Budget!$M$50:$AC$68))+(SUMIF('Phase 1 Pro Forma'!$F$6:$Z$6,D$7,'Phase 1 Pro Forma'!$F$303:$Z$303)+SUMIF('Phase 2 Pro Forma'!$F$6:$Z$6,D$7,'Phase 2 Pro Forma'!$F$357:$Z$357)+SUMIF('Phase 3 Pro Forma'!$F$6:$Z$6,D$7,'Phase 3 Pro Forma'!$F$555:$Z$555))*(SUM(Budget!$Q$50:$Q$68)/SUM(Budget!$M$50:$AC$68))+(SUMIF('Phase 1 Pro Forma'!$F$6:$Z$6,D$7,'Phase 1 Pro Forma'!$F$303:$Z$303)+SUMIF('Phase 2 Pro Forma'!$F$6:$Z$6,D$7,'Phase 2 Pro Forma'!$F$357:$Z$357)+SUMIF('Phase 3 Pro Forma'!$F$6:$Z$6,D$7,'Phase 3 Pro Forma'!$F$555:$Z$555))*(SUM(Budget!$U$50:$U$68)/SUM(Budget!$M$50:$AC$68))</f>
        <v>857355.12492973497</v>
      </c>
      <c r="E31" s="306">
        <f ca="1">+(SUMIF('Phase 1 Pro Forma'!$F$6:$Z$6,E$7,'Phase 1 Pro Forma'!$F$303:$Z$303)+SUMIF('Phase 2 Pro Forma'!$F$6:$Z$6,E$7,'Phase 2 Pro Forma'!$F$357:$Z$357)+SUMIF('Phase 3 Pro Forma'!$F$6:$Z$6,E$7,'Phase 3 Pro Forma'!$F$555:$Z$555))*(SUM(Budget!$M$50:$M$68)/SUM(Budget!$M$50:$AC$68))+(SUMIF('Phase 1 Pro Forma'!$F$6:$Z$6,E$7,'Phase 1 Pro Forma'!$F$303:$Z$303)+SUMIF('Phase 2 Pro Forma'!$F$6:$Z$6,E$7,'Phase 2 Pro Forma'!$F$357:$Z$357)+SUMIF('Phase 3 Pro Forma'!$F$6:$Z$6,E$7,'Phase 3 Pro Forma'!$F$555:$Z$555))*(SUM(Budget!$O$50:$O$68)/SUM(Budget!$M$50:$AC$68))+(SUMIF('Phase 1 Pro Forma'!$F$6:$Z$6,E$7,'Phase 1 Pro Forma'!$F$303:$Z$303)+SUMIF('Phase 2 Pro Forma'!$F$6:$Z$6,E$7,'Phase 2 Pro Forma'!$F$357:$Z$357)+SUMIF('Phase 3 Pro Forma'!$F$6:$Z$6,E$7,'Phase 3 Pro Forma'!$F$555:$Z$555))*(SUM(Budget!$Q$50:$Q$68)/SUM(Budget!$M$50:$AC$68))+(SUMIF('Phase 1 Pro Forma'!$F$6:$Z$6,E$7,'Phase 1 Pro Forma'!$F$303:$Z$303)+SUMIF('Phase 2 Pro Forma'!$F$6:$Z$6,E$7,'Phase 2 Pro Forma'!$F$357:$Z$357)+SUMIF('Phase 3 Pro Forma'!$F$6:$Z$6,E$7,'Phase 3 Pro Forma'!$F$555:$Z$555))*(SUM(Budget!$U$50:$U$68)/SUM(Budget!$M$50:$AC$68))</f>
        <v>21458853.132499337</v>
      </c>
      <c r="F31" s="306">
        <f ca="1">+(SUMIF('Phase 1 Pro Forma'!$F$6:$Z$6,F$7,'Phase 1 Pro Forma'!$F$303:$Z$303)+SUMIF('Phase 2 Pro Forma'!$F$6:$Z$6,F$7,'Phase 2 Pro Forma'!$F$357:$Z$357)+SUMIF('Phase 3 Pro Forma'!$F$6:$Z$6,F$7,'Phase 3 Pro Forma'!$F$555:$Z$555))*(SUM(Budget!$M$50:$M$68)/SUM(Budget!$M$50:$AC$68))+(SUMIF('Phase 1 Pro Forma'!$F$6:$Z$6,F$7,'Phase 1 Pro Forma'!$F$303:$Z$303)+SUMIF('Phase 2 Pro Forma'!$F$6:$Z$6,F$7,'Phase 2 Pro Forma'!$F$357:$Z$357)+SUMIF('Phase 3 Pro Forma'!$F$6:$Z$6,F$7,'Phase 3 Pro Forma'!$F$555:$Z$555))*(SUM(Budget!$O$50:$O$68)/SUM(Budget!$M$50:$AC$68))+(SUMIF('Phase 1 Pro Forma'!$F$6:$Z$6,F$7,'Phase 1 Pro Forma'!$F$303:$Z$303)+SUMIF('Phase 2 Pro Forma'!$F$6:$Z$6,F$7,'Phase 2 Pro Forma'!$F$357:$Z$357)+SUMIF('Phase 3 Pro Forma'!$F$6:$Z$6,F$7,'Phase 3 Pro Forma'!$F$555:$Z$555))*(SUM(Budget!$Q$50:$Q$68)/SUM(Budget!$M$50:$AC$68))+(SUMIF('Phase 1 Pro Forma'!$F$6:$Z$6,F$7,'Phase 1 Pro Forma'!$F$303:$Z$303)+SUMIF('Phase 2 Pro Forma'!$F$6:$Z$6,F$7,'Phase 2 Pro Forma'!$F$357:$Z$357)+SUMIF('Phase 3 Pro Forma'!$F$6:$Z$6,F$7,'Phase 3 Pro Forma'!$F$555:$Z$555))*(SUM(Budget!$U$50:$U$68)/SUM(Budget!$M$50:$AC$68))</f>
        <v>21458853.132499337</v>
      </c>
      <c r="G31" s="613">
        <f ca="1">+(SUMIF('Phase 1 Pro Forma'!$F$6:$Z$6,G$7,'Phase 1 Pro Forma'!$F$303:$Z$303)+SUMIF('Phase 2 Pro Forma'!$F$6:$Z$6,G$7,'Phase 2 Pro Forma'!$F$357:$Z$357)+SUMIF('Phase 3 Pro Forma'!$F$6:$Z$6,G$7,'Phase 3 Pro Forma'!$F$555:$Z$555))*(SUM(Budget!$M$50:$M$68)/SUM(Budget!$M$50:$AC$68))+(SUMIF('Phase 1 Pro Forma'!$F$6:$Z$6,G$7,'Phase 1 Pro Forma'!$F$303:$Z$303)+SUMIF('Phase 2 Pro Forma'!$F$6:$Z$6,G$7,'Phase 2 Pro Forma'!$F$357:$Z$357)+SUMIF('Phase 3 Pro Forma'!$F$6:$Z$6,G$7,'Phase 3 Pro Forma'!$F$555:$Z$555))*(SUM(Budget!$O$50:$O$68)/SUM(Budget!$M$50:$AC$68))+(SUMIF('Phase 1 Pro Forma'!$F$6:$Z$6,G$7,'Phase 1 Pro Forma'!$F$303:$Z$303)+SUMIF('Phase 2 Pro Forma'!$F$6:$Z$6,G$7,'Phase 2 Pro Forma'!$F$357:$Z$357)+SUMIF('Phase 3 Pro Forma'!$F$6:$Z$6,G$7,'Phase 3 Pro Forma'!$F$555:$Z$555))*(SUM(Budget!$Q$50:$Q$68)/SUM(Budget!$M$50:$AC$68))+(SUMIF('Phase 1 Pro Forma'!$F$6:$Z$6,G$7,'Phase 1 Pro Forma'!$F$303:$Z$303)+SUMIF('Phase 2 Pro Forma'!$F$6:$Z$6,G$7,'Phase 2 Pro Forma'!$F$357:$Z$357)+SUMIF('Phase 3 Pro Forma'!$F$6:$Z$6,G$7,'Phase 3 Pro Forma'!$F$555:$Z$555))*(SUM(Budget!$U$50:$U$68)/SUM(Budget!$M$50:$AC$68))</f>
        <v>21550544.080145318</v>
      </c>
      <c r="H31" s="306">
        <f ca="1">+(SUMIF('Phase 1 Pro Forma'!$F$6:$Z$6,H$7,'Phase 1 Pro Forma'!$F$303:$Z$303)+SUMIF('Phase 2 Pro Forma'!$F$6:$Z$6,H$7,'Phase 2 Pro Forma'!$F$357:$Z$357)+SUMIF('Phase 3 Pro Forma'!$F$6:$Z$6,H$7,'Phase 3 Pro Forma'!$F$555:$Z$555))*(SUM(Budget!$M$50:$M$68)/SUM(Budget!$M$50:$AC$68))+(SUMIF('Phase 1 Pro Forma'!$F$6:$Z$6,H$7,'Phase 1 Pro Forma'!$F$303:$Z$303)+SUMIF('Phase 2 Pro Forma'!$F$6:$Z$6,H$7,'Phase 2 Pro Forma'!$F$357:$Z$357)+SUMIF('Phase 3 Pro Forma'!$F$6:$Z$6,H$7,'Phase 3 Pro Forma'!$F$555:$Z$555))*(SUM(Budget!$O$50:$O$68)/SUM(Budget!$M$50:$AC$68))+(SUMIF('Phase 1 Pro Forma'!$F$6:$Z$6,H$7,'Phase 1 Pro Forma'!$F$303:$Z$303)+SUMIF('Phase 2 Pro Forma'!$F$6:$Z$6,H$7,'Phase 2 Pro Forma'!$F$357:$Z$357)+SUMIF('Phase 3 Pro Forma'!$F$6:$Z$6,H$7,'Phase 3 Pro Forma'!$F$555:$Z$555))*(SUM(Budget!$Q$50:$Q$68)/SUM(Budget!$M$50:$AC$68))+(SUMIF('Phase 1 Pro Forma'!$F$6:$Z$6,H$7,'Phase 1 Pro Forma'!$F$303:$Z$303)+SUMIF('Phase 2 Pro Forma'!$F$6:$Z$6,H$7,'Phase 2 Pro Forma'!$F$357:$Z$357)+SUMIF('Phase 3 Pro Forma'!$F$6:$Z$6,H$7,'Phase 3 Pro Forma'!$F$555:$Z$555))*(SUM(Budget!$U$50:$U$68)/SUM(Budget!$M$50:$AC$68))</f>
        <v>28866427.814563073</v>
      </c>
      <c r="I31" s="622">
        <f ca="1">+(SUMIF('Phase 1 Pro Forma'!$F$6:$Z$6,I$7,'Phase 1 Pro Forma'!$F$303:$Z$303)+SUMIF('Phase 2 Pro Forma'!$F$6:$Z$6,I$7,'Phase 2 Pro Forma'!$F$357:$Z$357)+SUMIF('Phase 3 Pro Forma'!$F$6:$Z$6,I$7,'Phase 3 Pro Forma'!$F$555:$Z$555))*(SUM(Budget!$M$50:$M$68)/SUM(Budget!$M$50:$AC$68))+(SUMIF('Phase 1 Pro Forma'!$F$6:$Z$6,I$7,'Phase 1 Pro Forma'!$F$303:$Z$303)+SUMIF('Phase 2 Pro Forma'!$F$6:$Z$6,I$7,'Phase 2 Pro Forma'!$F$357:$Z$357)+SUMIF('Phase 3 Pro Forma'!$F$6:$Z$6,I$7,'Phase 3 Pro Forma'!$F$555:$Z$555))*(SUM(Budget!$O$50:$O$68)/SUM(Budget!$M$50:$AC$68))+(SUMIF('Phase 1 Pro Forma'!$F$6:$Z$6,I$7,'Phase 1 Pro Forma'!$F$303:$Z$303)+SUMIF('Phase 2 Pro Forma'!$F$6:$Z$6,I$7,'Phase 2 Pro Forma'!$F$357:$Z$357)+SUMIF('Phase 3 Pro Forma'!$F$6:$Z$6,I$7,'Phase 3 Pro Forma'!$F$555:$Z$555))*(SUM(Budget!$Q$50:$Q$68)/SUM(Budget!$M$50:$AC$68))+(SUMIF('Phase 1 Pro Forma'!$F$6:$Z$6,I$7,'Phase 1 Pro Forma'!$F$303:$Z$303)+SUMIF('Phase 2 Pro Forma'!$F$6:$Z$6,I$7,'Phase 2 Pro Forma'!$F$357:$Z$357)+SUMIF('Phase 3 Pro Forma'!$F$6:$Z$6,I$7,'Phase 3 Pro Forma'!$F$555:$Z$555))*(SUM(Budget!$U$50:$U$68)/SUM(Budget!$M$50:$AC$68))</f>
        <v>29047240.590167478</v>
      </c>
      <c r="J31" s="306">
        <f ca="1">+(SUMIF('Phase 1 Pro Forma'!$F$6:$Z$6,J$7,'Phase 1 Pro Forma'!$F$303:$Z$303)+SUMIF('Phase 2 Pro Forma'!$F$6:$Z$6,J$7,'Phase 2 Pro Forma'!$F$357:$Z$357)+SUMIF('Phase 3 Pro Forma'!$F$6:$Z$6,J$7,'Phase 3 Pro Forma'!$F$555:$Z$555))*(SUM(Budget!$M$50:$M$68)/SUM(Budget!$M$50:$AC$68))+(SUMIF('Phase 1 Pro Forma'!$F$6:$Z$6,J$7,'Phase 1 Pro Forma'!$F$303:$Z$303)+SUMIF('Phase 2 Pro Forma'!$F$6:$Z$6,J$7,'Phase 2 Pro Forma'!$F$357:$Z$357)+SUMIF('Phase 3 Pro Forma'!$F$6:$Z$6,J$7,'Phase 3 Pro Forma'!$F$555:$Z$555))*(SUM(Budget!$O$50:$O$68)/SUM(Budget!$M$50:$AC$68))+(SUMIF('Phase 1 Pro Forma'!$F$6:$Z$6,J$7,'Phase 1 Pro Forma'!$F$303:$Z$303)+SUMIF('Phase 2 Pro Forma'!$F$6:$Z$6,J$7,'Phase 2 Pro Forma'!$F$357:$Z$357)+SUMIF('Phase 3 Pro Forma'!$F$6:$Z$6,J$7,'Phase 3 Pro Forma'!$F$555:$Z$555))*(SUM(Budget!$Q$50:$Q$68)/SUM(Budget!$M$50:$AC$68))+(SUMIF('Phase 1 Pro Forma'!$F$6:$Z$6,J$7,'Phase 1 Pro Forma'!$F$303:$Z$303)+SUMIF('Phase 2 Pro Forma'!$F$6:$Z$6,J$7,'Phase 2 Pro Forma'!$F$357:$Z$357)+SUMIF('Phase 3 Pro Forma'!$F$6:$Z$6,J$7,'Phase 3 Pro Forma'!$F$555:$Z$555))*(SUM(Budget!$U$50:$U$68)/SUM(Budget!$M$50:$AC$68))</f>
        <v>27963444.843952943</v>
      </c>
      <c r="K31" s="306">
        <f ca="1">+(SUMIF('Phase 1 Pro Forma'!$F$6:$Z$6,K$7,'Phase 1 Pro Forma'!$F$303:$Z$303)+SUMIF('Phase 2 Pro Forma'!$F$6:$Z$6,K$7,'Phase 2 Pro Forma'!$F$357:$Z$357)+SUMIF('Phase 3 Pro Forma'!$F$6:$Z$6,K$7,'Phase 3 Pro Forma'!$F$555:$Z$555))*(SUM(Budget!$M$50:$M$68)/SUM(Budget!$M$50:$AC$68))+(SUMIF('Phase 1 Pro Forma'!$F$6:$Z$6,K$7,'Phase 1 Pro Forma'!$F$303:$Z$303)+SUMIF('Phase 2 Pro Forma'!$F$6:$Z$6,K$7,'Phase 2 Pro Forma'!$F$357:$Z$357)+SUMIF('Phase 3 Pro Forma'!$F$6:$Z$6,K$7,'Phase 3 Pro Forma'!$F$555:$Z$555))*(SUM(Budget!$O$50:$O$68)/SUM(Budget!$M$50:$AC$68))+(SUMIF('Phase 1 Pro Forma'!$F$6:$Z$6,K$7,'Phase 1 Pro Forma'!$F$303:$Z$303)+SUMIF('Phase 2 Pro Forma'!$F$6:$Z$6,K$7,'Phase 2 Pro Forma'!$F$357:$Z$357)+SUMIF('Phase 3 Pro Forma'!$F$6:$Z$6,K$7,'Phase 3 Pro Forma'!$F$555:$Z$555))*(SUM(Budget!$Q$50:$Q$68)/SUM(Budget!$M$50:$AC$68))+(SUMIF('Phase 1 Pro Forma'!$F$6:$Z$6,K$7,'Phase 1 Pro Forma'!$F$303:$Z$303)+SUMIF('Phase 2 Pro Forma'!$F$6:$Z$6,K$7,'Phase 2 Pro Forma'!$F$357:$Z$357)+SUMIF('Phase 3 Pro Forma'!$F$6:$Z$6,K$7,'Phase 3 Pro Forma'!$F$555:$Z$555))*(SUM(Budget!$U$50:$U$68)/SUM(Budget!$M$50:$AC$68))</f>
        <v>27963444.843952943</v>
      </c>
      <c r="L31" s="306">
        <f ca="1">+(SUMIF('Phase 1 Pro Forma'!$F$6:$Z$6,L$7,'Phase 1 Pro Forma'!$F$303:$Z$303)+SUMIF('Phase 2 Pro Forma'!$F$6:$Z$6,L$7,'Phase 2 Pro Forma'!$F$357:$Z$357)+SUMIF('Phase 3 Pro Forma'!$F$6:$Z$6,L$7,'Phase 3 Pro Forma'!$F$555:$Z$555))*(SUM(Budget!$M$50:$M$68)/SUM(Budget!$M$50:$AC$68))+(SUMIF('Phase 1 Pro Forma'!$F$6:$Z$6,L$7,'Phase 1 Pro Forma'!$F$303:$Z$303)+SUMIF('Phase 2 Pro Forma'!$F$6:$Z$6,L$7,'Phase 2 Pro Forma'!$F$357:$Z$357)+SUMIF('Phase 3 Pro Forma'!$F$6:$Z$6,L$7,'Phase 3 Pro Forma'!$F$555:$Z$555))*(SUM(Budget!$O$50:$O$68)/SUM(Budget!$M$50:$AC$68))+(SUMIF('Phase 1 Pro Forma'!$F$6:$Z$6,L$7,'Phase 1 Pro Forma'!$F$303:$Z$303)+SUMIF('Phase 2 Pro Forma'!$F$6:$Z$6,L$7,'Phase 2 Pro Forma'!$F$357:$Z$357)+SUMIF('Phase 3 Pro Forma'!$F$6:$Z$6,L$7,'Phase 3 Pro Forma'!$F$555:$Z$555))*(SUM(Budget!$Q$50:$Q$68)/SUM(Budget!$M$50:$AC$68))+(SUMIF('Phase 1 Pro Forma'!$F$6:$Z$6,L$7,'Phase 1 Pro Forma'!$F$303:$Z$303)+SUMIF('Phase 2 Pro Forma'!$F$6:$Z$6,L$7,'Phase 2 Pro Forma'!$F$357:$Z$357)+SUMIF('Phase 3 Pro Forma'!$F$6:$Z$6,L$7,'Phase 3 Pro Forma'!$F$555:$Z$555))*(SUM(Budget!$U$50:$U$68)/SUM(Budget!$M$50:$AC$68))</f>
        <v>0</v>
      </c>
      <c r="M31" s="306">
        <f ca="1">+(SUMIF('Phase 1 Pro Forma'!$F$6:$Z$6,M$7,'Phase 1 Pro Forma'!$F$303:$Z$303)+SUMIF('Phase 2 Pro Forma'!$F$6:$Z$6,M$7,'Phase 2 Pro Forma'!$F$357:$Z$357)+SUMIF('Phase 3 Pro Forma'!$F$6:$Z$6,M$7,'Phase 3 Pro Forma'!$F$555:$Z$555))*(SUM(Budget!$M$50:$M$68)/SUM(Budget!$M$50:$AC$68))+(SUMIF('Phase 1 Pro Forma'!$F$6:$Z$6,M$7,'Phase 1 Pro Forma'!$F$303:$Z$303)+SUMIF('Phase 2 Pro Forma'!$F$6:$Z$6,M$7,'Phase 2 Pro Forma'!$F$357:$Z$357)+SUMIF('Phase 3 Pro Forma'!$F$6:$Z$6,M$7,'Phase 3 Pro Forma'!$F$555:$Z$555))*(SUM(Budget!$O$50:$O$68)/SUM(Budget!$M$50:$AC$68))+(SUMIF('Phase 1 Pro Forma'!$F$6:$Z$6,M$7,'Phase 1 Pro Forma'!$F$303:$Z$303)+SUMIF('Phase 2 Pro Forma'!$F$6:$Z$6,M$7,'Phase 2 Pro Forma'!$F$357:$Z$357)+SUMIF('Phase 3 Pro Forma'!$F$6:$Z$6,M$7,'Phase 3 Pro Forma'!$F$555:$Z$555))*(SUM(Budget!$Q$50:$Q$68)/SUM(Budget!$M$50:$AC$68))+(SUMIF('Phase 1 Pro Forma'!$F$6:$Z$6,M$7,'Phase 1 Pro Forma'!$F$303:$Z$303)+SUMIF('Phase 2 Pro Forma'!$F$6:$Z$6,M$7,'Phase 2 Pro Forma'!$F$357:$Z$357)+SUMIF('Phase 3 Pro Forma'!$F$6:$Z$6,M$7,'Phase 3 Pro Forma'!$F$555:$Z$555))*(SUM(Budget!$U$50:$U$68)/SUM(Budget!$M$50:$AC$68))</f>
        <v>0</v>
      </c>
      <c r="N31" s="632">
        <f ca="1">+(SUMIF('Phase 1 Pro Forma'!$F$6:$Z$6,N$7,'Phase 1 Pro Forma'!$F$303:$Z$303)+SUMIF('Phase 2 Pro Forma'!$F$6:$Z$6,N$7,'Phase 2 Pro Forma'!$F$357:$Z$357)+SUMIF('Phase 3 Pro Forma'!$F$6:$Z$6,N$7,'Phase 3 Pro Forma'!$F$555:$Z$555))*(SUM(Budget!$M$50:$M$68)/SUM(Budget!$M$50:$AC$68))+(SUMIF('Phase 1 Pro Forma'!$F$6:$Z$6,N$7,'Phase 1 Pro Forma'!$F$303:$Z$303)+SUMIF('Phase 2 Pro Forma'!$F$6:$Z$6,N$7,'Phase 2 Pro Forma'!$F$357:$Z$357)+SUMIF('Phase 3 Pro Forma'!$F$6:$Z$6,N$7,'Phase 3 Pro Forma'!$F$555:$Z$555))*(SUM(Budget!$O$50:$O$68)/SUM(Budget!$M$50:$AC$68))+(SUMIF('Phase 1 Pro Forma'!$F$6:$Z$6,N$7,'Phase 1 Pro Forma'!$F$303:$Z$303)+SUMIF('Phase 2 Pro Forma'!$F$6:$Z$6,N$7,'Phase 2 Pro Forma'!$F$357:$Z$357)+SUMIF('Phase 3 Pro Forma'!$F$6:$Z$6,N$7,'Phase 3 Pro Forma'!$F$555:$Z$555))*(SUM(Budget!$Q$50:$Q$68)/SUM(Budget!$M$50:$AC$68))+(SUMIF('Phase 1 Pro Forma'!$F$6:$Z$6,N$7,'Phase 1 Pro Forma'!$F$303:$Z$303)+SUMIF('Phase 2 Pro Forma'!$F$6:$Z$6,N$7,'Phase 2 Pro Forma'!$F$357:$Z$357)+SUMIF('Phase 3 Pro Forma'!$F$6:$Z$6,N$7,'Phase 3 Pro Forma'!$F$555:$Z$555))*(SUM(Budget!$U$50:$U$68)/SUM(Budget!$M$50:$AC$68))</f>
        <v>0</v>
      </c>
    </row>
    <row r="32" spans="2:14" ht="15.95" customHeight="1">
      <c r="B32" s="321" t="s">
        <v>179</v>
      </c>
      <c r="C32" s="286"/>
      <c r="D32" s="586">
        <f ca="1">+(SUMIF('Phase 1 Pro Forma'!$F$6:$Z$6,D$7,'Phase 1 Pro Forma'!$F$303:$Z$303)+SUMIF('Phase 2 Pro Forma'!$F$6:$Z$6,D$7,'Phase 2 Pro Forma'!$F$357:$Z$357)+SUMIF('Phase 3 Pro Forma'!$F$6:$Z$6,D$7,'Phase 3 Pro Forma'!$F$555:$Z$555))*(SUM(Budget!$S$50:$S$68)/SUM(Budget!$M$50:$AC$68))</f>
        <v>161672.96858016151</v>
      </c>
      <c r="E32" s="306">
        <f ca="1">+(SUMIF('Phase 1 Pro Forma'!$F$6:$Z$6,E$7,'Phase 1 Pro Forma'!$F$303:$Z$303)+SUMIF('Phase 2 Pro Forma'!$F$6:$Z$6,E$7,'Phase 2 Pro Forma'!$F$357:$Z$357)+SUMIF('Phase 3 Pro Forma'!$F$6:$Z$6,E$7,'Phase 3 Pro Forma'!$F$555:$Z$555))*(SUM(Budget!$S$50:$S$68)/SUM(Budget!$M$50:$AC$68))</f>
        <v>4046533.7960640239</v>
      </c>
      <c r="F32" s="306">
        <f ca="1">+(SUMIF('Phase 1 Pro Forma'!$F$6:$Z$6,F$7,'Phase 1 Pro Forma'!$F$303:$Z$303)+SUMIF('Phase 2 Pro Forma'!$F$6:$Z$6,F$7,'Phase 2 Pro Forma'!$F$357:$Z$357)+SUMIF('Phase 3 Pro Forma'!$F$6:$Z$6,F$7,'Phase 3 Pro Forma'!$F$555:$Z$555))*(SUM(Budget!$S$50:$S$68)/SUM(Budget!$M$50:$AC$68))</f>
        <v>4046533.7960640239</v>
      </c>
      <c r="G32" s="613">
        <f ca="1">+(SUMIF('Phase 1 Pro Forma'!$F$6:$Z$6,G$7,'Phase 1 Pro Forma'!$F$303:$Z$303)+SUMIF('Phase 2 Pro Forma'!$F$6:$Z$6,G$7,'Phase 2 Pro Forma'!$F$357:$Z$357)+SUMIF('Phase 3 Pro Forma'!$F$6:$Z$6,G$7,'Phase 3 Pro Forma'!$F$555:$Z$555))*(SUM(Budget!$S$50:$S$68)/SUM(Budget!$M$50:$AC$68))</f>
        <v>4063824.1198362983</v>
      </c>
      <c r="H32" s="306">
        <f ca="1">+(SUMIF('Phase 1 Pro Forma'!$F$6:$Z$6,H$7,'Phase 1 Pro Forma'!$F$303:$Z$303)+SUMIF('Phase 2 Pro Forma'!$F$6:$Z$6,H$7,'Phase 2 Pro Forma'!$F$357:$Z$357)+SUMIF('Phase 3 Pro Forma'!$F$6:$Z$6,H$7,'Phase 3 Pro Forma'!$F$555:$Z$555))*(SUM(Budget!$S$50:$S$68)/SUM(Budget!$M$50:$AC$68))</f>
        <v>5443393.22339484</v>
      </c>
      <c r="I32" s="622">
        <f ca="1">+(SUMIF('Phase 1 Pro Forma'!$F$6:$Z$6,I$7,'Phase 1 Pro Forma'!$F$303:$Z$303)+SUMIF('Phase 2 Pro Forma'!$F$6:$Z$6,I$7,'Phase 2 Pro Forma'!$F$357:$Z$357)+SUMIF('Phase 3 Pro Forma'!$F$6:$Z$6,I$7,'Phase 3 Pro Forma'!$F$555:$Z$555))*(SUM(Budget!$S$50:$S$68)/SUM(Budget!$M$50:$AC$68))</f>
        <v>5477489.4075070871</v>
      </c>
      <c r="J32" s="306">
        <f ca="1">+(SUMIF('Phase 1 Pro Forma'!$F$6:$Z$6,J$7,'Phase 1 Pro Forma'!$F$303:$Z$303)+SUMIF('Phase 2 Pro Forma'!$F$6:$Z$6,J$7,'Phase 2 Pro Forma'!$F$357:$Z$357)+SUMIF('Phase 3 Pro Forma'!$F$6:$Z$6,J$7,'Phase 3 Pro Forma'!$F$555:$Z$555))*(SUM(Budget!$S$50:$S$68)/SUM(Budget!$M$50:$AC$68))</f>
        <v>5273116.1314513618</v>
      </c>
      <c r="K32" s="306">
        <f ca="1">+(SUMIF('Phase 1 Pro Forma'!$F$6:$Z$6,K$7,'Phase 1 Pro Forma'!$F$303:$Z$303)+SUMIF('Phase 2 Pro Forma'!$F$6:$Z$6,K$7,'Phase 2 Pro Forma'!$F$357:$Z$357)+SUMIF('Phase 3 Pro Forma'!$F$6:$Z$6,K$7,'Phase 3 Pro Forma'!$F$555:$Z$555))*(SUM(Budget!$S$50:$S$68)/SUM(Budget!$M$50:$AC$68))</f>
        <v>5273116.1314513618</v>
      </c>
      <c r="L32" s="306">
        <f ca="1">+(SUMIF('Phase 1 Pro Forma'!$F$6:$Z$6,L$7,'Phase 1 Pro Forma'!$F$303:$Z$303)+SUMIF('Phase 2 Pro Forma'!$F$6:$Z$6,L$7,'Phase 2 Pro Forma'!$F$357:$Z$357)+SUMIF('Phase 3 Pro Forma'!$F$6:$Z$6,L$7,'Phase 3 Pro Forma'!$F$555:$Z$555))*(SUM(Budget!$S$50:$S$68)/SUM(Budget!$M$50:$AC$68))</f>
        <v>0</v>
      </c>
      <c r="M32" s="306">
        <f ca="1">+(SUMIF('Phase 1 Pro Forma'!$F$6:$Z$6,M$7,'Phase 1 Pro Forma'!$F$303:$Z$303)+SUMIF('Phase 2 Pro Forma'!$F$6:$Z$6,M$7,'Phase 2 Pro Forma'!$F$357:$Z$357)+SUMIF('Phase 3 Pro Forma'!$F$6:$Z$6,M$7,'Phase 3 Pro Forma'!$F$555:$Z$555))*(SUM(Budget!$S$50:$S$68)/SUM(Budget!$M$50:$AC$68))</f>
        <v>0</v>
      </c>
      <c r="N32" s="632">
        <f ca="1">+(SUMIF('Phase 1 Pro Forma'!$F$6:$Z$6,N$7,'Phase 1 Pro Forma'!$F$303:$Z$303)+SUMIF('Phase 2 Pro Forma'!$F$6:$Z$6,N$7,'Phase 2 Pro Forma'!$F$357:$Z$357)+SUMIF('Phase 3 Pro Forma'!$F$6:$Z$6,N$7,'Phase 3 Pro Forma'!$F$555:$Z$555))*(SUM(Budget!$S$50:$S$68)/SUM(Budget!$M$50:$AC$68))</f>
        <v>0</v>
      </c>
    </row>
    <row r="33" spans="1:96" ht="15.95" customHeight="1">
      <c r="B33" s="321" t="s">
        <v>159</v>
      </c>
      <c r="C33" s="286"/>
      <c r="D33" s="586">
        <f ca="1">+(SUMIF('Phase 1 Pro Forma'!$F$6:$Z$6,D$7,'Phase 1 Pro Forma'!$F$303:$Z$303)+SUMIF('Phase 2 Pro Forma'!$F$6:$Z$6,D$7,'Phase 2 Pro Forma'!$F$357:$Z$357)+SUMIF('Phase 3 Pro Forma'!$F$6:$Z$6,D$7,'Phase 3 Pro Forma'!$F$555:$Z$555))*(SUM(Budget!$W$50:$W$68)/SUM(Budget!$M$50:$AC$68))</f>
        <v>338205.03939208383</v>
      </c>
      <c r="E33" s="306">
        <f ca="1">+(SUMIF('Phase 1 Pro Forma'!$F$6:$Z$6,E$7,'Phase 1 Pro Forma'!$F$303:$Z$303)+SUMIF('Phase 2 Pro Forma'!$F$6:$Z$6,E$7,'Phase 2 Pro Forma'!$F$357:$Z$357)+SUMIF('Phase 3 Pro Forma'!$F$6:$Z$6,E$7,'Phase 3 Pro Forma'!$F$555:$Z$555))*(SUM(Budget!$W$50:$W$68)/SUM(Budget!$M$50:$AC$68))</f>
        <v>8464977.9979803264</v>
      </c>
      <c r="F33" s="306">
        <f ca="1">+(SUMIF('Phase 1 Pro Forma'!$F$6:$Z$6,F$7,'Phase 1 Pro Forma'!$F$303:$Z$303)+SUMIF('Phase 2 Pro Forma'!$F$6:$Z$6,F$7,'Phase 2 Pro Forma'!$F$357:$Z$357)+SUMIF('Phase 3 Pro Forma'!$F$6:$Z$6,F$7,'Phase 3 Pro Forma'!$F$555:$Z$555))*(SUM(Budget!$W$50:$W$68)/SUM(Budget!$M$50:$AC$68))</f>
        <v>8464977.9979803264</v>
      </c>
      <c r="G33" s="613">
        <f ca="1">+(SUMIF('Phase 1 Pro Forma'!$F$6:$Z$6,G$7,'Phase 1 Pro Forma'!$F$303:$Z$303)+SUMIF('Phase 2 Pro Forma'!$F$6:$Z$6,G$7,'Phase 2 Pro Forma'!$F$357:$Z$357)+SUMIF('Phase 3 Pro Forma'!$F$6:$Z$6,G$7,'Phase 3 Pro Forma'!$F$555:$Z$555))*(SUM(Budget!$W$50:$W$68)/SUM(Budget!$M$50:$AC$68))</f>
        <v>8501147.7713435497</v>
      </c>
      <c r="H33" s="306">
        <f ca="1">+(SUMIF('Phase 1 Pro Forma'!$F$6:$Z$6,H$7,'Phase 1 Pro Forma'!$F$303:$Z$303)+SUMIF('Phase 2 Pro Forma'!$F$6:$Z$6,H$7,'Phase 2 Pro Forma'!$F$357:$Z$357)+SUMIF('Phase 3 Pro Forma'!$F$6:$Z$6,H$7,'Phase 3 Pro Forma'!$F$555:$Z$555))*(SUM(Budget!$W$50:$W$68)/SUM(Budget!$M$50:$AC$68))</f>
        <v>11387079.953517701</v>
      </c>
      <c r="I33" s="622">
        <f ca="1">+(SUMIF('Phase 1 Pro Forma'!$F$6:$Z$6,I$7,'Phase 1 Pro Forma'!$F$303:$Z$303)+SUMIF('Phase 2 Pro Forma'!$F$6:$Z$6,I$7,'Phase 2 Pro Forma'!$F$357:$Z$357)+SUMIF('Phase 3 Pro Forma'!$F$6:$Z$6,I$7,'Phase 3 Pro Forma'!$F$555:$Z$555))*(SUM(Budget!$W$50:$W$68)/SUM(Budget!$M$50:$AC$68))</f>
        <v>11458406.047125516</v>
      </c>
      <c r="J33" s="306">
        <f ca="1">+(SUMIF('Phase 1 Pro Forma'!$F$6:$Z$6,J$7,'Phase 1 Pro Forma'!$F$303:$Z$303)+SUMIF('Phase 2 Pro Forma'!$F$6:$Z$6,J$7,'Phase 2 Pro Forma'!$F$357:$Z$357)+SUMIF('Phase 3 Pro Forma'!$F$6:$Z$6,J$7,'Phase 3 Pro Forma'!$F$555:$Z$555))*(SUM(Budget!$W$50:$W$68)/SUM(Budget!$M$50:$AC$68))</f>
        <v>11030875.876274202</v>
      </c>
      <c r="K33" s="306">
        <f ca="1">+(SUMIF('Phase 1 Pro Forma'!$F$6:$Z$6,K$7,'Phase 1 Pro Forma'!$F$303:$Z$303)+SUMIF('Phase 2 Pro Forma'!$F$6:$Z$6,K$7,'Phase 2 Pro Forma'!$F$357:$Z$357)+SUMIF('Phase 3 Pro Forma'!$F$6:$Z$6,K$7,'Phase 3 Pro Forma'!$F$555:$Z$555))*(SUM(Budget!$W$50:$W$68)/SUM(Budget!$M$50:$AC$68))</f>
        <v>11030875.876274202</v>
      </c>
      <c r="L33" s="306">
        <f ca="1">+(SUMIF('Phase 1 Pro Forma'!$F$6:$Z$6,L$7,'Phase 1 Pro Forma'!$F$303:$Z$303)+SUMIF('Phase 2 Pro Forma'!$F$6:$Z$6,L$7,'Phase 2 Pro Forma'!$F$357:$Z$357)+SUMIF('Phase 3 Pro Forma'!$F$6:$Z$6,L$7,'Phase 3 Pro Forma'!$F$555:$Z$555))*(SUM(Budget!$W$50:$W$68)/SUM(Budget!$M$50:$AC$68))</f>
        <v>0</v>
      </c>
      <c r="M33" s="306">
        <f ca="1">+(SUMIF('Phase 1 Pro Forma'!$F$6:$Z$6,M$7,'Phase 1 Pro Forma'!$F$303:$Z$303)+SUMIF('Phase 2 Pro Forma'!$F$6:$Z$6,M$7,'Phase 2 Pro Forma'!$F$357:$Z$357)+SUMIF('Phase 3 Pro Forma'!$F$6:$Z$6,M$7,'Phase 3 Pro Forma'!$F$555:$Z$555))*(SUM(Budget!$W$50:$W$68)/SUM(Budget!$M$50:$AC$68))</f>
        <v>0</v>
      </c>
      <c r="N33" s="632">
        <f ca="1">+(SUMIF('Phase 1 Pro Forma'!$F$6:$Z$6,N$7,'Phase 1 Pro Forma'!$F$303:$Z$303)+SUMIF('Phase 2 Pro Forma'!$F$6:$Z$6,N$7,'Phase 2 Pro Forma'!$F$357:$Z$357)+SUMIF('Phase 3 Pro Forma'!$F$6:$Z$6,N$7,'Phase 3 Pro Forma'!$F$555:$Z$555))*(SUM(Budget!$W$50:$W$68)/SUM(Budget!$M$50:$AC$68))</f>
        <v>0</v>
      </c>
    </row>
    <row r="34" spans="1:96" ht="15.95" customHeight="1">
      <c r="B34" s="321" t="s">
        <v>160</v>
      </c>
      <c r="C34" s="286"/>
      <c r="D34" s="586">
        <f ca="1">+(SUMIF('Phase 1 Pro Forma'!$F$6:$Z$6,D$7,'Phase 1 Pro Forma'!$F$303:$Z$303)+SUMIF('Phase 2 Pro Forma'!$F$6:$Z$6,D$7,'Phase 2 Pro Forma'!$F$357:$Z$357)+SUMIF('Phase 3 Pro Forma'!$F$6:$Z$6,D$7,'Phase 3 Pro Forma'!$F$555:$Z$555))*(SUM(Budget!$X$50:$X$68)/SUM(Budget!$M$50:$AC$68))</f>
        <v>208189.52204978434</v>
      </c>
      <c r="E34" s="306">
        <f ca="1">+(SUMIF('Phase 1 Pro Forma'!$F$6:$Z$6,E$7,'Phase 1 Pro Forma'!$F$303:$Z$303)+SUMIF('Phase 2 Pro Forma'!$F$6:$Z$6,E$7,'Phase 2 Pro Forma'!$F$357:$Z$357)+SUMIF('Phase 3 Pro Forma'!$F$6:$Z$6,E$7,'Phase 3 Pro Forma'!$F$555:$Z$555))*(SUM(Budget!$X$50:$X$68)/SUM(Budget!$M$50:$AC$68))</f>
        <v>5210802.6738134818</v>
      </c>
      <c r="F34" s="306">
        <f ca="1">+(SUMIF('Phase 1 Pro Forma'!$F$6:$Z$6,F$7,'Phase 1 Pro Forma'!$F$303:$Z$303)+SUMIF('Phase 2 Pro Forma'!$F$6:$Z$6,F$7,'Phase 2 Pro Forma'!$F$357:$Z$357)+SUMIF('Phase 3 Pro Forma'!$F$6:$Z$6,F$7,'Phase 3 Pro Forma'!$F$555:$Z$555))*(SUM(Budget!$X$50:$X$68)/SUM(Budget!$M$50:$AC$68))</f>
        <v>5210802.6738134818</v>
      </c>
      <c r="G34" s="613">
        <f ca="1">+(SUMIF('Phase 1 Pro Forma'!$F$6:$Z$6,G$7,'Phase 1 Pro Forma'!$F$303:$Z$303)+SUMIF('Phase 2 Pro Forma'!$F$6:$Z$6,G$7,'Phase 2 Pro Forma'!$F$357:$Z$357)+SUMIF('Phase 3 Pro Forma'!$F$6:$Z$6,G$7,'Phase 3 Pro Forma'!$F$555:$Z$555))*(SUM(Budget!$X$50:$X$68)/SUM(Budget!$M$50:$AC$68))</f>
        <v>5233067.7702847635</v>
      </c>
      <c r="H34" s="306">
        <f ca="1">+(SUMIF('Phase 1 Pro Forma'!$F$6:$Z$6,H$7,'Phase 1 Pro Forma'!$F$303:$Z$303)+SUMIF('Phase 2 Pro Forma'!$F$6:$Z$6,H$7,'Phase 2 Pro Forma'!$F$357:$Z$357)+SUMIF('Phase 3 Pro Forma'!$F$6:$Z$6,H$7,'Phase 3 Pro Forma'!$F$555:$Z$555))*(SUM(Budget!$X$50:$X$68)/SUM(Budget!$M$50:$AC$68))</f>
        <v>7009566.5556218782</v>
      </c>
      <c r="I34" s="622">
        <f ca="1">+(SUMIF('Phase 1 Pro Forma'!$F$6:$Z$6,I$7,'Phase 1 Pro Forma'!$F$303:$Z$303)+SUMIF('Phase 2 Pro Forma'!$F$6:$Z$6,I$7,'Phase 2 Pro Forma'!$F$357:$Z$357)+SUMIF('Phase 3 Pro Forma'!$F$6:$Z$6,I$7,'Phase 3 Pro Forma'!$F$555:$Z$555))*(SUM(Budget!$X$50:$X$68)/SUM(Budget!$M$50:$AC$68))</f>
        <v>7053472.8952925717</v>
      </c>
      <c r="J34" s="306">
        <f ca="1">+(SUMIF('Phase 1 Pro Forma'!$F$6:$Z$6,J$7,'Phase 1 Pro Forma'!$F$303:$Z$303)+SUMIF('Phase 2 Pro Forma'!$F$6:$Z$6,J$7,'Phase 2 Pro Forma'!$F$357:$Z$357)+SUMIF('Phase 3 Pro Forma'!$F$6:$Z$6,J$7,'Phase 3 Pro Forma'!$F$555:$Z$555))*(SUM(Budget!$X$50:$X$68)/SUM(Budget!$M$50:$AC$68))</f>
        <v>6790297.3314648233</v>
      </c>
      <c r="K34" s="306">
        <f ca="1">+(SUMIF('Phase 1 Pro Forma'!$F$6:$Z$6,K$7,'Phase 1 Pro Forma'!$F$303:$Z$303)+SUMIF('Phase 2 Pro Forma'!$F$6:$Z$6,K$7,'Phase 2 Pro Forma'!$F$357:$Z$357)+SUMIF('Phase 3 Pro Forma'!$F$6:$Z$6,K$7,'Phase 3 Pro Forma'!$F$555:$Z$555))*(SUM(Budget!$X$50:$X$68)/SUM(Budget!$M$50:$AC$68))</f>
        <v>6790297.3314648233</v>
      </c>
      <c r="L34" s="306">
        <f ca="1">+(SUMIF('Phase 1 Pro Forma'!$F$6:$Z$6,L$7,'Phase 1 Pro Forma'!$F$303:$Z$303)+SUMIF('Phase 2 Pro Forma'!$F$6:$Z$6,L$7,'Phase 2 Pro Forma'!$F$357:$Z$357)+SUMIF('Phase 3 Pro Forma'!$F$6:$Z$6,L$7,'Phase 3 Pro Forma'!$F$555:$Z$555))*(SUM(Budget!$X$50:$X$68)/SUM(Budget!$M$50:$AC$68))</f>
        <v>0</v>
      </c>
      <c r="M34" s="306">
        <f ca="1">+(SUMIF('Phase 1 Pro Forma'!$F$6:$Z$6,M$7,'Phase 1 Pro Forma'!$F$303:$Z$303)+SUMIF('Phase 2 Pro Forma'!$F$6:$Z$6,M$7,'Phase 2 Pro Forma'!$F$357:$Z$357)+SUMIF('Phase 3 Pro Forma'!$F$6:$Z$6,M$7,'Phase 3 Pro Forma'!$F$555:$Z$555))*(SUM(Budget!$X$50:$X$68)/SUM(Budget!$M$50:$AC$68))</f>
        <v>0</v>
      </c>
      <c r="N34" s="632">
        <f ca="1">+(SUMIF('Phase 1 Pro Forma'!$F$6:$Z$6,N$7,'Phase 1 Pro Forma'!$F$303:$Z$303)+SUMIF('Phase 2 Pro Forma'!$F$6:$Z$6,N$7,'Phase 2 Pro Forma'!$F$357:$Z$357)+SUMIF('Phase 3 Pro Forma'!$F$6:$Z$6,N$7,'Phase 3 Pro Forma'!$F$555:$Z$555))*(SUM(Budget!$X$50:$X$68)/SUM(Budget!$M$50:$AC$68))</f>
        <v>0</v>
      </c>
    </row>
    <row r="35" spans="1:96" ht="15.95" customHeight="1">
      <c r="B35" s="321" t="s">
        <v>161</v>
      </c>
      <c r="C35" s="286"/>
      <c r="D35" s="586">
        <f ca="1">+(SUMIF('Phase 1 Pro Forma'!$F$6:$Z$6,D$7,'Phase 1 Pro Forma'!$F$303:$Z$303)+SUMIF('Phase 2 Pro Forma'!$F$6:$Z$6,D$7,'Phase 2 Pro Forma'!$F$357:$Z$357)+SUMIF('Phase 3 Pro Forma'!$F$6:$Z$6,D$7,'Phase 3 Pro Forma'!$F$555:$Z$555))*(SUM(Budget!$AA$50:$AA$68)/SUM(Budget!$M$50:$AC$68))</f>
        <v>0</v>
      </c>
      <c r="E35" s="306">
        <f ca="1">+(SUMIF('Phase 1 Pro Forma'!$F$6:$Z$6,E$7,'Phase 1 Pro Forma'!$F$303:$Z$303)+SUMIF('Phase 2 Pro Forma'!$F$6:$Z$6,E$7,'Phase 2 Pro Forma'!$F$357:$Z$357)+SUMIF('Phase 3 Pro Forma'!$F$6:$Z$6,E$7,'Phase 3 Pro Forma'!$F$555:$Z$555))*(SUM(Budget!$AA$50:$AA$68)/SUM(Budget!$M$50:$AC$68))</f>
        <v>0</v>
      </c>
      <c r="F35" s="306">
        <f ca="1">+(SUMIF('Phase 1 Pro Forma'!$F$6:$Z$6,F$7,'Phase 1 Pro Forma'!$F$303:$Z$303)+SUMIF('Phase 2 Pro Forma'!$F$6:$Z$6,F$7,'Phase 2 Pro Forma'!$F$357:$Z$357)+SUMIF('Phase 3 Pro Forma'!$F$6:$Z$6,F$7,'Phase 3 Pro Forma'!$F$555:$Z$555))*(SUM(Budget!$AA$50:$AA$68)/SUM(Budget!$M$50:$AC$68))</f>
        <v>0</v>
      </c>
      <c r="G35" s="613">
        <f ca="1">+(SUMIF('Phase 1 Pro Forma'!$F$6:$Z$6,G$7,'Phase 1 Pro Forma'!$F$303:$Z$303)+SUMIF('Phase 2 Pro Forma'!$F$6:$Z$6,G$7,'Phase 2 Pro Forma'!$F$357:$Z$357)+SUMIF('Phase 3 Pro Forma'!$F$6:$Z$6,G$7,'Phase 3 Pro Forma'!$F$555:$Z$555))*(SUM(Budget!$AA$50:$AA$68)/SUM(Budget!$M$50:$AC$68))</f>
        <v>0</v>
      </c>
      <c r="H35" s="306">
        <f ca="1">+(SUMIF('Phase 1 Pro Forma'!$F$6:$Z$6,H$7,'Phase 1 Pro Forma'!$F$303:$Z$303)+SUMIF('Phase 2 Pro Forma'!$F$6:$Z$6,H$7,'Phase 2 Pro Forma'!$F$357:$Z$357)+SUMIF('Phase 3 Pro Forma'!$F$6:$Z$6,H$7,'Phase 3 Pro Forma'!$F$555:$Z$555))*(SUM(Budget!$AA$50:$AA$68)/SUM(Budget!$M$50:$AC$68))</f>
        <v>0</v>
      </c>
      <c r="I35" s="622">
        <f ca="1">+(SUMIF('Phase 1 Pro Forma'!$F$6:$Z$6,I$7,'Phase 1 Pro Forma'!$F$303:$Z$303)+SUMIF('Phase 2 Pro Forma'!$F$6:$Z$6,I$7,'Phase 2 Pro Forma'!$F$357:$Z$357)+SUMIF('Phase 3 Pro Forma'!$F$6:$Z$6,I$7,'Phase 3 Pro Forma'!$F$555:$Z$555))*(SUM(Budget!$AA$50:$AA$68)/SUM(Budget!$M$50:$AC$68))</f>
        <v>0</v>
      </c>
      <c r="J35" s="306">
        <f ca="1">+(SUMIF('Phase 1 Pro Forma'!$F$6:$Z$6,J$7,'Phase 1 Pro Forma'!$F$303:$Z$303)+SUMIF('Phase 2 Pro Forma'!$F$6:$Z$6,J$7,'Phase 2 Pro Forma'!$F$357:$Z$357)+SUMIF('Phase 3 Pro Forma'!$F$6:$Z$6,J$7,'Phase 3 Pro Forma'!$F$555:$Z$555))*(SUM(Budget!$AA$50:$AA$68)/SUM(Budget!$M$50:$AC$68))</f>
        <v>0</v>
      </c>
      <c r="K35" s="306">
        <f ca="1">+(SUMIF('Phase 1 Pro Forma'!$F$6:$Z$6,K$7,'Phase 1 Pro Forma'!$F$303:$Z$303)+SUMIF('Phase 2 Pro Forma'!$F$6:$Z$6,K$7,'Phase 2 Pro Forma'!$F$357:$Z$357)+SUMIF('Phase 3 Pro Forma'!$F$6:$Z$6,K$7,'Phase 3 Pro Forma'!$F$555:$Z$555))*(SUM(Budget!$AA$50:$AA$68)/SUM(Budget!$M$50:$AC$68))</f>
        <v>0</v>
      </c>
      <c r="L35" s="306">
        <f ca="1">+(SUMIF('Phase 1 Pro Forma'!$F$6:$Z$6,L$7,'Phase 1 Pro Forma'!$F$303:$Z$303)+SUMIF('Phase 2 Pro Forma'!$F$6:$Z$6,L$7,'Phase 2 Pro Forma'!$F$357:$Z$357)+SUMIF('Phase 3 Pro Forma'!$F$6:$Z$6,L$7,'Phase 3 Pro Forma'!$F$555:$Z$555))*(SUM(Budget!$AA$50:$AA$68)/SUM(Budget!$M$50:$AC$68))</f>
        <v>0</v>
      </c>
      <c r="M35" s="306">
        <f ca="1">+(SUMIF('Phase 1 Pro Forma'!$F$6:$Z$6,M$7,'Phase 1 Pro Forma'!$F$303:$Z$303)+SUMIF('Phase 2 Pro Forma'!$F$6:$Z$6,M$7,'Phase 2 Pro Forma'!$F$357:$Z$357)+SUMIF('Phase 3 Pro Forma'!$F$6:$Z$6,M$7,'Phase 3 Pro Forma'!$F$555:$Z$555))*(SUM(Budget!$AA$50:$AA$68)/SUM(Budget!$M$50:$AC$68))</f>
        <v>0</v>
      </c>
      <c r="N35" s="632">
        <f ca="1">+(SUMIF('Phase 1 Pro Forma'!$F$6:$Z$6,N$7,'Phase 1 Pro Forma'!$F$303:$Z$303)+SUMIF('Phase 2 Pro Forma'!$F$6:$Z$6,N$7,'Phase 2 Pro Forma'!$F$357:$Z$357)+SUMIF('Phase 3 Pro Forma'!$F$6:$Z$6,N$7,'Phase 3 Pro Forma'!$F$555:$Z$555))*(SUM(Budget!$AA$50:$AA$68)/SUM(Budget!$M$50:$AC$68))</f>
        <v>0</v>
      </c>
    </row>
    <row r="36" spans="1:96" ht="15.95" customHeight="1">
      <c r="B36" s="321" t="s">
        <v>162</v>
      </c>
      <c r="C36" s="286"/>
      <c r="D36" s="586">
        <f ca="1">+(SUMIF('Phase 1 Pro Forma'!$F$6:$Z$6,D$7,'Phase 1 Pro Forma'!$F$303:$Z$303)+SUMIF('Phase 2 Pro Forma'!$F$6:$Z$6,D$7,'Phase 2 Pro Forma'!$F$357:$Z$357)+SUMIF('Phase 3 Pro Forma'!$F$6:$Z$6,D$7,'Phase 3 Pro Forma'!$F$555:$Z$555))*(SUM(Budget!$Y$50:$Y$68)/SUM(Budget!$M$50:$AC$68))</f>
        <v>455779.63848042249</v>
      </c>
      <c r="E36" s="306">
        <f ca="1">+(SUMIF('Phase 1 Pro Forma'!$F$6:$Z$6,E$7,'Phase 1 Pro Forma'!$F$303:$Z$303)+SUMIF('Phase 2 Pro Forma'!$F$6:$Z$6,E$7,'Phase 2 Pro Forma'!$F$357:$Z$357)+SUMIF('Phase 3 Pro Forma'!$F$6:$Z$6,E$7,'Phase 3 Pro Forma'!$F$555:$Z$555))*(SUM(Budget!$Y$50:$Y$68)/SUM(Budget!$M$50:$AC$68))</f>
        <v>11407767.958156893</v>
      </c>
      <c r="F36" s="306">
        <f ca="1">+(SUMIF('Phase 1 Pro Forma'!$F$6:$Z$6,F$7,'Phase 1 Pro Forma'!$F$303:$Z$303)+SUMIF('Phase 2 Pro Forma'!$F$6:$Z$6,F$7,'Phase 2 Pro Forma'!$F$357:$Z$357)+SUMIF('Phase 3 Pro Forma'!$F$6:$Z$6,F$7,'Phase 3 Pro Forma'!$F$555:$Z$555))*(SUM(Budget!$Y$50:$Y$68)/SUM(Budget!$M$50:$AC$68))</f>
        <v>11407767.958156893</v>
      </c>
      <c r="G36" s="613">
        <f ca="1">+(SUMIF('Phase 1 Pro Forma'!$F$6:$Z$6,G$7,'Phase 1 Pro Forma'!$F$303:$Z$303)+SUMIF('Phase 2 Pro Forma'!$F$6:$Z$6,G$7,'Phase 2 Pro Forma'!$F$357:$Z$357)+SUMIF('Phase 3 Pro Forma'!$F$6:$Z$6,G$7,'Phase 3 Pro Forma'!$F$555:$Z$555))*(SUM(Budget!$Y$50:$Y$68)/SUM(Budget!$M$50:$AC$68))</f>
        <v>11456511.898392204</v>
      </c>
      <c r="H36" s="306">
        <f ca="1">+(SUMIF('Phase 1 Pro Forma'!$F$6:$Z$6,H$7,'Phase 1 Pro Forma'!$F$303:$Z$303)+SUMIF('Phase 2 Pro Forma'!$F$6:$Z$6,H$7,'Phase 2 Pro Forma'!$F$357:$Z$357)+SUMIF('Phase 3 Pro Forma'!$F$6:$Z$6,H$7,'Phase 3 Pro Forma'!$F$555:$Z$555))*(SUM(Budget!$Y$50:$Y$68)/SUM(Budget!$M$50:$AC$68))</f>
        <v>15345718.070584856</v>
      </c>
      <c r="I36" s="622">
        <f ca="1">+(SUMIF('Phase 1 Pro Forma'!$F$6:$Z$6,I$7,'Phase 1 Pro Forma'!$F$303:$Z$303)+SUMIF('Phase 2 Pro Forma'!$F$6:$Z$6,I$7,'Phase 2 Pro Forma'!$F$357:$Z$357)+SUMIF('Phase 3 Pro Forma'!$F$6:$Z$6,I$7,'Phase 3 Pro Forma'!$F$555:$Z$555))*(SUM(Budget!$Y$50:$Y$68)/SUM(Budget!$M$50:$AC$68))</f>
        <v>15441840.178100538</v>
      </c>
      <c r="J36" s="306">
        <f ca="1">+(SUMIF('Phase 1 Pro Forma'!$F$6:$Z$6,J$7,'Phase 1 Pro Forma'!$F$303:$Z$303)+SUMIF('Phase 2 Pro Forma'!$F$6:$Z$6,J$7,'Phase 2 Pro Forma'!$F$357:$Z$357)+SUMIF('Phase 3 Pro Forma'!$F$6:$Z$6,J$7,'Phase 3 Pro Forma'!$F$555:$Z$555))*(SUM(Budget!$Y$50:$Y$68)/SUM(Budget!$M$50:$AC$68))</f>
        <v>14865682.155557936</v>
      </c>
      <c r="K36" s="306">
        <f ca="1">+(SUMIF('Phase 1 Pro Forma'!$F$6:$Z$6,K$7,'Phase 1 Pro Forma'!$F$303:$Z$303)+SUMIF('Phase 2 Pro Forma'!$F$6:$Z$6,K$7,'Phase 2 Pro Forma'!$F$357:$Z$357)+SUMIF('Phase 3 Pro Forma'!$F$6:$Z$6,K$7,'Phase 3 Pro Forma'!$F$555:$Z$555))*(SUM(Budget!$Y$50:$Y$68)/SUM(Budget!$M$50:$AC$68))</f>
        <v>14865682.155557936</v>
      </c>
      <c r="L36" s="306">
        <f ca="1">+(SUMIF('Phase 1 Pro Forma'!$F$6:$Z$6,L$7,'Phase 1 Pro Forma'!$F$303:$Z$303)+SUMIF('Phase 2 Pro Forma'!$F$6:$Z$6,L$7,'Phase 2 Pro Forma'!$F$357:$Z$357)+SUMIF('Phase 3 Pro Forma'!$F$6:$Z$6,L$7,'Phase 3 Pro Forma'!$F$555:$Z$555))*(SUM(Budget!$Y$50:$Y$68)/SUM(Budget!$M$50:$AC$68))</f>
        <v>0</v>
      </c>
      <c r="M36" s="306">
        <f ca="1">+(SUMIF('Phase 1 Pro Forma'!$F$6:$Z$6,M$7,'Phase 1 Pro Forma'!$F$303:$Z$303)+SUMIF('Phase 2 Pro Forma'!$F$6:$Z$6,M$7,'Phase 2 Pro Forma'!$F$357:$Z$357)+SUMIF('Phase 3 Pro Forma'!$F$6:$Z$6,M$7,'Phase 3 Pro Forma'!$F$555:$Z$555))*(SUM(Budget!$Y$50:$Y$68)/SUM(Budget!$M$50:$AC$68))</f>
        <v>0</v>
      </c>
      <c r="N36" s="632">
        <f ca="1">+(SUMIF('Phase 1 Pro Forma'!$F$6:$Z$6,N$7,'Phase 1 Pro Forma'!$F$303:$Z$303)+SUMIF('Phase 2 Pro Forma'!$F$6:$Z$6,N$7,'Phase 2 Pro Forma'!$F$357:$Z$357)+SUMIF('Phase 3 Pro Forma'!$F$6:$Z$6,N$7,'Phase 3 Pro Forma'!$F$555:$Z$555))*(SUM(Budget!$Y$50:$Y$68)/SUM(Budget!$M$50:$AC$68))</f>
        <v>0</v>
      </c>
    </row>
    <row r="37" spans="1:96" ht="15.95" customHeight="1">
      <c r="B37" s="321" t="s">
        <v>180</v>
      </c>
      <c r="C37" s="286"/>
      <c r="D37" s="586">
        <f ca="1">+(SUMIF('Phase 1 Pro Forma'!$F$6:$Z$6,D$7,'Phase 1 Pro Forma'!$F$303:$Z$303)+SUMIF('Phase 2 Pro Forma'!$F$6:$Z$6,D$7,'Phase 2 Pro Forma'!$F$357:$Z$357)+SUMIF('Phase 3 Pro Forma'!$F$6:$Z$6,D$7,'Phase 3 Pro Forma'!$F$555:$Z$555))*(SUM(Budget!$Z$50:$Z$68)/SUM(Budget!$M$50:$AC$68))</f>
        <v>0</v>
      </c>
      <c r="E37" s="306">
        <f ca="1">+(SUMIF('Phase 1 Pro Forma'!$F$6:$Z$6,E$7,'Phase 1 Pro Forma'!$F$303:$Z$303)+SUMIF('Phase 2 Pro Forma'!$F$6:$Z$6,E$7,'Phase 2 Pro Forma'!$F$357:$Z$357)+SUMIF('Phase 3 Pro Forma'!$F$6:$Z$6,E$7,'Phase 3 Pro Forma'!$F$555:$Z$555))*(SUM(Budget!$Z$50:$Z$68)/SUM(Budget!$M$50:$AC$68))</f>
        <v>0</v>
      </c>
      <c r="F37" s="306">
        <f ca="1">+(SUMIF('Phase 1 Pro Forma'!$F$6:$Z$6,F$7,'Phase 1 Pro Forma'!$F$303:$Z$303)+SUMIF('Phase 2 Pro Forma'!$F$6:$Z$6,F$7,'Phase 2 Pro Forma'!$F$357:$Z$357)+SUMIF('Phase 3 Pro Forma'!$F$6:$Z$6,F$7,'Phase 3 Pro Forma'!$F$555:$Z$555))*(SUM(Budget!$Z$50:$Z$68)/SUM(Budget!$M$50:$AC$68))</f>
        <v>0</v>
      </c>
      <c r="G37" s="613">
        <f ca="1">+(SUMIF('Phase 1 Pro Forma'!$F$6:$Z$6,G$7,'Phase 1 Pro Forma'!$F$303:$Z$303)+SUMIF('Phase 2 Pro Forma'!$F$6:$Z$6,G$7,'Phase 2 Pro Forma'!$F$357:$Z$357)+SUMIF('Phase 3 Pro Forma'!$F$6:$Z$6,G$7,'Phase 3 Pro Forma'!$F$555:$Z$555))*(SUM(Budget!$Z$50:$Z$68)/SUM(Budget!$M$50:$AC$68))</f>
        <v>0</v>
      </c>
      <c r="H37" s="306">
        <f ca="1">+(SUMIF('Phase 1 Pro Forma'!$F$6:$Z$6,H$7,'Phase 1 Pro Forma'!$F$303:$Z$303)+SUMIF('Phase 2 Pro Forma'!$F$6:$Z$6,H$7,'Phase 2 Pro Forma'!$F$357:$Z$357)+SUMIF('Phase 3 Pro Forma'!$F$6:$Z$6,H$7,'Phase 3 Pro Forma'!$F$555:$Z$555))*(SUM(Budget!$Z$50:$Z$68)/SUM(Budget!$M$50:$AC$68))</f>
        <v>0</v>
      </c>
      <c r="I37" s="622">
        <f ca="1">+(SUMIF('Phase 1 Pro Forma'!$F$6:$Z$6,I$7,'Phase 1 Pro Forma'!$F$303:$Z$303)+SUMIF('Phase 2 Pro Forma'!$F$6:$Z$6,I$7,'Phase 2 Pro Forma'!$F$357:$Z$357)+SUMIF('Phase 3 Pro Forma'!$F$6:$Z$6,I$7,'Phase 3 Pro Forma'!$F$555:$Z$555))*(SUM(Budget!$Z$50:$Z$68)/SUM(Budget!$M$50:$AC$68))</f>
        <v>0</v>
      </c>
      <c r="J37" s="306">
        <f ca="1">+(SUMIF('Phase 1 Pro Forma'!$F$6:$Z$6,J$7,'Phase 1 Pro Forma'!$F$303:$Z$303)+SUMIF('Phase 2 Pro Forma'!$F$6:$Z$6,J$7,'Phase 2 Pro Forma'!$F$357:$Z$357)+SUMIF('Phase 3 Pro Forma'!$F$6:$Z$6,J$7,'Phase 3 Pro Forma'!$F$555:$Z$555))*(SUM(Budget!$Z$50:$Z$68)/SUM(Budget!$M$50:$AC$68))</f>
        <v>0</v>
      </c>
      <c r="K37" s="306">
        <f ca="1">+(SUMIF('Phase 1 Pro Forma'!$F$6:$Z$6,K$7,'Phase 1 Pro Forma'!$F$303:$Z$303)+SUMIF('Phase 2 Pro Forma'!$F$6:$Z$6,K$7,'Phase 2 Pro Forma'!$F$357:$Z$357)+SUMIF('Phase 3 Pro Forma'!$F$6:$Z$6,K$7,'Phase 3 Pro Forma'!$F$555:$Z$555))*(SUM(Budget!$Z$50:$Z$68)/SUM(Budget!$M$50:$AC$68))</f>
        <v>0</v>
      </c>
      <c r="L37" s="306">
        <f ca="1">+(SUMIF('Phase 1 Pro Forma'!$F$6:$Z$6,L$7,'Phase 1 Pro Forma'!$F$303:$Z$303)+SUMIF('Phase 2 Pro Forma'!$F$6:$Z$6,L$7,'Phase 2 Pro Forma'!$F$357:$Z$357)+SUMIF('Phase 3 Pro Forma'!$F$6:$Z$6,L$7,'Phase 3 Pro Forma'!$F$555:$Z$555))*(SUM(Budget!$Z$50:$Z$68)/SUM(Budget!$M$50:$AC$68))</f>
        <v>0</v>
      </c>
      <c r="M37" s="306">
        <f ca="1">+(SUMIF('Phase 1 Pro Forma'!$F$6:$Z$6,M$7,'Phase 1 Pro Forma'!$F$303:$Z$303)+SUMIF('Phase 2 Pro Forma'!$F$6:$Z$6,M$7,'Phase 2 Pro Forma'!$F$357:$Z$357)+SUMIF('Phase 3 Pro Forma'!$F$6:$Z$6,M$7,'Phase 3 Pro Forma'!$F$555:$Z$555))*(SUM(Budget!$Z$50:$Z$68)/SUM(Budget!$M$50:$AC$68))</f>
        <v>0</v>
      </c>
      <c r="N37" s="632">
        <f ca="1">+(SUMIF('Phase 1 Pro Forma'!$F$6:$Z$6,N$7,'Phase 1 Pro Forma'!$F$303:$Z$303)+SUMIF('Phase 2 Pro Forma'!$F$6:$Z$6,N$7,'Phase 2 Pro Forma'!$F$357:$Z$357)+SUMIF('Phase 3 Pro Forma'!$F$6:$Z$6,N$7,'Phase 3 Pro Forma'!$F$555:$Z$555))*(SUM(Budget!$Z$50:$Z$68)/SUM(Budget!$M$50:$AC$68))</f>
        <v>0</v>
      </c>
    </row>
    <row r="38" spans="1:96" ht="15.95" customHeight="1">
      <c r="B38" s="321" t="s">
        <v>181</v>
      </c>
      <c r="C38" s="286"/>
      <c r="D38" s="586">
        <f ca="1">+(SUMIF('Phase 1 Pro Forma'!$F$6:$Z$6,D$7,'Phase 1 Pro Forma'!$F$303:$Z$303)+SUMIF('Phase 2 Pro Forma'!$F$6:$Z$6,D$7,'Phase 2 Pro Forma'!$F$357:$Z$357)+SUMIF('Phase 3 Pro Forma'!$F$6:$Z$6,D$7,'Phase 3 Pro Forma'!$F$555:$Z$555))*(SUM(Budget!$AB$50:$AB$68)/SUM(Budget!$M$50:$AC$68))</f>
        <v>261325.44105126662</v>
      </c>
      <c r="E38" s="306">
        <f ca="1">+(SUMIF('Phase 1 Pro Forma'!$F$6:$Z$6,E$7,'Phase 1 Pro Forma'!$F$303:$Z$303)+SUMIF('Phase 2 Pro Forma'!$F$6:$Z$6,E$7,'Phase 2 Pro Forma'!$F$357:$Z$357)+SUMIF('Phase 3 Pro Forma'!$F$6:$Z$6,E$7,'Phase 3 Pro Forma'!$F$555:$Z$555))*(SUM(Budget!$AB$50:$AB$68)/SUM(Budget!$M$50:$AC$68))</f>
        <v>6540748.5139420256</v>
      </c>
      <c r="F38" s="306">
        <f ca="1">+(SUMIF('Phase 1 Pro Forma'!$F$6:$Z$6,F$7,'Phase 1 Pro Forma'!$F$303:$Z$303)+SUMIF('Phase 2 Pro Forma'!$F$6:$Z$6,F$7,'Phase 2 Pro Forma'!$F$357:$Z$357)+SUMIF('Phase 3 Pro Forma'!$F$6:$Z$6,F$7,'Phase 3 Pro Forma'!$F$555:$Z$555))*(SUM(Budget!$AB$50:$AB$68)/SUM(Budget!$M$50:$AC$68))</f>
        <v>6540748.5139420256</v>
      </c>
      <c r="G38" s="613">
        <f ca="1">+(SUMIF('Phase 1 Pro Forma'!$F$6:$Z$6,G$7,'Phase 1 Pro Forma'!$F$303:$Z$303)+SUMIF('Phase 2 Pro Forma'!$F$6:$Z$6,G$7,'Phase 2 Pro Forma'!$F$357:$Z$357)+SUMIF('Phase 3 Pro Forma'!$F$6:$Z$6,G$7,'Phase 3 Pro Forma'!$F$555:$Z$555))*(SUM(Budget!$AB$50:$AB$68)/SUM(Budget!$M$50:$AC$68))</f>
        <v>6568696.2996812882</v>
      </c>
      <c r="H38" s="306">
        <f ca="1">+(SUMIF('Phase 1 Pro Forma'!$F$6:$Z$6,H$7,'Phase 1 Pro Forma'!$F$303:$Z$303)+SUMIF('Phase 2 Pro Forma'!$F$6:$Z$6,H$7,'Phase 2 Pro Forma'!$F$357:$Z$357)+SUMIF('Phase 3 Pro Forma'!$F$6:$Z$6,H$7,'Phase 3 Pro Forma'!$F$555:$Z$555))*(SUM(Budget!$AB$50:$AB$68)/SUM(Budget!$M$50:$AC$68))</f>
        <v>8798608.3722698689</v>
      </c>
      <c r="I38" s="622">
        <f ca="1">+(SUMIF('Phase 1 Pro Forma'!$F$6:$Z$6,I$7,'Phase 1 Pro Forma'!$F$303:$Z$303)+SUMIF('Phase 2 Pro Forma'!$F$6:$Z$6,I$7,'Phase 2 Pro Forma'!$F$357:$Z$357)+SUMIF('Phase 3 Pro Forma'!$F$6:$Z$6,I$7,'Phase 3 Pro Forma'!$F$555:$Z$555))*(SUM(Budget!$AB$50:$AB$68)/SUM(Budget!$M$50:$AC$68))</f>
        <v>8853720.865283072</v>
      </c>
      <c r="J38" s="306">
        <f ca="1">+(SUMIF('Phase 1 Pro Forma'!$F$6:$Z$6,J$7,'Phase 1 Pro Forma'!$F$303:$Z$303)+SUMIF('Phase 2 Pro Forma'!$F$6:$Z$6,J$7,'Phase 2 Pro Forma'!$F$357:$Z$357)+SUMIF('Phase 3 Pro Forma'!$F$6:$Z$6,J$7,'Phase 3 Pro Forma'!$F$555:$Z$555))*(SUM(Budget!$AB$50:$AB$68)/SUM(Budget!$M$50:$AC$68))</f>
        <v>8523375.3723203856</v>
      </c>
      <c r="K38" s="306">
        <f ca="1">+(SUMIF('Phase 1 Pro Forma'!$F$6:$Z$6,K$7,'Phase 1 Pro Forma'!$F$303:$Z$303)+SUMIF('Phase 2 Pro Forma'!$F$6:$Z$6,K$7,'Phase 2 Pro Forma'!$F$357:$Z$357)+SUMIF('Phase 3 Pro Forma'!$F$6:$Z$6,K$7,'Phase 3 Pro Forma'!$F$555:$Z$555))*(SUM(Budget!$AB$50:$AB$68)/SUM(Budget!$M$50:$AC$68))</f>
        <v>8523375.3723203856</v>
      </c>
      <c r="L38" s="306">
        <f ca="1">+(SUMIF('Phase 1 Pro Forma'!$F$6:$Z$6,L$7,'Phase 1 Pro Forma'!$F$303:$Z$303)+SUMIF('Phase 2 Pro Forma'!$F$6:$Z$6,L$7,'Phase 2 Pro Forma'!$F$357:$Z$357)+SUMIF('Phase 3 Pro Forma'!$F$6:$Z$6,L$7,'Phase 3 Pro Forma'!$F$555:$Z$555))*(SUM(Budget!$AB$50:$AB$68)/SUM(Budget!$M$50:$AC$68))</f>
        <v>0</v>
      </c>
      <c r="M38" s="306">
        <f ca="1">+(SUMIF('Phase 1 Pro Forma'!$F$6:$Z$6,M$7,'Phase 1 Pro Forma'!$F$303:$Z$303)+SUMIF('Phase 2 Pro Forma'!$F$6:$Z$6,M$7,'Phase 2 Pro Forma'!$F$357:$Z$357)+SUMIF('Phase 3 Pro Forma'!$F$6:$Z$6,M$7,'Phase 3 Pro Forma'!$F$555:$Z$555))*(SUM(Budget!$AB$50:$AB$68)/SUM(Budget!$M$50:$AC$68))</f>
        <v>0</v>
      </c>
      <c r="N38" s="632">
        <f ca="1">+(SUMIF('Phase 1 Pro Forma'!$F$6:$Z$6,N$7,'Phase 1 Pro Forma'!$F$303:$Z$303)+SUMIF('Phase 2 Pro Forma'!$F$6:$Z$6,N$7,'Phase 2 Pro Forma'!$F$357:$Z$357)+SUMIF('Phase 3 Pro Forma'!$F$6:$Z$6,N$7,'Phase 3 Pro Forma'!$F$555:$Z$555))*(SUM(Budget!$AB$50:$AB$68)/SUM(Budget!$M$50:$AC$68))</f>
        <v>0</v>
      </c>
    </row>
    <row r="39" spans="1:96" ht="15.95" customHeight="1">
      <c r="B39" s="321" t="s">
        <v>182</v>
      </c>
      <c r="C39" s="286"/>
      <c r="D39" s="586">
        <f ca="1">+(SUMIF('Phase 1 Pro Forma'!$F$6:$Z$6,D$7,'Phase 1 Pro Forma'!$F$303:$Z$303)+SUMIF('Phase 2 Pro Forma'!$F$6:$Z$6,D$7,'Phase 2 Pro Forma'!$F$357:$Z$357)+SUMIF('Phase 3 Pro Forma'!$F$6:$Z$6,D$7,'Phase 3 Pro Forma'!$F$555:$Z$555))*(SUM(Budget!$AC$50:$AC$68)/SUM(Budget!$M$50:$AC$68))</f>
        <v>0</v>
      </c>
      <c r="E39" s="306">
        <f ca="1">+(SUMIF('Phase 1 Pro Forma'!$F$6:$Z$6,E$7,'Phase 1 Pro Forma'!$F$303:$Z$303)+SUMIF('Phase 2 Pro Forma'!$F$6:$Z$6,E$7,'Phase 2 Pro Forma'!$F$357:$Z$357)+SUMIF('Phase 3 Pro Forma'!$F$6:$Z$6,E$7,'Phase 3 Pro Forma'!$F$555:$Z$555))*(SUM(Budget!$AC$50:$AC$68)/SUM(Budget!$M$50:$AC$68))</f>
        <v>0</v>
      </c>
      <c r="F39" s="306">
        <f ca="1">+(SUMIF('Phase 1 Pro Forma'!$F$6:$Z$6,F$7,'Phase 1 Pro Forma'!$F$303:$Z$303)+SUMIF('Phase 2 Pro Forma'!$F$6:$Z$6,F$7,'Phase 2 Pro Forma'!$F$357:$Z$357)+SUMIF('Phase 3 Pro Forma'!$F$6:$Z$6,F$7,'Phase 3 Pro Forma'!$F$555:$Z$555))*(SUM(Budget!$AC$50:$AC$68)/SUM(Budget!$M$50:$AC$68))</f>
        <v>0</v>
      </c>
      <c r="G39" s="613">
        <f ca="1">+(SUMIF('Phase 1 Pro Forma'!$F$6:$Z$6,G$7,'Phase 1 Pro Forma'!$F$303:$Z$303)+SUMIF('Phase 2 Pro Forma'!$F$6:$Z$6,G$7,'Phase 2 Pro Forma'!$F$357:$Z$357)+SUMIF('Phase 3 Pro Forma'!$F$6:$Z$6,G$7,'Phase 3 Pro Forma'!$F$555:$Z$555))*(SUM(Budget!$AC$50:$AC$68)/SUM(Budget!$M$50:$AC$68))</f>
        <v>0</v>
      </c>
      <c r="H39" s="306">
        <f ca="1">+(SUMIF('Phase 1 Pro Forma'!$F$6:$Z$6,H$7,'Phase 1 Pro Forma'!$F$303:$Z$303)+SUMIF('Phase 2 Pro Forma'!$F$6:$Z$6,H$7,'Phase 2 Pro Forma'!$F$357:$Z$357)+SUMIF('Phase 3 Pro Forma'!$F$6:$Z$6,H$7,'Phase 3 Pro Forma'!$F$555:$Z$555))*(SUM(Budget!$AC$50:$AC$68)/SUM(Budget!$M$50:$AC$68))</f>
        <v>0</v>
      </c>
      <c r="I39" s="622">
        <f ca="1">+(SUMIF('Phase 1 Pro Forma'!$F$6:$Z$6,I$7,'Phase 1 Pro Forma'!$F$303:$Z$303)+SUMIF('Phase 2 Pro Forma'!$F$6:$Z$6,I$7,'Phase 2 Pro Forma'!$F$357:$Z$357)+SUMIF('Phase 3 Pro Forma'!$F$6:$Z$6,I$7,'Phase 3 Pro Forma'!$F$555:$Z$555))*(SUM(Budget!$AC$50:$AC$68)/SUM(Budget!$M$50:$AC$68))</f>
        <v>0</v>
      </c>
      <c r="J39" s="306">
        <f ca="1">+(SUMIF('Phase 1 Pro Forma'!$F$6:$Z$6,J$7,'Phase 1 Pro Forma'!$F$303:$Z$303)+SUMIF('Phase 2 Pro Forma'!$F$6:$Z$6,J$7,'Phase 2 Pro Forma'!$F$357:$Z$357)+SUMIF('Phase 3 Pro Forma'!$F$6:$Z$6,J$7,'Phase 3 Pro Forma'!$F$555:$Z$555))*(SUM(Budget!$AC$50:$AC$68)/SUM(Budget!$M$50:$AC$68))</f>
        <v>0</v>
      </c>
      <c r="K39" s="306">
        <f ca="1">+(SUMIF('Phase 1 Pro Forma'!$F$6:$Z$6,K$7,'Phase 1 Pro Forma'!$F$303:$Z$303)+SUMIF('Phase 2 Pro Forma'!$F$6:$Z$6,K$7,'Phase 2 Pro Forma'!$F$357:$Z$357)+SUMIF('Phase 3 Pro Forma'!$F$6:$Z$6,K$7,'Phase 3 Pro Forma'!$F$555:$Z$555))*(SUM(Budget!$AC$50:$AC$68)/SUM(Budget!$M$50:$AC$68))</f>
        <v>0</v>
      </c>
      <c r="L39" s="306">
        <f ca="1">+(SUMIF('Phase 1 Pro Forma'!$F$6:$Z$6,L$7,'Phase 1 Pro Forma'!$F$303:$Z$303)+SUMIF('Phase 2 Pro Forma'!$F$6:$Z$6,L$7,'Phase 2 Pro Forma'!$F$357:$Z$357)+SUMIF('Phase 3 Pro Forma'!$F$6:$Z$6,L$7,'Phase 3 Pro Forma'!$F$555:$Z$555))*(SUM(Budget!$AC$50:$AC$68)/SUM(Budget!$M$50:$AC$68))</f>
        <v>0</v>
      </c>
      <c r="M39" s="306">
        <f ca="1">+(SUMIF('Phase 1 Pro Forma'!$F$6:$Z$6,M$7,'Phase 1 Pro Forma'!$F$303:$Z$303)+SUMIF('Phase 2 Pro Forma'!$F$6:$Z$6,M$7,'Phase 2 Pro Forma'!$F$357:$Z$357)+SUMIF('Phase 3 Pro Forma'!$F$6:$Z$6,M$7,'Phase 3 Pro Forma'!$F$555:$Z$555))*(SUM(Budget!$AC$50:$AC$68)/SUM(Budget!$M$50:$AC$68))</f>
        <v>0</v>
      </c>
      <c r="N39" s="632">
        <f ca="1">+(SUMIF('Phase 1 Pro Forma'!$F$6:$Z$6,N$7,'Phase 1 Pro Forma'!$F$303:$Z$303)+SUMIF('Phase 2 Pro Forma'!$F$6:$Z$6,N$7,'Phase 2 Pro Forma'!$F$357:$Z$357)+SUMIF('Phase 3 Pro Forma'!$F$6:$Z$6,N$7,'Phase 3 Pro Forma'!$F$555:$Z$555))*(SUM(Budget!$AC$50:$AC$68)/SUM(Budget!$M$50:$AC$68))</f>
        <v>0</v>
      </c>
    </row>
    <row r="40" spans="1:96" ht="15.95" customHeight="1">
      <c r="B40" s="318" t="s">
        <v>183</v>
      </c>
      <c r="C40" s="286"/>
      <c r="D40" s="586">
        <f>+SUMIF('Phase 1 Pro Forma'!$F$6:$Z$6,D$7,'Phase 1 Pro Forma'!$F$301:$Z$301)+SUMIF('Phase 2 Pro Forma'!$F$6:$Z$6,D$7,'Phase 2 Pro Forma'!$F$355:$Z$355)+SUMIF('Phase 3 Pro Forma'!$F$6:$Z$6,D$7,'Phase 3 Pro Forma'!$F$553:$Z$553)</f>
        <v>57533874.841383234</v>
      </c>
      <c r="E40" s="306">
        <f>+SUMIF('Phase 1 Pro Forma'!$F$6:$Z$6,E$7,'Phase 1 Pro Forma'!$F$301:$Z$301)+SUMIF('Phase 2 Pro Forma'!$F$6:$Z$6,E$7,'Phase 2 Pro Forma'!$F$355:$Z$355)+SUMIF('Phase 3 Pro Forma'!$F$6:$Z$6,E$7,'Phase 3 Pro Forma'!$F$553:$Z$553)</f>
        <v>0</v>
      </c>
      <c r="F40" s="306">
        <f>+SUMIF('Phase 1 Pro Forma'!$F$6:$Z$6,F$7,'Phase 1 Pro Forma'!$F$301:$Z$301)+SUMIF('Phase 2 Pro Forma'!$F$6:$Z$6,F$7,'Phase 2 Pro Forma'!$F$355:$Z$355)+SUMIF('Phase 3 Pro Forma'!$F$6:$Z$6,F$7,'Phase 3 Pro Forma'!$F$553:$Z$553)</f>
        <v>0</v>
      </c>
      <c r="G40" s="613">
        <f>+SUMIF('Phase 1 Pro Forma'!$F$6:$Z$6,G$7,'Phase 1 Pro Forma'!$F$301:$Z$301)+SUMIF('Phase 2 Pro Forma'!$F$6:$Z$6,G$7,'Phase 2 Pro Forma'!$F$355:$Z$355)+SUMIF('Phase 3 Pro Forma'!$F$6:$Z$6,G$7,'Phase 3 Pro Forma'!$F$553:$Z$553)</f>
        <v>4691009.3245623549</v>
      </c>
      <c r="H40" s="306">
        <f>+SUMIF('Phase 1 Pro Forma'!$F$6:$Z$6,H$7,'Phase 1 Pro Forma'!$F$301:$Z$301)+SUMIF('Phase 2 Pro Forma'!$F$6:$Z$6,H$7,'Phase 2 Pro Forma'!$F$355:$Z$355)+SUMIF('Phase 3 Pro Forma'!$F$6:$Z$6,H$7,'Phase 3 Pro Forma'!$F$553:$Z$553)</f>
        <v>0</v>
      </c>
      <c r="I40" s="622">
        <f>+SUMIF('Phase 1 Pro Forma'!$F$6:$Z$6,I$7,'Phase 1 Pro Forma'!$F$301:$Z$301)+SUMIF('Phase 2 Pro Forma'!$F$6:$Z$6,I$7,'Phase 2 Pro Forma'!$F$355:$Z$355)+SUMIF('Phase 3 Pro Forma'!$F$6:$Z$6,I$7,'Phase 3 Pro Forma'!$F$553:$Z$553)</f>
        <v>8202838.3909464516</v>
      </c>
      <c r="J40" s="306">
        <f>+SUMIF('Phase 1 Pro Forma'!$F$6:$Z$6,J$7,'Phase 1 Pro Forma'!$F$301:$Z$301)+SUMIF('Phase 2 Pro Forma'!$F$6:$Z$6,J$7,'Phase 2 Pro Forma'!$F$355:$Z$355)+SUMIF('Phase 3 Pro Forma'!$F$6:$Z$6,J$7,'Phase 3 Pro Forma'!$F$553:$Z$553)</f>
        <v>0</v>
      </c>
      <c r="K40" s="306">
        <f>+SUMIF('Phase 1 Pro Forma'!$F$6:$Z$6,K$7,'Phase 1 Pro Forma'!$F$301:$Z$301)+SUMIF('Phase 2 Pro Forma'!$F$6:$Z$6,K$7,'Phase 2 Pro Forma'!$F$355:$Z$355)+SUMIF('Phase 3 Pro Forma'!$F$6:$Z$6,K$7,'Phase 3 Pro Forma'!$F$553:$Z$553)</f>
        <v>0</v>
      </c>
      <c r="L40" s="306">
        <f>+SUMIF('Phase 1 Pro Forma'!$F$6:$Z$6,L$7,'Phase 1 Pro Forma'!$F$301:$Z$301)+SUMIF('Phase 2 Pro Forma'!$F$6:$Z$6,L$7,'Phase 2 Pro Forma'!$F$355:$Z$355)+SUMIF('Phase 3 Pro Forma'!$F$6:$Z$6,L$7,'Phase 3 Pro Forma'!$F$553:$Z$553)</f>
        <v>0</v>
      </c>
      <c r="M40" s="306">
        <f>+SUMIF('Phase 1 Pro Forma'!$F$6:$Z$6,M$7,'Phase 1 Pro Forma'!$F$301:$Z$301)+SUMIF('Phase 2 Pro Forma'!$F$6:$Z$6,M$7,'Phase 2 Pro Forma'!$F$355:$Z$355)+SUMIF('Phase 3 Pro Forma'!$F$6:$Z$6,M$7,'Phase 3 Pro Forma'!$F$553:$Z$553)</f>
        <v>0</v>
      </c>
      <c r="N40" s="632">
        <f>+SUMIF('Phase 1 Pro Forma'!$F$6:$Z$6,N$7,'Phase 1 Pro Forma'!$F$301:$Z$301)+SUMIF('Phase 2 Pro Forma'!$F$6:$Z$6,N$7,'Phase 2 Pro Forma'!$F$355:$Z$355)+SUMIF('Phase 3 Pro Forma'!$F$6:$Z$6,N$7,'Phase 3 Pro Forma'!$F$553:$Z$553)</f>
        <v>0</v>
      </c>
    </row>
    <row r="41" spans="1:96" ht="15.95" customHeight="1">
      <c r="A41" s="5"/>
      <c r="B41" s="318" t="s">
        <v>184</v>
      </c>
      <c r="C41" s="286"/>
      <c r="D41" s="586">
        <f>+SUMIF('Phase 1 Pro Forma'!$F$6:$Z$6,D$7,'Phase 1 Pro Forma'!$F$302:$Z$302)+SUMIF('Phase 2 Pro Forma'!$F$6:$Z$6,D$7,'Phase 2 Pro Forma'!$F$356:$Z$356)+SUMIF('Phase 3 Pro Forma'!$F$6:$Z$6,D$7,'Phase 3 Pro Forma'!$F$554:$Z$554)</f>
        <v>20194435</v>
      </c>
      <c r="E41" s="306">
        <f>+SUMIF('Phase 1 Pro Forma'!$F$6:$Z$6,E$7,'Phase 1 Pro Forma'!$F$302:$Z$302)+SUMIF('Phase 2 Pro Forma'!$F$6:$Z$6,E$7,'Phase 2 Pro Forma'!$F$356:$Z$356)+SUMIF('Phase 3 Pro Forma'!$F$6:$Z$6,E$7,'Phase 3 Pro Forma'!$F$554:$Z$554)</f>
        <v>0</v>
      </c>
      <c r="F41" s="306">
        <f>+SUMIF('Phase 1 Pro Forma'!$F$6:$Z$6,F$7,'Phase 1 Pro Forma'!$F$302:$Z$302)+SUMIF('Phase 2 Pro Forma'!$F$6:$Z$6,F$7,'Phase 2 Pro Forma'!$F$356:$Z$356)+SUMIF('Phase 3 Pro Forma'!$F$6:$Z$6,F$7,'Phase 3 Pro Forma'!$F$554:$Z$554)</f>
        <v>0</v>
      </c>
      <c r="G41" s="613">
        <f>+SUMIF('Phase 1 Pro Forma'!$F$6:$Z$6,G$7,'Phase 1 Pro Forma'!$F$302:$Z$302)+SUMIF('Phase 2 Pro Forma'!$F$6:$Z$6,G$7,'Phase 2 Pro Forma'!$F$356:$Z$356)+SUMIF('Phase 3 Pro Forma'!$F$6:$Z$6,G$7,'Phase 3 Pro Forma'!$F$554:$Z$554)</f>
        <v>2030684</v>
      </c>
      <c r="H41" s="306">
        <f>+SUMIF('Phase 1 Pro Forma'!$F$6:$Z$6,H$7,'Phase 1 Pro Forma'!$F$302:$Z$302)+SUMIF('Phase 2 Pro Forma'!$F$6:$Z$6,H$7,'Phase 2 Pro Forma'!$F$356:$Z$356)+SUMIF('Phase 3 Pro Forma'!$F$6:$Z$6,H$7,'Phase 3 Pro Forma'!$F$554:$Z$554)</f>
        <v>0</v>
      </c>
      <c r="I41" s="622">
        <f>+SUMIF('Phase 1 Pro Forma'!$F$6:$Z$6,I$7,'Phase 1 Pro Forma'!$F$302:$Z$302)+SUMIF('Phase 2 Pro Forma'!$F$6:$Z$6,I$7,'Phase 2 Pro Forma'!$F$356:$Z$356)+SUMIF('Phase 3 Pro Forma'!$F$6:$Z$6,I$7,'Phase 3 Pro Forma'!$F$554:$Z$554)</f>
        <v>13505536</v>
      </c>
      <c r="J41" s="306">
        <f>+SUMIF('Phase 1 Pro Forma'!$F$6:$Z$6,J$7,'Phase 1 Pro Forma'!$F$302:$Z$302)+SUMIF('Phase 2 Pro Forma'!$F$6:$Z$6,J$7,'Phase 2 Pro Forma'!$F$356:$Z$356)+SUMIF('Phase 3 Pro Forma'!$F$6:$Z$6,J$7,'Phase 3 Pro Forma'!$F$554:$Z$554)</f>
        <v>0</v>
      </c>
      <c r="K41" s="306">
        <f>+SUMIF('Phase 1 Pro Forma'!$F$6:$Z$6,K$7,'Phase 1 Pro Forma'!$F$302:$Z$302)+SUMIF('Phase 2 Pro Forma'!$F$6:$Z$6,K$7,'Phase 2 Pro Forma'!$F$356:$Z$356)+SUMIF('Phase 3 Pro Forma'!$F$6:$Z$6,K$7,'Phase 3 Pro Forma'!$F$554:$Z$554)</f>
        <v>0</v>
      </c>
      <c r="L41" s="306">
        <f>+SUMIF('Phase 1 Pro Forma'!$F$6:$Z$6,L$7,'Phase 1 Pro Forma'!$F$302:$Z$302)+SUMIF('Phase 2 Pro Forma'!$F$6:$Z$6,L$7,'Phase 2 Pro Forma'!$F$356:$Z$356)+SUMIF('Phase 3 Pro Forma'!$F$6:$Z$6,L$7,'Phase 3 Pro Forma'!$F$554:$Z$554)</f>
        <v>0</v>
      </c>
      <c r="M41" s="306">
        <f>+SUMIF('Phase 1 Pro Forma'!$F$6:$Z$6,M$7,'Phase 1 Pro Forma'!$F$302:$Z$302)+SUMIF('Phase 2 Pro Forma'!$F$6:$Z$6,M$7,'Phase 2 Pro Forma'!$F$356:$Z$356)+SUMIF('Phase 3 Pro Forma'!$F$6:$Z$6,M$7,'Phase 3 Pro Forma'!$F$554:$Z$554)</f>
        <v>0</v>
      </c>
      <c r="N41" s="632">
        <f>+SUMIF('Phase 1 Pro Forma'!$F$6:$Z$6,N$7,'Phase 1 Pro Forma'!$F$302:$Z$302)+SUMIF('Phase 2 Pro Forma'!$F$6:$Z$6,N$7,'Phase 2 Pro Forma'!$F$356:$Z$356)+SUMIF('Phase 3 Pro Forma'!$F$6:$Z$6,N$7,'Phase 3 Pro Forma'!$F$554:$Z$554)</f>
        <v>0</v>
      </c>
    </row>
    <row r="42" spans="1:96" ht="15.95" customHeight="1">
      <c r="A42" s="5"/>
      <c r="B42" s="318" t="s">
        <v>185</v>
      </c>
      <c r="C42" s="286"/>
      <c r="D42" s="586">
        <f ca="1">+SUMIF('Phase 1 Pro Forma'!$F$6:$Z$6,D$7,'Phase 1 Pro Forma'!$F$304:$Z$304)+SUMIF('Phase 2 Pro Forma'!$F$6:$Z$6,D$7,'Phase 2 Pro Forma'!$F$358:$Z$358)+SUMIF('Phase 3 Pro Forma'!$F$6:$Z$6,D$7,'Phase 3 Pro Forma'!$F$556:$Z$556)++SUMIF('Phase 1 Pro Forma'!$F$6:$Z$6,D$7,'Phase 1 Pro Forma'!$F$306:$Z$306)+SUMIF('Phase 2 Pro Forma'!$F$6:$Z$6,D$7,'Phase 2 Pro Forma'!$F$360:$Z$360)+SUMIF('Phase 3 Pro Forma'!$F$6:$Z$6,D$7,'Phase 3 Pro Forma'!$F$558:$Z$558)</f>
        <v>81624624.794803187</v>
      </c>
      <c r="E42" s="306">
        <f ca="1">+SUMIF('Phase 1 Pro Forma'!$F$6:$Z$6,E$7,'Phase 1 Pro Forma'!$F$304:$Z$304)+SUMIF('Phase 2 Pro Forma'!$F$6:$Z$6,E$7,'Phase 2 Pro Forma'!$F$358:$Z$358)+SUMIF('Phase 3 Pro Forma'!$F$6:$Z$6,E$7,'Phase 3 Pro Forma'!$F$556:$Z$556)++SUMIF('Phase 1 Pro Forma'!$F$6:$Z$6,E$7,'Phase 1 Pro Forma'!$F$306:$Z$306)+SUMIF('Phase 2 Pro Forma'!$F$6:$Z$6,E$7,'Phase 2 Pro Forma'!$F$360:$Z$360)+SUMIF('Phase 3 Pro Forma'!$F$6:$Z$6,E$7,'Phase 3 Pro Forma'!$F$558:$Z$558)</f>
        <v>7212654.3567396784</v>
      </c>
      <c r="F42" s="306">
        <f ca="1">+SUMIF('Phase 1 Pro Forma'!$F$6:$Z$6,F$7,'Phase 1 Pro Forma'!$F$304:$Z$304)+SUMIF('Phase 2 Pro Forma'!$F$6:$Z$6,F$7,'Phase 2 Pro Forma'!$F$358:$Z$358)+SUMIF('Phase 3 Pro Forma'!$F$6:$Z$6,F$7,'Phase 3 Pro Forma'!$F$556:$Z$556)++SUMIF('Phase 1 Pro Forma'!$F$6:$Z$6,F$7,'Phase 1 Pro Forma'!$F$306:$Z$306)+SUMIF('Phase 2 Pro Forma'!$F$6:$Z$6,F$7,'Phase 2 Pro Forma'!$F$360:$Z$360)+SUMIF('Phase 3 Pro Forma'!$F$6:$Z$6,F$7,'Phase 3 Pro Forma'!$F$558:$Z$558)</f>
        <v>7212654.3567396784</v>
      </c>
      <c r="G42" s="613">
        <f ca="1">+SUMIF('Phase 1 Pro Forma'!$F$6:$Z$6,G$7,'Phase 1 Pro Forma'!$F$304:$Z$304)+SUMIF('Phase 2 Pro Forma'!$F$6:$Z$6,G$7,'Phase 2 Pro Forma'!$F$358:$Z$358)+SUMIF('Phase 3 Pro Forma'!$F$6:$Z$6,G$7,'Phase 3 Pro Forma'!$F$556:$Z$556)++SUMIF('Phase 1 Pro Forma'!$F$6:$Z$6,G$7,'Phase 1 Pro Forma'!$F$306:$Z$306)+SUMIF('Phase 2 Pro Forma'!$F$6:$Z$6,G$7,'Phase 2 Pro Forma'!$F$360:$Z$360)+SUMIF('Phase 3 Pro Forma'!$F$6:$Z$6,G$7,'Phase 3 Pro Forma'!$F$558:$Z$558)</f>
        <v>74341607.022418469</v>
      </c>
      <c r="H42" s="306">
        <f ca="1">+SUMIF('Phase 1 Pro Forma'!$F$6:$Z$6,H$7,'Phase 1 Pro Forma'!$F$304:$Z$304)+SUMIF('Phase 2 Pro Forma'!$F$6:$Z$6,H$7,'Phase 2 Pro Forma'!$F$358:$Z$358)+SUMIF('Phase 3 Pro Forma'!$F$6:$Z$6,H$7,'Phase 3 Pro Forma'!$F$556:$Z$556)++SUMIF('Phase 1 Pro Forma'!$F$6:$Z$6,H$7,'Phase 1 Pro Forma'!$F$306:$Z$306)+SUMIF('Phase 2 Pro Forma'!$F$6:$Z$6,H$7,'Phase 2 Pro Forma'!$F$360:$Z$360)+SUMIF('Phase 3 Pro Forma'!$F$6:$Z$6,H$7,'Phase 3 Pro Forma'!$F$558:$Z$558)</f>
        <v>11521870.400092812</v>
      </c>
      <c r="I42" s="622">
        <f ca="1">+SUMIF('Phase 1 Pro Forma'!$F$6:$Z$6,I$7,'Phase 1 Pro Forma'!$F$304:$Z$304)+SUMIF('Phase 2 Pro Forma'!$F$6:$Z$6,I$7,'Phase 2 Pro Forma'!$F$358:$Z$358)+SUMIF('Phase 3 Pro Forma'!$F$6:$Z$6,I$7,'Phase 3 Pro Forma'!$F$556:$Z$556)++SUMIF('Phase 1 Pro Forma'!$F$6:$Z$6,I$7,'Phase 1 Pro Forma'!$F$306:$Z$306)+SUMIF('Phase 2 Pro Forma'!$F$6:$Z$6,I$7,'Phase 2 Pro Forma'!$F$360:$Z$360)+SUMIF('Phase 3 Pro Forma'!$F$6:$Z$6,I$7,'Phase 3 Pro Forma'!$F$558:$Z$558)</f>
        <v>71844014.817208573</v>
      </c>
      <c r="J42" s="306">
        <f ca="1">+SUMIF('Phase 1 Pro Forma'!$F$6:$Z$6,J$7,'Phase 1 Pro Forma'!$F$304:$Z$304)+SUMIF('Phase 2 Pro Forma'!$F$6:$Z$6,J$7,'Phase 2 Pro Forma'!$F$358:$Z$358)+SUMIF('Phase 3 Pro Forma'!$F$6:$Z$6,J$7,'Phase 3 Pro Forma'!$F$556:$Z$556)++SUMIF('Phase 1 Pro Forma'!$F$6:$Z$6,J$7,'Phase 1 Pro Forma'!$F$306:$Z$306)+SUMIF('Phase 2 Pro Forma'!$F$6:$Z$6,J$7,'Phase 2 Pro Forma'!$F$360:$Z$360)+SUMIF('Phase 3 Pro Forma'!$F$6:$Z$6,J$7,'Phase 3 Pro Forma'!$F$558:$Z$558)</f>
        <v>4098136.8541492037</v>
      </c>
      <c r="K42" s="306">
        <f ca="1">+SUMIF('Phase 1 Pro Forma'!$F$6:$Z$6,K$7,'Phase 1 Pro Forma'!$F$304:$Z$304)+SUMIF('Phase 2 Pro Forma'!$F$6:$Z$6,K$7,'Phase 2 Pro Forma'!$F$358:$Z$358)+SUMIF('Phase 3 Pro Forma'!$F$6:$Z$6,K$7,'Phase 3 Pro Forma'!$F$556:$Z$556)++SUMIF('Phase 1 Pro Forma'!$F$6:$Z$6,K$7,'Phase 1 Pro Forma'!$F$306:$Z$306)+SUMIF('Phase 2 Pro Forma'!$F$6:$Z$6,K$7,'Phase 2 Pro Forma'!$F$360:$Z$360)+SUMIF('Phase 3 Pro Forma'!$F$6:$Z$6,K$7,'Phase 3 Pro Forma'!$F$558:$Z$558)</f>
        <v>4098136.8541492037</v>
      </c>
      <c r="L42" s="306">
        <f>+SUMIF('Phase 1 Pro Forma'!$F$6:$Z$6,L$7,'Phase 1 Pro Forma'!$F$304:$Z$304)+SUMIF('Phase 2 Pro Forma'!$F$6:$Z$6,L$7,'Phase 2 Pro Forma'!$F$358:$Z$358)+SUMIF('Phase 3 Pro Forma'!$F$6:$Z$6,L$7,'Phase 3 Pro Forma'!$F$556:$Z$556)++SUMIF('Phase 1 Pro Forma'!$F$6:$Z$6,L$7,'Phase 1 Pro Forma'!$F$306:$Z$306)+SUMIF('Phase 2 Pro Forma'!$F$6:$Z$6,L$7,'Phase 2 Pro Forma'!$F$360:$Z$360)+SUMIF('Phase 3 Pro Forma'!$F$6:$Z$6,L$7,'Phase 3 Pro Forma'!$F$558:$Z$558)</f>
        <v>0</v>
      </c>
      <c r="M42" s="306">
        <f>+SUMIF('Phase 1 Pro Forma'!$F$6:$Z$6,M$7,'Phase 1 Pro Forma'!$F$304:$Z$304)+SUMIF('Phase 2 Pro Forma'!$F$6:$Z$6,M$7,'Phase 2 Pro Forma'!$F$358:$Z$358)+SUMIF('Phase 3 Pro Forma'!$F$6:$Z$6,M$7,'Phase 3 Pro Forma'!$F$556:$Z$556)++SUMIF('Phase 1 Pro Forma'!$F$6:$Z$6,M$7,'Phase 1 Pro Forma'!$F$306:$Z$306)+SUMIF('Phase 2 Pro Forma'!$F$6:$Z$6,M$7,'Phase 2 Pro Forma'!$F$360:$Z$360)+SUMIF('Phase 3 Pro Forma'!$F$6:$Z$6,M$7,'Phase 3 Pro Forma'!$F$558:$Z$558)</f>
        <v>0</v>
      </c>
      <c r="N42" s="632">
        <f>+SUMIF('Phase 1 Pro Forma'!$F$6:$Z$6,N$7,'Phase 1 Pro Forma'!$F$304:$Z$304)+SUMIF('Phase 2 Pro Forma'!$F$6:$Z$6,N$7,'Phase 2 Pro Forma'!$F$358:$Z$358)+SUMIF('Phase 3 Pro Forma'!$F$6:$Z$6,N$7,'Phase 3 Pro Forma'!$F$556:$Z$556)++SUMIF('Phase 1 Pro Forma'!$F$6:$Z$6,N$7,'Phase 1 Pro Forma'!$F$306:$Z$306)+SUMIF('Phase 2 Pro Forma'!$F$6:$Z$6,N$7,'Phase 2 Pro Forma'!$F$360:$Z$360)+SUMIF('Phase 3 Pro Forma'!$F$6:$Z$6,N$7,'Phase 3 Pro Forma'!$F$558:$Z$558)</f>
        <v>0</v>
      </c>
    </row>
    <row r="43" spans="1:96" s="324" customFormat="1" ht="15" customHeight="1">
      <c r="A43" s="5"/>
      <c r="B43" s="1104" t="s">
        <v>186</v>
      </c>
      <c r="C43" s="1104"/>
      <c r="D43" s="588">
        <f t="shared" ref="D43:N43" ca="1" si="5">+SUM(D29:D42)</f>
        <v>163323630.63618642</v>
      </c>
      <c r="E43" s="323">
        <f t="shared" ca="1" si="5"/>
        <v>106595721.90973966</v>
      </c>
      <c r="F43" s="323">
        <f t="shared" ca="1" si="5"/>
        <v>106595721.90973966</v>
      </c>
      <c r="G43" s="618">
        <f t="shared" ca="1" si="5"/>
        <v>180871019.0958128</v>
      </c>
      <c r="H43" s="323">
        <f t="shared" ca="1" si="5"/>
        <v>145211873.67262012</v>
      </c>
      <c r="I43" s="628">
        <f t="shared" ca="1" si="5"/>
        <v>228079796.42680109</v>
      </c>
      <c r="J43" s="323">
        <f t="shared" ca="1" si="5"/>
        <v>133606126.43688419</v>
      </c>
      <c r="K43" s="323">
        <f t="shared" ca="1" si="5"/>
        <v>133606126.43688419</v>
      </c>
      <c r="L43" s="323">
        <f t="shared" ca="1" si="5"/>
        <v>0</v>
      </c>
      <c r="M43" s="323">
        <f t="shared" ca="1" si="5"/>
        <v>0</v>
      </c>
      <c r="N43" s="638">
        <f t="shared" ca="1" si="5"/>
        <v>0</v>
      </c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296"/>
      <c r="AN43" s="296"/>
      <c r="AO43" s="296"/>
      <c r="AP43" s="296"/>
      <c r="AQ43" s="296"/>
      <c r="AR43" s="296"/>
      <c r="AS43" s="296"/>
      <c r="AT43" s="296"/>
      <c r="AU43" s="296"/>
      <c r="AV43" s="296"/>
      <c r="AW43" s="296"/>
      <c r="AX43" s="296"/>
      <c r="AY43" s="296"/>
      <c r="AZ43" s="296"/>
      <c r="BA43" s="296"/>
      <c r="BB43" s="296"/>
      <c r="BC43" s="296"/>
      <c r="BD43" s="296"/>
      <c r="BE43" s="296"/>
      <c r="BF43" s="296"/>
      <c r="BG43" s="296"/>
      <c r="BH43" s="296"/>
      <c r="BI43" s="296"/>
      <c r="BJ43" s="296"/>
      <c r="BK43" s="296"/>
      <c r="BL43" s="296"/>
      <c r="BM43" s="296"/>
      <c r="BN43" s="296"/>
      <c r="BO43" s="296"/>
      <c r="BP43" s="296"/>
      <c r="BQ43" s="296"/>
      <c r="BR43" s="296"/>
      <c r="BS43" s="296"/>
      <c r="BT43" s="296"/>
      <c r="BU43" s="296"/>
      <c r="BV43" s="296"/>
      <c r="BW43" s="296"/>
      <c r="BX43" s="296"/>
      <c r="BY43" s="296"/>
      <c r="BZ43" s="296"/>
      <c r="CA43" s="296"/>
      <c r="CB43" s="296"/>
      <c r="CC43" s="296"/>
      <c r="CD43" s="296"/>
      <c r="CE43" s="296"/>
      <c r="CF43" s="296"/>
      <c r="CG43" s="296"/>
      <c r="CH43" s="296"/>
      <c r="CI43" s="296"/>
      <c r="CJ43" s="296"/>
      <c r="CK43" s="296"/>
      <c r="CL43" s="296"/>
      <c r="CM43" s="296"/>
      <c r="CN43" s="296"/>
      <c r="CO43" s="296"/>
      <c r="CP43" s="296"/>
      <c r="CQ43" s="296"/>
      <c r="CR43" s="296"/>
    </row>
    <row r="44" spans="1:96" ht="15" customHeight="1">
      <c r="A44" s="5"/>
      <c r="B44" s="318" t="s">
        <v>187</v>
      </c>
      <c r="C44" s="286"/>
      <c r="D44" s="586">
        <f ca="1">-SUMIF('Phase 1 Pro Forma'!$F$6:$Z$6,'Official Summary'!D$7,'Phase 1 Pro Forma'!$F$320:$Z$320)-SUMIF('Phase 2 Pro Forma'!$F$6:$Z$6,'Official Summary'!D$7,'Phase 2 Pro Forma'!$F$374:$Z$374)-SUMIF('Phase 3 Pro Forma'!$F$6:$Z$6,'Official Summary'!D$7,'Phase 3 Pro Forma'!$F$572:$Z$572)</f>
        <v>-66179644.275995344</v>
      </c>
      <c r="E44" s="307">
        <f ca="1">-SUMIF('Phase 1 Pro Forma'!$F$6:$Z$6,'Official Summary'!E$7,'Phase 1 Pro Forma'!$F$320:$Z$320)-SUMIF('Phase 2 Pro Forma'!$F$6:$Z$6,'Official Summary'!E$7,'Phase 2 Pro Forma'!$F$374:$Z$374)-SUMIF('Phase 3 Pro Forma'!$F$6:$Z$6,'Official Summary'!E$7,'Phase 3 Pro Forma'!$F$572:$Z$572)</f>
        <v>-29903787.870211229</v>
      </c>
      <c r="F44" s="307">
        <f ca="1">-SUMIF('Phase 1 Pro Forma'!$F$6:$Z$6,'Official Summary'!F$7,'Phase 1 Pro Forma'!$F$320:$Z$320)-SUMIF('Phase 2 Pro Forma'!$F$6:$Z$6,'Official Summary'!F$7,'Phase 2 Pro Forma'!$F$374:$Z$374)-SUMIF('Phase 3 Pro Forma'!$F$6:$Z$6,'Official Summary'!F$7,'Phase 3 Pro Forma'!$F$572:$Z$572)</f>
        <v>0</v>
      </c>
      <c r="G44" s="615">
        <f ca="1">-SUMIF('Phase 1 Pro Forma'!$F$6:$Z$6,'Official Summary'!G$7,'Phase 1 Pro Forma'!$F$320:$Z$320)-SUMIF('Phase 2 Pro Forma'!$F$6:$Z$6,'Official Summary'!G$7,'Phase 2 Pro Forma'!$F$374:$Z$374)-SUMIF('Phase 3 Pro Forma'!$F$6:$Z$6,'Official Summary'!G$7,'Phase 3 Pro Forma'!$F$572:$Z$572)</f>
        <v>-107783545.38267963</v>
      </c>
      <c r="H44" s="307">
        <f ca="1">-SUMIF('Phase 1 Pro Forma'!$F$6:$Z$6,'Official Summary'!H$7,'Phase 1 Pro Forma'!$F$320:$Z$320)-SUMIF('Phase 2 Pro Forma'!$F$6:$Z$6,'Official Summary'!H$7,'Phase 2 Pro Forma'!$F$374:$Z$374)-SUMIF('Phase 3 Pro Forma'!$F$6:$Z$6,'Official Summary'!H$7,'Phase 3 Pro Forma'!$F$572:$Z$572)</f>
        <v>-11547160.909846619</v>
      </c>
      <c r="I44" s="624">
        <f ca="1">-SUMIF('Phase 1 Pro Forma'!$F$6:$Z$6,'Official Summary'!I$7,'Phase 1 Pro Forma'!$F$320:$Z$320)-SUMIF('Phase 2 Pro Forma'!$F$6:$Z$6,'Official Summary'!I$7,'Phase 2 Pro Forma'!$F$374:$Z$374)-SUMIF('Phase 3 Pro Forma'!$F$6:$Z$6,'Official Summary'!I$7,'Phase 3 Pro Forma'!$F$572:$Z$572)</f>
        <v>-50696716.287520409</v>
      </c>
      <c r="J44" s="307">
        <f ca="1">-SUMIF('Phase 1 Pro Forma'!$F$6:$Z$6,'Official Summary'!J$7,'Phase 1 Pro Forma'!$F$320:$Z$320)-SUMIF('Phase 2 Pro Forma'!$F$6:$Z$6,'Official Summary'!J$7,'Phase 2 Pro Forma'!$F$374:$Z$374)-SUMIF('Phase 3 Pro Forma'!$F$6:$Z$6,'Official Summary'!J$7,'Phase 3 Pro Forma'!$F$572:$Z$572)</f>
        <v>-56106706.023558073</v>
      </c>
      <c r="K44" s="307">
        <f ca="1">-SUMIF('Phase 1 Pro Forma'!$F$6:$Z$6,'Official Summary'!K$7,'Phase 1 Pro Forma'!$F$320:$Z$320)-SUMIF('Phase 2 Pro Forma'!$F$6:$Z$6,'Official Summary'!K$7,'Phase 2 Pro Forma'!$F$374:$Z$374)-SUMIF('Phase 3 Pro Forma'!$F$6:$Z$6,'Official Summary'!K$7,'Phase 3 Pro Forma'!$F$572:$Z$572)</f>
        <v>-50999588.416806832</v>
      </c>
      <c r="L44" s="307">
        <f ca="1">-SUMIF('Phase 1 Pro Forma'!$F$6:$Z$6,'Official Summary'!L$7,'Phase 1 Pro Forma'!$F$320:$Z$320)-SUMIF('Phase 2 Pro Forma'!$F$6:$Z$6,'Official Summary'!L$7,'Phase 2 Pro Forma'!$F$374:$Z$374)-SUMIF('Phase 3 Pro Forma'!$F$6:$Z$6,'Official Summary'!L$7,'Phase 3 Pro Forma'!$F$572:$Z$572)</f>
        <v>0</v>
      </c>
      <c r="M44" s="307">
        <f ca="1">-SUMIF('Phase 1 Pro Forma'!$F$6:$Z$6,'Official Summary'!M$7,'Phase 1 Pro Forma'!$F$320:$Z$320)-SUMIF('Phase 2 Pro Forma'!$F$6:$Z$6,'Official Summary'!M$7,'Phase 2 Pro Forma'!$F$374:$Z$374)-SUMIF('Phase 3 Pro Forma'!$F$6:$Z$6,'Official Summary'!M$7,'Phase 3 Pro Forma'!$F$572:$Z$572)</f>
        <v>0</v>
      </c>
      <c r="N44" s="634">
        <f ca="1">-SUMIF('Phase 1 Pro Forma'!$F$6:$Z$6,'Official Summary'!N$7,'Phase 1 Pro Forma'!$F$320:$Z$320)-SUMIF('Phase 2 Pro Forma'!$F$6:$Z$6,'Official Summary'!N$7,'Phase 2 Pro Forma'!$F$374:$Z$374)-SUMIF('Phase 3 Pro Forma'!$F$6:$Z$6,'Official Summary'!N$7,'Phase 3 Pro Forma'!$F$572:$Z$572)</f>
        <v>0</v>
      </c>
    </row>
    <row r="45" spans="1:96" s="324" customFormat="1" ht="15" customHeight="1">
      <c r="A45" s="5"/>
      <c r="B45" s="1104" t="s">
        <v>188</v>
      </c>
      <c r="C45" s="1104"/>
      <c r="D45" s="588">
        <f ca="1">+D43+D44</f>
        <v>97143986.360191077</v>
      </c>
      <c r="E45" s="315">
        <f t="shared" ref="E45:N45" ca="1" si="6">+E43+E44</f>
        <v>76691934.03952843</v>
      </c>
      <c r="F45" s="315">
        <f t="shared" ca="1" si="6"/>
        <v>106595721.90973966</v>
      </c>
      <c r="G45" s="619">
        <f t="shared" ca="1" si="6"/>
        <v>73087473.713133171</v>
      </c>
      <c r="H45" s="315">
        <f t="shared" ca="1" si="6"/>
        <v>133664712.7627735</v>
      </c>
      <c r="I45" s="591">
        <f t="shared" ca="1" si="6"/>
        <v>177383080.13928068</v>
      </c>
      <c r="J45" s="315">
        <f t="shared" ca="1" si="6"/>
        <v>77499420.413326114</v>
      </c>
      <c r="K45" s="315">
        <f t="shared" ca="1" si="6"/>
        <v>82606538.020077363</v>
      </c>
      <c r="L45" s="315">
        <f t="shared" ca="1" si="6"/>
        <v>0</v>
      </c>
      <c r="M45" s="315">
        <f t="shared" ca="1" si="6"/>
        <v>0</v>
      </c>
      <c r="N45" s="636">
        <f t="shared" ca="1" si="6"/>
        <v>0</v>
      </c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296"/>
      <c r="AN45" s="296"/>
      <c r="AO45" s="296"/>
      <c r="AP45" s="296"/>
      <c r="AQ45" s="296"/>
      <c r="AR45" s="296"/>
      <c r="AS45" s="296"/>
      <c r="AT45" s="296"/>
      <c r="AU45" s="296"/>
      <c r="AV45" s="296"/>
      <c r="AW45" s="296"/>
      <c r="AX45" s="296"/>
      <c r="AY45" s="296"/>
      <c r="AZ45" s="296"/>
      <c r="BA45" s="296"/>
      <c r="BB45" s="296"/>
      <c r="BC45" s="296"/>
      <c r="BD45" s="296"/>
      <c r="BE45" s="296"/>
      <c r="BF45" s="296"/>
      <c r="BG45" s="296"/>
      <c r="BH45" s="296"/>
      <c r="BI45" s="296"/>
      <c r="BJ45" s="296"/>
      <c r="BK45" s="296"/>
      <c r="BL45" s="296"/>
      <c r="BM45" s="296"/>
      <c r="BN45" s="296"/>
      <c r="BO45" s="296"/>
      <c r="BP45" s="296"/>
      <c r="BQ45" s="296"/>
      <c r="BR45" s="296"/>
      <c r="BS45" s="296"/>
      <c r="BT45" s="296"/>
      <c r="BU45" s="296"/>
      <c r="BV45" s="296"/>
      <c r="BW45" s="296"/>
      <c r="BX45" s="296"/>
      <c r="BY45" s="296"/>
      <c r="BZ45" s="296"/>
      <c r="CA45" s="296"/>
      <c r="CB45" s="296"/>
      <c r="CC45" s="296"/>
      <c r="CD45" s="296"/>
      <c r="CE45" s="296"/>
      <c r="CF45" s="296"/>
      <c r="CG45" s="296"/>
      <c r="CH45" s="296"/>
      <c r="CI45" s="296"/>
      <c r="CJ45" s="296"/>
      <c r="CK45" s="296"/>
      <c r="CL45" s="296"/>
      <c r="CM45" s="296"/>
      <c r="CN45" s="296"/>
      <c r="CO45" s="296"/>
      <c r="CP45" s="296"/>
      <c r="CQ45" s="296"/>
      <c r="CR45" s="296"/>
    </row>
    <row r="46" spans="1:96" ht="15" customHeight="1">
      <c r="A46" s="5"/>
      <c r="B46" s="318" t="s">
        <v>189</v>
      </c>
      <c r="C46" s="286"/>
      <c r="D46" s="586">
        <f>+SUMIF('Phase 1 Pro Forma'!$F$6:$Z$6,D$7,'Phase 1 Pro Forma'!$F$305:$Z$305)+SUMIF('Phase 2 Pro Forma'!$F$6:$Z$6,D$7,'Phase 2 Pro Forma'!$F$359:$Z$359)+SUMIF('Phase 3 Pro Forma'!$F$6:$Z$6,D$7,'Phase 3 Pro Forma'!$F$557:$Z$557)</f>
        <v>0</v>
      </c>
      <c r="E46" s="307">
        <f ca="1">+SUMIF('Phase 1 Pro Forma'!$F$6:$Z$6,E$7,'Phase 1 Pro Forma'!$F$305:$Z$305)+SUMIF('Phase 2 Pro Forma'!$F$6:$Z$6,E$7,'Phase 2 Pro Forma'!$F$359:$Z$359)+SUMIF('Phase 3 Pro Forma'!$F$6:$Z$6,E$7,'Phase 3 Pro Forma'!$F$557:$Z$557)</f>
        <v>11075229.362718699</v>
      </c>
      <c r="F46" s="307">
        <f ca="1">+SUMIF('Phase 1 Pro Forma'!$F$6:$Z$6,F$7,'Phase 1 Pro Forma'!$F$305:$Z$305)+SUMIF('Phase 2 Pro Forma'!$F$6:$Z$6,F$7,'Phase 2 Pro Forma'!$F$359:$Z$359)+SUMIF('Phase 3 Pro Forma'!$F$6:$Z$6,F$7,'Phase 3 Pro Forma'!$F$557:$Z$557)</f>
        <v>11075229.362718699</v>
      </c>
      <c r="G46" s="615">
        <f ca="1">+SUMIF('Phase 1 Pro Forma'!$F$6:$Z$6,G$7,'Phase 1 Pro Forma'!$F$305:$Z$305)+SUMIF('Phase 2 Pro Forma'!$F$6:$Z$6,G$7,'Phase 2 Pro Forma'!$F$359:$Z$359)+SUMIF('Phase 3 Pro Forma'!$F$6:$Z$6,G$7,'Phase 3 Pro Forma'!$F$557:$Z$557)</f>
        <v>11075229.362718699</v>
      </c>
      <c r="H46" s="307">
        <f ca="1">+SUMIF('Phase 1 Pro Forma'!$F$6:$Z$6,H$7,'Phase 1 Pro Forma'!$F$305:$Z$305)+SUMIF('Phase 2 Pro Forma'!$F$6:$Z$6,H$7,'Phase 2 Pro Forma'!$F$359:$Z$359)+SUMIF('Phase 3 Pro Forma'!$F$6:$Z$6,H$7,'Phase 3 Pro Forma'!$F$557:$Z$557)</f>
        <v>10730331.319252212</v>
      </c>
      <c r="I46" s="624">
        <f ca="1">+SUMIF('Phase 1 Pro Forma'!$F$6:$Z$6,I$7,'Phase 1 Pro Forma'!$F$305:$Z$305)+SUMIF('Phase 2 Pro Forma'!$F$6:$Z$6,I$7,'Phase 2 Pro Forma'!$F$359:$Z$359)+SUMIF('Phase 3 Pro Forma'!$F$6:$Z$6,I$7,'Phase 3 Pro Forma'!$F$557:$Z$557)</f>
        <v>10730331.319252212</v>
      </c>
      <c r="J46" s="307">
        <f ca="1">+SUMIF('Phase 1 Pro Forma'!$F$6:$Z$6,J$7,'Phase 1 Pro Forma'!$F$305:$Z$305)+SUMIF('Phase 2 Pro Forma'!$F$6:$Z$6,J$7,'Phase 2 Pro Forma'!$F$359:$Z$359)+SUMIF('Phase 3 Pro Forma'!$F$6:$Z$6,J$7,'Phase 3 Pro Forma'!$F$557:$Z$557)</f>
        <v>5987573.9173553539</v>
      </c>
      <c r="K46" s="307">
        <f ca="1">+SUMIF('Phase 1 Pro Forma'!$F$6:$Z$6,K$7,'Phase 1 Pro Forma'!$F$305:$Z$305)+SUMIF('Phase 2 Pro Forma'!$F$6:$Z$6,K$7,'Phase 2 Pro Forma'!$F$359:$Z$359)+SUMIF('Phase 3 Pro Forma'!$F$6:$Z$6,K$7,'Phase 3 Pro Forma'!$F$557:$Z$557)</f>
        <v>5987573.9173553539</v>
      </c>
      <c r="L46" s="307">
        <f>+SUMIF('Phase 1 Pro Forma'!$F$6:$Z$6,L$7,'Phase 1 Pro Forma'!$F$305:$Z$305)+SUMIF('Phase 2 Pro Forma'!$F$6:$Z$6,L$7,'Phase 2 Pro Forma'!$F$359:$Z$359)+SUMIF('Phase 3 Pro Forma'!$F$6:$Z$6,L$7,'Phase 3 Pro Forma'!$F$557:$Z$557)</f>
        <v>0</v>
      </c>
      <c r="M46" s="307">
        <f>+SUMIF('Phase 1 Pro Forma'!$F$6:$Z$6,M$7,'Phase 1 Pro Forma'!$F$305:$Z$305)+SUMIF('Phase 2 Pro Forma'!$F$6:$Z$6,M$7,'Phase 2 Pro Forma'!$F$359:$Z$359)+SUMIF('Phase 3 Pro Forma'!$F$6:$Z$6,M$7,'Phase 3 Pro Forma'!$F$557:$Z$557)</f>
        <v>0</v>
      </c>
      <c r="N46" s="634">
        <f>+SUMIF('Phase 1 Pro Forma'!$F$6:$Z$6,N$7,'Phase 1 Pro Forma'!$F$305:$Z$305)+SUMIF('Phase 2 Pro Forma'!$F$6:$Z$6,N$7,'Phase 2 Pro Forma'!$F$359:$Z$359)+SUMIF('Phase 3 Pro Forma'!$F$6:$Z$6,N$7,'Phase 3 Pro Forma'!$F$557:$Z$557)</f>
        <v>0</v>
      </c>
    </row>
    <row r="47" spans="1:96" s="324" customFormat="1" ht="15" customHeight="1">
      <c r="A47" s="5"/>
      <c r="B47" s="299" t="s">
        <v>190</v>
      </c>
      <c r="C47" s="299"/>
      <c r="D47" s="588">
        <f ca="1">+D45+D46</f>
        <v>97143986.360191077</v>
      </c>
      <c r="E47" s="315">
        <f t="shared" ref="E47:N47" ca="1" si="7">+E45+E46</f>
        <v>87767163.402247131</v>
      </c>
      <c r="F47" s="315">
        <f t="shared" ca="1" si="7"/>
        <v>117670951.27245836</v>
      </c>
      <c r="G47" s="619">
        <f t="shared" ca="1" si="7"/>
        <v>84162703.075851873</v>
      </c>
      <c r="H47" s="315">
        <f t="shared" ca="1" si="7"/>
        <v>144395044.08202571</v>
      </c>
      <c r="I47" s="591">
        <f t="shared" ca="1" si="7"/>
        <v>188113411.4585329</v>
      </c>
      <c r="J47" s="315">
        <f t="shared" ca="1" si="7"/>
        <v>83486994.330681473</v>
      </c>
      <c r="K47" s="315">
        <f t="shared" ca="1" si="7"/>
        <v>88594111.937432721</v>
      </c>
      <c r="L47" s="315">
        <f t="shared" ca="1" si="7"/>
        <v>0</v>
      </c>
      <c r="M47" s="315">
        <f t="shared" ca="1" si="7"/>
        <v>0</v>
      </c>
      <c r="N47" s="636">
        <f t="shared" ca="1" si="7"/>
        <v>0</v>
      </c>
      <c r="O47" s="296"/>
      <c r="P47" s="296"/>
      <c r="Q47" s="296"/>
      <c r="R47" s="296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296"/>
      <c r="AN47" s="296"/>
      <c r="AO47" s="296"/>
      <c r="AP47" s="296"/>
      <c r="AQ47" s="296"/>
      <c r="AR47" s="296"/>
      <c r="AS47" s="296"/>
      <c r="AT47" s="296"/>
      <c r="AU47" s="296"/>
      <c r="AV47" s="296"/>
      <c r="AW47" s="296"/>
      <c r="AX47" s="296"/>
      <c r="AY47" s="296"/>
      <c r="AZ47" s="296"/>
      <c r="BA47" s="296"/>
      <c r="BB47" s="296"/>
      <c r="BC47" s="296"/>
      <c r="BD47" s="296"/>
      <c r="BE47" s="296"/>
      <c r="BF47" s="296"/>
      <c r="BG47" s="296"/>
      <c r="BH47" s="296"/>
      <c r="BI47" s="296"/>
      <c r="BJ47" s="296"/>
      <c r="BK47" s="296"/>
      <c r="BL47" s="296"/>
      <c r="BM47" s="296"/>
      <c r="BN47" s="296"/>
      <c r="BO47" s="296"/>
      <c r="BP47" s="296"/>
      <c r="BQ47" s="296"/>
      <c r="BR47" s="296"/>
      <c r="BS47" s="296"/>
      <c r="BT47" s="296"/>
      <c r="BU47" s="296"/>
      <c r="BV47" s="296"/>
      <c r="BW47" s="296"/>
      <c r="BX47" s="296"/>
      <c r="BY47" s="296"/>
      <c r="BZ47" s="296"/>
      <c r="CA47" s="296"/>
      <c r="CB47" s="296"/>
      <c r="CC47" s="296"/>
      <c r="CD47" s="296"/>
      <c r="CE47" s="296"/>
      <c r="CF47" s="296"/>
      <c r="CG47" s="296"/>
      <c r="CH47" s="296"/>
      <c r="CI47" s="296"/>
      <c r="CJ47" s="296"/>
      <c r="CK47" s="296"/>
      <c r="CL47" s="296"/>
      <c r="CM47" s="296"/>
      <c r="CN47" s="296"/>
      <c r="CO47" s="296"/>
      <c r="CP47" s="296"/>
      <c r="CQ47" s="296"/>
      <c r="CR47" s="296"/>
    </row>
    <row r="48" spans="1:96" ht="15" customHeight="1">
      <c r="A48" s="5"/>
      <c r="B48" s="286"/>
      <c r="C48" s="286"/>
      <c r="D48" s="586"/>
      <c r="G48" s="616"/>
      <c r="I48" s="625"/>
      <c r="N48" s="635"/>
    </row>
    <row r="49" spans="1:14" ht="15" customHeight="1">
      <c r="A49" s="5"/>
      <c r="B49" s="312" t="s">
        <v>191</v>
      </c>
      <c r="C49" s="286"/>
      <c r="D49" s="586"/>
      <c r="G49" s="616"/>
      <c r="I49" s="625"/>
      <c r="N49" s="635"/>
    </row>
    <row r="50" spans="1:14" ht="15" customHeight="1">
      <c r="A50" s="5"/>
      <c r="B50" s="286" t="s">
        <v>154</v>
      </c>
      <c r="C50" s="286"/>
      <c r="D50" s="702">
        <f ca="1">+D22</f>
        <v>-18352104.384487133</v>
      </c>
      <c r="E50" s="704">
        <f t="shared" ref="E50:N50" ca="1" si="8">+E22</f>
        <v>0</v>
      </c>
      <c r="F50" s="704">
        <f t="shared" ca="1" si="8"/>
        <v>0</v>
      </c>
      <c r="G50" s="705">
        <f t="shared" ca="1" si="8"/>
        <v>-15258747.913810223</v>
      </c>
      <c r="H50" s="704">
        <f t="shared" ca="1" si="8"/>
        <v>16034262.747749643</v>
      </c>
      <c r="I50" s="706">
        <f t="shared" ca="1" si="8"/>
        <v>6478225.0454360135</v>
      </c>
      <c r="J50" s="704">
        <f t="shared" ca="1" si="8"/>
        <v>35186171.005123474</v>
      </c>
      <c r="K50" s="704">
        <f t="shared" ca="1" si="8"/>
        <v>41412633.05905278</v>
      </c>
      <c r="L50" s="704">
        <f t="shared" ca="1" si="8"/>
        <v>53273060.033715717</v>
      </c>
      <c r="M50" s="704">
        <f t="shared" ca="1" si="8"/>
        <v>63110496.031259552</v>
      </c>
      <c r="N50" s="707">
        <f t="shared" ca="1" si="8"/>
        <v>64731652.519527145</v>
      </c>
    </row>
    <row r="51" spans="1:14" ht="15" customHeight="1">
      <c r="A51" s="5"/>
      <c r="B51" s="286" t="s">
        <v>192</v>
      </c>
      <c r="C51" s="286"/>
      <c r="D51" s="702">
        <f>+D23</f>
        <v>0</v>
      </c>
      <c r="E51" s="704">
        <f t="shared" ref="E51:N51" si="9">+E23</f>
        <v>0</v>
      </c>
      <c r="F51" s="704">
        <f t="shared" si="9"/>
        <v>0</v>
      </c>
      <c r="G51" s="705">
        <f t="shared" si="9"/>
        <v>0</v>
      </c>
      <c r="H51" s="704">
        <f t="shared" si="9"/>
        <v>48037050.09785302</v>
      </c>
      <c r="I51" s="706">
        <f t="shared" si="9"/>
        <v>0</v>
      </c>
      <c r="J51" s="704">
        <f t="shared" si="9"/>
        <v>36954584.678355075</v>
      </c>
      <c r="K51" s="704">
        <f t="shared" si="9"/>
        <v>0</v>
      </c>
      <c r="L51" s="704">
        <f t="shared" si="9"/>
        <v>8222934.1716129649</v>
      </c>
      <c r="M51" s="704">
        <f t="shared" si="9"/>
        <v>4368502.9865786787</v>
      </c>
      <c r="N51" s="707">
        <f t="shared" ca="1" si="9"/>
        <v>1349558753.0998342</v>
      </c>
    </row>
    <row r="52" spans="1:14" ht="15" customHeight="1">
      <c r="A52" s="5"/>
      <c r="B52" s="286" t="s">
        <v>193</v>
      </c>
      <c r="C52" s="286"/>
      <c r="D52" s="702">
        <f>+D24</f>
        <v>0</v>
      </c>
      <c r="E52" s="704">
        <f t="shared" ref="E52:N52" si="10">+E24</f>
        <v>0</v>
      </c>
      <c r="F52" s="704">
        <f t="shared" si="10"/>
        <v>0</v>
      </c>
      <c r="G52" s="705">
        <f t="shared" si="10"/>
        <v>0</v>
      </c>
      <c r="H52" s="704">
        <f t="shared" si="10"/>
        <v>-480370.50097853021</v>
      </c>
      <c r="I52" s="706">
        <f t="shared" si="10"/>
        <v>0</v>
      </c>
      <c r="J52" s="704">
        <f t="shared" si="10"/>
        <v>-369545.84678355075</v>
      </c>
      <c r="K52" s="704">
        <f t="shared" si="10"/>
        <v>0</v>
      </c>
      <c r="L52" s="704">
        <f t="shared" si="10"/>
        <v>-82229.341716129653</v>
      </c>
      <c r="M52" s="704">
        <f t="shared" si="10"/>
        <v>-43685.02986578679</v>
      </c>
      <c r="N52" s="707">
        <f t="shared" ca="1" si="10"/>
        <v>-13495587.530998344</v>
      </c>
    </row>
    <row r="53" spans="1:14" ht="15" customHeight="1">
      <c r="B53" s="286" t="s">
        <v>194</v>
      </c>
      <c r="C53" s="286"/>
      <c r="D53" s="702">
        <f ca="1">-D45</f>
        <v>-97143986.360191077</v>
      </c>
      <c r="E53" s="704">
        <f t="shared" ref="E53:N53" ca="1" si="11">-E45</f>
        <v>-76691934.03952843</v>
      </c>
      <c r="F53" s="704">
        <f t="shared" ca="1" si="11"/>
        <v>-106595721.90973966</v>
      </c>
      <c r="G53" s="705">
        <f t="shared" ca="1" si="11"/>
        <v>-73087473.713133171</v>
      </c>
      <c r="H53" s="704">
        <f t="shared" ca="1" si="11"/>
        <v>-133664712.7627735</v>
      </c>
      <c r="I53" s="706">
        <f t="shared" ca="1" si="11"/>
        <v>-177383080.13928068</v>
      </c>
      <c r="J53" s="704">
        <f t="shared" ca="1" si="11"/>
        <v>-77499420.413326114</v>
      </c>
      <c r="K53" s="704">
        <f t="shared" ca="1" si="11"/>
        <v>-82606538.020077363</v>
      </c>
      <c r="L53" s="704">
        <f t="shared" ca="1" si="11"/>
        <v>0</v>
      </c>
      <c r="M53" s="704">
        <f t="shared" ca="1" si="11"/>
        <v>0</v>
      </c>
      <c r="N53" s="707">
        <f t="shared" ca="1" si="11"/>
        <v>0</v>
      </c>
    </row>
    <row r="54" spans="1:14" ht="15" customHeight="1">
      <c r="B54" s="324" t="s">
        <v>195</v>
      </c>
      <c r="C54" s="299"/>
      <c r="D54" s="315">
        <f ca="1">+SUM(D50:D53)</f>
        <v>-115496090.74467821</v>
      </c>
      <c r="E54" s="315">
        <f t="shared" ref="E54:M54" ca="1" si="12">+SUM(E50:E53)</f>
        <v>-76691934.03952843</v>
      </c>
      <c r="F54" s="315">
        <f t="shared" ca="1" si="12"/>
        <v>-106595721.90973966</v>
      </c>
      <c r="G54" s="315">
        <f t="shared" ca="1" si="12"/>
        <v>-88346221.626943395</v>
      </c>
      <c r="H54" s="315">
        <f t="shared" ca="1" si="12"/>
        <v>-70073770.418149367</v>
      </c>
      <c r="I54" s="315">
        <f t="shared" ca="1" si="12"/>
        <v>-170904855.09384465</v>
      </c>
      <c r="J54" s="315">
        <f t="shared" ca="1" si="12"/>
        <v>-5728210.5766311139</v>
      </c>
      <c r="K54" s="315">
        <f t="shared" ca="1" si="12"/>
        <v>-41193904.961024582</v>
      </c>
      <c r="L54" s="315">
        <f t="shared" ca="1" si="12"/>
        <v>61413764.863612548</v>
      </c>
      <c r="M54" s="315">
        <f t="shared" ca="1" si="12"/>
        <v>67435313.987972438</v>
      </c>
      <c r="N54" s="315">
        <f ca="1">+SUM(N50:N53)</f>
        <v>1400794818.0883632</v>
      </c>
    </row>
    <row r="55" spans="1:14" ht="15" customHeight="1">
      <c r="B55" s="319" t="s">
        <v>196</v>
      </c>
      <c r="C55" s="298"/>
      <c r="D55" s="586">
        <f>-D46</f>
        <v>0</v>
      </c>
      <c r="E55" s="307">
        <f t="shared" ref="E55:N55" ca="1" si="13">-E46</f>
        <v>-11075229.362718699</v>
      </c>
      <c r="F55" s="307">
        <f t="shared" ca="1" si="13"/>
        <v>-11075229.362718699</v>
      </c>
      <c r="G55" s="615">
        <f t="shared" ca="1" si="13"/>
        <v>-11075229.362718699</v>
      </c>
      <c r="H55" s="307">
        <f t="shared" ca="1" si="13"/>
        <v>-10730331.319252212</v>
      </c>
      <c r="I55" s="624">
        <f t="shared" ca="1" si="13"/>
        <v>-10730331.319252212</v>
      </c>
      <c r="J55" s="307">
        <f t="shared" ca="1" si="13"/>
        <v>-5987573.9173553539</v>
      </c>
      <c r="K55" s="307">
        <f t="shared" ca="1" si="13"/>
        <v>-5987573.9173553539</v>
      </c>
      <c r="L55" s="307">
        <f t="shared" si="13"/>
        <v>0</v>
      </c>
      <c r="M55" s="307">
        <f t="shared" si="13"/>
        <v>0</v>
      </c>
      <c r="N55" s="634">
        <f t="shared" si="13"/>
        <v>0</v>
      </c>
    </row>
    <row r="56" spans="1:14" ht="15" customHeight="1">
      <c r="B56" s="319" t="s">
        <v>197</v>
      </c>
      <c r="C56" s="298"/>
      <c r="D56" s="586">
        <f ca="1">+SUMIF('Phase 1 Pro Forma'!$F$6:$Z$6,D$7,'Phase 1 Pro Forma'!$F$295:$Z$295)+SUMIF('Phase 2 Pro Forma'!$F$6:$Z$6,D$7,'Phase 2 Pro Forma'!$F$349:$Z$349)+SUMIF('Phase 3 Pro Forma'!$F$6:$Z$6,D$7,'Phase 3 Pro Forma'!$F$547:$Z$547)</f>
        <v>0</v>
      </c>
      <c r="E56" s="307">
        <f ca="1">+SUMIF('Phase 1 Pro Forma'!$F$6:$Z$6,E$7,'Phase 1 Pro Forma'!$F$295:$Z$295)+SUMIF('Phase 2 Pro Forma'!$F$6:$Z$6,E$7,'Phase 2 Pro Forma'!$F$349:$Z$349)+SUMIF('Phase 3 Pro Forma'!$F$6:$Z$6,E$7,'Phase 3 Pro Forma'!$F$547:$Z$547)</f>
        <v>87767163.402247265</v>
      </c>
      <c r="F56" s="307">
        <f ca="1">+SUMIF('Phase 1 Pro Forma'!$F$6:$Z$6,F$7,'Phase 1 Pro Forma'!$F$295:$Z$295)+SUMIF('Phase 2 Pro Forma'!$F$6:$Z$6,F$7,'Phase 2 Pro Forma'!$F$349:$Z$349)+SUMIF('Phase 3 Pro Forma'!$F$6:$Z$6,F$7,'Phase 3 Pro Forma'!$F$547:$Z$547)</f>
        <v>117670951.27245837</v>
      </c>
      <c r="G56" s="615">
        <f ca="1">+SUMIF('Phase 1 Pro Forma'!$F$6:$Z$6,G$7,'Phase 1 Pro Forma'!$F$295:$Z$295)+SUMIF('Phase 2 Pro Forma'!$F$6:$Z$6,G$7,'Phase 2 Pro Forma'!$F$349:$Z$349)+SUMIF('Phase 3 Pro Forma'!$F$6:$Z$6,G$7,'Phase 3 Pro Forma'!$F$547:$Z$547)</f>
        <v>69780903.616457283</v>
      </c>
      <c r="H56" s="307">
        <f ca="1">+SUMIF('Phase 1 Pro Forma'!$F$6:$Z$6,H$7,'Phase 1 Pro Forma'!$F$295:$Z$295)+SUMIF('Phase 2 Pro Forma'!$F$6:$Z$6,H$7,'Phase 2 Pro Forma'!$F$349:$Z$349)+SUMIF('Phase 3 Pro Forma'!$F$6:$Z$6,H$7,'Phase 3 Pro Forma'!$F$547:$Z$547)</f>
        <v>144395044.08202571</v>
      </c>
      <c r="I56" s="624">
        <f ca="1">+SUMIF('Phase 1 Pro Forma'!$F$6:$Z$6,I$7,'Phase 1 Pro Forma'!$F$295:$Z$295)+SUMIF('Phase 2 Pro Forma'!$F$6:$Z$6,I$7,'Phase 2 Pro Forma'!$F$349:$Z$349)+SUMIF('Phase 3 Pro Forma'!$F$6:$Z$6,I$7,'Phase 3 Pro Forma'!$F$547:$Z$547)</f>
        <v>105245488.7043519</v>
      </c>
      <c r="J56" s="307">
        <f ca="1">+SUMIF('Phase 1 Pro Forma'!$F$6:$Z$6,J$7,'Phase 1 Pro Forma'!$F$295:$Z$295)+SUMIF('Phase 2 Pro Forma'!$F$6:$Z$6,J$7,'Phase 2 Pro Forma'!$F$349:$Z$349)+SUMIF('Phase 3 Pro Forma'!$F$6:$Z$6,J$7,'Phase 3 Pro Forma'!$F$547:$Z$547)</f>
        <v>34354822.198609143</v>
      </c>
      <c r="K56" s="307">
        <f ca="1">+SUMIF('Phase 1 Pro Forma'!$F$6:$Z$6,K$7,'Phase 1 Pro Forma'!$F$295:$Z$295)+SUMIF('Phase 2 Pro Forma'!$F$6:$Z$6,K$7,'Phase 2 Pro Forma'!$F$349:$Z$349)+SUMIF('Phase 3 Pro Forma'!$F$6:$Z$6,K$7,'Phase 3 Pro Forma'!$F$547:$Z$547)</f>
        <v>88594111.937432691</v>
      </c>
      <c r="L56" s="307">
        <f ca="1">+SUMIF('Phase 1 Pro Forma'!$F$6:$Z$6,L$7,'Phase 1 Pro Forma'!$F$295:$Z$295)+SUMIF('Phase 2 Pro Forma'!$F$6:$Z$6,L$7,'Phase 2 Pro Forma'!$F$349:$Z$349)+SUMIF('Phase 3 Pro Forma'!$F$6:$Z$6,L$7,'Phase 3 Pro Forma'!$F$547:$Z$547)</f>
        <v>0</v>
      </c>
      <c r="M56" s="307">
        <f ca="1">+SUMIF('Phase 1 Pro Forma'!$F$6:$Z$6,M$7,'Phase 1 Pro Forma'!$F$295:$Z$295)+SUMIF('Phase 2 Pro Forma'!$F$6:$Z$6,M$7,'Phase 2 Pro Forma'!$F$349:$Z$349)+SUMIF('Phase 3 Pro Forma'!$F$6:$Z$6,M$7,'Phase 3 Pro Forma'!$F$547:$Z$547)</f>
        <v>0</v>
      </c>
      <c r="N56" s="634">
        <f ca="1">+SUMIF('Phase 1 Pro Forma'!$F$6:$Z$6,N$7,'Phase 1 Pro Forma'!$F$295:$Z$295)+SUMIF('Phase 2 Pro Forma'!$F$6:$Z$6,N$7,'Phase 2 Pro Forma'!$F$349:$Z$349)+SUMIF('Phase 3 Pro Forma'!$F$6:$Z$6,N$7,'Phase 3 Pro Forma'!$F$547:$Z$547)</f>
        <v>0</v>
      </c>
    </row>
    <row r="57" spans="1:14" ht="15" customHeight="1">
      <c r="B57" s="319" t="s">
        <v>198</v>
      </c>
      <c r="C57" s="298"/>
      <c r="D57" s="586">
        <f ca="1">-SUMIF('Phase 1 Pro Forma'!$F$6:$Z$6,D$7,'Phase 1 Pro Forma'!$F$296:$Z$296)-SUMIF('Phase 2 Pro Forma'!$F$6:$Z$6,D$7,'Phase 2 Pro Forma'!$F$350:$Z$350)-SUMIF('Phase 3 Pro Forma'!$F$6:$Z$6,D$7,'Phase 3 Pro Forma'!$F$548:$Z$548)</f>
        <v>0</v>
      </c>
      <c r="E57" s="307">
        <f ca="1">-SUMIF('Phase 1 Pro Forma'!$F$6:$Z$6,E$7,'Phase 1 Pro Forma'!$F$296:$Z$296)-SUMIF('Phase 2 Pro Forma'!$F$6:$Z$6,E$7,'Phase 2 Pro Forma'!$F$350:$Z$350)-SUMIF('Phase 3 Pro Forma'!$F$6:$Z$6,E$7,'Phase 3 Pro Forma'!$F$548:$Z$548)</f>
        <v>0</v>
      </c>
      <c r="F57" s="307">
        <f ca="1">-SUMIF('Phase 1 Pro Forma'!$F$6:$Z$6,F$7,'Phase 1 Pro Forma'!$F$296:$Z$296)-SUMIF('Phase 2 Pro Forma'!$F$6:$Z$6,F$7,'Phase 2 Pro Forma'!$F$350:$Z$350)-SUMIF('Phase 3 Pro Forma'!$F$6:$Z$6,F$7,'Phase 3 Pro Forma'!$F$548:$Z$548)</f>
        <v>0</v>
      </c>
      <c r="G57" s="615">
        <f ca="1">-SUMIF('Phase 1 Pro Forma'!$F$6:$Z$6,G$7,'Phase 1 Pro Forma'!$F$296:$Z$296)-SUMIF('Phase 2 Pro Forma'!$F$6:$Z$6,G$7,'Phase 2 Pro Forma'!$F$350:$Z$350)-SUMIF('Phase 3 Pro Forma'!$F$6:$Z$6,G$7,'Phase 3 Pro Forma'!$F$548:$Z$548)</f>
        <v>0</v>
      </c>
      <c r="H57" s="307">
        <f ca="1">-SUMIF('Phase 1 Pro Forma'!$F$6:$Z$6,H$7,'Phase 1 Pro Forma'!$F$296:$Z$296)-SUMIF('Phase 2 Pro Forma'!$F$6:$Z$6,H$7,'Phase 2 Pro Forma'!$F$350:$Z$350)-SUMIF('Phase 3 Pro Forma'!$F$6:$Z$6,H$7,'Phase 3 Pro Forma'!$F$548:$Z$548)</f>
        <v>-19648310.35359443</v>
      </c>
      <c r="I57" s="624">
        <f ca="1">-SUMIF('Phase 1 Pro Forma'!$F$6:$Z$6,I$7,'Phase 1 Pro Forma'!$F$296:$Z$296)-SUMIF('Phase 2 Pro Forma'!$F$6:$Z$6,I$7,'Phase 2 Pro Forma'!$F$350:$Z$350)-SUMIF('Phase 3 Pro Forma'!$F$6:$Z$6,I$7,'Phase 3 Pro Forma'!$F$548:$Z$548)</f>
        <v>-16896120.170682803</v>
      </c>
      <c r="J57" s="307">
        <f ca="1">-SUMIF('Phase 1 Pro Forma'!$F$6:$Z$6,J$7,'Phase 1 Pro Forma'!$F$296:$Z$296)-SUMIF('Phase 2 Pro Forma'!$F$6:$Z$6,J$7,'Phase 2 Pro Forma'!$F$350:$Z$350)-SUMIF('Phase 3 Pro Forma'!$F$6:$Z$6,J$7,'Phase 3 Pro Forma'!$F$548:$Z$548)</f>
        <v>-34718342.978825539</v>
      </c>
      <c r="K57" s="307">
        <f ca="1">-SUMIF('Phase 1 Pro Forma'!$F$6:$Z$6,K$7,'Phase 1 Pro Forma'!$F$296:$Z$296)-SUMIF('Phase 2 Pro Forma'!$F$6:$Z$6,K$7,'Phase 2 Pro Forma'!$F$350:$Z$350)-SUMIF('Phase 3 Pro Forma'!$F$6:$Z$6,K$7,'Phase 3 Pro Forma'!$F$548:$Z$548)</f>
        <v>-32221937.65096176</v>
      </c>
      <c r="L57" s="307">
        <f ca="1">-SUMIF('Phase 1 Pro Forma'!$F$6:$Z$6,L$7,'Phase 1 Pro Forma'!$F$296:$Z$296)-SUMIF('Phase 2 Pro Forma'!$F$6:$Z$6,L$7,'Phase 2 Pro Forma'!$F$350:$Z$350)-SUMIF('Phase 3 Pro Forma'!$F$6:$Z$6,L$7,'Phase 3 Pro Forma'!$F$548:$Z$548)</f>
        <v>-40999451.757900782</v>
      </c>
      <c r="M57" s="307">
        <f ca="1">-SUMIF('Phase 1 Pro Forma'!$F$6:$Z$6,M$7,'Phase 1 Pro Forma'!$F$296:$Z$296)-SUMIF('Phase 2 Pro Forma'!$F$6:$Z$6,M$7,'Phase 2 Pro Forma'!$F$350:$Z$350)-SUMIF('Phase 3 Pro Forma'!$F$6:$Z$6,M$7,'Phase 3 Pro Forma'!$F$548:$Z$548)</f>
        <v>-39769962.416540369</v>
      </c>
      <c r="N57" s="634">
        <f ca="1">-SUMIF('Phase 1 Pro Forma'!$F$6:$Z$6,N$7,'Phase 1 Pro Forma'!$F$296:$Z$296)-SUMIF('Phase 2 Pro Forma'!$F$6:$Z$6,N$7,'Phase 2 Pro Forma'!$F$350:$Z$350)-SUMIF('Phase 3 Pro Forma'!$F$6:$Z$6,N$7,'Phase 3 Pro Forma'!$F$548:$Z$548)</f>
        <v>-622693707.62073445</v>
      </c>
    </row>
    <row r="58" spans="1:14" ht="20.100000000000001" customHeight="1">
      <c r="B58" s="299" t="s">
        <v>199</v>
      </c>
      <c r="C58" s="301"/>
      <c r="D58" s="703">
        <f ca="1">+SUM(D54:D57)</f>
        <v>-115496090.74467821</v>
      </c>
      <c r="E58" s="308">
        <f t="shared" ref="E58:N58" ca="1" si="14">+SUM(E54:E57)</f>
        <v>1.3411045074462891E-7</v>
      </c>
      <c r="F58" s="308">
        <f t="shared" ca="1" si="14"/>
        <v>1.4901161193847656E-8</v>
      </c>
      <c r="G58" s="620">
        <f t="shared" ca="1" si="14"/>
        <v>-29640547.373204812</v>
      </c>
      <c r="H58" s="308">
        <f t="shared" ca="1" si="14"/>
        <v>43942631.991029702</v>
      </c>
      <c r="I58" s="629">
        <f t="shared" ca="1" si="14"/>
        <v>-93285817.879427776</v>
      </c>
      <c r="J58" s="308">
        <f t="shared" ca="1" si="14"/>
        <v>-12079305.274202865</v>
      </c>
      <c r="K58" s="308">
        <f t="shared" ca="1" si="14"/>
        <v>9190695.4080909975</v>
      </c>
      <c r="L58" s="308">
        <f t="shared" ca="1" si="14"/>
        <v>20414313.105711766</v>
      </c>
      <c r="M58" s="308">
        <f t="shared" ca="1" si="14"/>
        <v>27665351.571432069</v>
      </c>
      <c r="N58" s="639">
        <f t="shared" ca="1" si="14"/>
        <v>778101110.46762872</v>
      </c>
    </row>
    <row r="59" spans="1:14" ht="20.100000000000001" customHeight="1">
      <c r="B59" s="298"/>
      <c r="C59" s="300"/>
      <c r="D59" s="336"/>
    </row>
    <row r="60" spans="1:14" ht="20.100000000000001" customHeight="1">
      <c r="B60" s="296" t="s">
        <v>200</v>
      </c>
      <c r="C60" s="775">
        <v>0.15</v>
      </c>
      <c r="D60" s="322">
        <f ca="1">+NPV($C$60,D58:N58)</f>
        <v>42491188.845193155</v>
      </c>
    </row>
    <row r="61" spans="1:14" ht="20.100000000000001" customHeight="1">
      <c r="B61" s="298" t="s">
        <v>201</v>
      </c>
      <c r="C61" s="296"/>
      <c r="D61" s="325">
        <f ca="1">+('S&amp;U'!$Q$17*Assumptions!$N$142+'S&amp;U'!$Q$18*Assumptions!$N$149)/SUM('S&amp;U'!$Q$17:$Q$18)</f>
        <v>0.7</v>
      </c>
      <c r="H61" s="296"/>
    </row>
    <row r="62" spans="1:14" ht="20.100000000000001" customHeight="1">
      <c r="B62" s="296" t="s">
        <v>202</v>
      </c>
      <c r="C62" s="296"/>
      <c r="D62" s="326">
        <f ca="1">+Assumptions!$E$4</f>
        <v>0.10495487631732092</v>
      </c>
      <c r="G62" s="296" t="s">
        <v>203</v>
      </c>
      <c r="I62" s="327">
        <f>+'Parcel List'!L40</f>
        <v>9439001</v>
      </c>
    </row>
    <row r="63" spans="1:14" ht="20.100000000000001" customHeight="1">
      <c r="B63" s="296" t="s">
        <v>204</v>
      </c>
      <c r="C63" s="296"/>
      <c r="D63" s="326">
        <f ca="1">+Assumptions!$E$5</f>
        <v>0.16914395854006492</v>
      </c>
      <c r="G63" s="296" t="s">
        <v>205</v>
      </c>
      <c r="I63" s="327">
        <f ca="1">+N51</f>
        <v>1349558753.0998342</v>
      </c>
    </row>
    <row r="64" spans="1:14" ht="18" customHeight="1">
      <c r="B64" s="296"/>
      <c r="D64" s="326"/>
      <c r="M64" s="302"/>
      <c r="N64" s="303"/>
    </row>
    <row r="65" spans="2:14" s="286" customFormat="1" ht="18" customHeight="1">
      <c r="B65" s="1106"/>
      <c r="C65" s="1106"/>
      <c r="D65" s="1107"/>
      <c r="E65" s="1107"/>
      <c r="F65" s="1107"/>
      <c r="G65" s="1107"/>
      <c r="H65" s="1107"/>
      <c r="I65" s="1107"/>
      <c r="J65" s="1107"/>
      <c r="K65" s="1107"/>
      <c r="L65" s="1107"/>
      <c r="M65" s="1107"/>
      <c r="N65" s="1107"/>
    </row>
    <row r="66" spans="2:14" s="286" customFormat="1" ht="18" customHeight="1">
      <c r="B66" s="1108" t="s">
        <v>206</v>
      </c>
      <c r="C66" s="1108"/>
      <c r="D66" s="1108"/>
      <c r="E66" s="1108"/>
      <c r="F66" s="1108"/>
      <c r="G66" s="1108"/>
      <c r="H66" s="1108"/>
      <c r="I66" s="1108"/>
      <c r="J66" s="1108"/>
      <c r="K66" s="1108"/>
      <c r="L66" s="1108"/>
      <c r="M66" s="1108"/>
      <c r="N66" s="1108"/>
    </row>
    <row r="67" spans="2:14" s="286" customFormat="1" ht="18" customHeight="1">
      <c r="B67" s="924"/>
      <c r="C67" s="924"/>
      <c r="D67" s="297"/>
      <c r="E67" s="1092" t="s">
        <v>207</v>
      </c>
      <c r="F67" s="1092"/>
      <c r="G67" s="1092"/>
      <c r="H67" s="1092"/>
      <c r="I67" s="1092"/>
      <c r="J67" s="1092"/>
      <c r="K67" s="1092"/>
      <c r="L67" s="1092"/>
      <c r="M67" s="1092"/>
      <c r="N67" s="1092"/>
    </row>
    <row r="68" spans="2:14" ht="18" customHeight="1">
      <c r="B68" s="330"/>
      <c r="C68" s="330"/>
      <c r="D68" s="334" t="s">
        <v>208</v>
      </c>
      <c r="E68" s="314">
        <f t="shared" ref="E68:N68" si="15">+D7</f>
        <v>2023</v>
      </c>
      <c r="F68" s="314">
        <f t="shared" si="15"/>
        <v>2024</v>
      </c>
      <c r="G68" s="314">
        <f t="shared" si="15"/>
        <v>2025</v>
      </c>
      <c r="H68" s="314">
        <f t="shared" si="15"/>
        <v>2026</v>
      </c>
      <c r="I68" s="314">
        <f t="shared" si="15"/>
        <v>2027</v>
      </c>
      <c r="J68" s="314">
        <f t="shared" si="15"/>
        <v>2028</v>
      </c>
      <c r="K68" s="314">
        <f t="shared" si="15"/>
        <v>2029</v>
      </c>
      <c r="L68" s="314">
        <f t="shared" si="15"/>
        <v>2030</v>
      </c>
      <c r="M68" s="314">
        <f t="shared" si="15"/>
        <v>2031</v>
      </c>
      <c r="N68" s="314">
        <f t="shared" si="15"/>
        <v>2032</v>
      </c>
    </row>
    <row r="69" spans="2:14" s="295" customFormat="1" ht="18" customHeight="1">
      <c r="B69" s="296" t="s">
        <v>209</v>
      </c>
      <c r="C69" s="296"/>
      <c r="E69" s="287"/>
      <c r="F69" s="287"/>
      <c r="G69" s="287"/>
      <c r="H69" s="287"/>
      <c r="I69" s="287"/>
      <c r="J69" s="287"/>
      <c r="K69" s="287"/>
      <c r="L69" s="287"/>
      <c r="M69" s="287"/>
      <c r="N69" s="287"/>
    </row>
    <row r="70" spans="2:14" ht="18" customHeight="1">
      <c r="B70" s="318" t="s">
        <v>210</v>
      </c>
      <c r="C70" s="285"/>
      <c r="D70" s="295" t="s">
        <v>211</v>
      </c>
      <c r="E70" s="306">
        <f ca="1">+SUMIF('Phase 1 Pro Forma'!$F$6:$Z$6,D$7,'Phase 1 Pro Forma'!$F$33:$Z$33)+SUMIF('Phase 2 Pro Forma'!$F$6:$Z$6,D$7,'Phase 2 Pro Forma'!$F$37:$Z$37)+SUMIF('Phase 3 Pro Forma'!$F$6:$Z$6,D$7,'Phase 3 Pro Forma'!$F$37:$Z$37)+SUMIF('Phase 1 Pro Forma'!$F$6:$Z$6,D$7,'Phase 1 Pro Forma'!$AQ$28:$BK$28)+SUMIF('Phase 2 Pro Forma'!$F$6:$Z$6,D$7,'Phase 2 Pro Forma'!$AW$45:$BQ$45)+SUMIF('Phase 3 Pro Forma'!$F$6:$Z$6,D$7,'Phase 3 Pro Forma'!$F$91:$Z$91)+SUMIF('Phase 1 Pro Forma'!$F$6:$Z$6,D$7,'Phase 1 Pro Forma'!$AQ$121:$BK$121)+SUMIF('Phase 2 Pro Forma'!$F$6:$Z$6,D$7,'Phase 2 Pro Forma'!$BD$150:$BQ$150)+SUMIF('Phase 3 Pro Forma'!$F$6:$Z$6,D$7,'Phase 3 Pro Forma'!$F$196:$Z$196)+SUMIF('Phase 1 Pro Forma'!$F$6:$Z$6,D$7,'Phase 1 Pro Forma'!$AQ$74:$BK$74)+SUMIF('Phase 2 Pro Forma'!$F$6:$Z$6,D$7,'Phase 2 Pro Forma'!$AW$99:$BQ$99)+SUMIF('Phase 3 Pro Forma'!$F$6:$Z$6,D$7,'Phase 3 Pro Forma'!$F$145:$Z$145)</f>
        <v>0</v>
      </c>
      <c r="F70" s="306">
        <f ca="1">+SUMIF('Phase 1 Pro Forma'!$F$6:$Z$6,E$7,'Phase 1 Pro Forma'!$F$33:$Z$33)+SUMIF('Phase 2 Pro Forma'!$F$6:$Z$6,E$7,'Phase 2 Pro Forma'!$F$37:$Z$37)+SUMIF('Phase 3 Pro Forma'!$F$6:$Z$6,E$7,'Phase 3 Pro Forma'!$F$37:$Z$37)+SUMIF('Phase 1 Pro Forma'!$F$6:$Z$6,E$7,'Phase 1 Pro Forma'!$AQ$28:$BK$28)+SUMIF('Phase 2 Pro Forma'!$F$6:$Z$6,E$7,'Phase 2 Pro Forma'!$AW$45:$BQ$45)+SUMIF('Phase 3 Pro Forma'!$F$6:$Z$6,E$7,'Phase 3 Pro Forma'!$F$91:$Z$91)+SUMIF('Phase 1 Pro Forma'!$F$6:$Z$6,E$7,'Phase 1 Pro Forma'!$AQ$121:$BK$121)+SUMIF('Phase 2 Pro Forma'!$F$6:$Z$6,E$7,'Phase 2 Pro Forma'!$BD$150:$BQ$150)+SUMIF('Phase 3 Pro Forma'!$F$6:$Z$6,E$7,'Phase 3 Pro Forma'!$F$196:$Z$196)+SUMIF('Phase 1 Pro Forma'!$F$6:$Z$6,E$7,'Phase 1 Pro Forma'!$AQ$74:$BK$74)+SUMIF('Phase 2 Pro Forma'!$F$6:$Z$6,E$7,'Phase 2 Pro Forma'!$AW$99:$BQ$99)+SUMIF('Phase 3 Pro Forma'!$F$6:$Z$6,E$7,'Phase 3 Pro Forma'!$F$145:$Z$145)</f>
        <v>0</v>
      </c>
      <c r="G70" s="306">
        <f ca="1">+SUMIF('Phase 1 Pro Forma'!$F$6:$Z$6,F$7,'Phase 1 Pro Forma'!$F$33:$Z$33)+SUMIF('Phase 2 Pro Forma'!$F$6:$Z$6,F$7,'Phase 2 Pro Forma'!$F$37:$Z$37)+SUMIF('Phase 3 Pro Forma'!$F$6:$Z$6,F$7,'Phase 3 Pro Forma'!$F$37:$Z$37)+SUMIF('Phase 1 Pro Forma'!$F$6:$Z$6,F$7,'Phase 1 Pro Forma'!$AQ$28:$BK$28)+SUMIF('Phase 2 Pro Forma'!$F$6:$Z$6,F$7,'Phase 2 Pro Forma'!$AW$45:$BQ$45)+SUMIF('Phase 3 Pro Forma'!$F$6:$Z$6,F$7,'Phase 3 Pro Forma'!$F$91:$Z$91)+SUMIF('Phase 1 Pro Forma'!$F$6:$Z$6,F$7,'Phase 1 Pro Forma'!$AQ$121:$BK$121)+SUMIF('Phase 2 Pro Forma'!$F$6:$Z$6,F$7,'Phase 2 Pro Forma'!$BD$150:$BQ$150)+SUMIF('Phase 3 Pro Forma'!$F$6:$Z$6,F$7,'Phase 3 Pro Forma'!$F$196:$Z$196)+SUMIF('Phase 1 Pro Forma'!$F$6:$Z$6,F$7,'Phase 1 Pro Forma'!$AQ$74:$BK$74)+SUMIF('Phase 2 Pro Forma'!$F$6:$Z$6,F$7,'Phase 2 Pro Forma'!$AW$99:$BQ$99)+SUMIF('Phase 3 Pro Forma'!$F$6:$Z$6,F$7,'Phase 3 Pro Forma'!$F$145:$Z$145)</f>
        <v>0</v>
      </c>
      <c r="H70" s="306">
        <f ca="1">+SUMIF('Phase 1 Pro Forma'!$F$6:$Z$6,G$7,'Phase 1 Pro Forma'!$F$33:$Z$33)+SUMIF('Phase 2 Pro Forma'!$F$6:$Z$6,G$7,'Phase 2 Pro Forma'!$F$37:$Z$37)+SUMIF('Phase 3 Pro Forma'!$F$6:$Z$6,G$7,'Phase 3 Pro Forma'!$F$37:$Z$37)+SUMIF('Phase 1 Pro Forma'!$F$6:$Z$6,G$7,'Phase 1 Pro Forma'!$AQ$28:$BK$28)+SUMIF('Phase 2 Pro Forma'!$F$6:$Z$6,G$7,'Phase 2 Pro Forma'!$AW$45:$BQ$45)+SUMIF('Phase 3 Pro Forma'!$F$6:$Z$6,G$7,'Phase 3 Pro Forma'!$F$91:$Z$91)+SUMIF('Phase 1 Pro Forma'!$F$6:$Z$6,G$7,'Phase 1 Pro Forma'!$AQ$121:$BK$121)+SUMIF('Phase 2 Pro Forma'!$F$6:$Z$6,G$7,'Phase 2 Pro Forma'!$BD$150:$BQ$150)+SUMIF('Phase 3 Pro Forma'!$F$6:$Z$6,G$7,'Phase 3 Pro Forma'!$F$196:$Z$196)+SUMIF('Phase 1 Pro Forma'!$F$6:$Z$6,G$7,'Phase 1 Pro Forma'!$AQ$74:$BK$74)+SUMIF('Phase 2 Pro Forma'!$F$6:$Z$6,G$7,'Phase 2 Pro Forma'!$AW$99:$BQ$99)+SUMIF('Phase 3 Pro Forma'!$F$6:$Z$6,G$7,'Phase 3 Pro Forma'!$F$145:$Z$145)</f>
        <v>0</v>
      </c>
      <c r="I70" s="306">
        <f ca="1">+SUMIF('Phase 1 Pro Forma'!$F$6:$Z$6,H$7,'Phase 1 Pro Forma'!$F$33:$Z$33)+SUMIF('Phase 2 Pro Forma'!$F$6:$Z$6,H$7,'Phase 2 Pro Forma'!$F$37:$Z$37)+SUMIF('Phase 3 Pro Forma'!$F$6:$Z$6,H$7,'Phase 3 Pro Forma'!$F$37:$Z$37)+SUMIF('Phase 1 Pro Forma'!$F$6:$Z$6,H$7,'Phase 1 Pro Forma'!$AQ$28:$BK$28)+SUMIF('Phase 2 Pro Forma'!$F$6:$Z$6,H$7,'Phase 2 Pro Forma'!$AW$45:$BQ$45)+SUMIF('Phase 3 Pro Forma'!$F$6:$Z$6,H$7,'Phase 3 Pro Forma'!$F$91:$Z$91)+SUMIF('Phase 1 Pro Forma'!$F$6:$Z$6,H$7,'Phase 1 Pro Forma'!$AQ$121:$BK$121)+SUMIF('Phase 2 Pro Forma'!$F$6:$Z$6,H$7,'Phase 2 Pro Forma'!$BD$150:$BQ$150)+SUMIF('Phase 3 Pro Forma'!$F$6:$Z$6,H$7,'Phase 3 Pro Forma'!$F$196:$Z$196)+SUMIF('Phase 1 Pro Forma'!$F$6:$Z$6,H$7,'Phase 1 Pro Forma'!$AQ$74:$BK$74)+SUMIF('Phase 2 Pro Forma'!$F$6:$Z$6,H$7,'Phase 2 Pro Forma'!$AW$99:$BQ$99)+SUMIF('Phase 3 Pro Forma'!$F$6:$Z$6,H$7,'Phase 3 Pro Forma'!$F$145:$Z$145)</f>
        <v>351.50392688300718</v>
      </c>
      <c r="J70" s="306">
        <f ca="1">+SUMIF('Phase 1 Pro Forma'!$F$6:$Z$6,I$7,'Phase 1 Pro Forma'!$F$33:$Z$33)+SUMIF('Phase 2 Pro Forma'!$F$6:$Z$6,I$7,'Phase 2 Pro Forma'!$F$37:$Z$37)+SUMIF('Phase 3 Pro Forma'!$F$6:$Z$6,I$7,'Phase 3 Pro Forma'!$F$37:$Z$37)+SUMIF('Phase 1 Pro Forma'!$F$6:$Z$6,I$7,'Phase 1 Pro Forma'!$AQ$28:$BK$28)+SUMIF('Phase 2 Pro Forma'!$F$6:$Z$6,I$7,'Phase 2 Pro Forma'!$AW$45:$BQ$45)+SUMIF('Phase 3 Pro Forma'!$F$6:$Z$6,I$7,'Phase 3 Pro Forma'!$F$91:$Z$91)+SUMIF('Phase 1 Pro Forma'!$F$6:$Z$6,I$7,'Phase 1 Pro Forma'!$AQ$121:$BK$121)+SUMIF('Phase 2 Pro Forma'!$F$6:$Z$6,I$7,'Phase 2 Pro Forma'!$BD$150:$BQ$150)+SUMIF('Phase 3 Pro Forma'!$F$6:$Z$6,I$7,'Phase 3 Pro Forma'!$F$196:$Z$196)+SUMIF('Phase 1 Pro Forma'!$F$6:$Z$6,I$7,'Phase 1 Pro Forma'!$AQ$74:$BK$74)+SUMIF('Phase 2 Pro Forma'!$F$6:$Z$6,I$7,'Phase 2 Pro Forma'!$AW$99:$BQ$99)+SUMIF('Phase 3 Pro Forma'!$F$6:$Z$6,I$7,'Phase 3 Pro Forma'!$F$145:$Z$145)</f>
        <v>0</v>
      </c>
      <c r="K70" s="306">
        <f ca="1">+SUMIF('Phase 1 Pro Forma'!$F$6:$Z$6,J$7,'Phase 1 Pro Forma'!$F$33:$Z$33)+SUMIF('Phase 2 Pro Forma'!$F$6:$Z$6,J$7,'Phase 2 Pro Forma'!$F$37:$Z$37)+SUMIF('Phase 3 Pro Forma'!$F$6:$Z$6,J$7,'Phase 3 Pro Forma'!$F$37:$Z$37)+SUMIF('Phase 1 Pro Forma'!$F$6:$Z$6,J$7,'Phase 1 Pro Forma'!$AQ$28:$BK$28)+SUMIF('Phase 2 Pro Forma'!$F$6:$Z$6,J$7,'Phase 2 Pro Forma'!$AW$45:$BQ$45)+SUMIF('Phase 3 Pro Forma'!$F$6:$Z$6,J$7,'Phase 3 Pro Forma'!$F$91:$Z$91)+SUMIF('Phase 1 Pro Forma'!$F$6:$Z$6,J$7,'Phase 1 Pro Forma'!$AQ$121:$BK$121)+SUMIF('Phase 2 Pro Forma'!$F$6:$Z$6,J$7,'Phase 2 Pro Forma'!$BD$150:$BQ$150)+SUMIF('Phase 3 Pro Forma'!$F$6:$Z$6,J$7,'Phase 3 Pro Forma'!$F$196:$Z$196)+SUMIF('Phase 1 Pro Forma'!$F$6:$Z$6,J$7,'Phase 1 Pro Forma'!$AQ$74:$BK$74)+SUMIF('Phase 2 Pro Forma'!$F$6:$Z$6,J$7,'Phase 2 Pro Forma'!$AW$99:$BQ$99)+SUMIF('Phase 3 Pro Forma'!$F$6:$Z$6,J$7,'Phase 3 Pro Forma'!$F$145:$Z$145)</f>
        <v>255.18525734440044</v>
      </c>
      <c r="L70" s="306">
        <f ca="1">+SUMIF('Phase 1 Pro Forma'!$F$6:$Z$6,K$7,'Phase 1 Pro Forma'!$F$33:$Z$33)+SUMIF('Phase 2 Pro Forma'!$F$6:$Z$6,K$7,'Phase 2 Pro Forma'!$F$37:$Z$37)+SUMIF('Phase 3 Pro Forma'!$F$6:$Z$6,K$7,'Phase 3 Pro Forma'!$F$37:$Z$37)+SUMIF('Phase 1 Pro Forma'!$F$6:$Z$6,K$7,'Phase 1 Pro Forma'!$AQ$28:$BK$28)+SUMIF('Phase 2 Pro Forma'!$F$6:$Z$6,K$7,'Phase 2 Pro Forma'!$AW$45:$BQ$45)+SUMIF('Phase 3 Pro Forma'!$F$6:$Z$6,K$7,'Phase 3 Pro Forma'!$F$91:$Z$91)+SUMIF('Phase 1 Pro Forma'!$F$6:$Z$6,K$7,'Phase 1 Pro Forma'!$AQ$121:$BK$121)+SUMIF('Phase 2 Pro Forma'!$F$6:$Z$6,K$7,'Phase 2 Pro Forma'!$BD$150:$BQ$150)+SUMIF('Phase 3 Pro Forma'!$F$6:$Z$6,K$7,'Phase 3 Pro Forma'!$F$196:$Z$196)+SUMIF('Phase 1 Pro Forma'!$F$6:$Z$6,K$7,'Phase 1 Pro Forma'!$AQ$74:$BK$74)+SUMIF('Phase 2 Pro Forma'!$F$6:$Z$6,K$7,'Phase 2 Pro Forma'!$AW$99:$BQ$99)+SUMIF('Phase 3 Pro Forma'!$F$6:$Z$6,K$7,'Phase 3 Pro Forma'!$F$145:$Z$145)</f>
        <v>0</v>
      </c>
      <c r="M70" s="306">
        <f ca="1">+SUMIF('Phase 1 Pro Forma'!$F$6:$Z$6,L$7,'Phase 1 Pro Forma'!$F$33:$Z$33)+SUMIF('Phase 2 Pro Forma'!$F$6:$Z$6,L$7,'Phase 2 Pro Forma'!$F$37:$Z$37)+SUMIF('Phase 3 Pro Forma'!$F$6:$Z$6,L$7,'Phase 3 Pro Forma'!$F$37:$Z$37)+SUMIF('Phase 1 Pro Forma'!$F$6:$Z$6,L$7,'Phase 1 Pro Forma'!$AQ$28:$BK$28)+SUMIF('Phase 2 Pro Forma'!$F$6:$Z$6,L$7,'Phase 2 Pro Forma'!$AW$45:$BQ$45)+SUMIF('Phase 3 Pro Forma'!$F$6:$Z$6,L$7,'Phase 3 Pro Forma'!$F$91:$Z$91)+SUMIF('Phase 1 Pro Forma'!$F$6:$Z$6,L$7,'Phase 1 Pro Forma'!$AQ$121:$BK$121)+SUMIF('Phase 2 Pro Forma'!$F$6:$Z$6,L$7,'Phase 2 Pro Forma'!$BD$150:$BQ$150)+SUMIF('Phase 3 Pro Forma'!$F$6:$Z$6,L$7,'Phase 3 Pro Forma'!$F$196:$Z$196)+SUMIF('Phase 1 Pro Forma'!$F$6:$Z$6,L$7,'Phase 1 Pro Forma'!$AQ$74:$BK$74)+SUMIF('Phase 2 Pro Forma'!$F$6:$Z$6,L$7,'Phase 2 Pro Forma'!$AW$99:$BQ$99)+SUMIF('Phase 3 Pro Forma'!$F$6:$Z$6,L$7,'Phase 3 Pro Forma'!$F$145:$Z$145)</f>
        <v>139.92769205335503</v>
      </c>
      <c r="N70" s="306">
        <f ca="1">+SUMIF('Phase 1 Pro Forma'!$F$6:$Z$6,M$7,'Phase 1 Pro Forma'!$F$33:$Z$33)+SUMIF('Phase 2 Pro Forma'!$F$6:$Z$6,M$7,'Phase 2 Pro Forma'!$F$37:$Z$37)+SUMIF('Phase 3 Pro Forma'!$F$6:$Z$6,M$7,'Phase 3 Pro Forma'!$F$37:$Z$37)+SUMIF('Phase 1 Pro Forma'!$F$6:$Z$6,M$7,'Phase 1 Pro Forma'!$AQ$28:$BK$28)+SUMIF('Phase 2 Pro Forma'!$F$6:$Z$6,M$7,'Phase 2 Pro Forma'!$AW$45:$BQ$45)+SUMIF('Phase 3 Pro Forma'!$F$6:$Z$6,M$7,'Phase 3 Pro Forma'!$F$91:$Z$91)+SUMIF('Phase 1 Pro Forma'!$F$6:$Z$6,M$7,'Phase 1 Pro Forma'!$AQ$121:$BK$121)+SUMIF('Phase 2 Pro Forma'!$F$6:$Z$6,M$7,'Phase 2 Pro Forma'!$BD$150:$BQ$150)+SUMIF('Phase 3 Pro Forma'!$F$6:$Z$6,M$7,'Phase 3 Pro Forma'!$F$196:$Z$196)+SUMIF('Phase 1 Pro Forma'!$F$6:$Z$6,M$7,'Phase 1 Pro Forma'!$AQ$74:$BK$74)+SUMIF('Phase 2 Pro Forma'!$F$6:$Z$6,M$7,'Phase 2 Pro Forma'!$AW$99:$BQ$99)+SUMIF('Phase 3 Pro Forma'!$F$6:$Z$6,M$7,'Phase 3 Pro Forma'!$F$145:$Z$145)</f>
        <v>0</v>
      </c>
    </row>
    <row r="71" spans="2:14" ht="18" customHeight="1">
      <c r="B71" s="318" t="s">
        <v>178</v>
      </c>
      <c r="C71" s="285"/>
      <c r="D71" s="295" t="s">
        <v>211</v>
      </c>
      <c r="E71" s="306">
        <f>+SUMIF('Phase 1 Pro Forma'!$F$6:$Z$6,D$7,'Phase 1 Pro Forma'!$F$250:$Z$250)+SUMIF('Phase 2 Pro Forma'!$F$6:$Z$6,D$7,'Phase 2 Pro Forma'!$F$304:$Z$304)+SUMIF('Phase 3 Pro Forma'!$F$6:$Z$6,D$7,'Phase 3 Pro Forma'!$F$502:$Z$502)</f>
        <v>0</v>
      </c>
      <c r="F71" s="306">
        <f>+SUMIF('Phase 1 Pro Forma'!$F$6:$Z$6,E$7,'Phase 1 Pro Forma'!$F$250:$Z$250)+SUMIF('Phase 2 Pro Forma'!$F$6:$Z$6,E$7,'Phase 2 Pro Forma'!$F$304:$Z$304)+SUMIF('Phase 3 Pro Forma'!$F$6:$Z$6,E$7,'Phase 3 Pro Forma'!$F$502:$Z$502)</f>
        <v>0</v>
      </c>
      <c r="G71" s="306">
        <f>+SUMIF('Phase 1 Pro Forma'!$F$6:$Z$6,F$7,'Phase 1 Pro Forma'!$F$250:$Z$250)+SUMIF('Phase 2 Pro Forma'!$F$6:$Z$6,F$7,'Phase 2 Pro Forma'!$F$304:$Z$304)+SUMIF('Phase 3 Pro Forma'!$F$6:$Z$6,F$7,'Phase 3 Pro Forma'!$F$502:$Z$502)</f>
        <v>0</v>
      </c>
      <c r="H71" s="306">
        <f>+SUMIF('Phase 1 Pro Forma'!$F$6:$Z$6,G$7,'Phase 1 Pro Forma'!$F$250:$Z$250)+SUMIF('Phase 2 Pro Forma'!$F$6:$Z$6,G$7,'Phase 2 Pro Forma'!$F$304:$Z$304)+SUMIF('Phase 3 Pro Forma'!$F$6:$Z$6,G$7,'Phase 3 Pro Forma'!$F$502:$Z$502)</f>
        <v>0</v>
      </c>
      <c r="I71" s="306">
        <f>+SUMIF('Phase 1 Pro Forma'!$F$6:$Z$6,H$7,'Phase 1 Pro Forma'!$F$250:$Z$250)+SUMIF('Phase 2 Pro Forma'!$F$6:$Z$6,H$7,'Phase 2 Pro Forma'!$F$304:$Z$304)+SUMIF('Phase 3 Pro Forma'!$F$6:$Z$6,H$7,'Phase 3 Pro Forma'!$F$502:$Z$502)</f>
        <v>54.887111812500002</v>
      </c>
      <c r="J71" s="306">
        <f>+SUMIF('Phase 1 Pro Forma'!$F$6:$Z$6,I$7,'Phase 1 Pro Forma'!$F$250:$Z$250)+SUMIF('Phase 2 Pro Forma'!$F$6:$Z$6,I$7,'Phase 2 Pro Forma'!$F$304:$Z$304)+SUMIF('Phase 3 Pro Forma'!$F$6:$Z$6,I$7,'Phase 3 Pro Forma'!$F$502:$Z$502)</f>
        <v>0</v>
      </c>
      <c r="K71" s="306">
        <f>+SUMIF('Phase 1 Pro Forma'!$F$6:$Z$6,J$7,'Phase 1 Pro Forma'!$F$250:$Z$250)+SUMIF('Phase 2 Pro Forma'!$F$6:$Z$6,J$7,'Phase 2 Pro Forma'!$F$304:$Z$304)+SUMIF('Phase 3 Pro Forma'!$F$6:$Z$6,J$7,'Phase 3 Pro Forma'!$F$502:$Z$502)</f>
        <v>39.847013593750006</v>
      </c>
      <c r="L71" s="306">
        <f>+SUMIF('Phase 1 Pro Forma'!$F$6:$Z$6,K$7,'Phase 1 Pro Forma'!$F$250:$Z$250)+SUMIF('Phase 2 Pro Forma'!$F$6:$Z$6,K$7,'Phase 2 Pro Forma'!$F$304:$Z$304)+SUMIF('Phase 3 Pro Forma'!$F$6:$Z$6,K$7,'Phase 3 Pro Forma'!$F$502:$Z$502)</f>
        <v>0</v>
      </c>
      <c r="M71" s="306">
        <f>+SUMIF('Phase 1 Pro Forma'!$F$6:$Z$6,L$7,'Phase 1 Pro Forma'!$F$250:$Z$250)+SUMIF('Phase 2 Pro Forma'!$F$6:$Z$6,L$7,'Phase 2 Pro Forma'!$F$304:$Z$304)+SUMIF('Phase 3 Pro Forma'!$F$6:$Z$6,L$7,'Phase 3 Pro Forma'!$F$502:$Z$502)</f>
        <v>38.627360000000003</v>
      </c>
      <c r="N71" s="306">
        <f>+SUMIF('Phase 1 Pro Forma'!$F$6:$Z$6,M$7,'Phase 1 Pro Forma'!$F$250:$Z$250)+SUMIF('Phase 2 Pro Forma'!$F$6:$Z$6,M$7,'Phase 2 Pro Forma'!$F$304:$Z$304)+SUMIF('Phase 3 Pro Forma'!$F$6:$Z$6,M$7,'Phase 3 Pro Forma'!$F$502:$Z$502)</f>
        <v>0</v>
      </c>
    </row>
    <row r="72" spans="2:14" ht="18" customHeight="1">
      <c r="B72" s="318" t="s">
        <v>157</v>
      </c>
      <c r="C72" s="285"/>
      <c r="D72" s="295" t="s">
        <v>211</v>
      </c>
      <c r="E72" s="306">
        <f ca="1">+SUMIF('Phase 1 Pro Forma'!$F$6:$Z$6,D$7,'Phase 1 Pro Forma'!$F$10:$Z$10)+SUMIF('Phase 2 Pro Forma'!$F$6:$Z$6,D$7,'Phase 2 Pro Forma'!$F$10:$Z$10)+SUMIF('Phase 3 Pro Forma'!$F$6:$Z$6,D$7,'Phase 3 Pro Forma'!$F$10:$Z$10)+SUMIF('Phase 1 Pro Forma'!$F$6:$Z$6,D$7,'Phase 1 Pro Forma'!$AQ$5:$BK$5)+SUMIF('Phase 2 Pro Forma'!$F$6:$Z$6,D$7,'Phase 2 Pro Forma'!$AW$18:$BQ$18)+SUMIF('Phase 3 Pro Forma'!$F$6:$Z$6,D$7,'Phase 3 Pro Forma'!$F$64:$Z$64) +SUMIF('Phase 1 Pro Forma'!$F$6:$Z$6,D$7,'Phase 1 Pro Forma'!$AQ$97:$BK$97)+SUMIF('Phase 2 Pro Forma'!$F$6:$Z$6,D$7,'Phase 2 Pro Forma'!$BD$126:$BQ$126)+SUMIF('Phase 3 Pro Forma'!$F$6:$Z$6,D$7,'Phase 3 Pro Forma'!$F$172:$Z$172)+SUMIF('Phase 1 Pro Forma'!$F$6:$Z$6,D$7,'Phase 1 Pro Forma'!$AQ$51:$BK$51)+SUMIF('Phase 2 Pro Forma'!$F$6:$Z$6,D$7,'Phase 2 Pro Forma'!$AW$72:$BQ$72)+SUMIF('Phase 3 Pro Forma'!$F$6:$Z$6,D$7,'Phase 3 Pro Forma'!$F$118:$Z$118)</f>
        <v>0</v>
      </c>
      <c r="F72" s="306">
        <f ca="1">+SUMIF('Phase 1 Pro Forma'!$F$6:$Z$6,E$7,'Phase 1 Pro Forma'!$F$10:$Z$10)+SUMIF('Phase 2 Pro Forma'!$F$6:$Z$6,E$7,'Phase 2 Pro Forma'!$F$10:$Z$10)+SUMIF('Phase 3 Pro Forma'!$F$6:$Z$6,E$7,'Phase 3 Pro Forma'!$F$10:$Z$10)+SUMIF('Phase 1 Pro Forma'!$F$6:$Z$6,E$7,'Phase 1 Pro Forma'!$AQ$5:$BK$5)+SUMIF('Phase 2 Pro Forma'!$F$6:$Z$6,E$7,'Phase 2 Pro Forma'!$AW$18:$BQ$18)+SUMIF('Phase 3 Pro Forma'!$F$6:$Z$6,E$7,'Phase 3 Pro Forma'!$F$64:$Z$64) +SUMIF('Phase 1 Pro Forma'!$F$6:$Z$6,E$7,'Phase 1 Pro Forma'!$AQ$97:$BK$97)+SUMIF('Phase 2 Pro Forma'!$F$6:$Z$6,E$7,'Phase 2 Pro Forma'!$BD$126:$BQ$126)+SUMIF('Phase 3 Pro Forma'!$F$6:$Z$6,E$7,'Phase 3 Pro Forma'!$F$172:$Z$172)+SUMIF('Phase 1 Pro Forma'!$F$6:$Z$6,E$7,'Phase 1 Pro Forma'!$AQ$51:$BK$51)+SUMIF('Phase 2 Pro Forma'!$F$6:$Z$6,E$7,'Phase 2 Pro Forma'!$AW$72:$BQ$72)+SUMIF('Phase 3 Pro Forma'!$F$6:$Z$6,E$7,'Phase 3 Pro Forma'!$F$118:$Z$118)</f>
        <v>0</v>
      </c>
      <c r="G72" s="306">
        <f ca="1">+SUMIF('Phase 1 Pro Forma'!$F$6:$Z$6,F$7,'Phase 1 Pro Forma'!$F$10:$Z$10)+SUMIF('Phase 2 Pro Forma'!$F$6:$Z$6,F$7,'Phase 2 Pro Forma'!$F$10:$Z$10)+SUMIF('Phase 3 Pro Forma'!$F$6:$Z$6,F$7,'Phase 3 Pro Forma'!$F$10:$Z$10)+SUMIF('Phase 1 Pro Forma'!$F$6:$Z$6,F$7,'Phase 1 Pro Forma'!$AQ$5:$BK$5)+SUMIF('Phase 2 Pro Forma'!$F$6:$Z$6,F$7,'Phase 2 Pro Forma'!$AW$18:$BQ$18)+SUMIF('Phase 3 Pro Forma'!$F$6:$Z$6,F$7,'Phase 3 Pro Forma'!$F$64:$Z$64) +SUMIF('Phase 1 Pro Forma'!$F$6:$Z$6,F$7,'Phase 1 Pro Forma'!$AQ$97:$BK$97)+SUMIF('Phase 2 Pro Forma'!$F$6:$Z$6,F$7,'Phase 2 Pro Forma'!$BD$126:$BQ$126)+SUMIF('Phase 3 Pro Forma'!$F$6:$Z$6,F$7,'Phase 3 Pro Forma'!$F$172:$Z$172)+SUMIF('Phase 1 Pro Forma'!$F$6:$Z$6,F$7,'Phase 1 Pro Forma'!$AQ$51:$BK$51)+SUMIF('Phase 2 Pro Forma'!$F$6:$Z$6,F$7,'Phase 2 Pro Forma'!$AW$72:$BQ$72)+SUMIF('Phase 3 Pro Forma'!$F$6:$Z$6,F$7,'Phase 3 Pro Forma'!$F$118:$Z$118)</f>
        <v>0</v>
      </c>
      <c r="H72" s="306">
        <f ca="1">+SUMIF('Phase 1 Pro Forma'!$F$6:$Z$6,G$7,'Phase 1 Pro Forma'!$F$10:$Z$10)+SUMIF('Phase 2 Pro Forma'!$F$6:$Z$6,G$7,'Phase 2 Pro Forma'!$F$10:$Z$10)+SUMIF('Phase 3 Pro Forma'!$F$6:$Z$6,G$7,'Phase 3 Pro Forma'!$F$10:$Z$10)+SUMIF('Phase 1 Pro Forma'!$F$6:$Z$6,G$7,'Phase 1 Pro Forma'!$AQ$5:$BK$5)+SUMIF('Phase 2 Pro Forma'!$F$6:$Z$6,G$7,'Phase 2 Pro Forma'!$AW$18:$BQ$18)+SUMIF('Phase 3 Pro Forma'!$F$6:$Z$6,G$7,'Phase 3 Pro Forma'!$F$64:$Z$64) +SUMIF('Phase 1 Pro Forma'!$F$6:$Z$6,G$7,'Phase 1 Pro Forma'!$AQ$97:$BK$97)+SUMIF('Phase 2 Pro Forma'!$F$6:$Z$6,G$7,'Phase 2 Pro Forma'!$BD$126:$BQ$126)+SUMIF('Phase 3 Pro Forma'!$F$6:$Z$6,G$7,'Phase 3 Pro Forma'!$F$172:$Z$172)+SUMIF('Phase 1 Pro Forma'!$F$6:$Z$6,G$7,'Phase 1 Pro Forma'!$AQ$51:$BK$51)+SUMIF('Phase 2 Pro Forma'!$F$6:$Z$6,G$7,'Phase 2 Pro Forma'!$AW$72:$BQ$72)+SUMIF('Phase 3 Pro Forma'!$F$6:$Z$6,G$7,'Phase 3 Pro Forma'!$F$118:$Z$118)</f>
        <v>0</v>
      </c>
      <c r="I72" s="306">
        <f ca="1">+SUMIF('Phase 1 Pro Forma'!$F$6:$Z$6,H$7,'Phase 1 Pro Forma'!$F$10:$Z$10)+SUMIF('Phase 2 Pro Forma'!$F$6:$Z$6,H$7,'Phase 2 Pro Forma'!$F$10:$Z$10)+SUMIF('Phase 3 Pro Forma'!$F$6:$Z$6,H$7,'Phase 3 Pro Forma'!$F$10:$Z$10)+SUMIF('Phase 1 Pro Forma'!$F$6:$Z$6,H$7,'Phase 1 Pro Forma'!$AQ$5:$BK$5)+SUMIF('Phase 2 Pro Forma'!$F$6:$Z$6,H$7,'Phase 2 Pro Forma'!$AW$18:$BQ$18)+SUMIF('Phase 3 Pro Forma'!$F$6:$Z$6,H$7,'Phase 3 Pro Forma'!$F$64:$Z$64) +SUMIF('Phase 1 Pro Forma'!$F$6:$Z$6,H$7,'Phase 1 Pro Forma'!$AQ$97:$BK$97)+SUMIF('Phase 2 Pro Forma'!$F$6:$Z$6,H$7,'Phase 2 Pro Forma'!$BD$126:$BQ$126)+SUMIF('Phase 3 Pro Forma'!$F$6:$Z$6,H$7,'Phase 3 Pro Forma'!$F$172:$Z$172)+SUMIF('Phase 1 Pro Forma'!$F$6:$Z$6,H$7,'Phase 1 Pro Forma'!$AQ$51:$BK$51)+SUMIF('Phase 2 Pro Forma'!$F$6:$Z$6,H$7,'Phase 2 Pro Forma'!$AW$72:$BQ$72)+SUMIF('Phase 3 Pro Forma'!$F$6:$Z$6,H$7,'Phase 3 Pro Forma'!$F$118:$Z$118)</f>
        <v>151.421061756592</v>
      </c>
      <c r="J72" s="306">
        <f ca="1">+SUMIF('Phase 1 Pro Forma'!$F$6:$Z$6,I$7,'Phase 1 Pro Forma'!$F$10:$Z$10)+SUMIF('Phase 2 Pro Forma'!$F$6:$Z$6,I$7,'Phase 2 Pro Forma'!$F$10:$Z$10)+SUMIF('Phase 3 Pro Forma'!$F$6:$Z$6,I$7,'Phase 3 Pro Forma'!$F$10:$Z$10)+SUMIF('Phase 1 Pro Forma'!$F$6:$Z$6,I$7,'Phase 1 Pro Forma'!$AQ$5:$BK$5)+SUMIF('Phase 2 Pro Forma'!$F$6:$Z$6,I$7,'Phase 2 Pro Forma'!$AW$18:$BQ$18)+SUMIF('Phase 3 Pro Forma'!$F$6:$Z$6,I$7,'Phase 3 Pro Forma'!$F$64:$Z$64) +SUMIF('Phase 1 Pro Forma'!$F$6:$Z$6,I$7,'Phase 1 Pro Forma'!$AQ$97:$BK$97)+SUMIF('Phase 2 Pro Forma'!$F$6:$Z$6,I$7,'Phase 2 Pro Forma'!$BD$126:$BQ$126)+SUMIF('Phase 3 Pro Forma'!$F$6:$Z$6,I$7,'Phase 3 Pro Forma'!$F$172:$Z$172)+SUMIF('Phase 1 Pro Forma'!$F$6:$Z$6,I$7,'Phase 1 Pro Forma'!$AQ$51:$BK$51)+SUMIF('Phase 2 Pro Forma'!$F$6:$Z$6,I$7,'Phase 2 Pro Forma'!$AW$72:$BQ$72)+SUMIF('Phase 3 Pro Forma'!$F$6:$Z$6,I$7,'Phase 3 Pro Forma'!$F$118:$Z$118)</f>
        <v>0</v>
      </c>
      <c r="K72" s="306">
        <f ca="1">+SUMIF('Phase 1 Pro Forma'!$F$6:$Z$6,J$7,'Phase 1 Pro Forma'!$F$10:$Z$10)+SUMIF('Phase 2 Pro Forma'!$F$6:$Z$6,J$7,'Phase 2 Pro Forma'!$F$10:$Z$10)+SUMIF('Phase 3 Pro Forma'!$F$6:$Z$6,J$7,'Phase 3 Pro Forma'!$F$10:$Z$10)+SUMIF('Phase 1 Pro Forma'!$F$6:$Z$6,J$7,'Phase 1 Pro Forma'!$AQ$5:$BK$5)+SUMIF('Phase 2 Pro Forma'!$F$6:$Z$6,J$7,'Phase 2 Pro Forma'!$AW$18:$BQ$18)+SUMIF('Phase 3 Pro Forma'!$F$6:$Z$6,J$7,'Phase 3 Pro Forma'!$F$64:$Z$64) +SUMIF('Phase 1 Pro Forma'!$F$6:$Z$6,J$7,'Phase 1 Pro Forma'!$AQ$97:$BK$97)+SUMIF('Phase 2 Pro Forma'!$F$6:$Z$6,J$7,'Phase 2 Pro Forma'!$BD$126:$BQ$126)+SUMIF('Phase 3 Pro Forma'!$F$6:$Z$6,J$7,'Phase 3 Pro Forma'!$F$172:$Z$172)+SUMIF('Phase 1 Pro Forma'!$F$6:$Z$6,J$7,'Phase 1 Pro Forma'!$AQ$51:$BK$51)+SUMIF('Phase 2 Pro Forma'!$F$6:$Z$6,J$7,'Phase 2 Pro Forma'!$AW$72:$BQ$72)+SUMIF('Phase 3 Pro Forma'!$F$6:$Z$6,J$7,'Phase 3 Pro Forma'!$F$118:$Z$118)</f>
        <v>109.9288504523</v>
      </c>
      <c r="L72" s="306">
        <f ca="1">+SUMIF('Phase 1 Pro Forma'!$F$6:$Z$6,K$7,'Phase 1 Pro Forma'!$F$10:$Z$10)+SUMIF('Phase 2 Pro Forma'!$F$6:$Z$6,K$7,'Phase 2 Pro Forma'!$F$10:$Z$10)+SUMIF('Phase 3 Pro Forma'!$F$6:$Z$6,K$7,'Phase 3 Pro Forma'!$F$10:$Z$10)+SUMIF('Phase 1 Pro Forma'!$F$6:$Z$6,K$7,'Phase 1 Pro Forma'!$AQ$5:$BK$5)+SUMIF('Phase 2 Pro Forma'!$F$6:$Z$6,K$7,'Phase 2 Pro Forma'!$AW$18:$BQ$18)+SUMIF('Phase 3 Pro Forma'!$F$6:$Z$6,K$7,'Phase 3 Pro Forma'!$F$64:$Z$64) +SUMIF('Phase 1 Pro Forma'!$F$6:$Z$6,K$7,'Phase 1 Pro Forma'!$AQ$97:$BK$97)+SUMIF('Phase 2 Pro Forma'!$F$6:$Z$6,K$7,'Phase 2 Pro Forma'!$BD$126:$BQ$126)+SUMIF('Phase 3 Pro Forma'!$F$6:$Z$6,K$7,'Phase 3 Pro Forma'!$F$172:$Z$172)+SUMIF('Phase 1 Pro Forma'!$F$6:$Z$6,K$7,'Phase 1 Pro Forma'!$AQ$51:$BK$51)+SUMIF('Phase 2 Pro Forma'!$F$6:$Z$6,K$7,'Phase 2 Pro Forma'!$AW$72:$BQ$72)+SUMIF('Phase 3 Pro Forma'!$F$6:$Z$6,K$7,'Phase 3 Pro Forma'!$F$118:$Z$118)</f>
        <v>0</v>
      </c>
      <c r="M72" s="306">
        <f ca="1">+SUMIF('Phase 1 Pro Forma'!$F$6:$Z$6,L$7,'Phase 1 Pro Forma'!$F$10:$Z$10)+SUMIF('Phase 2 Pro Forma'!$F$6:$Z$6,L$7,'Phase 2 Pro Forma'!$F$10:$Z$10)+SUMIF('Phase 3 Pro Forma'!$F$6:$Z$6,L$7,'Phase 3 Pro Forma'!$F$10:$Z$10)+SUMIF('Phase 1 Pro Forma'!$F$6:$Z$6,L$7,'Phase 1 Pro Forma'!$AQ$5:$BK$5)+SUMIF('Phase 2 Pro Forma'!$F$6:$Z$6,L$7,'Phase 2 Pro Forma'!$AW$18:$BQ$18)+SUMIF('Phase 3 Pro Forma'!$F$6:$Z$6,L$7,'Phase 3 Pro Forma'!$F$64:$Z$64) +SUMIF('Phase 1 Pro Forma'!$F$6:$Z$6,L$7,'Phase 1 Pro Forma'!$AQ$97:$BK$97)+SUMIF('Phase 2 Pro Forma'!$F$6:$Z$6,L$7,'Phase 2 Pro Forma'!$BD$126:$BQ$126)+SUMIF('Phase 3 Pro Forma'!$F$6:$Z$6,L$7,'Phase 3 Pro Forma'!$F$172:$Z$172)+SUMIF('Phase 1 Pro Forma'!$F$6:$Z$6,L$7,'Phase 1 Pro Forma'!$AQ$51:$BK$51)+SUMIF('Phase 2 Pro Forma'!$F$6:$Z$6,L$7,'Phase 2 Pro Forma'!$AW$72:$BQ$72)+SUMIF('Phase 3 Pro Forma'!$F$6:$Z$6,L$7,'Phase 3 Pro Forma'!$F$118:$Z$118)</f>
        <v>60.278130852633616</v>
      </c>
      <c r="N72" s="306">
        <f ca="1">+SUMIF('Phase 1 Pro Forma'!$F$6:$Z$6,M$7,'Phase 1 Pro Forma'!$F$10:$Z$10)+SUMIF('Phase 2 Pro Forma'!$F$6:$Z$6,M$7,'Phase 2 Pro Forma'!$F$10:$Z$10)+SUMIF('Phase 3 Pro Forma'!$F$6:$Z$6,M$7,'Phase 3 Pro Forma'!$F$10:$Z$10)+SUMIF('Phase 1 Pro Forma'!$F$6:$Z$6,M$7,'Phase 1 Pro Forma'!$AQ$5:$BK$5)+SUMIF('Phase 2 Pro Forma'!$F$6:$Z$6,M$7,'Phase 2 Pro Forma'!$AW$18:$BQ$18)+SUMIF('Phase 3 Pro Forma'!$F$6:$Z$6,M$7,'Phase 3 Pro Forma'!$F$64:$Z$64) +SUMIF('Phase 1 Pro Forma'!$F$6:$Z$6,M$7,'Phase 1 Pro Forma'!$AQ$97:$BK$97)+SUMIF('Phase 2 Pro Forma'!$F$6:$Z$6,M$7,'Phase 2 Pro Forma'!$BD$126:$BQ$126)+SUMIF('Phase 3 Pro Forma'!$F$6:$Z$6,M$7,'Phase 3 Pro Forma'!$F$172:$Z$172)+SUMIF('Phase 1 Pro Forma'!$F$6:$Z$6,M$7,'Phase 1 Pro Forma'!$AQ$51:$BK$51)+SUMIF('Phase 2 Pro Forma'!$F$6:$Z$6,M$7,'Phase 2 Pro Forma'!$AW$72:$BQ$72)+SUMIF('Phase 3 Pro Forma'!$F$6:$Z$6,M$7,'Phase 3 Pro Forma'!$F$118:$Z$118)</f>
        <v>0</v>
      </c>
    </row>
    <row r="73" spans="2:14" ht="18" customHeight="1">
      <c r="B73" s="318" t="s">
        <v>179</v>
      </c>
      <c r="C73" s="286"/>
      <c r="D73" s="295" t="s">
        <v>211</v>
      </c>
      <c r="E73" s="306">
        <f>+SUMIF('Phase 1 Pro Forma'!$F$6:$Z$6,D$7,'Phase 1 Pro Forma'!$F$226:$Z$226)+SUMIF('Phase 2 Pro Forma'!$F$6:$Z$6,D$7,'Phase 2 Pro Forma'!$F$280:$Z$280)+SUMIF('Phase 3 Pro Forma'!$F$6:$Z$6,D$7,'Phase 3 Pro Forma'!$F$478:$Z$478)</f>
        <v>0</v>
      </c>
      <c r="F73" s="306">
        <f>+SUMIF('Phase 1 Pro Forma'!$F$6:$Z$6,E$7,'Phase 1 Pro Forma'!$F$226:$Z$226)+SUMIF('Phase 2 Pro Forma'!$F$6:$Z$6,E$7,'Phase 2 Pro Forma'!$F$280:$Z$280)+SUMIF('Phase 3 Pro Forma'!$F$6:$Z$6,E$7,'Phase 3 Pro Forma'!$F$478:$Z$478)</f>
        <v>0</v>
      </c>
      <c r="G73" s="306">
        <f>+SUMIF('Phase 1 Pro Forma'!$F$6:$Z$6,F$7,'Phase 1 Pro Forma'!$F$226:$Z$226)+SUMIF('Phase 2 Pro Forma'!$F$6:$Z$6,F$7,'Phase 2 Pro Forma'!$F$280:$Z$280)+SUMIF('Phase 3 Pro Forma'!$F$6:$Z$6,F$7,'Phase 3 Pro Forma'!$F$478:$Z$478)</f>
        <v>0</v>
      </c>
      <c r="H73" s="306">
        <f>+SUMIF('Phase 1 Pro Forma'!$F$6:$Z$6,G$7,'Phase 1 Pro Forma'!$F$226:$Z$226)+SUMIF('Phase 2 Pro Forma'!$F$6:$Z$6,G$7,'Phase 2 Pro Forma'!$F$280:$Z$280)+SUMIF('Phase 3 Pro Forma'!$F$6:$Z$6,G$7,'Phase 3 Pro Forma'!$F$478:$Z$478)</f>
        <v>0</v>
      </c>
      <c r="I73" s="306">
        <f>+SUMIF('Phase 1 Pro Forma'!$F$6:$Z$6,H$7,'Phase 1 Pro Forma'!$F$226:$Z$226)+SUMIF('Phase 2 Pro Forma'!$F$6:$Z$6,H$7,'Phase 2 Pro Forma'!$F$280:$Z$280)+SUMIF('Phase 3 Pro Forma'!$F$6:$Z$6,H$7,'Phase 3 Pro Forma'!$F$478:$Z$478)</f>
        <v>19.416133125000005</v>
      </c>
      <c r="J73" s="306">
        <f>+SUMIF('Phase 1 Pro Forma'!$F$6:$Z$6,I$7,'Phase 1 Pro Forma'!$F$226:$Z$226)+SUMIF('Phase 2 Pro Forma'!$F$6:$Z$6,I$7,'Phase 2 Pro Forma'!$F$280:$Z$280)+SUMIF('Phase 3 Pro Forma'!$F$6:$Z$6,I$7,'Phase 3 Pro Forma'!$F$478:$Z$478)</f>
        <v>0</v>
      </c>
      <c r="K73" s="306">
        <f>+SUMIF('Phase 1 Pro Forma'!$F$6:$Z$6,J$7,'Phase 1 Pro Forma'!$F$226:$Z$226)+SUMIF('Phase 2 Pro Forma'!$F$6:$Z$6,J$7,'Phase 2 Pro Forma'!$F$280:$Z$280)+SUMIF('Phase 3 Pro Forma'!$F$6:$Z$6,J$7,'Phase 3 Pro Forma'!$F$478:$Z$478)</f>
        <v>14.095748437499999</v>
      </c>
      <c r="L73" s="306">
        <f>+SUMIF('Phase 1 Pro Forma'!$F$6:$Z$6,K$7,'Phase 1 Pro Forma'!$F$226:$Z$226)+SUMIF('Phase 2 Pro Forma'!$F$6:$Z$6,K$7,'Phase 2 Pro Forma'!$F$280:$Z$280)+SUMIF('Phase 3 Pro Forma'!$F$6:$Z$6,K$7,'Phase 3 Pro Forma'!$F$478:$Z$478)</f>
        <v>0</v>
      </c>
      <c r="M73" s="306">
        <f>+SUMIF('Phase 1 Pro Forma'!$F$6:$Z$6,L$7,'Phase 1 Pro Forma'!$F$226:$Z$226)+SUMIF('Phase 2 Pro Forma'!$F$6:$Z$6,L$7,'Phase 2 Pro Forma'!$F$280:$Z$280)+SUMIF('Phase 3 Pro Forma'!$F$6:$Z$6,L$7,'Phase 3 Pro Forma'!$F$478:$Z$478)</f>
        <v>6.2162666666666668</v>
      </c>
      <c r="N73" s="306">
        <f>+SUMIF('Phase 1 Pro Forma'!$F$6:$Z$6,M$7,'Phase 1 Pro Forma'!$F$226:$Z$226)+SUMIF('Phase 2 Pro Forma'!$F$6:$Z$6,M$7,'Phase 2 Pro Forma'!$F$280:$Z$280)+SUMIF('Phase 3 Pro Forma'!$F$6:$Z$6,M$7,'Phase 3 Pro Forma'!$F$478:$Z$478)</f>
        <v>6.2162666666666668</v>
      </c>
    </row>
    <row r="74" spans="2:14" ht="18" customHeight="1">
      <c r="B74" s="318" t="s">
        <v>212</v>
      </c>
      <c r="C74" s="286"/>
      <c r="D74" s="295" t="s">
        <v>213</v>
      </c>
      <c r="E74" s="306">
        <f>+SUMIF('Phase 1 Pro Forma'!$F$6:$Z$6,D$7,'Phase 1 Pro Forma'!$F$155:$Z$155)+SUMIF('Phase 2 Pro Forma'!$F$6:$Z$6,D$7,'Phase 2 Pro Forma'!$F$164:$Z$164)+SUMIF('Phase 3 Pro Forma'!$F$6:$Z$6,D$7,'Phase 3 Pro Forma'!$F$362:$Z$362)</f>
        <v>0</v>
      </c>
      <c r="F74" s="306">
        <f>+SUMIF('Phase 1 Pro Forma'!$F$6:$Z$6,E$7,'Phase 1 Pro Forma'!$F$155:$Z$155)+SUMIF('Phase 2 Pro Forma'!$F$6:$Z$6,E$7,'Phase 2 Pro Forma'!$F$164:$Z$164)+SUMIF('Phase 3 Pro Forma'!$F$6:$Z$6,E$7,'Phase 3 Pro Forma'!$F$362:$Z$362)</f>
        <v>0</v>
      </c>
      <c r="G74" s="306">
        <f>+SUMIF('Phase 1 Pro Forma'!$F$6:$Z$6,F$7,'Phase 1 Pro Forma'!$F$155:$Z$155)+SUMIF('Phase 2 Pro Forma'!$F$6:$Z$6,F$7,'Phase 2 Pro Forma'!$F$164:$Z$164)+SUMIF('Phase 3 Pro Forma'!$F$6:$Z$6,F$7,'Phase 3 Pro Forma'!$F$362:$Z$362)</f>
        <v>0</v>
      </c>
      <c r="H74" s="306">
        <f>+SUMIF('Phase 1 Pro Forma'!$F$6:$Z$6,G$7,'Phase 1 Pro Forma'!$F$155:$Z$155)+SUMIF('Phase 2 Pro Forma'!$F$6:$Z$6,G$7,'Phase 2 Pro Forma'!$F$164:$Z$164)+SUMIF('Phase 3 Pro Forma'!$F$6:$Z$6,G$7,'Phase 3 Pro Forma'!$F$362:$Z$362)</f>
        <v>0</v>
      </c>
      <c r="I74" s="306">
        <f>+SUMIF('Phase 1 Pro Forma'!$F$6:$Z$6,H$7,'Phase 1 Pro Forma'!$F$155:$Z$155)+SUMIF('Phase 2 Pro Forma'!$F$6:$Z$6,H$7,'Phase 2 Pro Forma'!$F$164:$Z$164)+SUMIF('Phase 3 Pro Forma'!$F$6:$Z$6,H$7,'Phase 3 Pro Forma'!$F$362:$Z$362)</f>
        <v>0</v>
      </c>
      <c r="J74" s="306">
        <f>+SUMIF('Phase 1 Pro Forma'!$F$6:$Z$6,I$7,'Phase 1 Pro Forma'!$F$155:$Z$155)+SUMIF('Phase 2 Pro Forma'!$F$6:$Z$6,I$7,'Phase 2 Pro Forma'!$F$164:$Z$164)+SUMIF('Phase 3 Pro Forma'!$F$6:$Z$6,I$7,'Phase 3 Pro Forma'!$F$362:$Z$362)</f>
        <v>0</v>
      </c>
      <c r="K74" s="306">
        <f ca="1">+SUMIF('Phase 1 Pro Forma'!$F$6:$Z$6,J$7,'Phase 1 Pro Forma'!$F$155:$Z$155)+SUMIF('Phase 2 Pro Forma'!$F$6:$Z$6,J$7,'Phase 2 Pro Forma'!$F$164:$Z$164)+SUMIF('Phase 3 Pro Forma'!$F$6:$Z$6,J$7,'Phase 3 Pro Forma'!$F$362:$Z$362)</f>
        <v>0</v>
      </c>
      <c r="L74" s="306">
        <f ca="1">+SUMIF('Phase 1 Pro Forma'!$F$6:$Z$6,K$7,'Phase 1 Pro Forma'!$F$155:$Z$155)+SUMIF('Phase 2 Pro Forma'!$F$6:$Z$6,K$7,'Phase 2 Pro Forma'!$F$164:$Z$164)+SUMIF('Phase 3 Pro Forma'!$F$6:$Z$6,K$7,'Phase 3 Pro Forma'!$F$362:$Z$362)</f>
        <v>0</v>
      </c>
      <c r="M74" s="306">
        <f>+SUMIF('Phase 1 Pro Forma'!$F$6:$Z$6,L$7,'Phase 1 Pro Forma'!$F$155:$Z$155)+SUMIF('Phase 2 Pro Forma'!$F$6:$Z$6,L$7,'Phase 2 Pro Forma'!$F$164:$Z$164)+SUMIF('Phase 3 Pro Forma'!$F$6:$Z$6,L$7,'Phase 3 Pro Forma'!$F$362:$Z$362)</f>
        <v>182.35166666666666</v>
      </c>
      <c r="N74" s="306">
        <f>+SUMIF('Phase 1 Pro Forma'!$F$6:$Z$6,M$7,'Phase 1 Pro Forma'!$F$155:$Z$155)+SUMIF('Phase 2 Pro Forma'!$F$6:$Z$6,M$7,'Phase 2 Pro Forma'!$F$164:$Z$164)+SUMIF('Phase 3 Pro Forma'!$F$6:$Z$6,M$7,'Phase 3 Pro Forma'!$F$362:$Z$362)</f>
        <v>182.35166666666666</v>
      </c>
    </row>
    <row r="75" spans="2:14" ht="18" customHeight="1">
      <c r="B75" s="318" t="s">
        <v>214</v>
      </c>
      <c r="C75" s="286"/>
      <c r="D75" s="295" t="s">
        <v>215</v>
      </c>
      <c r="E75" s="306">
        <f>+SUMIF('Phase 1 Pro Forma'!$F$6:$Z$6,D$7,'Phase 1 Pro Forma'!$F$107:$Z$107)+SUMIF('Phase 2 Pro Forma'!$F$6:$Z$6,D$7,'Phase 2 Pro Forma'!$F$115:$Z$115)+SUMIF('Phase 3 Pro Forma'!$F$6:$Z$6,D$7,'Phase 3 Pro Forma'!$F$313:$Z$313)</f>
        <v>0</v>
      </c>
      <c r="F75" s="306">
        <f>+SUMIF('Phase 1 Pro Forma'!$F$6:$Z$6,E$7,'Phase 1 Pro Forma'!$F$107:$Z$107)+SUMIF('Phase 2 Pro Forma'!$F$6:$Z$6,E$7,'Phase 2 Pro Forma'!$F$115:$Z$115)+SUMIF('Phase 3 Pro Forma'!$F$6:$Z$6,E$7,'Phase 3 Pro Forma'!$F$313:$Z$313)</f>
        <v>0</v>
      </c>
      <c r="G75" s="306">
        <f>+SUMIF('Phase 1 Pro Forma'!$F$6:$Z$6,F$7,'Phase 1 Pro Forma'!$F$107:$Z$107)+SUMIF('Phase 2 Pro Forma'!$F$6:$Z$6,F$7,'Phase 2 Pro Forma'!$F$115:$Z$115)+SUMIF('Phase 3 Pro Forma'!$F$6:$Z$6,F$7,'Phase 3 Pro Forma'!$F$313:$Z$313)</f>
        <v>0</v>
      </c>
      <c r="H75" s="306">
        <f>+SUMIF('Phase 1 Pro Forma'!$F$6:$Z$6,G$7,'Phase 1 Pro Forma'!$F$107:$Z$107)+SUMIF('Phase 2 Pro Forma'!$F$6:$Z$6,G$7,'Phase 2 Pro Forma'!$F$115:$Z$115)+SUMIF('Phase 3 Pro Forma'!$F$6:$Z$6,G$7,'Phase 3 Pro Forma'!$F$313:$Z$313)</f>
        <v>0</v>
      </c>
      <c r="I75" s="306">
        <f>+SUMIF('Phase 1 Pro Forma'!$F$6:$Z$6,H$7,'Phase 1 Pro Forma'!$F$107:$Z$107)+SUMIF('Phase 2 Pro Forma'!$F$6:$Z$6,H$7,'Phase 2 Pro Forma'!$F$115:$Z$115)+SUMIF('Phase 3 Pro Forma'!$F$6:$Z$6,H$7,'Phase 3 Pro Forma'!$F$313:$Z$313)</f>
        <v>221.53853846153845</v>
      </c>
      <c r="J75" s="306">
        <f>+SUMIF('Phase 1 Pro Forma'!$F$6:$Z$6,I$7,'Phase 1 Pro Forma'!$F$107:$Z$107)+SUMIF('Phase 2 Pro Forma'!$F$6:$Z$6,I$7,'Phase 2 Pro Forma'!$F$115:$Z$115)+SUMIF('Phase 3 Pro Forma'!$F$6:$Z$6,I$7,'Phase 3 Pro Forma'!$F$313:$Z$313)</f>
        <v>221.53853846153845</v>
      </c>
      <c r="K75" s="306">
        <f>+SUMIF('Phase 1 Pro Forma'!$F$6:$Z$6,J$7,'Phase 1 Pro Forma'!$F$107:$Z$107)+SUMIF('Phase 2 Pro Forma'!$F$6:$Z$6,J$7,'Phase 2 Pro Forma'!$F$115:$Z$115)+SUMIF('Phase 3 Pro Forma'!$F$6:$Z$6,J$7,'Phase 3 Pro Forma'!$F$313:$Z$313)</f>
        <v>252.55384615384617</v>
      </c>
      <c r="L75" s="306">
        <f>+SUMIF('Phase 1 Pro Forma'!$F$6:$Z$6,K$7,'Phase 1 Pro Forma'!$F$107:$Z$107)+SUMIF('Phase 2 Pro Forma'!$F$6:$Z$6,K$7,'Phase 2 Pro Forma'!$F$115:$Z$115)+SUMIF('Phase 3 Pro Forma'!$F$6:$Z$6,K$7,'Phase 3 Pro Forma'!$F$313:$Z$313)</f>
        <v>252.55384615384617</v>
      </c>
      <c r="M75" s="306">
        <f>+SUMIF('Phase 1 Pro Forma'!$F$6:$Z$6,L$7,'Phase 1 Pro Forma'!$F$107:$Z$107)+SUMIF('Phase 2 Pro Forma'!$F$6:$Z$6,L$7,'Phase 2 Pro Forma'!$F$115:$Z$115)+SUMIF('Phase 3 Pro Forma'!$F$6:$Z$6,L$7,'Phase 3 Pro Forma'!$F$313:$Z$313)</f>
        <v>118.38461538461539</v>
      </c>
      <c r="N75" s="306">
        <f>+SUMIF('Phase 1 Pro Forma'!$F$6:$Z$6,M$7,'Phase 1 Pro Forma'!$F$107:$Z$107)+SUMIF('Phase 2 Pro Forma'!$F$6:$Z$6,M$7,'Phase 2 Pro Forma'!$F$115:$Z$115)+SUMIF('Phase 3 Pro Forma'!$F$6:$Z$6,M$7,'Phase 3 Pro Forma'!$F$313:$Z$313)</f>
        <v>118.38461538461539</v>
      </c>
    </row>
    <row r="76" spans="2:14" ht="18" customHeight="1">
      <c r="B76" s="318" t="s">
        <v>216</v>
      </c>
      <c r="C76" s="286"/>
      <c r="D76" s="295" t="s">
        <v>215</v>
      </c>
      <c r="E76" s="306">
        <v>0</v>
      </c>
      <c r="F76" s="306">
        <v>0</v>
      </c>
      <c r="G76" s="306">
        <v>0</v>
      </c>
      <c r="H76" s="306">
        <v>0</v>
      </c>
      <c r="I76" s="306">
        <v>0</v>
      </c>
      <c r="J76" s="306">
        <v>0</v>
      </c>
      <c r="K76" s="306">
        <v>0</v>
      </c>
      <c r="L76" s="306">
        <v>0</v>
      </c>
      <c r="M76" s="306">
        <v>0</v>
      </c>
      <c r="N76" s="306">
        <v>0</v>
      </c>
    </row>
    <row r="77" spans="2:14" ht="18" customHeight="1">
      <c r="B77" s="318" t="s">
        <v>168</v>
      </c>
      <c r="C77" s="286"/>
      <c r="E77" s="306"/>
      <c r="F77" s="306"/>
      <c r="G77" s="306"/>
      <c r="H77" s="306"/>
      <c r="I77" s="306"/>
      <c r="J77" s="306"/>
      <c r="K77" s="306"/>
      <c r="L77" s="306"/>
      <c r="M77" s="306"/>
      <c r="N77" s="306"/>
    </row>
    <row r="78" spans="2:14" ht="18" customHeight="1">
      <c r="B78" s="296" t="s">
        <v>217</v>
      </c>
      <c r="C78" s="296"/>
      <c r="E78" s="306"/>
      <c r="F78" s="306"/>
      <c r="G78" s="306"/>
      <c r="H78" s="306"/>
      <c r="I78" s="306"/>
      <c r="J78" s="306"/>
      <c r="K78" s="306"/>
      <c r="L78" s="306"/>
      <c r="M78" s="306"/>
      <c r="N78" s="306"/>
    </row>
    <row r="79" spans="2:14" ht="18" customHeight="1">
      <c r="B79" s="318" t="s">
        <v>210</v>
      </c>
      <c r="C79" s="319"/>
      <c r="D79" s="295" t="s">
        <v>218</v>
      </c>
      <c r="E79" s="306">
        <f ca="1">+SUMIF('Phase 1 Pro Forma'!$F$6:$Z$6,D$7,'Phase 1 Pro Forma'!$F$31:$Z$31)+SUMIF('Phase 2 Pro Forma'!$F$6:$Z$6,D$7,'Phase 2 Pro Forma'!$F$35:$Z$35)+SUMIF('Phase 3 Pro Forma'!$F$6:$Z$6,D$7,'Phase 3 Pro Forma'!$F$35:$Z$35)+SUMIF('Phase 1 Pro Forma'!$F$6:$Z$6,D$7,'Phase 1 Pro Forma'!$AQ$26:$BK$26)+SUMIF('Phase 2 Pro Forma'!$F$6:$Z$6,D$7,'Phase 2 Pro Forma'!$AW$43:$BQ$43)+SUMIF('Phase 3 Pro Forma'!$F$6:$Z$6,D$7,'Phase 3 Pro Forma'!$F$89:$Z$89)+SUMIF('Phase 1 Pro Forma'!$F$6:$Z$6,D$7,'Phase 1 Pro Forma'!$AQ$119:$BK$119)+SUMIF('Phase 2 Pro Forma'!$F$6:$Z$6,D$7,'Phase 2 Pro Forma'!$BD$148:$BQ$148)+SUMIF('Phase 3 Pro Forma'!$F$6:$Z$6,D$7,'Phase 3 Pro Forma'!$F$194:$Z$194)+SUMIF('Phase 1 Pro Forma'!$F$6:$Z$6,D$7,'Phase 1 Pro Forma'!$AQ$72:$BK$72)+SUMIF('Phase 2 Pro Forma'!$F$6:$Z$6,D$7,'Phase 2 Pro Forma'!$AW$97:$BQ$97)+SUMIF('Phase 3 Pro Forma'!$F$6:$Z$6,D$7,'Phase 3 Pro Forma'!$F$143:$Z$143)</f>
        <v>0</v>
      </c>
      <c r="F79" s="306">
        <f ca="1">+SUMIF('Phase 1 Pro Forma'!$F$6:$Z$6,E$7,'Phase 1 Pro Forma'!$F$31:$Z$31)+SUMIF('Phase 2 Pro Forma'!$F$6:$Z$6,E$7,'Phase 2 Pro Forma'!$F$35:$Z$35)+SUMIF('Phase 3 Pro Forma'!$F$6:$Z$6,E$7,'Phase 3 Pro Forma'!$F$35:$Z$35)+SUMIF('Phase 1 Pro Forma'!$F$6:$Z$6,E$7,'Phase 1 Pro Forma'!$AQ$26:$BK$26)+SUMIF('Phase 2 Pro Forma'!$F$6:$Z$6,E$7,'Phase 2 Pro Forma'!$AW$43:$BQ$43)+SUMIF('Phase 3 Pro Forma'!$F$6:$Z$6,E$7,'Phase 3 Pro Forma'!$F$89:$Z$89)+SUMIF('Phase 1 Pro Forma'!$F$6:$Z$6,E$7,'Phase 1 Pro Forma'!$AQ$119:$BK$119)+SUMIF('Phase 2 Pro Forma'!$F$6:$Z$6,E$7,'Phase 2 Pro Forma'!$BD$148:$BQ$148)+SUMIF('Phase 3 Pro Forma'!$F$6:$Z$6,E$7,'Phase 3 Pro Forma'!$F$194:$Z$194)+SUMIF('Phase 1 Pro Forma'!$F$6:$Z$6,E$7,'Phase 1 Pro Forma'!$AQ$72:$BK$72)+SUMIF('Phase 2 Pro Forma'!$F$6:$Z$6,E$7,'Phase 2 Pro Forma'!$AW$97:$BQ$97)+SUMIF('Phase 3 Pro Forma'!$F$6:$Z$6,E$7,'Phase 3 Pro Forma'!$F$143:$Z$143)</f>
        <v>0</v>
      </c>
      <c r="G79" s="306">
        <f ca="1">+SUMIF('Phase 1 Pro Forma'!$F$6:$Z$6,F$7,'Phase 1 Pro Forma'!$F$31:$Z$31)+SUMIF('Phase 2 Pro Forma'!$F$6:$Z$6,F$7,'Phase 2 Pro Forma'!$F$35:$Z$35)+SUMIF('Phase 3 Pro Forma'!$F$6:$Z$6,F$7,'Phase 3 Pro Forma'!$F$35:$Z$35)+SUMIF('Phase 1 Pro Forma'!$F$6:$Z$6,F$7,'Phase 1 Pro Forma'!$AQ$26:$BK$26)+SUMIF('Phase 2 Pro Forma'!$F$6:$Z$6,F$7,'Phase 2 Pro Forma'!$AW$43:$BQ$43)+SUMIF('Phase 3 Pro Forma'!$F$6:$Z$6,F$7,'Phase 3 Pro Forma'!$F$89:$Z$89)+SUMIF('Phase 1 Pro Forma'!$F$6:$Z$6,F$7,'Phase 1 Pro Forma'!$AQ$119:$BK$119)+SUMIF('Phase 2 Pro Forma'!$F$6:$Z$6,F$7,'Phase 2 Pro Forma'!$BD$148:$BQ$148)+SUMIF('Phase 3 Pro Forma'!$F$6:$Z$6,F$7,'Phase 3 Pro Forma'!$F$194:$Z$194)+SUMIF('Phase 1 Pro Forma'!$F$6:$Z$6,F$7,'Phase 1 Pro Forma'!$AQ$72:$BK$72)+SUMIF('Phase 2 Pro Forma'!$F$6:$Z$6,F$7,'Phase 2 Pro Forma'!$AW$97:$BQ$97)+SUMIF('Phase 3 Pro Forma'!$F$6:$Z$6,F$7,'Phase 3 Pro Forma'!$F$143:$Z$143)</f>
        <v>0</v>
      </c>
      <c r="H79" s="306">
        <f ca="1">+SUMIF('Phase 1 Pro Forma'!$F$6:$Z$6,G$7,'Phase 1 Pro Forma'!$F$31:$Z$31)+SUMIF('Phase 2 Pro Forma'!$F$6:$Z$6,G$7,'Phase 2 Pro Forma'!$F$35:$Z$35)+SUMIF('Phase 3 Pro Forma'!$F$6:$Z$6,G$7,'Phase 3 Pro Forma'!$F$35:$Z$35)+SUMIF('Phase 1 Pro Forma'!$F$6:$Z$6,G$7,'Phase 1 Pro Forma'!$AQ$26:$BK$26)+SUMIF('Phase 2 Pro Forma'!$F$6:$Z$6,G$7,'Phase 2 Pro Forma'!$AW$43:$BQ$43)+SUMIF('Phase 3 Pro Forma'!$F$6:$Z$6,G$7,'Phase 3 Pro Forma'!$F$89:$Z$89)+SUMIF('Phase 1 Pro Forma'!$F$6:$Z$6,G$7,'Phase 1 Pro Forma'!$AQ$119:$BK$119)+SUMIF('Phase 2 Pro Forma'!$F$6:$Z$6,G$7,'Phase 2 Pro Forma'!$BD$148:$BQ$148)+SUMIF('Phase 3 Pro Forma'!$F$6:$Z$6,G$7,'Phase 3 Pro Forma'!$F$194:$Z$194)+SUMIF('Phase 1 Pro Forma'!$F$6:$Z$6,G$7,'Phase 1 Pro Forma'!$AQ$72:$BK$72)+SUMIF('Phase 2 Pro Forma'!$F$6:$Z$6,G$7,'Phase 2 Pro Forma'!$AW$97:$BQ$97)+SUMIF('Phase 3 Pro Forma'!$F$6:$Z$6,G$7,'Phase 3 Pro Forma'!$F$143:$Z$143)</f>
        <v>0</v>
      </c>
      <c r="I79" s="306">
        <f ca="1">+SUMIF('Phase 1 Pro Forma'!$F$6:$Z$6,H$7,'Phase 1 Pro Forma'!$F$31:$Z$31)+SUMIF('Phase 2 Pro Forma'!$F$6:$Z$6,H$7,'Phase 2 Pro Forma'!$F$35:$Z$35)+SUMIF('Phase 3 Pro Forma'!$F$6:$Z$6,H$7,'Phase 3 Pro Forma'!$F$35:$Z$35)+SUMIF('Phase 1 Pro Forma'!$F$6:$Z$6,H$7,'Phase 1 Pro Forma'!$AQ$26:$BK$26)+SUMIF('Phase 2 Pro Forma'!$F$6:$Z$6,H$7,'Phase 2 Pro Forma'!$AW$43:$BQ$43)+SUMIF('Phase 3 Pro Forma'!$F$6:$Z$6,H$7,'Phase 3 Pro Forma'!$F$89:$Z$89)+SUMIF('Phase 1 Pro Forma'!$F$6:$Z$6,H$7,'Phase 1 Pro Forma'!$AQ$119:$BK$119)+SUMIF('Phase 2 Pro Forma'!$F$6:$Z$6,H$7,'Phase 2 Pro Forma'!$BD$148:$BQ$148)+SUMIF('Phase 3 Pro Forma'!$F$6:$Z$6,H$7,'Phase 3 Pro Forma'!$F$194:$Z$194)+SUMIF('Phase 1 Pro Forma'!$F$6:$Z$6,H$7,'Phase 1 Pro Forma'!$AQ$72:$BK$72)+SUMIF('Phase 2 Pro Forma'!$F$6:$Z$6,H$7,'Phase 2 Pro Forma'!$AW$97:$BQ$97)+SUMIF('Phase 3 Pro Forma'!$F$6:$Z$6,H$7,'Phase 3 Pro Forma'!$F$143:$Z$143)</f>
        <v>252534.99599999998</v>
      </c>
      <c r="J79" s="306">
        <f ca="1">+SUMIF('Phase 1 Pro Forma'!$F$6:$Z$6,I$7,'Phase 1 Pro Forma'!$F$31:$Z$31)+SUMIF('Phase 2 Pro Forma'!$F$6:$Z$6,I$7,'Phase 2 Pro Forma'!$F$35:$Z$35)+SUMIF('Phase 3 Pro Forma'!$F$6:$Z$6,I$7,'Phase 3 Pro Forma'!$F$35:$Z$35)+SUMIF('Phase 1 Pro Forma'!$F$6:$Z$6,I$7,'Phase 1 Pro Forma'!$AQ$26:$BK$26)+SUMIF('Phase 2 Pro Forma'!$F$6:$Z$6,I$7,'Phase 2 Pro Forma'!$AW$43:$BQ$43)+SUMIF('Phase 3 Pro Forma'!$F$6:$Z$6,I$7,'Phase 3 Pro Forma'!$F$89:$Z$89)+SUMIF('Phase 1 Pro Forma'!$F$6:$Z$6,I$7,'Phase 1 Pro Forma'!$AQ$119:$BK$119)+SUMIF('Phase 2 Pro Forma'!$F$6:$Z$6,I$7,'Phase 2 Pro Forma'!$BD$148:$BQ$148)+SUMIF('Phase 3 Pro Forma'!$F$6:$Z$6,I$7,'Phase 3 Pro Forma'!$F$194:$Z$194)+SUMIF('Phase 1 Pro Forma'!$F$6:$Z$6,I$7,'Phase 1 Pro Forma'!$AQ$72:$BK$72)+SUMIF('Phase 2 Pro Forma'!$F$6:$Z$6,I$7,'Phase 2 Pro Forma'!$AW$97:$BQ$97)+SUMIF('Phase 3 Pro Forma'!$F$6:$Z$6,I$7,'Phase 3 Pro Forma'!$F$143:$Z$143)</f>
        <v>0</v>
      </c>
      <c r="K79" s="306">
        <f ca="1">+SUMIF('Phase 1 Pro Forma'!$F$6:$Z$6,J$7,'Phase 1 Pro Forma'!$F$31:$Z$31)+SUMIF('Phase 2 Pro Forma'!$F$6:$Z$6,J$7,'Phase 2 Pro Forma'!$F$35:$Z$35)+SUMIF('Phase 3 Pro Forma'!$F$6:$Z$6,J$7,'Phase 3 Pro Forma'!$F$35:$Z$35)+SUMIF('Phase 1 Pro Forma'!$F$6:$Z$6,J$7,'Phase 1 Pro Forma'!$AQ$26:$BK$26)+SUMIF('Phase 2 Pro Forma'!$F$6:$Z$6,J$7,'Phase 2 Pro Forma'!$AW$43:$BQ$43)+SUMIF('Phase 3 Pro Forma'!$F$6:$Z$6,J$7,'Phase 3 Pro Forma'!$F$89:$Z$89)+SUMIF('Phase 1 Pro Forma'!$F$6:$Z$6,J$7,'Phase 1 Pro Forma'!$AQ$119:$BK$119)+SUMIF('Phase 2 Pro Forma'!$F$6:$Z$6,J$7,'Phase 2 Pro Forma'!$BD$148:$BQ$148)+SUMIF('Phase 3 Pro Forma'!$F$6:$Z$6,J$7,'Phase 3 Pro Forma'!$F$194:$Z$194)+SUMIF('Phase 1 Pro Forma'!$F$6:$Z$6,J$7,'Phase 1 Pro Forma'!$AQ$72:$BK$72)+SUMIF('Phase 2 Pro Forma'!$F$6:$Z$6,J$7,'Phase 2 Pro Forma'!$AW$97:$BQ$97)+SUMIF('Phase 3 Pro Forma'!$F$6:$Z$6,J$7,'Phase 3 Pro Forma'!$F$143:$Z$143)</f>
        <v>183335.66999999995</v>
      </c>
      <c r="L79" s="306">
        <f ca="1">+SUMIF('Phase 1 Pro Forma'!$F$6:$Z$6,K$7,'Phase 1 Pro Forma'!$F$31:$Z$31)+SUMIF('Phase 2 Pro Forma'!$F$6:$Z$6,K$7,'Phase 2 Pro Forma'!$F$35:$Z$35)+SUMIF('Phase 3 Pro Forma'!$F$6:$Z$6,K$7,'Phase 3 Pro Forma'!$F$35:$Z$35)+SUMIF('Phase 1 Pro Forma'!$F$6:$Z$6,K$7,'Phase 1 Pro Forma'!$AQ$26:$BK$26)+SUMIF('Phase 2 Pro Forma'!$F$6:$Z$6,K$7,'Phase 2 Pro Forma'!$AW$43:$BQ$43)+SUMIF('Phase 3 Pro Forma'!$F$6:$Z$6,K$7,'Phase 3 Pro Forma'!$F$89:$Z$89)+SUMIF('Phase 1 Pro Forma'!$F$6:$Z$6,K$7,'Phase 1 Pro Forma'!$AQ$119:$BK$119)+SUMIF('Phase 2 Pro Forma'!$F$6:$Z$6,K$7,'Phase 2 Pro Forma'!$BD$148:$BQ$148)+SUMIF('Phase 3 Pro Forma'!$F$6:$Z$6,K$7,'Phase 3 Pro Forma'!$F$194:$Z$194)+SUMIF('Phase 1 Pro Forma'!$F$6:$Z$6,K$7,'Phase 1 Pro Forma'!$AQ$72:$BK$72)+SUMIF('Phase 2 Pro Forma'!$F$6:$Z$6,K$7,'Phase 2 Pro Forma'!$AW$97:$BQ$97)+SUMIF('Phase 3 Pro Forma'!$F$6:$Z$6,K$7,'Phase 3 Pro Forma'!$F$143:$Z$143)</f>
        <v>0</v>
      </c>
      <c r="M79" s="306">
        <f ca="1">+SUMIF('Phase 1 Pro Forma'!$F$6:$Z$6,L$7,'Phase 1 Pro Forma'!$F$31:$Z$31)+SUMIF('Phase 2 Pro Forma'!$F$6:$Z$6,L$7,'Phase 2 Pro Forma'!$F$35:$Z$35)+SUMIF('Phase 3 Pro Forma'!$F$6:$Z$6,L$7,'Phase 3 Pro Forma'!$F$35:$Z$35)+SUMIF('Phase 1 Pro Forma'!$F$6:$Z$6,L$7,'Phase 1 Pro Forma'!$AQ$26:$BK$26)+SUMIF('Phase 2 Pro Forma'!$F$6:$Z$6,L$7,'Phase 2 Pro Forma'!$AW$43:$BQ$43)+SUMIF('Phase 3 Pro Forma'!$F$6:$Z$6,L$7,'Phase 3 Pro Forma'!$F$89:$Z$89)+SUMIF('Phase 1 Pro Forma'!$F$6:$Z$6,L$7,'Phase 1 Pro Forma'!$AQ$119:$BK$119)+SUMIF('Phase 2 Pro Forma'!$F$6:$Z$6,L$7,'Phase 2 Pro Forma'!$BD$148:$BQ$148)+SUMIF('Phase 3 Pro Forma'!$F$6:$Z$6,L$7,'Phase 3 Pro Forma'!$F$194:$Z$194)+SUMIF('Phase 1 Pro Forma'!$F$6:$Z$6,L$7,'Phase 1 Pro Forma'!$AQ$72:$BK$72)+SUMIF('Phase 2 Pro Forma'!$F$6:$Z$6,L$7,'Phase 2 Pro Forma'!$AW$97:$BQ$97)+SUMIF('Phase 3 Pro Forma'!$F$6:$Z$6,L$7,'Phase 3 Pro Forma'!$F$143:$Z$143)</f>
        <v>100529.856</v>
      </c>
      <c r="N79" s="306">
        <f ca="1">+SUMIF('Phase 1 Pro Forma'!$F$6:$Z$6,M$7,'Phase 1 Pro Forma'!$F$31:$Z$31)+SUMIF('Phase 2 Pro Forma'!$F$6:$Z$6,M$7,'Phase 2 Pro Forma'!$F$35:$Z$35)+SUMIF('Phase 3 Pro Forma'!$F$6:$Z$6,M$7,'Phase 3 Pro Forma'!$F$35:$Z$35)+SUMIF('Phase 1 Pro Forma'!$F$6:$Z$6,M$7,'Phase 1 Pro Forma'!$AQ$26:$BK$26)+SUMIF('Phase 2 Pro Forma'!$F$6:$Z$6,M$7,'Phase 2 Pro Forma'!$AW$43:$BQ$43)+SUMIF('Phase 3 Pro Forma'!$F$6:$Z$6,M$7,'Phase 3 Pro Forma'!$F$89:$Z$89)+SUMIF('Phase 1 Pro Forma'!$F$6:$Z$6,M$7,'Phase 1 Pro Forma'!$AQ$119:$BK$119)+SUMIF('Phase 2 Pro Forma'!$F$6:$Z$6,M$7,'Phase 2 Pro Forma'!$BD$148:$BQ$148)+SUMIF('Phase 3 Pro Forma'!$F$6:$Z$6,M$7,'Phase 3 Pro Forma'!$F$194:$Z$194)+SUMIF('Phase 1 Pro Forma'!$F$6:$Z$6,M$7,'Phase 1 Pro Forma'!$AQ$72:$BK$72)+SUMIF('Phase 2 Pro Forma'!$F$6:$Z$6,M$7,'Phase 2 Pro Forma'!$AW$97:$BQ$97)+SUMIF('Phase 3 Pro Forma'!$F$6:$Z$6,M$7,'Phase 3 Pro Forma'!$F$143:$Z$143)</f>
        <v>0</v>
      </c>
    </row>
    <row r="80" spans="2:14" ht="18" customHeight="1">
      <c r="B80" s="318" t="s">
        <v>178</v>
      </c>
      <c r="C80" s="318"/>
      <c r="D80" s="295" t="s">
        <v>218</v>
      </c>
      <c r="E80" s="306">
        <f>+SUMIF('Phase 1 Pro Forma'!$F$6:$Z$6,D$7,'Phase 1 Pro Forma'!$F$248:$Z$248)+SUMIF('Phase 2 Pro Forma'!$F$6:$Z$6,D$7,'Phase 2 Pro Forma'!$F$302:$Z$302)+SUMIF('Phase 3 Pro Forma'!$F$6:$Z$6,D$7,'Phase 3 Pro Forma'!$F$500:$Z$500)</f>
        <v>0</v>
      </c>
      <c r="F80" s="306">
        <f>+SUMIF('Phase 1 Pro Forma'!$F$6:$Z$6,E$7,'Phase 1 Pro Forma'!$F$248:$Z$248)+SUMIF('Phase 2 Pro Forma'!$F$6:$Z$6,E$7,'Phase 2 Pro Forma'!$F$302:$Z$302)+SUMIF('Phase 3 Pro Forma'!$F$6:$Z$6,E$7,'Phase 3 Pro Forma'!$F$500:$Z$500)</f>
        <v>0</v>
      </c>
      <c r="G80" s="306">
        <f>+SUMIF('Phase 1 Pro Forma'!$F$6:$Z$6,F$7,'Phase 1 Pro Forma'!$F$248:$Z$248)+SUMIF('Phase 2 Pro Forma'!$F$6:$Z$6,F$7,'Phase 2 Pro Forma'!$F$302:$Z$302)+SUMIF('Phase 3 Pro Forma'!$F$6:$Z$6,F$7,'Phase 3 Pro Forma'!$F$500:$Z$500)</f>
        <v>0</v>
      </c>
      <c r="H80" s="306">
        <f>+SUMIF('Phase 1 Pro Forma'!$F$6:$Z$6,G$7,'Phase 1 Pro Forma'!$F$248:$Z$248)+SUMIF('Phase 2 Pro Forma'!$F$6:$Z$6,G$7,'Phase 2 Pro Forma'!$F$302:$Z$302)+SUMIF('Phase 3 Pro Forma'!$F$6:$Z$6,G$7,'Phase 3 Pro Forma'!$F$500:$Z$500)</f>
        <v>0</v>
      </c>
      <c r="I80" s="306">
        <f>+SUMIF('Phase 1 Pro Forma'!$F$6:$Z$6,H$7,'Phase 1 Pro Forma'!$F$248:$Z$248)+SUMIF('Phase 2 Pro Forma'!$F$6:$Z$6,H$7,'Phase 2 Pro Forma'!$F$302:$Z$302)+SUMIF('Phase 3 Pro Forma'!$F$6:$Z$6,H$7,'Phase 3 Pro Forma'!$F$500:$Z$500)</f>
        <v>55116.764999999999</v>
      </c>
      <c r="J80" s="306">
        <f>+SUMIF('Phase 1 Pro Forma'!$F$6:$Z$6,I$7,'Phase 1 Pro Forma'!$F$248:$Z$248)+SUMIF('Phase 2 Pro Forma'!$F$6:$Z$6,I$7,'Phase 2 Pro Forma'!$F$302:$Z$302)+SUMIF('Phase 3 Pro Forma'!$F$6:$Z$6,I$7,'Phase 3 Pro Forma'!$F$500:$Z$500)</f>
        <v>0</v>
      </c>
      <c r="K80" s="306">
        <f>+SUMIF('Phase 1 Pro Forma'!$F$6:$Z$6,J$7,'Phase 1 Pro Forma'!$F$248:$Z$248)+SUMIF('Phase 2 Pro Forma'!$F$6:$Z$6,J$7,'Phase 2 Pro Forma'!$F$302:$Z$302)+SUMIF('Phase 3 Pro Forma'!$F$6:$Z$6,J$7,'Phase 3 Pro Forma'!$F$500:$Z$500)</f>
        <v>40013.737500000003</v>
      </c>
      <c r="L80" s="306">
        <f>+SUMIF('Phase 1 Pro Forma'!$F$6:$Z$6,K$7,'Phase 1 Pro Forma'!$F$248:$Z$248)+SUMIF('Phase 2 Pro Forma'!$F$6:$Z$6,K$7,'Phase 2 Pro Forma'!$F$302:$Z$302)+SUMIF('Phase 3 Pro Forma'!$F$6:$Z$6,K$7,'Phase 3 Pro Forma'!$F$500:$Z$500)</f>
        <v>0</v>
      </c>
      <c r="M80" s="306">
        <f>+SUMIF('Phase 1 Pro Forma'!$F$6:$Z$6,L$7,'Phase 1 Pro Forma'!$F$248:$Z$248)+SUMIF('Phase 2 Pro Forma'!$F$6:$Z$6,L$7,'Phase 2 Pro Forma'!$F$302:$Z$302)+SUMIF('Phase 3 Pro Forma'!$F$6:$Z$6,L$7,'Phase 3 Pro Forma'!$F$500:$Z$500)</f>
        <v>27973.200000000001</v>
      </c>
      <c r="N80" s="306">
        <f>+SUMIF('Phase 1 Pro Forma'!$F$6:$Z$6,M$7,'Phase 1 Pro Forma'!$F$248:$Z$248)+SUMIF('Phase 2 Pro Forma'!$F$6:$Z$6,M$7,'Phase 2 Pro Forma'!$F$302:$Z$302)+SUMIF('Phase 3 Pro Forma'!$F$6:$Z$6,M$7,'Phase 3 Pro Forma'!$F$500:$Z$500)</f>
        <v>0</v>
      </c>
    </row>
    <row r="81" spans="1:14" ht="18" customHeight="1">
      <c r="B81" s="318" t="s">
        <v>157</v>
      </c>
      <c r="C81" s="318"/>
      <c r="D81" s="295" t="s">
        <v>218</v>
      </c>
      <c r="E81" s="306">
        <f ca="1">+SUMIF('Phase 1 Pro Forma'!$F$6:$Z$6,D$7,'Phase 1 Pro Forma'!$F$8:$Z$8)+SUMIF('Phase 2 Pro Forma'!$F$6:$Z$6,D$7,'Phase 2 Pro Forma'!$F$8:$Z$8)+SUMIF('Phase 3 Pro Forma'!$F$6:$Z$6,D$7,'Phase 3 Pro Forma'!$F$8:$Z$8)+SUMIF('Phase 1 Pro Forma'!$F$6:$Z$6,D$7,'Phase 1 Pro Forma'!$AQ$3:$BK$3)+SUMIF('Phase 2 Pro Forma'!$F$6:$Z$6,D$7,'Phase 2 Pro Forma'!$AW$16:$BQ$16)+SUMIF('Phase 3 Pro Forma'!$F$6:$Z$6,D$7,'Phase 3 Pro Forma'!$F$62:$Z$62)+SUMIF('Phase 1 Pro Forma'!$F$6:$Z$6,D$7,'Phase 1 Pro Forma'!$AQ$95:$BK$95)+SUMIF('Phase 2 Pro Forma'!$F$6:$Z$6,D$7,'Phase 2 Pro Forma'!$BD$124:$BQ$124)+SUMIF('Phase 3 Pro Forma'!$F$6:$Z$6,D$7,'Phase 3 Pro Forma'!$F$170:$Z$170) +SUMIF('Phase 1 Pro Forma'!$F$6:$Z$6,D$7,'Phase 1 Pro Forma'!$AQ$49:$BK$49)+SUMIF('Phase 2 Pro Forma'!$F$6:$Z$6,D$7,'Phase 2 Pro Forma'!$AW$70:$BQ$70)+SUMIF('Phase 3 Pro Forma'!$F$6:$Z$6,D$7,'Phase 3 Pro Forma'!$F$116:$Z$116)</f>
        <v>0</v>
      </c>
      <c r="F81" s="306">
        <f ca="1">+SUMIF('Phase 1 Pro Forma'!$F$6:$Z$6,E$7,'Phase 1 Pro Forma'!$F$8:$Z$8)+SUMIF('Phase 2 Pro Forma'!$F$6:$Z$6,E$7,'Phase 2 Pro Forma'!$F$8:$Z$8)+SUMIF('Phase 3 Pro Forma'!$F$6:$Z$6,E$7,'Phase 3 Pro Forma'!$F$8:$Z$8)+SUMIF('Phase 1 Pro Forma'!$F$6:$Z$6,E$7,'Phase 1 Pro Forma'!$AQ$3:$BK$3)+SUMIF('Phase 2 Pro Forma'!$F$6:$Z$6,E$7,'Phase 2 Pro Forma'!$AW$16:$BQ$16)+SUMIF('Phase 3 Pro Forma'!$F$6:$Z$6,E$7,'Phase 3 Pro Forma'!$F$62:$Z$62)+SUMIF('Phase 1 Pro Forma'!$F$6:$Z$6,E$7,'Phase 1 Pro Forma'!$AQ$95:$BK$95)+SUMIF('Phase 2 Pro Forma'!$F$6:$Z$6,E$7,'Phase 2 Pro Forma'!$BD$124:$BQ$124)+SUMIF('Phase 3 Pro Forma'!$F$6:$Z$6,E$7,'Phase 3 Pro Forma'!$F$170:$Z$170) +SUMIF('Phase 1 Pro Forma'!$F$6:$Z$6,E$7,'Phase 1 Pro Forma'!$AQ$49:$BK$49)+SUMIF('Phase 2 Pro Forma'!$F$6:$Z$6,E$7,'Phase 2 Pro Forma'!$AW$70:$BQ$70)+SUMIF('Phase 3 Pro Forma'!$F$6:$Z$6,E$7,'Phase 3 Pro Forma'!$F$116:$Z$116)</f>
        <v>0</v>
      </c>
      <c r="G81" s="306">
        <f ca="1">+SUMIF('Phase 1 Pro Forma'!$F$6:$Z$6,F$7,'Phase 1 Pro Forma'!$F$8:$Z$8)+SUMIF('Phase 2 Pro Forma'!$F$6:$Z$6,F$7,'Phase 2 Pro Forma'!$F$8:$Z$8)+SUMIF('Phase 3 Pro Forma'!$F$6:$Z$6,F$7,'Phase 3 Pro Forma'!$F$8:$Z$8)+SUMIF('Phase 1 Pro Forma'!$F$6:$Z$6,F$7,'Phase 1 Pro Forma'!$AQ$3:$BK$3)+SUMIF('Phase 2 Pro Forma'!$F$6:$Z$6,F$7,'Phase 2 Pro Forma'!$AW$16:$BQ$16)+SUMIF('Phase 3 Pro Forma'!$F$6:$Z$6,F$7,'Phase 3 Pro Forma'!$F$62:$Z$62)+SUMIF('Phase 1 Pro Forma'!$F$6:$Z$6,F$7,'Phase 1 Pro Forma'!$AQ$95:$BK$95)+SUMIF('Phase 2 Pro Forma'!$F$6:$Z$6,F$7,'Phase 2 Pro Forma'!$BD$124:$BQ$124)+SUMIF('Phase 3 Pro Forma'!$F$6:$Z$6,F$7,'Phase 3 Pro Forma'!$F$170:$Z$170) +SUMIF('Phase 1 Pro Forma'!$F$6:$Z$6,F$7,'Phase 1 Pro Forma'!$AQ$49:$BK$49)+SUMIF('Phase 2 Pro Forma'!$F$6:$Z$6,F$7,'Phase 2 Pro Forma'!$AW$70:$BQ$70)+SUMIF('Phase 3 Pro Forma'!$F$6:$Z$6,F$7,'Phase 3 Pro Forma'!$F$116:$Z$116)</f>
        <v>0</v>
      </c>
      <c r="H81" s="306">
        <f ca="1">+SUMIF('Phase 1 Pro Forma'!$F$6:$Z$6,G$7,'Phase 1 Pro Forma'!$F$8:$Z$8)+SUMIF('Phase 2 Pro Forma'!$F$6:$Z$6,G$7,'Phase 2 Pro Forma'!$F$8:$Z$8)+SUMIF('Phase 3 Pro Forma'!$F$6:$Z$6,G$7,'Phase 3 Pro Forma'!$F$8:$Z$8)+SUMIF('Phase 1 Pro Forma'!$F$6:$Z$6,G$7,'Phase 1 Pro Forma'!$AQ$3:$BK$3)+SUMIF('Phase 2 Pro Forma'!$F$6:$Z$6,G$7,'Phase 2 Pro Forma'!$AW$16:$BQ$16)+SUMIF('Phase 3 Pro Forma'!$F$6:$Z$6,G$7,'Phase 3 Pro Forma'!$F$62:$Z$62)+SUMIF('Phase 1 Pro Forma'!$F$6:$Z$6,G$7,'Phase 1 Pro Forma'!$AQ$95:$BK$95)+SUMIF('Phase 2 Pro Forma'!$F$6:$Z$6,G$7,'Phase 2 Pro Forma'!$BD$124:$BQ$124)+SUMIF('Phase 3 Pro Forma'!$F$6:$Z$6,G$7,'Phase 3 Pro Forma'!$F$170:$Z$170) +SUMIF('Phase 1 Pro Forma'!$F$6:$Z$6,G$7,'Phase 1 Pro Forma'!$AQ$49:$BK$49)+SUMIF('Phase 2 Pro Forma'!$F$6:$Z$6,G$7,'Phase 2 Pro Forma'!$AW$70:$BQ$70)+SUMIF('Phase 3 Pro Forma'!$F$6:$Z$6,G$7,'Phase 3 Pro Forma'!$F$116:$Z$116)</f>
        <v>0</v>
      </c>
      <c r="I81" s="306">
        <f ca="1">+SUMIF('Phase 1 Pro Forma'!$F$6:$Z$6,H$7,'Phase 1 Pro Forma'!$F$8:$Z$8)+SUMIF('Phase 2 Pro Forma'!$F$6:$Z$6,H$7,'Phase 2 Pro Forma'!$F$8:$Z$8)+SUMIF('Phase 3 Pro Forma'!$F$6:$Z$6,H$7,'Phase 3 Pro Forma'!$F$8:$Z$8)+SUMIF('Phase 1 Pro Forma'!$F$6:$Z$6,H$7,'Phase 1 Pro Forma'!$AQ$3:$BK$3)+SUMIF('Phase 2 Pro Forma'!$F$6:$Z$6,H$7,'Phase 2 Pro Forma'!$AW$16:$BQ$16)+SUMIF('Phase 3 Pro Forma'!$F$6:$Z$6,H$7,'Phase 3 Pro Forma'!$F$62:$Z$62)+SUMIF('Phase 1 Pro Forma'!$F$6:$Z$6,H$7,'Phase 1 Pro Forma'!$AQ$95:$BK$95)+SUMIF('Phase 2 Pro Forma'!$F$6:$Z$6,H$7,'Phase 2 Pro Forma'!$BD$124:$BQ$124)+SUMIF('Phase 3 Pro Forma'!$F$6:$Z$6,H$7,'Phase 3 Pro Forma'!$F$170:$Z$170) +SUMIF('Phase 1 Pro Forma'!$F$6:$Z$6,H$7,'Phase 1 Pro Forma'!$AQ$49:$BK$49)+SUMIF('Phase 2 Pro Forma'!$F$6:$Z$6,H$7,'Phase 2 Pro Forma'!$AW$70:$BQ$70)+SUMIF('Phase 3 Pro Forma'!$F$6:$Z$6,H$7,'Phase 3 Pro Forma'!$F$116:$Z$116)</f>
        <v>168356.66399999999</v>
      </c>
      <c r="J81" s="306">
        <f ca="1">+SUMIF('Phase 1 Pro Forma'!$F$6:$Z$6,I$7,'Phase 1 Pro Forma'!$F$8:$Z$8)+SUMIF('Phase 2 Pro Forma'!$F$6:$Z$6,I$7,'Phase 2 Pro Forma'!$F$8:$Z$8)+SUMIF('Phase 3 Pro Forma'!$F$6:$Z$6,I$7,'Phase 3 Pro Forma'!$F$8:$Z$8)+SUMIF('Phase 1 Pro Forma'!$F$6:$Z$6,I$7,'Phase 1 Pro Forma'!$AQ$3:$BK$3)+SUMIF('Phase 2 Pro Forma'!$F$6:$Z$6,I$7,'Phase 2 Pro Forma'!$AW$16:$BQ$16)+SUMIF('Phase 3 Pro Forma'!$F$6:$Z$6,I$7,'Phase 3 Pro Forma'!$F$62:$Z$62)+SUMIF('Phase 1 Pro Forma'!$F$6:$Z$6,I$7,'Phase 1 Pro Forma'!$AQ$95:$BK$95)+SUMIF('Phase 2 Pro Forma'!$F$6:$Z$6,I$7,'Phase 2 Pro Forma'!$BD$124:$BQ$124)+SUMIF('Phase 3 Pro Forma'!$F$6:$Z$6,I$7,'Phase 3 Pro Forma'!$F$170:$Z$170) +SUMIF('Phase 1 Pro Forma'!$F$6:$Z$6,I$7,'Phase 1 Pro Forma'!$AQ$49:$BK$49)+SUMIF('Phase 2 Pro Forma'!$F$6:$Z$6,I$7,'Phase 2 Pro Forma'!$AW$70:$BQ$70)+SUMIF('Phase 3 Pro Forma'!$F$6:$Z$6,I$7,'Phase 3 Pro Forma'!$F$116:$Z$116)</f>
        <v>0</v>
      </c>
      <c r="K81" s="306">
        <f ca="1">+SUMIF('Phase 1 Pro Forma'!$F$6:$Z$6,J$7,'Phase 1 Pro Forma'!$F$8:$Z$8)+SUMIF('Phase 2 Pro Forma'!$F$6:$Z$6,J$7,'Phase 2 Pro Forma'!$F$8:$Z$8)+SUMIF('Phase 3 Pro Forma'!$F$6:$Z$6,J$7,'Phase 3 Pro Forma'!$F$8:$Z$8)+SUMIF('Phase 1 Pro Forma'!$F$6:$Z$6,J$7,'Phase 1 Pro Forma'!$AQ$3:$BK$3)+SUMIF('Phase 2 Pro Forma'!$F$6:$Z$6,J$7,'Phase 2 Pro Forma'!$AW$16:$BQ$16)+SUMIF('Phase 3 Pro Forma'!$F$6:$Z$6,J$7,'Phase 3 Pro Forma'!$F$62:$Z$62)+SUMIF('Phase 1 Pro Forma'!$F$6:$Z$6,J$7,'Phase 1 Pro Forma'!$AQ$95:$BK$95)+SUMIF('Phase 2 Pro Forma'!$F$6:$Z$6,J$7,'Phase 2 Pro Forma'!$BD$124:$BQ$124)+SUMIF('Phase 3 Pro Forma'!$F$6:$Z$6,J$7,'Phase 3 Pro Forma'!$F$170:$Z$170) +SUMIF('Phase 1 Pro Forma'!$F$6:$Z$6,J$7,'Phase 1 Pro Forma'!$AQ$49:$BK$49)+SUMIF('Phase 2 Pro Forma'!$F$6:$Z$6,J$7,'Phase 2 Pro Forma'!$AW$70:$BQ$70)+SUMIF('Phase 3 Pro Forma'!$F$6:$Z$6,J$7,'Phase 3 Pro Forma'!$F$116:$Z$116)</f>
        <v>122223.78</v>
      </c>
      <c r="L81" s="306">
        <f ca="1">+SUMIF('Phase 1 Pro Forma'!$F$6:$Z$6,K$7,'Phase 1 Pro Forma'!$F$8:$Z$8)+SUMIF('Phase 2 Pro Forma'!$F$6:$Z$6,K$7,'Phase 2 Pro Forma'!$F$8:$Z$8)+SUMIF('Phase 3 Pro Forma'!$F$6:$Z$6,K$7,'Phase 3 Pro Forma'!$F$8:$Z$8)+SUMIF('Phase 1 Pro Forma'!$F$6:$Z$6,K$7,'Phase 1 Pro Forma'!$AQ$3:$BK$3)+SUMIF('Phase 2 Pro Forma'!$F$6:$Z$6,K$7,'Phase 2 Pro Forma'!$AW$16:$BQ$16)+SUMIF('Phase 3 Pro Forma'!$F$6:$Z$6,K$7,'Phase 3 Pro Forma'!$F$62:$Z$62)+SUMIF('Phase 1 Pro Forma'!$F$6:$Z$6,K$7,'Phase 1 Pro Forma'!$AQ$95:$BK$95)+SUMIF('Phase 2 Pro Forma'!$F$6:$Z$6,K$7,'Phase 2 Pro Forma'!$BD$124:$BQ$124)+SUMIF('Phase 3 Pro Forma'!$F$6:$Z$6,K$7,'Phase 3 Pro Forma'!$F$170:$Z$170) +SUMIF('Phase 1 Pro Forma'!$F$6:$Z$6,K$7,'Phase 1 Pro Forma'!$AQ$49:$BK$49)+SUMIF('Phase 2 Pro Forma'!$F$6:$Z$6,K$7,'Phase 2 Pro Forma'!$AW$70:$BQ$70)+SUMIF('Phase 3 Pro Forma'!$F$6:$Z$6,K$7,'Phase 3 Pro Forma'!$F$116:$Z$116)</f>
        <v>0</v>
      </c>
      <c r="M81" s="306">
        <f ca="1">+SUMIF('Phase 1 Pro Forma'!$F$6:$Z$6,L$7,'Phase 1 Pro Forma'!$F$8:$Z$8)+SUMIF('Phase 2 Pro Forma'!$F$6:$Z$6,L$7,'Phase 2 Pro Forma'!$F$8:$Z$8)+SUMIF('Phase 3 Pro Forma'!$F$6:$Z$6,L$7,'Phase 3 Pro Forma'!$F$8:$Z$8)+SUMIF('Phase 1 Pro Forma'!$F$6:$Z$6,L$7,'Phase 1 Pro Forma'!$AQ$3:$BK$3)+SUMIF('Phase 2 Pro Forma'!$F$6:$Z$6,L$7,'Phase 2 Pro Forma'!$AW$16:$BQ$16)+SUMIF('Phase 3 Pro Forma'!$F$6:$Z$6,L$7,'Phase 3 Pro Forma'!$F$62:$Z$62)+SUMIF('Phase 1 Pro Forma'!$F$6:$Z$6,L$7,'Phase 1 Pro Forma'!$AQ$95:$BK$95)+SUMIF('Phase 2 Pro Forma'!$F$6:$Z$6,L$7,'Phase 2 Pro Forma'!$BD$124:$BQ$124)+SUMIF('Phase 3 Pro Forma'!$F$6:$Z$6,L$7,'Phase 3 Pro Forma'!$F$170:$Z$170) +SUMIF('Phase 1 Pro Forma'!$F$6:$Z$6,L$7,'Phase 1 Pro Forma'!$AQ$49:$BK$49)+SUMIF('Phase 2 Pro Forma'!$F$6:$Z$6,L$7,'Phase 2 Pro Forma'!$AW$70:$BQ$70)+SUMIF('Phase 3 Pro Forma'!$F$6:$Z$6,L$7,'Phase 3 Pro Forma'!$F$116:$Z$116)</f>
        <v>67019.90400000001</v>
      </c>
      <c r="N81" s="306">
        <f ca="1">+SUMIF('Phase 1 Pro Forma'!$F$6:$Z$6,M$7,'Phase 1 Pro Forma'!$F$8:$Z$8)+SUMIF('Phase 2 Pro Forma'!$F$6:$Z$6,M$7,'Phase 2 Pro Forma'!$F$8:$Z$8)+SUMIF('Phase 3 Pro Forma'!$F$6:$Z$6,M$7,'Phase 3 Pro Forma'!$F$8:$Z$8)+SUMIF('Phase 1 Pro Forma'!$F$6:$Z$6,M$7,'Phase 1 Pro Forma'!$AQ$3:$BK$3)+SUMIF('Phase 2 Pro Forma'!$F$6:$Z$6,M$7,'Phase 2 Pro Forma'!$AW$16:$BQ$16)+SUMIF('Phase 3 Pro Forma'!$F$6:$Z$6,M$7,'Phase 3 Pro Forma'!$F$62:$Z$62)+SUMIF('Phase 1 Pro Forma'!$F$6:$Z$6,M$7,'Phase 1 Pro Forma'!$AQ$95:$BK$95)+SUMIF('Phase 2 Pro Forma'!$F$6:$Z$6,M$7,'Phase 2 Pro Forma'!$BD$124:$BQ$124)+SUMIF('Phase 3 Pro Forma'!$F$6:$Z$6,M$7,'Phase 3 Pro Forma'!$F$170:$Z$170) +SUMIF('Phase 1 Pro Forma'!$F$6:$Z$6,M$7,'Phase 1 Pro Forma'!$AQ$49:$BK$49)+SUMIF('Phase 2 Pro Forma'!$F$6:$Z$6,M$7,'Phase 2 Pro Forma'!$AW$70:$BQ$70)+SUMIF('Phase 3 Pro Forma'!$F$6:$Z$6,M$7,'Phase 3 Pro Forma'!$F$116:$Z$116)</f>
        <v>0</v>
      </c>
    </row>
    <row r="82" spans="1:14" ht="18" customHeight="1">
      <c r="B82" s="318" t="s">
        <v>179</v>
      </c>
      <c r="C82" s="318"/>
      <c r="D82" s="295" t="s">
        <v>218</v>
      </c>
      <c r="E82" s="306">
        <f>+SUMIF('Phase 1 Pro Forma'!$F$6:$Z$6,D$7,'Phase 1 Pro Forma'!$F$224:$Z$224)+SUMIF('Phase 2 Pro Forma'!$F$6:$Z$6,D$7,'Phase 2 Pro Forma'!$F$278:$Z$278)+SUMIF('Phase 3 Pro Forma'!$F$6:$Z$6,D$7,'Phase 3 Pro Forma'!$F$476:$Z$476)</f>
        <v>0</v>
      </c>
      <c r="F82" s="306">
        <f>+SUMIF('Phase 1 Pro Forma'!$F$6:$Z$6,E$7,'Phase 1 Pro Forma'!$F$224:$Z$224)+SUMIF('Phase 2 Pro Forma'!$F$6:$Z$6,E$7,'Phase 2 Pro Forma'!$F$278:$Z$278)+SUMIF('Phase 3 Pro Forma'!$F$6:$Z$6,E$7,'Phase 3 Pro Forma'!$F$476:$Z$476)</f>
        <v>0</v>
      </c>
      <c r="G82" s="306">
        <f>+SUMIF('Phase 1 Pro Forma'!$F$6:$Z$6,F$7,'Phase 1 Pro Forma'!$F$224:$Z$224)+SUMIF('Phase 2 Pro Forma'!$F$6:$Z$6,F$7,'Phase 2 Pro Forma'!$F$278:$Z$278)+SUMIF('Phase 3 Pro Forma'!$F$6:$Z$6,F$7,'Phase 3 Pro Forma'!$F$476:$Z$476)</f>
        <v>0</v>
      </c>
      <c r="H82" s="306">
        <f>+SUMIF('Phase 1 Pro Forma'!$F$6:$Z$6,G$7,'Phase 1 Pro Forma'!$F$224:$Z$224)+SUMIF('Phase 2 Pro Forma'!$F$6:$Z$6,G$7,'Phase 2 Pro Forma'!$F$278:$Z$278)+SUMIF('Phase 3 Pro Forma'!$F$6:$Z$6,G$7,'Phase 3 Pro Forma'!$F$476:$Z$476)</f>
        <v>0</v>
      </c>
      <c r="I82" s="306">
        <f>+SUMIF('Phase 1 Pro Forma'!$F$6:$Z$6,H$7,'Phase 1 Pro Forma'!$F$224:$Z$224)+SUMIF('Phase 2 Pro Forma'!$F$6:$Z$6,H$7,'Phase 2 Pro Forma'!$F$278:$Z$278)+SUMIF('Phase 3 Pro Forma'!$F$6:$Z$6,H$7,'Phase 3 Pro Forma'!$F$476:$Z$476)</f>
        <v>25053.075000000004</v>
      </c>
      <c r="J82" s="306">
        <f>+SUMIF('Phase 1 Pro Forma'!$F$6:$Z$6,I$7,'Phase 1 Pro Forma'!$F$224:$Z$224)+SUMIF('Phase 2 Pro Forma'!$F$6:$Z$6,I$7,'Phase 2 Pro Forma'!$F$278:$Z$278)+SUMIF('Phase 3 Pro Forma'!$F$6:$Z$6,I$7,'Phase 3 Pro Forma'!$F$476:$Z$476)</f>
        <v>0</v>
      </c>
      <c r="K82" s="306">
        <f>+SUMIF('Phase 1 Pro Forma'!$F$6:$Z$6,J$7,'Phase 1 Pro Forma'!$F$224:$Z$224)+SUMIF('Phase 2 Pro Forma'!$F$6:$Z$6,J$7,'Phase 2 Pro Forma'!$F$278:$Z$278)+SUMIF('Phase 3 Pro Forma'!$F$6:$Z$6,J$7,'Phase 3 Pro Forma'!$F$476:$Z$476)</f>
        <v>18188.0625</v>
      </c>
      <c r="L82" s="306">
        <f>+SUMIF('Phase 1 Pro Forma'!$F$6:$Z$6,K$7,'Phase 1 Pro Forma'!$F$224:$Z$224)+SUMIF('Phase 2 Pro Forma'!$F$6:$Z$6,K$7,'Phase 2 Pro Forma'!$F$278:$Z$278)+SUMIF('Phase 3 Pro Forma'!$F$6:$Z$6,K$7,'Phase 3 Pro Forma'!$F$476:$Z$476)</f>
        <v>0</v>
      </c>
      <c r="M82" s="306">
        <f>+SUMIF('Phase 1 Pro Forma'!$F$6:$Z$6,L$7,'Phase 1 Pro Forma'!$F$224:$Z$224)+SUMIF('Phase 2 Pro Forma'!$F$6:$Z$6,L$7,'Phase 2 Pro Forma'!$F$278:$Z$278)+SUMIF('Phase 3 Pro Forma'!$F$6:$Z$6,L$7,'Phase 3 Pro Forma'!$F$476:$Z$476)</f>
        <v>27973.200000000001</v>
      </c>
      <c r="N82" s="306">
        <f>+SUMIF('Phase 1 Pro Forma'!$F$6:$Z$6,M$7,'Phase 1 Pro Forma'!$F$224:$Z$224)+SUMIF('Phase 2 Pro Forma'!$F$6:$Z$6,M$7,'Phase 2 Pro Forma'!$F$278:$Z$278)+SUMIF('Phase 3 Pro Forma'!$F$6:$Z$6,M$7,'Phase 3 Pro Forma'!$F$476:$Z$476)</f>
        <v>27973.200000000001</v>
      </c>
    </row>
    <row r="83" spans="1:14" ht="18" customHeight="1">
      <c r="B83" s="319" t="s">
        <v>159</v>
      </c>
      <c r="C83" s="318"/>
      <c r="D83" s="295" t="s">
        <v>218</v>
      </c>
      <c r="E83" s="306">
        <f>+SUMIF('Phase 1 Pro Forma'!$F$6:$Z$6,D$7,'Phase 1 Pro Forma'!$F$54:$Z$54)+SUMIF('Phase 2 Pro Forma'!$F$6:$Z$6,D$7,'Phase 2 Pro Forma'!$F$62:$Z$62)+SUMIF('Phase 3 Pro Forma'!$F$6:$Z$6,D$7,'Phase 3 Pro Forma'!$F$218:$Z$218)</f>
        <v>0</v>
      </c>
      <c r="F83" s="306">
        <f>+SUMIF('Phase 1 Pro Forma'!$F$6:$Z$6,E$7,'Phase 1 Pro Forma'!$F$54:$Z$54)+SUMIF('Phase 2 Pro Forma'!$F$6:$Z$6,E$7,'Phase 2 Pro Forma'!$F$62:$Z$62)+SUMIF('Phase 3 Pro Forma'!$F$6:$Z$6,E$7,'Phase 3 Pro Forma'!$F$218:$Z$218)</f>
        <v>0</v>
      </c>
      <c r="G83" s="306">
        <f>+SUMIF('Phase 1 Pro Forma'!$F$6:$Z$6,F$7,'Phase 1 Pro Forma'!$F$54:$Z$54)+SUMIF('Phase 2 Pro Forma'!$F$6:$Z$6,F$7,'Phase 2 Pro Forma'!$F$62:$Z$62)+SUMIF('Phase 3 Pro Forma'!$F$6:$Z$6,F$7,'Phase 3 Pro Forma'!$F$218:$Z$218)</f>
        <v>0</v>
      </c>
      <c r="H83" s="306">
        <f>+SUMIF('Phase 1 Pro Forma'!$F$6:$Z$6,G$7,'Phase 1 Pro Forma'!$F$54:$Z$54)+SUMIF('Phase 2 Pro Forma'!$F$6:$Z$6,G$7,'Phase 2 Pro Forma'!$F$62:$Z$62)+SUMIF('Phase 3 Pro Forma'!$F$6:$Z$6,G$7,'Phase 3 Pro Forma'!$F$218:$Z$218)</f>
        <v>0</v>
      </c>
      <c r="I83" s="306">
        <f>+SUMIF('Phase 1 Pro Forma'!$F$6:$Z$6,H$7,'Phase 1 Pro Forma'!$F$54:$Z$54)+SUMIF('Phase 2 Pro Forma'!$F$6:$Z$6,H$7,'Phase 2 Pro Forma'!$F$62:$Z$62)+SUMIF('Phase 3 Pro Forma'!$F$6:$Z$6,H$7,'Phase 3 Pro Forma'!$F$218:$Z$218)</f>
        <v>16161.75</v>
      </c>
      <c r="J83" s="306">
        <f>+SUMIF('Phase 1 Pro Forma'!$F$6:$Z$6,I$7,'Phase 1 Pro Forma'!$F$54:$Z$54)+SUMIF('Phase 2 Pro Forma'!$F$6:$Z$6,I$7,'Phase 2 Pro Forma'!$F$62:$Z$62)+SUMIF('Phase 3 Pro Forma'!$F$6:$Z$6,I$7,'Phase 3 Pro Forma'!$F$218:$Z$218)</f>
        <v>16161.75</v>
      </c>
      <c r="K83" s="306">
        <f>+SUMIF('Phase 1 Pro Forma'!$F$6:$Z$6,J$7,'Phase 1 Pro Forma'!$F$54:$Z$54)+SUMIF('Phase 2 Pro Forma'!$F$6:$Z$6,J$7,'Phase 2 Pro Forma'!$F$62:$Z$62)+SUMIF('Phase 3 Pro Forma'!$F$6:$Z$6,J$7,'Phase 3 Pro Forma'!$F$218:$Z$218)</f>
        <v>29882.625</v>
      </c>
      <c r="L83" s="306">
        <f>+SUMIF('Phase 1 Pro Forma'!$F$6:$Z$6,K$7,'Phase 1 Pro Forma'!$F$54:$Z$54)+SUMIF('Phase 2 Pro Forma'!$F$6:$Z$6,K$7,'Phase 2 Pro Forma'!$F$62:$Z$62)+SUMIF('Phase 3 Pro Forma'!$F$6:$Z$6,K$7,'Phase 3 Pro Forma'!$F$218:$Z$218)</f>
        <v>29882.625</v>
      </c>
      <c r="M83" s="306">
        <f>+SUMIF('Phase 1 Pro Forma'!$F$6:$Z$6,L$7,'Phase 1 Pro Forma'!$F$54:$Z$54)+SUMIF('Phase 2 Pro Forma'!$F$6:$Z$6,L$7,'Phase 2 Pro Forma'!$F$62:$Z$62)+SUMIF('Phase 3 Pro Forma'!$F$6:$Z$6,L$7,'Phase 3 Pro Forma'!$F$218:$Z$218)</f>
        <v>4421.25</v>
      </c>
      <c r="N83" s="306">
        <f>+SUMIF('Phase 1 Pro Forma'!$F$6:$Z$6,M$7,'Phase 1 Pro Forma'!$F$54:$Z$54)+SUMIF('Phase 2 Pro Forma'!$F$6:$Z$6,M$7,'Phase 2 Pro Forma'!$F$62:$Z$62)+SUMIF('Phase 3 Pro Forma'!$F$6:$Z$6,M$7,'Phase 3 Pro Forma'!$F$218:$Z$218)</f>
        <v>4421.25</v>
      </c>
    </row>
    <row r="84" spans="1:14" ht="18" customHeight="1">
      <c r="B84" s="319" t="s">
        <v>160</v>
      </c>
      <c r="C84" s="318"/>
      <c r="D84" s="295" t="s">
        <v>218</v>
      </c>
      <c r="E84" s="306">
        <f>+SUMIF('Phase 1 Pro Forma'!$F$6:$Z$6,D$7,'Phase 1 Pro Forma'!$F$80:$Z$80)+SUMIF('Phase 2 Pro Forma'!$F$6:$Z$6,D$7,'Phase 2 Pro Forma'!$F$88:$Z$88)+SUMIF('Phase 3 Pro Forma'!$F$6:$Z$6,D$7,'Phase 3 Pro Forma'!$F$244:$Z$244)</f>
        <v>0</v>
      </c>
      <c r="F84" s="306">
        <f>+SUMIF('Phase 1 Pro Forma'!$F$6:$Z$6,E$7,'Phase 1 Pro Forma'!$F$80:$Z$80)+SUMIF('Phase 2 Pro Forma'!$F$6:$Z$6,E$7,'Phase 2 Pro Forma'!$F$88:$Z$88)+SUMIF('Phase 3 Pro Forma'!$F$6:$Z$6,E$7,'Phase 3 Pro Forma'!$F$244:$Z$244)</f>
        <v>0</v>
      </c>
      <c r="G84" s="306">
        <f>+SUMIF('Phase 1 Pro Forma'!$F$6:$Z$6,F$7,'Phase 1 Pro Forma'!$F$80:$Z$80)+SUMIF('Phase 2 Pro Forma'!$F$6:$Z$6,F$7,'Phase 2 Pro Forma'!$F$88:$Z$88)+SUMIF('Phase 3 Pro Forma'!$F$6:$Z$6,F$7,'Phase 3 Pro Forma'!$F$244:$Z$244)</f>
        <v>0</v>
      </c>
      <c r="H84" s="306">
        <f>+SUMIF('Phase 1 Pro Forma'!$F$6:$Z$6,G$7,'Phase 1 Pro Forma'!$F$80:$Z$80)+SUMIF('Phase 2 Pro Forma'!$F$6:$Z$6,G$7,'Phase 2 Pro Forma'!$F$88:$Z$88)+SUMIF('Phase 3 Pro Forma'!$F$6:$Z$6,G$7,'Phase 3 Pro Forma'!$F$244:$Z$244)</f>
        <v>0</v>
      </c>
      <c r="I84" s="306">
        <f>+SUMIF('Phase 1 Pro Forma'!$F$6:$Z$6,H$7,'Phase 1 Pro Forma'!$F$80:$Z$80)+SUMIF('Phase 2 Pro Forma'!$F$6:$Z$6,H$7,'Phase 2 Pro Forma'!$F$88:$Z$88)+SUMIF('Phase 3 Pro Forma'!$F$6:$Z$6,H$7,'Phase 3 Pro Forma'!$F$244:$Z$244)</f>
        <v>42226.125</v>
      </c>
      <c r="J84" s="306">
        <f>+SUMIF('Phase 1 Pro Forma'!$F$6:$Z$6,I$7,'Phase 1 Pro Forma'!$F$80:$Z$80)+SUMIF('Phase 2 Pro Forma'!$F$6:$Z$6,I$7,'Phase 2 Pro Forma'!$F$88:$Z$88)+SUMIF('Phase 3 Pro Forma'!$F$6:$Z$6,I$7,'Phase 3 Pro Forma'!$F$244:$Z$244)</f>
        <v>42226.125</v>
      </c>
      <c r="K84" s="306">
        <f>+SUMIF('Phase 1 Pro Forma'!$F$6:$Z$6,J$7,'Phase 1 Pro Forma'!$F$80:$Z$80)+SUMIF('Phase 2 Pro Forma'!$F$6:$Z$6,J$7,'Phase 2 Pro Forma'!$F$88:$Z$88)+SUMIF('Phase 3 Pro Forma'!$F$6:$Z$6,J$7,'Phase 3 Pro Forma'!$F$244:$Z$244)</f>
        <v>24242.25</v>
      </c>
      <c r="L84" s="306">
        <f>+SUMIF('Phase 1 Pro Forma'!$F$6:$Z$6,K$7,'Phase 1 Pro Forma'!$F$80:$Z$80)+SUMIF('Phase 2 Pro Forma'!$F$6:$Z$6,K$7,'Phase 2 Pro Forma'!$F$88:$Z$88)+SUMIF('Phase 3 Pro Forma'!$F$6:$Z$6,K$7,'Phase 3 Pro Forma'!$F$244:$Z$244)</f>
        <v>24242.25</v>
      </c>
      <c r="M84" s="306">
        <f>+SUMIF('Phase 1 Pro Forma'!$F$6:$Z$6,L$7,'Phase 1 Pro Forma'!$F$80:$Z$80)+SUMIF('Phase 2 Pro Forma'!$F$6:$Z$6,L$7,'Phase 2 Pro Forma'!$F$88:$Z$88)+SUMIF('Phase 3 Pro Forma'!$F$6:$Z$6,L$7,'Phase 3 Pro Forma'!$F$244:$Z$244)</f>
        <v>14717.625</v>
      </c>
      <c r="N84" s="306">
        <f>+SUMIF('Phase 1 Pro Forma'!$F$6:$Z$6,M$7,'Phase 1 Pro Forma'!$F$80:$Z$80)+SUMIF('Phase 2 Pro Forma'!$F$6:$Z$6,M$7,'Phase 2 Pro Forma'!$F$88:$Z$88)+SUMIF('Phase 3 Pro Forma'!$F$6:$Z$6,M$7,'Phase 3 Pro Forma'!$F$244:$Z$244)</f>
        <v>14717.625</v>
      </c>
    </row>
    <row r="85" spans="1:14" ht="18" customHeight="1">
      <c r="B85" s="319" t="s">
        <v>161</v>
      </c>
      <c r="C85" s="318"/>
      <c r="D85" s="295" t="s">
        <v>218</v>
      </c>
      <c r="E85" s="306">
        <f>+SUMIF('Phase 1 Pro Forma'!$F$6:$Z$6,D$7,'Phase 1 Pro Forma'!$F$459:$Z$459)+SUMIF('Phase 2 Pro Forma'!$F$6:$Z$6,D$7,'Phase 2 Pro Forma'!$AI$113:$BC$113)+SUMIF('Phase 3 Pro Forma'!$F$6:$Z$6,D$7,'Phase 3 Pro Forma'!$F$270:$Z$270)</f>
        <v>0</v>
      </c>
      <c r="F85" s="306">
        <f>+SUMIF('Phase 1 Pro Forma'!$F$6:$Z$6,E$7,'Phase 1 Pro Forma'!$F$459:$Z$459)+SUMIF('Phase 2 Pro Forma'!$F$6:$Z$6,E$7,'Phase 2 Pro Forma'!$AI$113:$BC$113)+SUMIF('Phase 3 Pro Forma'!$F$6:$Z$6,E$7,'Phase 3 Pro Forma'!$F$270:$Z$270)</f>
        <v>0</v>
      </c>
      <c r="G85" s="306">
        <f>+SUMIF('Phase 1 Pro Forma'!$F$6:$Z$6,F$7,'Phase 1 Pro Forma'!$F$459:$Z$459)+SUMIF('Phase 2 Pro Forma'!$F$6:$Z$6,F$7,'Phase 2 Pro Forma'!$AI$113:$BC$113)+SUMIF('Phase 3 Pro Forma'!$F$6:$Z$6,F$7,'Phase 3 Pro Forma'!$F$270:$Z$270)</f>
        <v>0</v>
      </c>
      <c r="H85" s="306">
        <f>+SUMIF('Phase 1 Pro Forma'!$F$6:$Z$6,G$7,'Phase 1 Pro Forma'!$F$459:$Z$459)+SUMIF('Phase 2 Pro Forma'!$F$6:$Z$6,G$7,'Phase 2 Pro Forma'!$AI$113:$BC$113)+SUMIF('Phase 3 Pro Forma'!$F$6:$Z$6,G$7,'Phase 3 Pro Forma'!$F$270:$Z$270)</f>
        <v>0</v>
      </c>
      <c r="I85" s="306">
        <f>+SUMIF('Phase 1 Pro Forma'!$F$6:$Z$6,H$7,'Phase 1 Pro Forma'!$F$459:$Z$459)+SUMIF('Phase 2 Pro Forma'!$F$6:$Z$6,H$7,'Phase 2 Pro Forma'!$AI$113:$BC$113)+SUMIF('Phase 3 Pro Forma'!$F$6:$Z$6,H$7,'Phase 3 Pro Forma'!$F$270:$Z$270)</f>
        <v>0</v>
      </c>
      <c r="J85" s="306">
        <f>+SUMIF('Phase 1 Pro Forma'!$F$6:$Z$6,I$7,'Phase 1 Pro Forma'!$F$459:$Z$459)+SUMIF('Phase 2 Pro Forma'!$F$6:$Z$6,I$7,'Phase 2 Pro Forma'!$AI$113:$BC$113)+SUMIF('Phase 3 Pro Forma'!$F$6:$Z$6,I$7,'Phase 3 Pro Forma'!$F$270:$Z$270)</f>
        <v>0</v>
      </c>
      <c r="K85" s="306">
        <f>+SUMIF('Phase 1 Pro Forma'!$F$6:$Z$6,J$7,'Phase 1 Pro Forma'!$F$459:$Z$459)+SUMIF('Phase 2 Pro Forma'!$F$6:$Z$6,J$7,'Phase 2 Pro Forma'!$AI$113:$BC$113)+SUMIF('Phase 3 Pro Forma'!$F$6:$Z$6,J$7,'Phase 3 Pro Forma'!$F$270:$Z$270)</f>
        <v>0</v>
      </c>
      <c r="L85" s="306">
        <f>+SUMIF('Phase 1 Pro Forma'!$F$6:$Z$6,K$7,'Phase 1 Pro Forma'!$F$459:$Z$459)+SUMIF('Phase 2 Pro Forma'!$F$6:$Z$6,K$7,'Phase 2 Pro Forma'!$AI$113:$BC$113)+SUMIF('Phase 3 Pro Forma'!$F$6:$Z$6,K$7,'Phase 3 Pro Forma'!$F$270:$Z$270)</f>
        <v>0</v>
      </c>
      <c r="M85" s="306">
        <f>+SUMIF('Phase 1 Pro Forma'!$F$6:$Z$6,L$7,'Phase 1 Pro Forma'!$F$459:$Z$459)+SUMIF('Phase 2 Pro Forma'!$F$6:$Z$6,L$7,'Phase 2 Pro Forma'!$AI$113:$BC$113)+SUMIF('Phase 3 Pro Forma'!$F$6:$Z$6,L$7,'Phase 3 Pro Forma'!$F$270:$Z$270)</f>
        <v>0</v>
      </c>
      <c r="N85" s="306">
        <f>+SUMIF('Phase 1 Pro Forma'!$F$6:$Z$6,M$7,'Phase 1 Pro Forma'!$F$459:$Z$459)+SUMIF('Phase 2 Pro Forma'!$F$6:$Z$6,M$7,'Phase 2 Pro Forma'!$AI$113:$BC$113)+SUMIF('Phase 3 Pro Forma'!$F$6:$Z$6,M$7,'Phase 3 Pro Forma'!$F$270:$Z$270)</f>
        <v>0</v>
      </c>
    </row>
    <row r="86" spans="1:14" ht="18" customHeight="1">
      <c r="B86" s="319" t="s">
        <v>162</v>
      </c>
      <c r="C86" s="318"/>
      <c r="D86" s="295" t="s">
        <v>218</v>
      </c>
      <c r="E86" s="306">
        <f>E74*Assumptions!$E$163</f>
        <v>0</v>
      </c>
      <c r="F86" s="306">
        <f>F74*Assumptions!$E$163</f>
        <v>0</v>
      </c>
      <c r="G86" s="306">
        <f>G74*Assumptions!$E$163</f>
        <v>0</v>
      </c>
      <c r="H86" s="306">
        <f>H74*Assumptions!$E$163</f>
        <v>0</v>
      </c>
      <c r="I86" s="306">
        <f>I74*Assumptions!$E$163</f>
        <v>0</v>
      </c>
      <c r="J86" s="306">
        <f>J74*Assumptions!$E$163</f>
        <v>0</v>
      </c>
      <c r="K86" s="306">
        <f ca="1">K74*Assumptions!$E$163</f>
        <v>0</v>
      </c>
      <c r="L86" s="306">
        <f ca="1">(L74*Assumptions!$E$163)+(21000)</f>
        <v>21000</v>
      </c>
      <c r="M86" s="306">
        <f>M74*Assumptions!$E$163</f>
        <v>82058.25</v>
      </c>
      <c r="N86" s="306">
        <f>N74*Assumptions!$E$163</f>
        <v>82058.25</v>
      </c>
    </row>
    <row r="87" spans="1:14" ht="18" customHeight="1">
      <c r="B87" s="319" t="s">
        <v>180</v>
      </c>
      <c r="C87" s="318"/>
      <c r="D87" s="295" t="s">
        <v>218</v>
      </c>
      <c r="E87" s="306">
        <f>+SUMIF('Phase 1 Pro Forma'!$F$6:$Z$6,D$7,'Phase 1 Pro Forma'!$AQ$144:$BK$144)+SUMIF('Phase 2 Pro Forma'!$F$6:$Z$6,D$7,'Phase 2 Pro Forma'!$F$233:$Z$233)+SUMIF('Phase 3 Pro Forma'!$F$6:$Z$6,D$7,'Phase 3 Pro Forma'!$F$431:$Z$431)</f>
        <v>0</v>
      </c>
      <c r="F87" s="306">
        <f>+SUMIF('Phase 1 Pro Forma'!$F$6:$Z$6,E$7,'Phase 1 Pro Forma'!$AQ$144:$BK$144)+SUMIF('Phase 2 Pro Forma'!$F$6:$Z$6,E$7,'Phase 2 Pro Forma'!$F$233:$Z$233)+SUMIF('Phase 3 Pro Forma'!$F$6:$Z$6,E$7,'Phase 3 Pro Forma'!$F$431:$Z$431)</f>
        <v>0</v>
      </c>
      <c r="G87" s="306">
        <f>+SUMIF('Phase 1 Pro Forma'!$F$6:$Z$6,F$7,'Phase 1 Pro Forma'!$AQ$144:$BK$144)+SUMIF('Phase 2 Pro Forma'!$F$6:$Z$6,F$7,'Phase 2 Pro Forma'!$F$233:$Z$233)+SUMIF('Phase 3 Pro Forma'!$F$6:$Z$6,F$7,'Phase 3 Pro Forma'!$F$431:$Z$431)</f>
        <v>0</v>
      </c>
      <c r="H87" s="306">
        <f>+SUMIF('Phase 1 Pro Forma'!$F$6:$Z$6,G$7,'Phase 1 Pro Forma'!$AQ$144:$BK$144)+SUMIF('Phase 2 Pro Forma'!$F$6:$Z$6,G$7,'Phase 2 Pro Forma'!$F$233:$Z$233)+SUMIF('Phase 3 Pro Forma'!$F$6:$Z$6,G$7,'Phase 3 Pro Forma'!$F$431:$Z$431)</f>
        <v>0</v>
      </c>
      <c r="I87" s="306">
        <f>+SUMIF('Phase 1 Pro Forma'!$F$6:$Z$6,H$7,'Phase 1 Pro Forma'!$AQ$144:$BK$144)+SUMIF('Phase 2 Pro Forma'!$F$6:$Z$6,H$7,'Phase 2 Pro Forma'!$F$233:$Z$233)+SUMIF('Phase 3 Pro Forma'!$F$6:$Z$6,H$7,'Phase 3 Pro Forma'!$F$431:$Z$431)</f>
        <v>0</v>
      </c>
      <c r="J87" s="306">
        <f>+SUMIF('Phase 1 Pro Forma'!$F$6:$Z$6,I$7,'Phase 1 Pro Forma'!$AQ$144:$BK$144)+SUMIF('Phase 2 Pro Forma'!$F$6:$Z$6,I$7,'Phase 2 Pro Forma'!$F$233:$Z$233)+SUMIF('Phase 3 Pro Forma'!$F$6:$Z$6,I$7,'Phase 3 Pro Forma'!$F$431:$Z$431)</f>
        <v>0</v>
      </c>
      <c r="K87" s="306">
        <f>+SUMIF('Phase 1 Pro Forma'!$F$6:$Z$6,J$7,'Phase 1 Pro Forma'!$AQ$144:$BK$144)+SUMIF('Phase 2 Pro Forma'!$F$6:$Z$6,J$7,'Phase 2 Pro Forma'!$F$233:$Z$233)+SUMIF('Phase 3 Pro Forma'!$F$6:$Z$6,J$7,'Phase 3 Pro Forma'!$F$431:$Z$431)</f>
        <v>0</v>
      </c>
      <c r="L87" s="306">
        <f>+SUMIF('Phase 1 Pro Forma'!$F$6:$Z$6,K$7,'Phase 1 Pro Forma'!$AQ$144:$BK$144)+SUMIF('Phase 2 Pro Forma'!$F$6:$Z$6,K$7,'Phase 2 Pro Forma'!$F$233:$Z$233)+SUMIF('Phase 3 Pro Forma'!$F$6:$Z$6,K$7,'Phase 3 Pro Forma'!$F$431:$Z$431)</f>
        <v>0</v>
      </c>
      <c r="M87" s="306">
        <f>+SUMIF('Phase 1 Pro Forma'!$F$6:$Z$6,L$7,'Phase 1 Pro Forma'!$AQ$144:$BK$144)+SUMIF('Phase 2 Pro Forma'!$F$6:$Z$6,L$7,'Phase 2 Pro Forma'!$F$233:$Z$233)+SUMIF('Phase 3 Pro Forma'!$F$6:$Z$6,L$7,'Phase 3 Pro Forma'!$F$431:$Z$431)</f>
        <v>0</v>
      </c>
      <c r="N87" s="306">
        <f>+SUMIF('Phase 1 Pro Forma'!$F$6:$Z$6,M$7,'Phase 1 Pro Forma'!$AQ$144:$BK$144)+SUMIF('Phase 2 Pro Forma'!$F$6:$Z$6,M$7,'Phase 2 Pro Forma'!$F$233:$Z$233)+SUMIF('Phase 3 Pro Forma'!$F$6:$Z$6,M$7,'Phase 3 Pro Forma'!$F$431:$Z$431)</f>
        <v>0</v>
      </c>
    </row>
    <row r="88" spans="1:14" ht="18" customHeight="1">
      <c r="B88" s="319" t="s">
        <v>181</v>
      </c>
      <c r="C88" s="318"/>
      <c r="D88" s="295" t="s">
        <v>218</v>
      </c>
      <c r="E88" s="306">
        <f>+E75*Assumptions!$F$194</f>
        <v>0</v>
      </c>
      <c r="F88" s="306">
        <f>+F75*Assumptions!$F$194</f>
        <v>0</v>
      </c>
      <c r="G88" s="306">
        <f>+G75*Assumptions!$F$194</f>
        <v>0</v>
      </c>
      <c r="H88" s="306">
        <f>+H75*Assumptions!$F$194</f>
        <v>0</v>
      </c>
      <c r="I88" s="306">
        <f>+I75*Assumptions!$F$194</f>
        <v>72000.024999999994</v>
      </c>
      <c r="J88" s="306">
        <f>+J75*Assumptions!$F$194</f>
        <v>72000.024999999994</v>
      </c>
      <c r="K88" s="306">
        <f>+K75*Assumptions!$F$194</f>
        <v>82080</v>
      </c>
      <c r="L88" s="306">
        <f>+L75*Assumptions!$F$194</f>
        <v>82080</v>
      </c>
      <c r="M88" s="306">
        <f>+M75*Assumptions!$F$194</f>
        <v>38475</v>
      </c>
      <c r="N88" s="306">
        <f>+N75*Assumptions!$F$194</f>
        <v>38475</v>
      </c>
    </row>
    <row r="89" spans="1:14" ht="18" customHeight="1">
      <c r="A89" s="328"/>
      <c r="B89" s="319" t="s">
        <v>182</v>
      </c>
      <c r="C89" s="318"/>
      <c r="D89" s="295" t="s">
        <v>218</v>
      </c>
      <c r="E89" s="306">
        <f>+E76*Assumptions!$AE$199</f>
        <v>0</v>
      </c>
      <c r="F89" s="306">
        <f>+F76*Assumptions!$AE$199</f>
        <v>0</v>
      </c>
      <c r="G89" s="306">
        <f>+G76*Assumptions!$AE$199</f>
        <v>0</v>
      </c>
      <c r="H89" s="306">
        <f>+H76*Assumptions!$AE$199</f>
        <v>0</v>
      </c>
      <c r="I89" s="306">
        <f>+I76*Assumptions!$AE$199</f>
        <v>0</v>
      </c>
      <c r="J89" s="306">
        <f>+J76*Assumptions!$AE$199</f>
        <v>0</v>
      </c>
      <c r="K89" s="306">
        <f>+K76*Assumptions!$AE$199</f>
        <v>0</v>
      </c>
      <c r="L89" s="306">
        <f>+L76*Assumptions!$AE$199</f>
        <v>0</v>
      </c>
      <c r="M89" s="306">
        <f>+M76*Assumptions!$AE$199</f>
        <v>0</v>
      </c>
      <c r="N89" s="306">
        <f>+N76*Assumptions!$AE$199</f>
        <v>0</v>
      </c>
    </row>
    <row r="90" spans="1:14" ht="18" customHeight="1">
      <c r="A90" s="328"/>
      <c r="B90" s="318" t="s">
        <v>168</v>
      </c>
      <c r="C90" s="318"/>
      <c r="D90" s="295" t="s">
        <v>218</v>
      </c>
      <c r="E90" s="306">
        <v>0</v>
      </c>
      <c r="F90" s="306">
        <v>0</v>
      </c>
      <c r="G90" s="306">
        <v>0</v>
      </c>
      <c r="H90" s="306">
        <v>0</v>
      </c>
      <c r="I90" s="306">
        <v>0</v>
      </c>
      <c r="J90" s="306">
        <v>0</v>
      </c>
      <c r="K90" s="306">
        <v>0</v>
      </c>
      <c r="L90" s="306">
        <v>0</v>
      </c>
      <c r="M90" s="306">
        <v>0</v>
      </c>
      <c r="N90" s="306">
        <v>0</v>
      </c>
    </row>
    <row r="91" spans="1:14" ht="18" customHeight="1">
      <c r="B91" s="1093" t="s">
        <v>219</v>
      </c>
      <c r="C91" s="1093"/>
      <c r="D91" s="297" t="s">
        <v>218</v>
      </c>
      <c r="E91" s="329">
        <f t="shared" ref="E91:N91" ca="1" si="16">+SUM(E79:E90)</f>
        <v>0</v>
      </c>
      <c r="F91" s="329">
        <f t="shared" ca="1" si="16"/>
        <v>0</v>
      </c>
      <c r="G91" s="329">
        <f t="shared" ca="1" si="16"/>
        <v>0</v>
      </c>
      <c r="H91" s="329">
        <f t="shared" ca="1" si="16"/>
        <v>0</v>
      </c>
      <c r="I91" s="329">
        <f t="shared" ca="1" si="16"/>
        <v>631449.4</v>
      </c>
      <c r="J91" s="329">
        <f t="shared" ca="1" si="16"/>
        <v>130387.9</v>
      </c>
      <c r="K91" s="329">
        <f t="shared" ca="1" si="16"/>
        <v>499966.125</v>
      </c>
      <c r="L91" s="329">
        <f t="shared" ca="1" si="16"/>
        <v>157204.875</v>
      </c>
      <c r="M91" s="329">
        <f t="shared" ca="1" si="16"/>
        <v>363168.28500000003</v>
      </c>
      <c r="N91" s="329">
        <f t="shared" ca="1" si="16"/>
        <v>167645.32500000001</v>
      </c>
    </row>
    <row r="92" spans="1:14" ht="18" customHeight="1"/>
    <row r="93" spans="1:14" ht="18" customHeight="1">
      <c r="B93" s="1098" t="s">
        <v>220</v>
      </c>
      <c r="C93" s="1098"/>
      <c r="D93" s="1099"/>
      <c r="E93" s="1099"/>
      <c r="F93" s="1099"/>
      <c r="G93" s="1099"/>
      <c r="H93" s="286"/>
      <c r="I93" s="1100" t="s">
        <v>221</v>
      </c>
      <c r="J93" s="1099"/>
      <c r="K93" s="1099"/>
      <c r="L93" s="1099"/>
      <c r="M93" s="1099"/>
      <c r="N93" s="1099"/>
    </row>
    <row r="94" spans="1:14" s="286" customFormat="1" ht="18" customHeight="1">
      <c r="B94" s="556" t="s">
        <v>173</v>
      </c>
      <c r="C94" s="1103" t="s">
        <v>222</v>
      </c>
      <c r="D94" s="1103"/>
      <c r="E94" s="1103" t="s">
        <v>223</v>
      </c>
      <c r="F94" s="1103"/>
      <c r="G94" s="557" t="s">
        <v>224</v>
      </c>
      <c r="H94" s="304"/>
      <c r="I94" s="1101"/>
      <c r="J94" s="1102"/>
      <c r="K94" s="1102"/>
      <c r="L94" s="585" t="s">
        <v>225</v>
      </c>
      <c r="M94" s="598"/>
      <c r="N94" s="313" t="s">
        <v>226</v>
      </c>
    </row>
    <row r="95" spans="1:14" s="304" customFormat="1" ht="18" customHeight="1">
      <c r="B95" s="318" t="s">
        <v>210</v>
      </c>
      <c r="C95" s="1097" t="str">
        <f ca="1">+CONCATENATE(TEXT(Budget!$N$116,"$0,000")," pu"," / ",TEXT(Budget!$N$114,"$0.0")," pgsf")</f>
        <v>$370,581 pu / $386.9 pgsf</v>
      </c>
      <c r="D95" s="1097"/>
      <c r="E95" s="1097" t="str">
        <f ca="1">+CONCATENATE(TEXT(Budget!$N$115,"$0,000")," pu"," / ",TEXT(Budget!$N$113,"$0.0")," pgsf")</f>
        <v>$540,947 pu / $564.7 pgsf</v>
      </c>
      <c r="F95" s="1097"/>
      <c r="G95" s="331">
        <f ca="1">+Budget!$N$110</f>
        <v>403880237.58503813</v>
      </c>
      <c r="H95" s="287"/>
    </row>
    <row r="96" spans="1:14" ht="18" customHeight="1">
      <c r="B96" s="318" t="s">
        <v>178</v>
      </c>
      <c r="C96" s="1094" t="str">
        <f ca="1">+CONCATENATE(TEXT(Budget!T116,"$0,000")," pu"," / ",TEXT(Budget!$T$114,"$0.0")," pgsf")</f>
        <v>$569,519 pu / $372.1 pgsf</v>
      </c>
      <c r="D96" s="1094"/>
      <c r="E96" s="1094" t="str">
        <f ca="1">+CONCATENATE(TEXT(Budget!T115,"$0,000")," pu"," / ",TEXT(Budget!T113,"$0.0")," pgsf")</f>
        <v>$831,982 pu / $543.6 pgsf</v>
      </c>
      <c r="F96" s="1094"/>
      <c r="G96" s="332">
        <f ca="1">Budget!T110</f>
        <v>110954359.03962615</v>
      </c>
    </row>
    <row r="97" spans="2:14" ht="18" customHeight="1">
      <c r="B97" s="318" t="s">
        <v>157</v>
      </c>
      <c r="C97" s="1094" t="str">
        <f ca="1">+CONCATENATE(TEXT(Budget!$M$116,"$0,000")," pu"," / ",TEXT(Budget!$M$114,"$0.0")," pgsf")</f>
        <v>$556,980 pu / $375.7 pgsf</v>
      </c>
      <c r="D97" s="1094"/>
      <c r="E97" s="1094" t="str">
        <f ca="1">+CONCATENATE(TEXT(Budget!$M$115,"$0,000")," pu"," / ",TEXT(Budget!$M$113,"$0.0")," pgsf")</f>
        <v>$820,634 pu / $553.6 pgsf</v>
      </c>
      <c r="F97" s="1094"/>
      <c r="G97" s="333">
        <f ca="1">+Budget!$M$110</f>
        <v>263938975.16471606</v>
      </c>
      <c r="I97" s="554" t="s">
        <v>227</v>
      </c>
      <c r="J97" s="558"/>
      <c r="K97" s="599" t="s">
        <v>228</v>
      </c>
      <c r="L97" s="559"/>
      <c r="M97" s="599" t="s">
        <v>229</v>
      </c>
      <c r="N97" s="559"/>
    </row>
    <row r="98" spans="2:14" ht="18" customHeight="1">
      <c r="B98" s="318" t="s">
        <v>179</v>
      </c>
      <c r="C98" s="1094" t="str">
        <f ca="1">+CONCATENATE(TEXT(Budget!$S$116,"$0,000")," pu"," / ",TEXT(Budget!$S$114,"$0.0")," pgsf")</f>
        <v>$647,322 pu / $355.6 pgsf</v>
      </c>
      <c r="D98" s="1094"/>
      <c r="E98" s="1094" t="str">
        <f ca="1">+CONCATENATE(TEXT(Budget!$S$115,"$0,000")," pu"," / ",TEXT(Budget!$S$113,"$0.0")," pgsf")</f>
        <v>$958,655 pu / $526.6 pgsf</v>
      </c>
      <c r="F98" s="1094"/>
      <c r="G98" s="332">
        <f ca="1">Budget!S110</f>
        <v>50004119.649106927</v>
      </c>
      <c r="I98" s="335" t="s">
        <v>230</v>
      </c>
      <c r="K98" s="456">
        <f ca="1">+'S&amp;U'!G23</f>
        <v>291290832.40700483</v>
      </c>
      <c r="L98" s="595"/>
      <c r="M98" s="456">
        <f ca="1">+'S&amp;U'!Q25</f>
        <v>291290832.40700483</v>
      </c>
      <c r="N98" s="605">
        <f ca="1">M98/M113</f>
        <v>0.18355876244780459</v>
      </c>
    </row>
    <row r="99" spans="2:14" ht="18" customHeight="1">
      <c r="B99" s="319" t="s">
        <v>159</v>
      </c>
      <c r="C99" s="1096">
        <f ca="1">+Budget!$W$114</f>
        <v>523.59041619702066</v>
      </c>
      <c r="D99" s="1096"/>
      <c r="E99" s="1096">
        <f ca="1">+Budget!$W$113</f>
        <v>850.98273910530929</v>
      </c>
      <c r="F99" s="1096"/>
      <c r="G99" s="332">
        <f ca="1">+Budget!$W$110</f>
        <v>114521002.115097</v>
      </c>
    </row>
    <row r="100" spans="2:14" ht="18" customHeight="1">
      <c r="B100" s="319" t="s">
        <v>160</v>
      </c>
      <c r="C100" s="1096">
        <f ca="1">+Budget!$X$114</f>
        <v>202.17630213758417</v>
      </c>
      <c r="D100" s="1096"/>
      <c r="E100" s="1096">
        <f ca="1">+Budget!$X$113</f>
        <v>517.77287478819596</v>
      </c>
      <c r="F100" s="1096"/>
      <c r="G100" s="332">
        <f ca="1">+Budget!$X$110</f>
        <v>112095756.30014527</v>
      </c>
    </row>
    <row r="101" spans="2:14" ht="18" customHeight="1">
      <c r="B101" s="319" t="s">
        <v>162</v>
      </c>
      <c r="C101" s="1096">
        <f ca="1">+Budget!$Y$114</f>
        <v>378.5054636358733</v>
      </c>
      <c r="D101" s="1096"/>
      <c r="E101" s="1096">
        <f ca="1">+Budget!$Y$113</f>
        <v>529.35888066647613</v>
      </c>
      <c r="F101" s="1096"/>
      <c r="G101" s="332">
        <f ca="1">+Budget!$Y$110</f>
        <v>132774853.16652687</v>
      </c>
      <c r="K101" s="600"/>
      <c r="M101" s="600"/>
      <c r="N101" s="607"/>
    </row>
    <row r="102" spans="2:14" ht="18" customHeight="1">
      <c r="B102" s="319" t="s">
        <v>181</v>
      </c>
      <c r="C102" s="1094" t="str">
        <f ca="1">+CONCATENATE(TEXT(Budget!$AB$116,"$0,000")," per space"," / ",TEXT(Budget!$AB$114,"$0.0")," pgsf")</f>
        <v>$46,473 per space / $135.8 pgsf</v>
      </c>
      <c r="D102" s="1094"/>
      <c r="E102" s="1094" t="str">
        <f ca="1">+CONCATENATE(TEXT(Budget!$AB$115,"$0,000")," per space"," / ",TEXT(Budget!$AB$113,"$0.0")," pgsf")</f>
        <v>$104,770 per space / $306.2 pgsf</v>
      </c>
      <c r="F102" s="1094"/>
      <c r="G102" s="332">
        <f ca="1">+Budget!AB110</f>
        <v>124147163.76694901</v>
      </c>
      <c r="I102" s="559" t="s">
        <v>231</v>
      </c>
      <c r="J102" s="558"/>
      <c r="K102" s="599" t="s">
        <v>232</v>
      </c>
      <c r="L102" s="559"/>
      <c r="M102" s="599" t="s">
        <v>229</v>
      </c>
      <c r="N102" s="559"/>
    </row>
    <row r="103" spans="2:14" ht="18" customHeight="1">
      <c r="B103" s="319" t="s">
        <v>233</v>
      </c>
      <c r="C103" s="1094" t="s">
        <v>27</v>
      </c>
      <c r="D103" s="1094"/>
      <c r="E103" s="1094" t="s">
        <v>27</v>
      </c>
      <c r="F103" s="1094"/>
      <c r="G103" s="330" t="s">
        <v>27</v>
      </c>
      <c r="I103" s="286" t="s">
        <v>234</v>
      </c>
      <c r="K103" s="601">
        <f ca="1">+'S&amp;U'!G17</f>
        <v>647808485.21358228</v>
      </c>
      <c r="L103" s="597"/>
      <c r="M103" s="456"/>
      <c r="N103" s="605"/>
    </row>
    <row r="104" spans="2:14" ht="18" customHeight="1">
      <c r="B104" s="1095"/>
      <c r="C104" s="1095"/>
      <c r="D104" s="1095"/>
      <c r="E104" s="1136"/>
      <c r="F104" s="1095"/>
      <c r="G104" s="1136"/>
      <c r="I104" s="286" t="s">
        <v>235</v>
      </c>
      <c r="K104" s="602">
        <v>0</v>
      </c>
      <c r="L104" s="327"/>
      <c r="M104" s="456">
        <f ca="1">+'S&amp;U'!Q17</f>
        <v>647808485.21358228</v>
      </c>
      <c r="N104" s="605">
        <f ca="1">M104/$M$113</f>
        <v>0.40822061877609772</v>
      </c>
    </row>
    <row r="105" spans="2:14" ht="18" customHeight="1">
      <c r="B105" s="324" t="s">
        <v>236</v>
      </c>
      <c r="C105" s="324"/>
      <c r="D105" s="1092"/>
      <c r="E105" s="1092"/>
      <c r="F105" s="1093" t="s">
        <v>237</v>
      </c>
      <c r="G105" s="1093"/>
    </row>
    <row r="106" spans="2:14" ht="18" customHeight="1">
      <c r="B106" s="319" t="s">
        <v>238</v>
      </c>
      <c r="D106" s="1137"/>
      <c r="E106" s="1137"/>
      <c r="F106" s="1137">
        <f>SUM(Infra!J6:J7)</f>
        <v>7767500</v>
      </c>
      <c r="G106" s="1137"/>
      <c r="I106" s="288"/>
      <c r="K106" s="600"/>
      <c r="L106" s="295"/>
      <c r="M106" s="600"/>
      <c r="N106" s="606"/>
    </row>
    <row r="107" spans="2:14" ht="18" customHeight="1">
      <c r="B107" s="319" t="s">
        <v>239</v>
      </c>
      <c r="D107" s="1137"/>
      <c r="E107" s="1137"/>
      <c r="F107" s="1137">
        <f>SUM(Infra!J9:J10)</f>
        <v>2875200</v>
      </c>
      <c r="G107" s="1137"/>
      <c r="K107" s="600"/>
      <c r="M107" s="600"/>
      <c r="N107" s="607"/>
    </row>
    <row r="108" spans="2:14" ht="18" customHeight="1">
      <c r="B108" s="319" t="s">
        <v>240</v>
      </c>
      <c r="D108" s="1137"/>
      <c r="E108" s="1137"/>
      <c r="F108" s="1137">
        <f>SUM(Infra!J12:J13)</f>
        <v>2418600</v>
      </c>
      <c r="G108" s="1137"/>
      <c r="I108" s="559" t="s">
        <v>241</v>
      </c>
      <c r="J108" s="558"/>
      <c r="K108" s="599" t="str">
        <f>+K102</f>
        <v xml:space="preserve">Construction Phase </v>
      </c>
      <c r="L108" s="559"/>
      <c r="M108" s="599" t="str">
        <f>+M102</f>
        <v xml:space="preserve">Permanent Phase </v>
      </c>
      <c r="N108" s="559"/>
    </row>
    <row r="109" spans="2:14" ht="18" customHeight="1">
      <c r="B109" s="319" t="s">
        <v>242</v>
      </c>
      <c r="D109" s="1137"/>
      <c r="E109" s="1137"/>
      <c r="F109" s="1137">
        <f>SUM(Infra!J15:J17)</f>
        <v>22669355</v>
      </c>
      <c r="G109" s="1137"/>
      <c r="I109" s="288" t="s">
        <v>243</v>
      </c>
      <c r="K109" s="601">
        <f ca="1">+'S&amp;U'!G18</f>
        <v>149586352.36032838</v>
      </c>
      <c r="L109" s="597"/>
      <c r="M109" s="601">
        <f ca="1">+'S&amp;U'!Q20</f>
        <v>149586352.36032838</v>
      </c>
      <c r="N109" s="608">
        <f ca="1">M109/$M$113</f>
        <v>9.4262787096497769E-2</v>
      </c>
    </row>
    <row r="110" spans="2:14" ht="18" customHeight="1">
      <c r="B110" s="319" t="s">
        <v>244</v>
      </c>
      <c r="D110" s="1137"/>
      <c r="E110" s="1137"/>
      <c r="F110" s="1137">
        <f>+SUM(Infra!Y19:Y22)</f>
        <v>0</v>
      </c>
      <c r="G110" s="1137"/>
      <c r="I110" s="287" t="s">
        <v>245</v>
      </c>
      <c r="K110" s="456">
        <f ca="1">+'S&amp;U'!G20</f>
        <v>223630796.80628985</v>
      </c>
      <c r="L110" s="595"/>
      <c r="M110" s="456">
        <f ca="1">+'S&amp;U'!Q22</f>
        <v>223630796.80628985</v>
      </c>
      <c r="N110" s="605">
        <f ca="1">M110/$M$113</f>
        <v>0.14092236260159033</v>
      </c>
    </row>
    <row r="111" spans="2:14" ht="18" customHeight="1">
      <c r="B111" s="324"/>
      <c r="C111" s="301" t="s">
        <v>246</v>
      </c>
      <c r="D111" s="1138"/>
      <c r="E111" s="1138"/>
      <c r="F111" s="1138">
        <f>+Budget!G32</f>
        <v>70427722.556892037</v>
      </c>
      <c r="G111" s="1138"/>
    </row>
    <row r="112" spans="2:14" ht="18" customHeight="1">
      <c r="B112" s="324"/>
      <c r="C112" s="301" t="s">
        <v>247</v>
      </c>
      <c r="D112" s="1139"/>
      <c r="E112" s="1139"/>
      <c r="F112" s="1139">
        <f>+SUM(F106:G110)+F111</f>
        <v>106158377.55689204</v>
      </c>
      <c r="G112" s="1139"/>
      <c r="I112" s="5"/>
      <c r="J112" s="5"/>
      <c r="K112" s="603"/>
      <c r="L112" s="5"/>
      <c r="M112" s="603"/>
      <c r="N112" s="609"/>
    </row>
    <row r="113" spans="2:15" ht="18" customHeight="1">
      <c r="B113" s="561"/>
      <c r="C113" s="562" t="s">
        <v>248</v>
      </c>
      <c r="D113" s="1090"/>
      <c r="E113" s="1090"/>
      <c r="F113" s="1091">
        <f ca="1">+SUM(G95:G102)</f>
        <v>1312316466.7872055</v>
      </c>
      <c r="G113" s="1091"/>
      <c r="I113" s="560" t="s">
        <v>249</v>
      </c>
      <c r="J113" s="558"/>
      <c r="K113" s="604">
        <f ca="1">+SUM(K98:L98,K103:L104,K102:L106)</f>
        <v>1586907802.8341694</v>
      </c>
      <c r="L113" s="596"/>
      <c r="M113" s="604">
        <f ca="1">+SUM(M98:M98,M103:M104,M102:M106)</f>
        <v>1586907802.8341694</v>
      </c>
      <c r="N113" s="610">
        <f ca="1">+SUM(N97:N98,N99:N101,N109:N112)</f>
        <v>0.41874391214589268</v>
      </c>
    </row>
    <row r="114" spans="2:15" ht="18" customHeight="1"/>
    <row r="115" spans="2:15" ht="18" customHeight="1"/>
    <row r="116" spans="2:15" ht="18" customHeight="1"/>
    <row r="117" spans="2:15" ht="18" customHeight="1"/>
    <row r="118" spans="2:15" ht="18" customHeight="1">
      <c r="H118" s="5"/>
    </row>
    <row r="119" spans="2:15" ht="18" customHeight="1">
      <c r="H119" s="5"/>
      <c r="O119" s="5"/>
    </row>
    <row r="120" spans="2:15" ht="18" customHeight="1">
      <c r="H120" s="5"/>
      <c r="O120" s="5"/>
    </row>
    <row r="121" spans="2:15" ht="18" customHeight="1">
      <c r="H121" s="5"/>
      <c r="O121" s="5"/>
    </row>
    <row r="122" spans="2:15" ht="18" customHeight="1">
      <c r="H122" s="5"/>
      <c r="O122" s="5"/>
    </row>
    <row r="123" spans="2:15" ht="18" customHeight="1">
      <c r="H123" s="5"/>
      <c r="O123" s="5"/>
    </row>
    <row r="124" spans="2:15" ht="14.1" customHeight="1">
      <c r="O124" s="5"/>
    </row>
  </sheetData>
  <mergeCells count="52">
    <mergeCell ref="B22:C22"/>
    <mergeCell ref="B23:C23"/>
    <mergeCell ref="B65:N65"/>
    <mergeCell ref="E67:N67"/>
    <mergeCell ref="B91:C91"/>
    <mergeCell ref="B43:C43"/>
    <mergeCell ref="B45:C45"/>
    <mergeCell ref="B66:N66"/>
    <mergeCell ref="B93:G93"/>
    <mergeCell ref="I93:N93"/>
    <mergeCell ref="I94:K94"/>
    <mergeCell ref="E96:F96"/>
    <mergeCell ref="E97:F97"/>
    <mergeCell ref="C94:D94"/>
    <mergeCell ref="E94:F94"/>
    <mergeCell ref="E101:F101"/>
    <mergeCell ref="C95:D95"/>
    <mergeCell ref="C96:D96"/>
    <mergeCell ref="E95:F95"/>
    <mergeCell ref="E98:F98"/>
    <mergeCell ref="E100:F100"/>
    <mergeCell ref="E99:F99"/>
    <mergeCell ref="C100:D100"/>
    <mergeCell ref="C97:D97"/>
    <mergeCell ref="C98:D98"/>
    <mergeCell ref="C99:D99"/>
    <mergeCell ref="C101:D101"/>
    <mergeCell ref="C102:D102"/>
    <mergeCell ref="C103:D103"/>
    <mergeCell ref="E102:F102"/>
    <mergeCell ref="E103:F103"/>
    <mergeCell ref="B104:C104"/>
    <mergeCell ref="D104:E104"/>
    <mergeCell ref="F104:G104"/>
    <mergeCell ref="D106:E106"/>
    <mergeCell ref="F106:G106"/>
    <mergeCell ref="D105:E105"/>
    <mergeCell ref="F105:G105"/>
    <mergeCell ref="D107:E107"/>
    <mergeCell ref="F107:G107"/>
    <mergeCell ref="D108:E108"/>
    <mergeCell ref="F108:G108"/>
    <mergeCell ref="D112:E112"/>
    <mergeCell ref="F112:G112"/>
    <mergeCell ref="D113:E113"/>
    <mergeCell ref="F113:G113"/>
    <mergeCell ref="D109:E109"/>
    <mergeCell ref="F109:G109"/>
    <mergeCell ref="D110:E110"/>
    <mergeCell ref="F110:G110"/>
    <mergeCell ref="D111:E111"/>
    <mergeCell ref="F111:G111"/>
  </mergeCells>
  <pageMargins left="0.25" right="0.25" top="0.75" bottom="0.75" header="0.3" footer="0.3"/>
  <pageSetup paperSize="3" scale="44" orientation="portrait" r:id="rId1"/>
  <headerFooter alignWithMargins="0">
    <oddHeader xml:space="preserve">&amp;L&amp;"Arial,Bold"2019 ULI Hines Student Competition&amp;RTeam &amp;A </oddHeader>
  </headerFooter>
  <ignoredErrors>
    <ignoredError sqref="D46:N46" 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AF9A80-D6C6-4C51-8EBC-D3075A64E3DE}">
  <sheetPr>
    <pageSetUpPr fitToPage="1"/>
  </sheetPr>
  <dimension ref="A1:V135"/>
  <sheetViews>
    <sheetView view="pageBreakPreview" zoomScale="80" zoomScaleNormal="50" zoomScaleSheetLayoutView="80" workbookViewId="0">
      <selection activeCell="T3" sqref="T3"/>
    </sheetView>
  </sheetViews>
  <sheetFormatPr defaultColWidth="8.85546875" defaultRowHeight="15"/>
  <cols>
    <col min="1" max="1" width="1.85546875" style="501" customWidth="1"/>
    <col min="2" max="2" width="40.42578125" style="467" customWidth="1"/>
    <col min="3" max="3" width="13.85546875" style="467" customWidth="1"/>
    <col min="4" max="4" width="13" style="467" customWidth="1"/>
    <col min="5" max="5" width="14.42578125" style="467" customWidth="1"/>
    <col min="6" max="6" width="15.85546875" style="467" customWidth="1"/>
    <col min="7" max="7" width="14.7109375" style="467" customWidth="1"/>
    <col min="8" max="8" width="15.140625" style="467" customWidth="1"/>
    <col min="9" max="9" width="16.28515625" style="467" customWidth="1"/>
    <col min="10" max="12" width="0.85546875" style="467" customWidth="1"/>
    <col min="13" max="13" width="40.28515625" style="467" customWidth="1"/>
    <col min="14" max="14" width="1.85546875" style="467" customWidth="1"/>
    <col min="15" max="15" width="5.28515625" style="467" customWidth="1"/>
    <col min="16" max="16" width="24.140625" style="467" customWidth="1"/>
    <col min="17" max="17" width="19.28515625" style="467" customWidth="1"/>
    <col min="18" max="18" width="9.42578125" style="467" customWidth="1"/>
    <col min="19" max="19" width="16.140625" style="467" bestFit="1" customWidth="1"/>
    <col min="20" max="20" width="11.28515625" style="467" customWidth="1"/>
    <col min="21" max="21" width="17" style="467" customWidth="1"/>
    <col min="22" max="22" width="7.85546875" style="467" bestFit="1" customWidth="1"/>
    <col min="23" max="16384" width="8.85546875" style="467"/>
  </cols>
  <sheetData>
    <row r="1" spans="2:22" ht="106.35" customHeight="1">
      <c r="B1" s="782"/>
      <c r="C1" s="699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</row>
    <row r="2" spans="2:22" ht="21.6" customHeight="1">
      <c r="B2" s="132" t="s">
        <v>250</v>
      </c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</row>
    <row r="4" spans="2:22" ht="15.75">
      <c r="B4" s="527" t="s">
        <v>251</v>
      </c>
      <c r="C4" s="528"/>
      <c r="D4" s="528"/>
      <c r="E4" s="528"/>
      <c r="F4" s="528"/>
      <c r="G4" s="1111" t="s">
        <v>252</v>
      </c>
      <c r="H4" s="1111"/>
      <c r="I4" s="1112"/>
      <c r="J4" s="699"/>
      <c r="K4" s="699"/>
      <c r="L4" s="699"/>
      <c r="M4" s="527" t="s">
        <v>253</v>
      </c>
      <c r="N4" s="528"/>
      <c r="O4" s="528"/>
      <c r="P4" s="528"/>
      <c r="Q4" s="1111" t="s">
        <v>254</v>
      </c>
      <c r="R4" s="1111"/>
      <c r="S4" s="1111"/>
      <c r="T4" s="1111"/>
      <c r="U4" s="1111"/>
      <c r="V4" s="533"/>
    </row>
    <row r="5" spans="2:22" ht="15.75">
      <c r="B5" s="529"/>
      <c r="C5" s="530"/>
      <c r="D5" s="530"/>
      <c r="E5" s="530"/>
      <c r="F5" s="530"/>
      <c r="G5" s="531" t="s">
        <v>255</v>
      </c>
      <c r="H5" s="531" t="s">
        <v>256</v>
      </c>
      <c r="I5" s="532" t="s">
        <v>257</v>
      </c>
      <c r="J5" s="699"/>
      <c r="K5" s="699"/>
      <c r="L5" s="699"/>
      <c r="M5" s="529"/>
      <c r="N5" s="530"/>
      <c r="O5" s="530"/>
      <c r="P5" s="531" t="s">
        <v>258</v>
      </c>
      <c r="Q5" s="534" t="s">
        <v>255</v>
      </c>
      <c r="R5" s="534"/>
      <c r="S5" s="534" t="s">
        <v>256</v>
      </c>
      <c r="T5" s="534"/>
      <c r="U5" s="534" t="s">
        <v>257</v>
      </c>
      <c r="V5" s="532"/>
    </row>
    <row r="6" spans="2:22" ht="15.75">
      <c r="B6" s="345" t="s">
        <v>259</v>
      </c>
      <c r="C6" s="293"/>
      <c r="D6" s="293"/>
      <c r="E6" s="293"/>
      <c r="F6" s="935"/>
      <c r="G6" s="935">
        <v>45291</v>
      </c>
      <c r="H6" s="935">
        <v>46387</v>
      </c>
      <c r="I6" s="714">
        <v>47118</v>
      </c>
      <c r="J6" s="699"/>
      <c r="K6" s="699"/>
      <c r="L6" s="699"/>
      <c r="M6" s="439" t="str">
        <f>+Assumptions!B9</f>
        <v>Project (Unlevered) Returns</v>
      </c>
      <c r="N6" s="419"/>
      <c r="O6" s="419"/>
      <c r="P6" s="419"/>
      <c r="Q6" s="976"/>
      <c r="R6" s="976"/>
      <c r="S6" s="976"/>
      <c r="T6" s="976"/>
      <c r="U6" s="976"/>
      <c r="V6" s="977"/>
    </row>
    <row r="7" spans="2:22" ht="15.75">
      <c r="B7" s="345" t="s">
        <v>260</v>
      </c>
      <c r="C7" s="293"/>
      <c r="D7" s="293"/>
      <c r="E7" s="286"/>
      <c r="F7" s="293"/>
      <c r="G7" s="935">
        <v>45657</v>
      </c>
      <c r="H7" s="935">
        <v>46752</v>
      </c>
      <c r="I7" s="714">
        <v>47483</v>
      </c>
      <c r="J7" s="699"/>
      <c r="K7" s="699"/>
      <c r="L7" s="699"/>
      <c r="M7" s="426" t="str">
        <f>+Assumptions!B10</f>
        <v>Total Cost less Subsidies</v>
      </c>
      <c r="N7" s="286"/>
      <c r="O7" s="286"/>
      <c r="P7" s="434">
        <f ca="1">+SUM(Q7:U7)</f>
        <v>939099317.62058711</v>
      </c>
      <c r="Q7" s="434">
        <f ca="1">+Assumptions!E10</f>
        <v>390715109.03584099</v>
      </c>
      <c r="R7" s="434"/>
      <c r="S7" s="434">
        <f ca="1">+Assumptions!F10</f>
        <v>279281080.1595825</v>
      </c>
      <c r="T7" s="434"/>
      <c r="U7" s="434">
        <f ca="1">+Assumptions!G10</f>
        <v>269103128.42516363</v>
      </c>
      <c r="V7" s="436"/>
    </row>
    <row r="8" spans="2:22" ht="15.75">
      <c r="B8" s="345" t="s">
        <v>261</v>
      </c>
      <c r="C8" s="293"/>
      <c r="D8" s="293"/>
      <c r="E8" s="293"/>
      <c r="F8" s="293"/>
      <c r="G8" s="935">
        <v>46752</v>
      </c>
      <c r="H8" s="935">
        <v>47483</v>
      </c>
      <c r="I8" s="714">
        <v>48213</v>
      </c>
      <c r="J8" s="699"/>
      <c r="K8" s="699"/>
      <c r="L8" s="699"/>
      <c r="M8" s="346" t="str">
        <f>+Assumptions!B11</f>
        <v>Total Value</v>
      </c>
      <c r="N8" s="347"/>
      <c r="O8" s="347"/>
      <c r="P8" s="440">
        <f ca="1">+SUM(Q8:U8)</f>
        <v>1077356561.0403903</v>
      </c>
      <c r="Q8" s="440">
        <f ca="1">+Assumptions!E11</f>
        <v>460091119.27788812</v>
      </c>
      <c r="R8" s="440"/>
      <c r="S8" s="440">
        <f ca="1">+Assumptions!F11</f>
        <v>410977949.05967224</v>
      </c>
      <c r="T8" s="440"/>
      <c r="U8" s="440">
        <f ca="1">+Assumptions!G11</f>
        <v>206287492.70282978</v>
      </c>
      <c r="V8" s="478"/>
    </row>
    <row r="9" spans="2:22" ht="15.75">
      <c r="B9" s="345" t="s">
        <v>262</v>
      </c>
      <c r="C9" s="293"/>
      <c r="D9" s="293"/>
      <c r="E9" s="458" t="s">
        <v>263</v>
      </c>
      <c r="F9" s="293"/>
      <c r="G9" s="935">
        <v>47483</v>
      </c>
      <c r="H9" s="935">
        <v>48213</v>
      </c>
      <c r="I9" s="714">
        <v>48944</v>
      </c>
      <c r="J9" s="699"/>
      <c r="K9" s="699"/>
      <c r="L9" s="699"/>
      <c r="M9" s="426" t="str">
        <f>+Assumptions!B12</f>
        <v xml:space="preserve">Stabilized NOI </v>
      </c>
      <c r="N9" s="286"/>
      <c r="O9" s="286"/>
      <c r="P9" s="435">
        <f ca="1">+'Loan Sizing'!$E$76/'Summary II'!P7</f>
        <v>6.3658349892721372E-2</v>
      </c>
      <c r="Q9" s="434">
        <f ca="1">+Assumptions!E12</f>
        <v>21120150.213353541</v>
      </c>
      <c r="R9" s="435"/>
      <c r="S9" s="434">
        <f ca="1">+Assumptions!F12</f>
        <v>19157271.850348722</v>
      </c>
      <c r="T9" s="435"/>
      <c r="U9" s="434">
        <f ca="1">+Assumptions!G12</f>
        <v>19504090.881404951</v>
      </c>
      <c r="V9" s="437"/>
    </row>
    <row r="10" spans="2:22">
      <c r="B10" s="346" t="s">
        <v>264</v>
      </c>
      <c r="C10" s="347"/>
      <c r="D10" s="347"/>
      <c r="E10" s="348">
        <v>120</v>
      </c>
      <c r="F10" s="347"/>
      <c r="G10" s="715">
        <v>48944</v>
      </c>
      <c r="H10" s="715">
        <v>48944</v>
      </c>
      <c r="I10" s="716">
        <v>48944</v>
      </c>
      <c r="J10" s="699"/>
      <c r="K10" s="699"/>
      <c r="L10" s="699"/>
      <c r="M10" s="346" t="str">
        <f>+Assumptions!B13</f>
        <v>Yield-to-Cost</v>
      </c>
      <c r="N10" s="347"/>
      <c r="O10" s="347"/>
      <c r="P10" s="427">
        <f ca="1">+'Loan Sizing'!E76/'Summary II'!P8</f>
        <v>5.5489069363792547E-2</v>
      </c>
      <c r="Q10" s="487">
        <f ca="1">+Assumptions!E13</f>
        <v>5.4055115159153344E-2</v>
      </c>
      <c r="R10" s="487"/>
      <c r="S10" s="487">
        <f ca="1">+Assumptions!F13</f>
        <v>6.8594950432740262E-2</v>
      </c>
      <c r="T10" s="487"/>
      <c r="U10" s="487">
        <f ca="1">+Assumptions!G13</f>
        <v>7.2478127606862633E-2</v>
      </c>
      <c r="V10" s="441"/>
    </row>
    <row r="11" spans="2:22" ht="15.75">
      <c r="B11" s="699"/>
      <c r="C11" s="699"/>
      <c r="D11" s="699"/>
      <c r="E11" s="699"/>
      <c r="F11" s="699"/>
      <c r="G11" s="699"/>
      <c r="H11" s="699"/>
      <c r="I11" s="699"/>
      <c r="J11" s="699"/>
      <c r="K11" s="699"/>
      <c r="L11" s="699"/>
      <c r="M11" s="426" t="str">
        <f>+Assumptions!B14</f>
        <v>Blended Exit Cap</v>
      </c>
      <c r="N11" s="312"/>
      <c r="O11" s="312"/>
      <c r="P11" s="312"/>
      <c r="Q11" s="488">
        <f ca="1">+Assumptions!E14</f>
        <v>4.5904277062555704E-2</v>
      </c>
      <c r="R11" s="488"/>
      <c r="S11" s="488">
        <f ca="1">+Assumptions!F14</f>
        <v>4.6613867956130095E-2</v>
      </c>
      <c r="T11" s="488"/>
      <c r="U11" s="488">
        <f ca="1">+Assumptions!G14</f>
        <v>9.4548101903113593E-2</v>
      </c>
      <c r="V11" s="438"/>
    </row>
    <row r="12" spans="2:22" ht="15.75">
      <c r="B12" s="1109" t="s">
        <v>265</v>
      </c>
      <c r="C12" s="528"/>
      <c r="D12" s="528"/>
      <c r="E12" s="1114" t="s">
        <v>266</v>
      </c>
      <c r="F12" s="528"/>
      <c r="G12" s="1111"/>
      <c r="H12" s="1111"/>
      <c r="I12" s="1112"/>
      <c r="J12" s="699"/>
      <c r="K12" s="699"/>
      <c r="L12" s="699"/>
      <c r="M12" s="346" t="str">
        <f>+Assumptions!B15</f>
        <v xml:space="preserve">Cap Rate Spread </v>
      </c>
      <c r="N12" s="347"/>
      <c r="O12" s="347"/>
      <c r="P12" s="427"/>
      <c r="Q12" s="476">
        <f ca="1">+Assumptions!E15</f>
        <v>81.5083809659764</v>
      </c>
      <c r="R12" s="476"/>
      <c r="S12" s="476">
        <f ca="1">+Assumptions!F15</f>
        <v>219.81082476610166</v>
      </c>
      <c r="T12" s="476"/>
      <c r="U12" s="476">
        <f ca="1">+Assumptions!G15</f>
        <v>-220.69974296250962</v>
      </c>
      <c r="V12" s="441"/>
    </row>
    <row r="13" spans="2:22" ht="15.75">
      <c r="B13" s="1110"/>
      <c r="C13" s="534" t="s">
        <v>267</v>
      </c>
      <c r="D13" s="534" t="s">
        <v>268</v>
      </c>
      <c r="E13" s="1115"/>
      <c r="F13" s="534" t="s">
        <v>258</v>
      </c>
      <c r="G13" s="534" t="str">
        <f>G$5</f>
        <v>I</v>
      </c>
      <c r="H13" s="534" t="str">
        <f t="shared" ref="H13:I13" si="0">H$5</f>
        <v>II</v>
      </c>
      <c r="I13" s="537" t="str">
        <f t="shared" si="0"/>
        <v>III</v>
      </c>
      <c r="J13" s="699"/>
      <c r="K13" s="699"/>
      <c r="L13" s="699"/>
      <c r="M13" s="424" t="str">
        <f>+Assumptions!B17</f>
        <v>Equity Returns</v>
      </c>
      <c r="N13" s="286"/>
      <c r="O13" s="286"/>
      <c r="P13" s="435"/>
      <c r="Q13" s="435"/>
      <c r="R13" s="435"/>
      <c r="S13" s="435"/>
      <c r="T13" s="435"/>
      <c r="U13" s="435"/>
      <c r="V13" s="437"/>
    </row>
    <row r="14" spans="2:22" ht="15.75">
      <c r="B14" s="221" t="s">
        <v>269</v>
      </c>
      <c r="C14" s="978"/>
      <c r="D14" s="978"/>
      <c r="E14" s="978"/>
      <c r="F14" s="978"/>
      <c r="G14" s="978"/>
      <c r="H14" s="978"/>
      <c r="I14" s="979"/>
      <c r="J14" s="699"/>
      <c r="K14" s="699"/>
      <c r="L14" s="699"/>
      <c r="M14" s="426" t="str">
        <f>+Assumptions!B18</f>
        <v>Unlevered IRR</v>
      </c>
      <c r="N14" s="286"/>
      <c r="O14" s="286"/>
      <c r="P14" s="435">
        <f ca="1">+Assumptions!E4</f>
        <v>0.10495487631732092</v>
      </c>
      <c r="Q14" s="435">
        <f ca="1">+Assumptions!E18</f>
        <v>8.3632841306258587E-2</v>
      </c>
      <c r="R14" s="435"/>
      <c r="S14" s="435">
        <f ca="1">+Assumptions!F18</f>
        <v>0.14216035742914723</v>
      </c>
      <c r="T14" s="435"/>
      <c r="U14" s="435">
        <f ca="1">+Assumptions!G18</f>
        <v>0.12666794291558103</v>
      </c>
      <c r="V14" s="437"/>
    </row>
    <row r="15" spans="2:22" ht="15.75">
      <c r="B15" s="980" t="s">
        <v>270</v>
      </c>
      <c r="C15" s="981">
        <f>+Assumptions!F79</f>
        <v>2982.742636729442</v>
      </c>
      <c r="D15" s="982">
        <f>+Assumptions!F78</f>
        <v>71.729281845196994</v>
      </c>
      <c r="E15" s="420">
        <f>Assumptions!E77</f>
        <v>499</v>
      </c>
      <c r="F15" s="416">
        <f>+SUM(G15:I15)</f>
        <v>214.9901891783567</v>
      </c>
      <c r="G15" s="983">
        <f>VLOOKUP($B15,Assumptions!$B$76:$H$91,5,FALSE)</f>
        <v>101.21643126252505</v>
      </c>
      <c r="H15" s="983">
        <f>VLOOKUP($B15,Assumptions!$B$76:$H$91,6,FALSE)</f>
        <v>73.481230460921836</v>
      </c>
      <c r="I15" s="984">
        <f>VLOOKUP($B15,Assumptions!$B$76:$H$91,7,FALSE)</f>
        <v>40.292527454909816</v>
      </c>
      <c r="J15" s="699"/>
      <c r="K15" s="699"/>
      <c r="L15" s="699"/>
      <c r="M15" s="426" t="s">
        <v>271</v>
      </c>
      <c r="N15" s="286"/>
      <c r="O15" s="286"/>
      <c r="P15" s="435">
        <f ca="1">+Assumptions!E5</f>
        <v>0.16914395854006492</v>
      </c>
      <c r="Q15" s="435">
        <f ca="1">+Assumptions!E19</f>
        <v>0.12496530232341252</v>
      </c>
      <c r="R15" s="435"/>
      <c r="S15" s="435">
        <f ca="1">+Assumptions!F19</f>
        <v>0.39038561957097051</v>
      </c>
      <c r="T15" s="435"/>
      <c r="U15" s="435">
        <f ca="1">+Assumptions!G19</f>
        <v>0.15442094215274849</v>
      </c>
      <c r="V15" s="477"/>
    </row>
    <row r="16" spans="2:22" ht="15.75">
      <c r="B16" s="980" t="s">
        <v>272</v>
      </c>
      <c r="C16" s="981">
        <f>+Assumptions!F83</f>
        <v>3893.8045389810686</v>
      </c>
      <c r="D16" s="982">
        <f>+Assumptions!F82</f>
        <v>67.328032374312428</v>
      </c>
      <c r="E16" s="420">
        <f>Assumptions!E81</f>
        <v>694</v>
      </c>
      <c r="F16" s="416">
        <f t="shared" ref="F16:F32" si="1">+SUM(G16:I16)</f>
        <v>386.45570749279534</v>
      </c>
      <c r="G16" s="983">
        <f>VLOOKUP($B16,Assumptions!$B$78:$H$93,5,FALSE)</f>
        <v>181.94163976945245</v>
      </c>
      <c r="H16" s="983">
        <f>VLOOKUP($B16,Assumptions!$B$78:$H$93,6,FALSE)</f>
        <v>132.0862175792507</v>
      </c>
      <c r="I16" s="984">
        <f>VLOOKUP($B16,Assumptions!$B$78:$H$93,7,FALSE)</f>
        <v>72.427850144092218</v>
      </c>
      <c r="J16" s="699"/>
      <c r="K16" s="699"/>
      <c r="L16" s="699"/>
      <c r="M16" s="346" t="str">
        <f>+Assumptions!B20</f>
        <v>Equity Multiple</v>
      </c>
      <c r="N16" s="347"/>
      <c r="O16" s="347"/>
      <c r="P16" s="428">
        <f ca="1">+SUM('Phase 1 Pro Forma'!D324,'Phase 2 Pro Forma'!D378,'Phase 3 Pro Forma'!D576)/-SUM('Phase 1 Pro Forma'!D323,'Phase 2 Pro Forma'!D377,'Phase 3 Pro Forma'!D575)</f>
        <v>2.9848227913691026</v>
      </c>
      <c r="Q16" s="442">
        <f ca="1">+Assumptions!E20</f>
        <v>1.9552557742765679</v>
      </c>
      <c r="R16" s="428"/>
      <c r="S16" s="442">
        <f ca="1">+Assumptions!F20</f>
        <v>2.1505565071374253</v>
      </c>
      <c r="T16" s="442"/>
      <c r="U16" s="442">
        <f ca="1">+Assumptions!G20</f>
        <v>1.6449346210385154</v>
      </c>
      <c r="V16" s="985"/>
    </row>
    <row r="17" spans="2:22" ht="15.75">
      <c r="B17" s="980" t="s">
        <v>273</v>
      </c>
      <c r="C17" s="981">
        <f>+Assumptions!F87</f>
        <v>5034.124482166264</v>
      </c>
      <c r="D17" s="982">
        <f>+Assumptions!F86</f>
        <v>55.320049254574329</v>
      </c>
      <c r="E17" s="420">
        <f>+Assumptions!E85</f>
        <v>1092</v>
      </c>
      <c r="F17" s="416">
        <f t="shared" si="1"/>
        <v>122.80231730769229</v>
      </c>
      <c r="G17" s="983">
        <f>VLOOKUP($B17,Assumptions!$B$78:$H$93,5,FALSE)</f>
        <v>57.814788461538456</v>
      </c>
      <c r="H17" s="983">
        <f>VLOOKUP($B17,Assumptions!$B$78:$H$93,6,FALSE)</f>
        <v>41.972451923076918</v>
      </c>
      <c r="I17" s="984">
        <f>VLOOKUP($B17,Assumptions!$B$78:$H$93,7,FALSE)</f>
        <v>23.015076923076922</v>
      </c>
      <c r="J17" s="699"/>
      <c r="K17" s="699"/>
      <c r="L17" s="699"/>
      <c r="M17" s="986"/>
      <c r="N17" s="986"/>
      <c r="O17" s="986"/>
      <c r="P17" s="986"/>
      <c r="Q17" s="986"/>
      <c r="R17" s="986"/>
      <c r="S17" s="986"/>
      <c r="T17" s="986"/>
      <c r="U17" s="986"/>
      <c r="V17" s="986"/>
    </row>
    <row r="18" spans="2:22" ht="15.75">
      <c r="B18" s="980" t="s">
        <v>274</v>
      </c>
      <c r="C18" s="981">
        <f>+Assumptions!F91</f>
        <v>5340.9959223742162</v>
      </c>
      <c r="D18" s="982">
        <f>+Assumptions!F90</f>
        <v>53.454504644279062</v>
      </c>
      <c r="E18" s="420">
        <f>+Assumptions!E89</f>
        <v>1199</v>
      </c>
      <c r="F18" s="416">
        <f t="shared" si="1"/>
        <v>22.368662301918263</v>
      </c>
      <c r="G18" s="983">
        <f>VLOOKUP($B18,Assumptions!$B$78:$H$93,5,FALSE)</f>
        <v>10.531067389491243</v>
      </c>
      <c r="H18" s="983">
        <f>VLOOKUP($B18,Assumptions!$B$78:$H$93,6,FALSE)</f>
        <v>7.6453573811509585</v>
      </c>
      <c r="I18" s="984">
        <f>VLOOKUP($B18,Assumptions!$B$78:$H$93,7,FALSE)</f>
        <v>4.1922375312760636</v>
      </c>
      <c r="J18" s="699"/>
      <c r="K18" s="699"/>
      <c r="L18" s="699"/>
      <c r="M18" s="527" t="s">
        <v>275</v>
      </c>
      <c r="N18" s="528"/>
      <c r="O18" s="528"/>
      <c r="P18" s="528"/>
      <c r="Q18" s="1111" t="s">
        <v>254</v>
      </c>
      <c r="R18" s="1111"/>
      <c r="S18" s="1111"/>
      <c r="T18" s="1111"/>
      <c r="U18" s="1111"/>
      <c r="V18" s="533"/>
    </row>
    <row r="19" spans="2:22" ht="15.75">
      <c r="B19" s="415" t="s">
        <v>258</v>
      </c>
      <c r="C19" s="981">
        <f>+Assumptions!F96</f>
        <v>3862.3778399242929</v>
      </c>
      <c r="D19" s="982">
        <f>+Assumptions!F95</f>
        <v>64.512610102053145</v>
      </c>
      <c r="E19" s="420"/>
      <c r="F19" s="416">
        <f t="shared" si="1"/>
        <v>746.61687628076265</v>
      </c>
      <c r="G19" s="983">
        <f>SUM(G15:G18)</f>
        <v>351.50392688300718</v>
      </c>
      <c r="H19" s="983">
        <f>SUM(H15:H18)</f>
        <v>255.18525734440044</v>
      </c>
      <c r="I19" s="984">
        <f>SUM(I15:I18)</f>
        <v>139.92769205335503</v>
      </c>
      <c r="J19" s="699"/>
      <c r="K19" s="699"/>
      <c r="L19" s="699"/>
      <c r="M19" s="529"/>
      <c r="N19" s="530"/>
      <c r="O19" s="530"/>
      <c r="P19" s="530"/>
      <c r="Q19" s="534" t="s">
        <v>255</v>
      </c>
      <c r="R19" s="534"/>
      <c r="S19" s="534" t="s">
        <v>256</v>
      </c>
      <c r="T19" s="534"/>
      <c r="U19" s="534" t="s">
        <v>257</v>
      </c>
      <c r="V19" s="532"/>
    </row>
    <row r="20" spans="2:22" ht="15.75">
      <c r="B20" s="221" t="s">
        <v>276</v>
      </c>
      <c r="C20" s="987"/>
      <c r="D20" s="988"/>
      <c r="E20" s="422"/>
      <c r="F20" s="418"/>
      <c r="G20" s="989"/>
      <c r="H20" s="989"/>
      <c r="I20" s="990"/>
      <c r="J20" s="699"/>
      <c r="K20" s="699"/>
      <c r="L20" s="699"/>
      <c r="M20" s="466" t="s">
        <v>235</v>
      </c>
      <c r="N20" s="991"/>
      <c r="O20" s="991"/>
      <c r="P20" s="991"/>
      <c r="Q20" s="991"/>
      <c r="R20" s="991"/>
      <c r="S20" s="991"/>
      <c r="T20" s="991"/>
      <c r="U20" s="991"/>
      <c r="V20" s="992"/>
    </row>
    <row r="21" spans="2:22" ht="15.75">
      <c r="B21" s="980" t="s">
        <v>273</v>
      </c>
      <c r="C21" s="981">
        <f>+Assumptions!E64</f>
        <v>1441</v>
      </c>
      <c r="D21" s="982">
        <f>+Assumptions!F63</f>
        <v>18.908014937343832</v>
      </c>
      <c r="E21" s="420">
        <f>+Assumptions!F62</f>
        <v>1092</v>
      </c>
      <c r="F21" s="416">
        <f t="shared" si="1"/>
        <v>261.97827692307692</v>
      </c>
      <c r="G21" s="983">
        <f>VLOOKUP($B21,Assumptions!$B$61:$H$68,5,FALSE)</f>
        <v>123.33821538461537</v>
      </c>
      <c r="H21" s="983">
        <f>VLOOKUP($B21,Assumptions!$B$61:$H$68,6,FALSE)</f>
        <v>89.541230769230779</v>
      </c>
      <c r="I21" s="984">
        <f>VLOOKUP($B21,Assumptions!$B$61:$H$68,7,FALSE)</f>
        <v>49.09883076923078</v>
      </c>
      <c r="J21" s="699"/>
      <c r="K21" s="699"/>
      <c r="L21" s="699"/>
      <c r="M21" s="993" t="s">
        <v>277</v>
      </c>
      <c r="N21" s="986"/>
      <c r="O21" s="986"/>
      <c r="P21" s="986"/>
      <c r="Q21" s="994">
        <f>+Assumptions!N$145</f>
        <v>4.4999999999999998E-2</v>
      </c>
      <c r="R21" s="994"/>
      <c r="S21" s="994">
        <f>+Assumptions!O$145</f>
        <v>4.4999999999999998E-2</v>
      </c>
      <c r="T21" s="994"/>
      <c r="U21" s="994">
        <f>+Assumptions!P$145</f>
        <v>4.4999999999999998E-2</v>
      </c>
      <c r="V21" s="995"/>
    </row>
    <row r="22" spans="2:22" ht="15.75">
      <c r="B22" s="996" t="s">
        <v>274</v>
      </c>
      <c r="C22" s="997">
        <f>+Assumptions!E68</f>
        <v>1613</v>
      </c>
      <c r="D22" s="998">
        <f>+Assumptions!F67</f>
        <v>19.276126982164573</v>
      </c>
      <c r="E22" s="421">
        <f>+Assumptions!F66</f>
        <v>1199</v>
      </c>
      <c r="F22" s="417">
        <f t="shared" si="1"/>
        <v>59.649766138448705</v>
      </c>
      <c r="G22" s="999">
        <f>VLOOKUP($B22,Assumptions!$B$63:$H$70,5,FALSE)</f>
        <v>28.082846371976643</v>
      </c>
      <c r="H22" s="999">
        <f>VLOOKUP($B22,Assumptions!$B$63:$H$70,6,FALSE)</f>
        <v>20.387619683069225</v>
      </c>
      <c r="I22" s="1000">
        <f>VLOOKUP($B22,Assumptions!$B$63:$H$70,7,FALSE)</f>
        <v>11.179300083402838</v>
      </c>
      <c r="J22" s="699"/>
      <c r="K22" s="699"/>
      <c r="L22" s="699"/>
      <c r="M22" s="993" t="s">
        <v>278</v>
      </c>
      <c r="N22" s="986"/>
      <c r="O22" s="986"/>
      <c r="P22" s="986"/>
      <c r="Q22" s="1001">
        <f ca="1">+SUM('Loan Sizing'!F22:F33)</f>
        <v>21120150.213353541</v>
      </c>
      <c r="R22" s="1001"/>
      <c r="S22" s="1001">
        <f ca="1">+SUM('Loan Sizing'!G22:G33)</f>
        <v>19157271.850348726</v>
      </c>
      <c r="T22" s="1001"/>
      <c r="U22" s="1001">
        <f ca="1">+SUM('Loan Sizing'!H22:H33)</f>
        <v>9435030.9569732696</v>
      </c>
      <c r="V22" s="1002"/>
    </row>
    <row r="23" spans="2:22" ht="15.75">
      <c r="B23" s="414" t="s">
        <v>258</v>
      </c>
      <c r="C23" s="987">
        <f>+Assumptions!F73</f>
        <v>1758.7189786160986</v>
      </c>
      <c r="D23" s="988">
        <f>+Assumptions!F72</f>
        <v>18.981637346307981</v>
      </c>
      <c r="E23" s="422"/>
      <c r="F23" s="416">
        <f t="shared" si="1"/>
        <v>321.6280430615256</v>
      </c>
      <c r="G23" s="989">
        <f>SUM(G21:G22)</f>
        <v>151.421061756592</v>
      </c>
      <c r="H23" s="989">
        <f t="shared" ref="H23:I23" si="2">SUM(H21:H22)</f>
        <v>109.9288504523</v>
      </c>
      <c r="I23" s="990">
        <f t="shared" si="2"/>
        <v>60.278130852633616</v>
      </c>
      <c r="J23" s="699"/>
      <c r="K23" s="699"/>
      <c r="L23" s="699"/>
      <c r="M23" s="993" t="s">
        <v>279</v>
      </c>
      <c r="N23" s="986"/>
      <c r="O23" s="986"/>
      <c r="P23" s="986"/>
      <c r="Q23" s="1001">
        <f ca="1">+SUM('Loan Sizing'!F5:F16)</f>
        <v>460091119.27788812</v>
      </c>
      <c r="R23" s="1001"/>
      <c r="S23" s="1001">
        <f ca="1">+SUM('Loan Sizing'!G5:G16)</f>
        <v>410977949.05967224</v>
      </c>
      <c r="T23" s="699"/>
      <c r="U23" s="1001">
        <f ca="1">+SUM('Loan Sizing'!H5:H16)</f>
        <v>206287492.70282978</v>
      </c>
      <c r="V23" s="995"/>
    </row>
    <row r="24" spans="2:22" ht="15.75">
      <c r="B24" s="221" t="s">
        <v>280</v>
      </c>
      <c r="C24" s="526" t="s">
        <v>281</v>
      </c>
      <c r="D24" s="526" t="s">
        <v>282</v>
      </c>
      <c r="E24" s="422"/>
      <c r="F24" s="418"/>
      <c r="G24" s="989"/>
      <c r="H24" s="989"/>
      <c r="I24" s="990"/>
      <c r="J24" s="699"/>
      <c r="K24" s="699"/>
      <c r="L24" s="699"/>
      <c r="M24" s="993" t="s">
        <v>283</v>
      </c>
      <c r="N24" s="986"/>
      <c r="O24" s="986"/>
      <c r="P24" s="986"/>
      <c r="Q24" s="1003">
        <f>+'Loan Sizing'!F19</f>
        <v>0.7</v>
      </c>
      <c r="R24" s="1003"/>
      <c r="S24" s="1003">
        <f>+'Loan Sizing'!G19</f>
        <v>0.7</v>
      </c>
      <c r="T24" s="1003"/>
      <c r="U24" s="1003">
        <f>+'Loan Sizing'!H19</f>
        <v>0.7</v>
      </c>
      <c r="V24" s="1004"/>
    </row>
    <row r="25" spans="2:22" ht="15.75">
      <c r="B25" s="980" t="s">
        <v>272</v>
      </c>
      <c r="C25" s="981">
        <f>+Assumptions!F145</f>
        <v>600000</v>
      </c>
      <c r="D25" s="981">
        <f>Assumptions!F146</f>
        <v>750</v>
      </c>
      <c r="E25" s="420">
        <f>+Assumptions!E144</f>
        <v>800</v>
      </c>
      <c r="F25" s="416">
        <f t="shared" si="1"/>
        <v>53.510907656249998</v>
      </c>
      <c r="G25" s="983">
        <f>VLOOKUP($B25,Assumptions!$B$143:$H$156,5,FALSE)</f>
        <v>31.0031803125</v>
      </c>
      <c r="H25" s="983">
        <f>VLOOKUP($B25,Assumptions!$B$143:$H$156,6,FALSE)</f>
        <v>22.507727343750002</v>
      </c>
      <c r="I25" s="984">
        <f>VLOOKUP($B25,Assumptions!$B$143:$H$156,7,FALSE)</f>
        <v>0</v>
      </c>
      <c r="J25" s="699"/>
      <c r="K25" s="699"/>
      <c r="L25" s="699"/>
      <c r="M25" s="993" t="s">
        <v>284</v>
      </c>
      <c r="N25" s="986"/>
      <c r="O25" s="986"/>
      <c r="P25" s="986"/>
      <c r="Q25" s="1001">
        <f ca="1">+'Loan Sizing'!F20</f>
        <v>322063783.49452168</v>
      </c>
      <c r="R25" s="1001"/>
      <c r="S25" s="1001">
        <f ca="1">+'Loan Sizing'!G20</f>
        <v>287684564.34177053</v>
      </c>
      <c r="T25" s="1001"/>
      <c r="U25" s="1001">
        <f ca="1">+'Loan Sizing'!H20</f>
        <v>144401244.89198083</v>
      </c>
      <c r="V25" s="995"/>
    </row>
    <row r="26" spans="2:22" ht="15.75">
      <c r="B26" s="980" t="s">
        <v>273</v>
      </c>
      <c r="C26" s="981">
        <f>+Assumptions!F149</f>
        <v>876000</v>
      </c>
      <c r="D26" s="981">
        <f>Assumptions!F150</f>
        <v>730</v>
      </c>
      <c r="E26" s="420">
        <f>+Assumptions!E148</f>
        <v>1200</v>
      </c>
      <c r="F26" s="416">
        <f t="shared" si="1"/>
        <v>31.710167500000004</v>
      </c>
      <c r="G26" s="983">
        <f>VLOOKUP($B26,Assumptions!$B$143:$H$156,5,FALSE)</f>
        <v>18.372255000000003</v>
      </c>
      <c r="H26" s="983">
        <f>VLOOKUP($B26,Assumptions!$B$143:$H$156,6,FALSE)</f>
        <v>13.337912500000002</v>
      </c>
      <c r="I26" s="984">
        <f>VLOOKUP($B26,Assumptions!$B$143:$H$156,7,FALSE)</f>
        <v>0</v>
      </c>
      <c r="J26" s="699"/>
      <c r="K26" s="699"/>
      <c r="L26" s="699"/>
      <c r="M26" s="993" t="s">
        <v>285</v>
      </c>
      <c r="N26" s="986"/>
      <c r="O26" s="986"/>
      <c r="P26" s="986"/>
      <c r="Q26" s="1005">
        <f>+'Loan Sizing'!F36</f>
        <v>1.25</v>
      </c>
      <c r="R26" s="1005"/>
      <c r="S26" s="1005">
        <f>+'Loan Sizing'!G36</f>
        <v>1.25</v>
      </c>
      <c r="T26" s="1005"/>
      <c r="U26" s="1005">
        <f>+'Loan Sizing'!H36</f>
        <v>1.25</v>
      </c>
      <c r="V26" s="995"/>
    </row>
    <row r="27" spans="2:22" ht="15.75">
      <c r="B27" s="980" t="s">
        <v>274</v>
      </c>
      <c r="C27" s="981">
        <f>+Assumptions!F153</f>
        <v>1050000</v>
      </c>
      <c r="D27" s="981">
        <f>+Assumptions!F154</f>
        <v>700</v>
      </c>
      <c r="E27" s="420">
        <f>+Assumptions!E152</f>
        <v>1500</v>
      </c>
      <c r="F27" s="417">
        <f t="shared" si="1"/>
        <v>48.140410250000002</v>
      </c>
      <c r="G27" s="983">
        <f>VLOOKUP($B27,Assumptions!$B$143:$H$156,5,FALSE)</f>
        <v>5.5116765000000001</v>
      </c>
      <c r="H27" s="983">
        <f>VLOOKUP($B27,Assumptions!$B$143:$H$156,6,FALSE)</f>
        <v>4.00137375</v>
      </c>
      <c r="I27" s="984">
        <f>VLOOKUP($B27,Assumptions!$B$143:$H$156,7,FALSE)</f>
        <v>38.627360000000003</v>
      </c>
      <c r="J27" s="699"/>
      <c r="K27" s="699"/>
      <c r="L27" s="699"/>
      <c r="M27" s="993" t="s">
        <v>286</v>
      </c>
      <c r="N27" s="986"/>
      <c r="O27" s="986"/>
      <c r="P27" s="986"/>
      <c r="Q27" s="1001">
        <f ca="1">+'Loan Sizing'!F40</f>
        <v>275219018.29116291</v>
      </c>
      <c r="R27" s="1001"/>
      <c r="S27" s="1001">
        <f ca="1">+'Loan Sizing'!G40</f>
        <v>249640532.78637764</v>
      </c>
      <c r="T27" s="1001"/>
      <c r="U27" s="1001">
        <f ca="1">+'Loan Sizing'!H40</f>
        <v>122948934.13604183</v>
      </c>
      <c r="V27" s="1004"/>
    </row>
    <row r="28" spans="2:22" ht="15.75">
      <c r="B28" s="414" t="s">
        <v>258</v>
      </c>
      <c r="C28" s="987">
        <f>Assumptions!F159</f>
        <v>737573.22175732208</v>
      </c>
      <c r="D28" s="988">
        <f>Assumptions!F158</f>
        <v>734.5</v>
      </c>
      <c r="E28" s="422"/>
      <c r="F28" s="416">
        <f t="shared" si="1"/>
        <v>133.36148540625001</v>
      </c>
      <c r="G28" s="989">
        <f>+SUM(G25:G27)</f>
        <v>54.887111812500002</v>
      </c>
      <c r="H28" s="989">
        <f>+SUM(H25:H27)</f>
        <v>39.847013593750006</v>
      </c>
      <c r="I28" s="990">
        <f>+SUM(I25:I27)</f>
        <v>38.627360000000003</v>
      </c>
      <c r="J28" s="699"/>
      <c r="K28" s="699"/>
      <c r="L28" s="699"/>
      <c r="M28" s="429" t="s">
        <v>287</v>
      </c>
      <c r="N28" s="986"/>
      <c r="O28" s="986"/>
      <c r="P28" s="986"/>
      <c r="Q28" s="465">
        <f ca="1">+'Phase 1 Pro Forma'!D316</f>
        <v>275219018.29116279</v>
      </c>
      <c r="R28" s="465"/>
      <c r="S28" s="465">
        <f ca="1">+'Phase 2 Pro Forma'!D370</f>
        <v>249640532.78637764</v>
      </c>
      <c r="T28" s="465"/>
      <c r="U28" s="465">
        <f ca="1">+'Phase 1 Pro Forma'!D316</f>
        <v>275219018.29116279</v>
      </c>
      <c r="V28" s="1006"/>
    </row>
    <row r="29" spans="2:22" ht="15.75">
      <c r="B29" s="221" t="s">
        <v>288</v>
      </c>
      <c r="C29" s="526" t="s">
        <v>281</v>
      </c>
      <c r="D29" s="526" t="s">
        <v>282</v>
      </c>
      <c r="E29" s="422"/>
      <c r="F29" s="418"/>
      <c r="G29" s="989"/>
      <c r="H29" s="989"/>
      <c r="I29" s="990"/>
      <c r="J29" s="699"/>
      <c r="K29" s="699"/>
      <c r="L29" s="699"/>
      <c r="M29" s="429" t="s">
        <v>289</v>
      </c>
      <c r="N29" s="986"/>
      <c r="O29" s="986"/>
      <c r="P29" s="986"/>
      <c r="Q29" s="465">
        <f ca="1">+'Loan Sizing'!F78</f>
        <v>275219018.29116291</v>
      </c>
      <c r="R29" s="465"/>
      <c r="S29" s="465">
        <f ca="1">+'Loan Sizing'!G78</f>
        <v>249640532.78637764</v>
      </c>
      <c r="T29" s="465"/>
      <c r="U29" s="465">
        <f ca="1">+'Loan Sizing'!H78</f>
        <v>122948934.13604183</v>
      </c>
      <c r="V29" s="1006"/>
    </row>
    <row r="30" spans="2:22" ht="15.75">
      <c r="B30" s="980" t="s">
        <v>273</v>
      </c>
      <c r="C30" s="981">
        <f>+Assumptions!F130</f>
        <v>252973.11359493044</v>
      </c>
      <c r="D30" s="982">
        <f>+Assumptions!F131</f>
        <v>210.81092799577536</v>
      </c>
      <c r="E30" s="420">
        <f>+Assumptions!E129</f>
        <v>1200</v>
      </c>
      <c r="F30" s="416">
        <f t="shared" si="1"/>
        <v>23.422282812500004</v>
      </c>
      <c r="G30" s="983">
        <f>VLOOKUP($B30,Assumptions!$B$128:$H$137,5,FALSE)</f>
        <v>13.570415625000004</v>
      </c>
      <c r="H30" s="983">
        <f>VLOOKUP($B30,Assumptions!$B$128:$H$137,6,FALSE)</f>
        <v>9.8518671874999999</v>
      </c>
      <c r="I30" s="984">
        <f>VLOOKUP($B30,Assumptions!$B$128:$H$137,7,FALSE)</f>
        <v>0</v>
      </c>
      <c r="J30" s="699"/>
      <c r="K30" s="699"/>
      <c r="L30" s="699"/>
      <c r="M30" s="430" t="s">
        <v>290</v>
      </c>
      <c r="N30" s="1007"/>
      <c r="O30" s="1007"/>
      <c r="P30" s="1007"/>
      <c r="Q30" s="431">
        <f ca="1">+'Phase 1 Pro Forma'!J296</f>
        <v>19648310.353594441</v>
      </c>
      <c r="R30" s="431"/>
      <c r="S30" s="431">
        <f ca="1">+'Phase 2 Pro Forma'!J350</f>
        <v>15325817.480278956</v>
      </c>
      <c r="T30" s="431"/>
      <c r="U30" s="431">
        <f ca="1">+'Phase 1 Pro Forma'!J296</f>
        <v>19648310.353594441</v>
      </c>
      <c r="V30" s="985"/>
    </row>
    <row r="31" spans="2:22" ht="15.75">
      <c r="B31" s="980" t="s">
        <v>274</v>
      </c>
      <c r="C31" s="981">
        <f>+Assumptions!F134</f>
        <v>269816.41528976854</v>
      </c>
      <c r="D31" s="982">
        <f>+Assumptions!F135</f>
        <v>179.87761019317904</v>
      </c>
      <c r="E31" s="420">
        <f>+Assumptions!E133</f>
        <v>1500</v>
      </c>
      <c r="F31" s="417">
        <f t="shared" si="1"/>
        <v>28.738398750000002</v>
      </c>
      <c r="G31" s="983">
        <f>VLOOKUP($B31,Assumptions!$B$128:$H$137,5,FALSE)</f>
        <v>5.8457175000000001</v>
      </c>
      <c r="H31" s="983">
        <f>VLOOKUP($B31,Assumptions!$B$128:$H$137,6,FALSE)</f>
        <v>4.2438812499999994</v>
      </c>
      <c r="I31" s="984">
        <f>VLOOKUP($B31,Assumptions!$B$128:$H$137,7,FALSE)</f>
        <v>18.648800000000001</v>
      </c>
      <c r="J31" s="699"/>
      <c r="K31" s="699"/>
      <c r="L31" s="699"/>
      <c r="M31" s="986"/>
      <c r="N31" s="986"/>
      <c r="O31" s="986"/>
      <c r="P31" s="986"/>
      <c r="Q31" s="986"/>
      <c r="R31" s="986"/>
      <c r="S31" s="986"/>
      <c r="T31" s="986"/>
      <c r="U31" s="986"/>
      <c r="V31" s="986"/>
    </row>
    <row r="32" spans="2:22" ht="15.75">
      <c r="B32" s="351" t="s">
        <v>258</v>
      </c>
      <c r="C32" s="1008"/>
      <c r="D32" s="1009"/>
      <c r="E32" s="423"/>
      <c r="F32" s="417">
        <f t="shared" si="1"/>
        <v>52.16068156250001</v>
      </c>
      <c r="G32" s="1010">
        <f>+SUM(G30:G31)</f>
        <v>19.416133125000005</v>
      </c>
      <c r="H32" s="1010">
        <f>+SUM(H30:H31)</f>
        <v>14.095748437499999</v>
      </c>
      <c r="I32" s="1011">
        <f>+SUM(I30:I31)</f>
        <v>18.648800000000001</v>
      </c>
      <c r="J32" s="699"/>
      <c r="K32" s="699"/>
      <c r="L32" s="699"/>
      <c r="M32" s="527" t="s">
        <v>291</v>
      </c>
      <c r="N32" s="528"/>
      <c r="O32" s="528"/>
      <c r="P32" s="528"/>
      <c r="Q32" s="1111"/>
      <c r="R32" s="1111"/>
      <c r="S32" s="1111"/>
      <c r="T32" s="1111"/>
      <c r="U32" s="1111"/>
      <c r="V32" s="533"/>
    </row>
    <row r="33" spans="2:22" ht="15.75">
      <c r="B33" s="249"/>
      <c r="C33" s="981"/>
      <c r="D33" s="981"/>
      <c r="E33" s="489"/>
      <c r="F33" s="416"/>
      <c r="G33" s="983"/>
      <c r="H33" s="983"/>
      <c r="I33" s="983"/>
      <c r="J33" s="699"/>
      <c r="K33" s="699"/>
      <c r="L33" s="699"/>
      <c r="M33" s="529"/>
      <c r="N33" s="530"/>
      <c r="O33" s="530"/>
      <c r="P33" s="531" t="s">
        <v>258</v>
      </c>
      <c r="Q33" s="531" t="s">
        <v>255</v>
      </c>
      <c r="R33" s="531" t="s">
        <v>292</v>
      </c>
      <c r="S33" s="531" t="s">
        <v>256</v>
      </c>
      <c r="T33" s="531" t="s">
        <v>292</v>
      </c>
      <c r="U33" s="531" t="s">
        <v>257</v>
      </c>
      <c r="V33" s="532"/>
    </row>
    <row r="34" spans="2:22" ht="15.75">
      <c r="B34" s="527" t="s">
        <v>293</v>
      </c>
      <c r="C34" s="528"/>
      <c r="D34" s="528"/>
      <c r="E34" s="528"/>
      <c r="F34" s="528"/>
      <c r="G34" s="1111" t="s">
        <v>254</v>
      </c>
      <c r="H34" s="1111"/>
      <c r="I34" s="1112"/>
      <c r="J34" s="699"/>
      <c r="K34" s="699"/>
      <c r="L34" s="699"/>
      <c r="M34" s="452" t="s">
        <v>294</v>
      </c>
      <c r="N34" s="425"/>
      <c r="O34" s="425"/>
      <c r="P34" s="425"/>
      <c r="Q34" s="425"/>
      <c r="R34" s="425"/>
      <c r="S34" s="425"/>
      <c r="T34" s="425"/>
      <c r="U34" s="425"/>
      <c r="V34" s="453"/>
    </row>
    <row r="35" spans="2:22" ht="15.75">
      <c r="B35" s="535"/>
      <c r="C35" s="534"/>
      <c r="D35" s="534" t="s">
        <v>268</v>
      </c>
      <c r="E35" s="536"/>
      <c r="F35" s="534" t="s">
        <v>258</v>
      </c>
      <c r="G35" s="534" t="s">
        <v>255</v>
      </c>
      <c r="H35" s="534" t="s">
        <v>256</v>
      </c>
      <c r="I35" s="537" t="s">
        <v>257</v>
      </c>
      <c r="J35" s="699"/>
      <c r="K35" s="699"/>
      <c r="L35" s="699"/>
      <c r="M35" s="594" t="s">
        <v>295</v>
      </c>
      <c r="N35" s="293"/>
      <c r="O35" s="293"/>
      <c r="P35" s="454"/>
      <c r="Q35" s="454"/>
      <c r="R35" s="454"/>
      <c r="S35" s="455"/>
      <c r="T35" s="455"/>
      <c r="U35" s="455"/>
      <c r="V35" s="444"/>
    </row>
    <row r="36" spans="2:22" ht="15.75">
      <c r="B36" s="452" t="s">
        <v>160</v>
      </c>
      <c r="C36" s="991"/>
      <c r="D36" s="991"/>
      <c r="E36" s="991"/>
      <c r="F36" s="991"/>
      <c r="G36" s="991"/>
      <c r="H36" s="991"/>
      <c r="I36" s="1012"/>
      <c r="J36" s="699"/>
      <c r="K36" s="699"/>
      <c r="L36" s="699"/>
      <c r="M36" s="432" t="s">
        <v>230</v>
      </c>
      <c r="N36" s="293"/>
      <c r="O36" s="293"/>
      <c r="P36" s="456">
        <f ca="1">Q36+S36+U36</f>
        <v>368231802.27760637</v>
      </c>
      <c r="Q36" s="456">
        <f ca="1">+'S&amp;U'!H3</f>
        <v>181675735.02067354</v>
      </c>
      <c r="R36" s="450">
        <f ca="1">Q36/Q$37</f>
        <v>1</v>
      </c>
      <c r="S36" s="456">
        <f ca="1">+'S&amp;U'!I3</f>
        <v>89534045.099883363</v>
      </c>
      <c r="T36" s="450">
        <f ca="1">S36/S$37</f>
        <v>1</v>
      </c>
      <c r="U36" s="456">
        <f ca="1">+'S&amp;U'!J3</f>
        <v>97022022.157049507</v>
      </c>
      <c r="V36" s="457">
        <f ca="1">+U36/U$37</f>
        <v>1</v>
      </c>
    </row>
    <row r="37" spans="2:22" ht="15.75">
      <c r="B37" s="485" t="s">
        <v>296</v>
      </c>
      <c r="C37" s="1013"/>
      <c r="D37" s="1013">
        <f>+Assumptions!E117</f>
        <v>52.5</v>
      </c>
      <c r="E37" s="481"/>
      <c r="F37" s="480">
        <f>+SUM(G37:I37)</f>
        <v>97423.200000000012</v>
      </c>
      <c r="G37" s="455">
        <f>+Assumptions!F116</f>
        <v>50671.35</v>
      </c>
      <c r="H37" s="455">
        <f>+Assumptions!G116</f>
        <v>29090.7</v>
      </c>
      <c r="I37" s="520">
        <f>+Assumptions!H116</f>
        <v>17661.150000000001</v>
      </c>
      <c r="J37" s="699"/>
      <c r="K37" s="699"/>
      <c r="L37" s="699"/>
      <c r="M37" s="592" t="s">
        <v>249</v>
      </c>
      <c r="N37" s="433"/>
      <c r="O37" s="433"/>
      <c r="P37" s="593">
        <f ca="1">+Q37+S37+U37</f>
        <v>368231802.27760637</v>
      </c>
      <c r="Q37" s="593">
        <f ca="1">'S&amp;U'!H4</f>
        <v>181675735.02067354</v>
      </c>
      <c r="R37" s="448">
        <f ca="1">Q37/Q37</f>
        <v>1</v>
      </c>
      <c r="S37" s="593">
        <f ca="1">+'S&amp;U'!I4</f>
        <v>89534045.099883363</v>
      </c>
      <c r="T37" s="461">
        <f ca="1">S37/S37</f>
        <v>1</v>
      </c>
      <c r="U37" s="593">
        <f ca="1">+'S&amp;U'!J4</f>
        <v>97022022.157049507</v>
      </c>
      <c r="V37" s="460">
        <f ca="1">U37/U37</f>
        <v>1</v>
      </c>
    </row>
    <row r="38" spans="2:22" ht="15.75">
      <c r="B38" s="485" t="s">
        <v>297</v>
      </c>
      <c r="C38" s="986"/>
      <c r="D38" s="1013">
        <f>+Assumptions!E121</f>
        <v>62.5</v>
      </c>
      <c r="E38" s="481"/>
      <c r="F38" s="480">
        <f>+SUM(G38:I38)</f>
        <v>64948.799999999996</v>
      </c>
      <c r="G38" s="455">
        <f>+Assumptions!F120</f>
        <v>33780.9</v>
      </c>
      <c r="H38" s="455">
        <f>+Assumptions!G120</f>
        <v>19393.8</v>
      </c>
      <c r="I38" s="520">
        <f>+Assumptions!H120</f>
        <v>11774.1</v>
      </c>
      <c r="J38" s="699"/>
      <c r="K38" s="699"/>
      <c r="L38" s="699"/>
      <c r="M38" s="594" t="s">
        <v>298</v>
      </c>
      <c r="N38" s="293"/>
      <c r="O38" s="293"/>
      <c r="P38" s="456"/>
      <c r="Q38" s="458"/>
      <c r="R38" s="451"/>
      <c r="S38" s="458"/>
      <c r="T38" s="447"/>
      <c r="U38" s="458"/>
      <c r="V38" s="443"/>
    </row>
    <row r="39" spans="2:22" ht="15.75">
      <c r="B39" s="484" t="s">
        <v>258</v>
      </c>
      <c r="C39" s="505"/>
      <c r="D39" s="505"/>
      <c r="E39" s="505"/>
      <c r="F39" s="473">
        <f>+SUM(G39:I39)</f>
        <v>162372</v>
      </c>
      <c r="G39" s="474">
        <f>SUM(G37:G38)</f>
        <v>84452.25</v>
      </c>
      <c r="H39" s="474">
        <f>SUM(H37:H38)</f>
        <v>48484.5</v>
      </c>
      <c r="I39" s="475">
        <f>SUM(I37:I38)</f>
        <v>29435.25</v>
      </c>
      <c r="J39" s="699"/>
      <c r="K39" s="699"/>
      <c r="L39" s="699"/>
      <c r="M39" s="432" t="str">
        <f>+'S&amp;U'!B7</f>
        <v>Acquisition Costs</v>
      </c>
      <c r="N39" s="293"/>
      <c r="O39" s="293"/>
      <c r="P39" s="456">
        <f>+Q39+S39+U39</f>
        <v>70427722.556892037</v>
      </c>
      <c r="Q39" s="456">
        <f>+'S&amp;U'!H7</f>
        <v>57533874.841383234</v>
      </c>
      <c r="R39" s="450">
        <f t="shared" ref="R39:R46" ca="1" si="3">+Q39/Q$46</f>
        <v>0.31668442037587596</v>
      </c>
      <c r="S39" s="456">
        <f>+'S&amp;U'!I7</f>
        <v>4691009.3245623549</v>
      </c>
      <c r="T39" s="445">
        <f t="shared" ref="T39:T46" ca="1" si="4">+S39/S$46</f>
        <v>5.2393581897579942E-2</v>
      </c>
      <c r="U39" s="456">
        <f>+'S&amp;U'!J7</f>
        <v>8202838.3909464516</v>
      </c>
      <c r="V39" s="443">
        <f t="shared" ref="V39:V46" ca="1" si="5">+U39/U$46</f>
        <v>8.4546149508907584E-2</v>
      </c>
    </row>
    <row r="40" spans="2:22" ht="15.75">
      <c r="B40" s="452" t="s">
        <v>299</v>
      </c>
      <c r="C40" s="991"/>
      <c r="D40" s="991"/>
      <c r="E40" s="991"/>
      <c r="F40" s="479"/>
      <c r="G40" s="991"/>
      <c r="H40" s="991"/>
      <c r="I40" s="1012"/>
      <c r="J40" s="699"/>
      <c r="K40" s="699"/>
      <c r="L40" s="699"/>
      <c r="M40" s="432" t="str">
        <f>+'S&amp;U'!B8</f>
        <v>Infrastructure Costs</v>
      </c>
      <c r="N40" s="293"/>
      <c r="O40" s="293"/>
      <c r="P40" s="456">
        <f t="shared" ref="P40:P45" si="6">+Q40+S40+U40</f>
        <v>35730655</v>
      </c>
      <c r="Q40" s="456">
        <f>+'S&amp;U'!H8</f>
        <v>20194435</v>
      </c>
      <c r="R40" s="450">
        <f t="shared" ca="1" si="3"/>
        <v>0.11115647886440091</v>
      </c>
      <c r="S40" s="456">
        <f>+'S&amp;U'!I8</f>
        <v>2030684</v>
      </c>
      <c r="T40" s="445">
        <f t="shared" ca="1" si="4"/>
        <v>2.2680579189006678E-2</v>
      </c>
      <c r="U40" s="456">
        <f>+'S&amp;U'!J8</f>
        <v>13505536</v>
      </c>
      <c r="V40" s="443">
        <f t="shared" ca="1" si="5"/>
        <v>0.13920072680137088</v>
      </c>
    </row>
    <row r="41" spans="2:22" ht="15.75">
      <c r="B41" s="485" t="s">
        <v>300</v>
      </c>
      <c r="C41" s="986"/>
      <c r="D41" s="1013">
        <f>+Assumptions!E104</f>
        <v>63.12</v>
      </c>
      <c r="E41" s="986"/>
      <c r="F41" s="480">
        <f t="shared" ref="F41:F42" si="7">+SUM(G41:I41)</f>
        <v>100931.25</v>
      </c>
      <c r="G41" s="1014">
        <f>+Assumptions!F103</f>
        <v>32323.5</v>
      </c>
      <c r="H41" s="1014">
        <f>+Assumptions!G103</f>
        <v>59765.25</v>
      </c>
      <c r="I41" s="1015">
        <f>+Assumptions!H103</f>
        <v>8842.5</v>
      </c>
      <c r="J41" s="699"/>
      <c r="K41" s="699"/>
      <c r="L41" s="699"/>
      <c r="M41" s="432" t="str">
        <f>+'S&amp;U'!B9</f>
        <v>Hard Costs (Demolition)</v>
      </c>
      <c r="N41" s="286"/>
      <c r="O41" s="286"/>
      <c r="P41" s="456">
        <f t="shared" si="6"/>
        <v>5232751.1419507535</v>
      </c>
      <c r="Q41" s="456">
        <f>+'S&amp;U'!H9</f>
        <v>3970696</v>
      </c>
      <c r="R41" s="450">
        <f t="shared" ca="1" si="3"/>
        <v>2.1855951206407175E-2</v>
      </c>
      <c r="S41" s="456">
        <f>+'S&amp;U'!I9</f>
        <v>424651.195832</v>
      </c>
      <c r="T41" s="445">
        <f t="shared" ca="1" si="4"/>
        <v>4.7429019358866563E-3</v>
      </c>
      <c r="U41" s="456">
        <f>+'S&amp;U'!J9</f>
        <v>837403.94611875352</v>
      </c>
      <c r="V41" s="443">
        <f t="shared" ca="1" si="5"/>
        <v>8.6310708383633573E-3</v>
      </c>
    </row>
    <row r="42" spans="2:22" ht="15.75">
      <c r="B42" s="485" t="s">
        <v>301</v>
      </c>
      <c r="C42" s="986"/>
      <c r="D42" s="1013">
        <f>+Assumptions!E108</f>
        <v>50.496000000000002</v>
      </c>
      <c r="E42" s="986"/>
      <c r="F42" s="480">
        <f t="shared" si="7"/>
        <v>0</v>
      </c>
      <c r="G42" s="1014">
        <f>+Assumptions!F107</f>
        <v>0</v>
      </c>
      <c r="H42" s="1014">
        <f>+Assumptions!G107</f>
        <v>0</v>
      </c>
      <c r="I42" s="1015">
        <f>+Assumptions!H107</f>
        <v>0</v>
      </c>
      <c r="J42" s="699"/>
      <c r="K42" s="699"/>
      <c r="L42" s="699"/>
      <c r="M42" s="432" t="str">
        <f>+'S&amp;U'!B10</f>
        <v>Soft Costs</v>
      </c>
      <c r="N42" s="286"/>
      <c r="O42" s="286"/>
      <c r="P42" s="456">
        <f t="shared" ca="1" si="6"/>
        <v>209075721.87759775</v>
      </c>
      <c r="Q42" s="456">
        <f ca="1">+'S&amp;U'!H10</f>
        <v>81624624.794803187</v>
      </c>
      <c r="R42" s="450">
        <f t="shared" ca="1" si="3"/>
        <v>0.44928743393009984</v>
      </c>
      <c r="S42" s="456">
        <f ca="1">+'S&amp;U'!I10</f>
        <v>67128952.665678784</v>
      </c>
      <c r="T42" s="445">
        <f t="shared" ca="1" si="4"/>
        <v>0.74975896141842291</v>
      </c>
      <c r="U42" s="456">
        <f ca="1">+'S&amp;U'!J10</f>
        <v>60322144.417115763</v>
      </c>
      <c r="V42" s="443">
        <f t="shared" ca="1" si="5"/>
        <v>0.62173662304700605</v>
      </c>
    </row>
    <row r="43" spans="2:22" ht="15.75">
      <c r="B43" s="484" t="s">
        <v>258</v>
      </c>
      <c r="C43" s="505"/>
      <c r="D43" s="505"/>
      <c r="E43" s="505"/>
      <c r="F43" s="473">
        <f>+SUM(G43:I43)</f>
        <v>100931.25</v>
      </c>
      <c r="G43" s="474">
        <f>SUM(G41:G42)</f>
        <v>32323.5</v>
      </c>
      <c r="H43" s="474">
        <f>SUM(H41:H42)</f>
        <v>59765.25</v>
      </c>
      <c r="I43" s="475">
        <f>SUM(I41:I42)</f>
        <v>8842.5</v>
      </c>
      <c r="J43" s="699"/>
      <c r="K43" s="699"/>
      <c r="L43" s="699"/>
      <c r="M43" s="432" t="str">
        <f>+'S&amp;U'!B11</f>
        <v>Financing Costs</v>
      </c>
      <c r="N43" s="286"/>
      <c r="O43" s="286"/>
      <c r="P43" s="456">
        <f t="shared" si="6"/>
        <v>0</v>
      </c>
      <c r="Q43" s="456">
        <f>+'S&amp;U'!H11</f>
        <v>0</v>
      </c>
      <c r="R43" s="450">
        <f t="shared" ca="1" si="3"/>
        <v>0</v>
      </c>
      <c r="S43" s="456">
        <f>+'S&amp;U'!I11</f>
        <v>0</v>
      </c>
      <c r="T43" s="445">
        <f t="shared" ca="1" si="4"/>
        <v>0</v>
      </c>
      <c r="U43" s="456">
        <f>+'S&amp;U'!J11</f>
        <v>0</v>
      </c>
      <c r="V43" s="443">
        <f t="shared" ca="1" si="5"/>
        <v>0</v>
      </c>
    </row>
    <row r="44" spans="2:22" ht="15.75">
      <c r="B44" s="521"/>
      <c r="C44" s="507"/>
      <c r="D44" s="507"/>
      <c r="E44" s="507"/>
      <c r="F44" s="482"/>
      <c r="G44" s="483"/>
      <c r="H44" s="483"/>
      <c r="I44" s="483"/>
      <c r="J44" s="699"/>
      <c r="K44" s="699"/>
      <c r="L44" s="699"/>
      <c r="M44" s="432" t="str">
        <f>+'S&amp;U'!B12</f>
        <v>Reserves</v>
      </c>
      <c r="N44" s="286"/>
      <c r="O44" s="286"/>
      <c r="P44" s="456">
        <f t="shared" si="6"/>
        <v>0</v>
      </c>
      <c r="Q44" s="456">
        <f>+'S&amp;U'!H12</f>
        <v>0</v>
      </c>
      <c r="R44" s="450">
        <f t="shared" ca="1" si="3"/>
        <v>0</v>
      </c>
      <c r="S44" s="456">
        <f>+'S&amp;U'!I12</f>
        <v>0</v>
      </c>
      <c r="T44" s="445">
        <f t="shared" ca="1" si="4"/>
        <v>0</v>
      </c>
      <c r="U44" s="456">
        <f>+'S&amp;U'!J12</f>
        <v>0</v>
      </c>
      <c r="V44" s="443">
        <f t="shared" ca="1" si="5"/>
        <v>0</v>
      </c>
    </row>
    <row r="45" spans="2:22" ht="15.75">
      <c r="B45" s="1109" t="s">
        <v>302</v>
      </c>
      <c r="C45" s="528"/>
      <c r="D45" s="528"/>
      <c r="E45" s="528"/>
      <c r="F45" s="528"/>
      <c r="G45" s="1111" t="s">
        <v>254</v>
      </c>
      <c r="H45" s="1111"/>
      <c r="I45" s="1112"/>
      <c r="J45" s="699"/>
      <c r="K45" s="699"/>
      <c r="L45" s="699"/>
      <c r="M45" s="432" t="str">
        <f>+'S&amp;U'!B13</f>
        <v>Developer Fee</v>
      </c>
      <c r="N45" s="986"/>
      <c r="O45" s="986"/>
      <c r="P45" s="456">
        <f t="shared" ca="1" si="6"/>
        <v>47764951.7011659</v>
      </c>
      <c r="Q45" s="456">
        <f ca="1">+'S&amp;U'!H13</f>
        <v>18352104.384487133</v>
      </c>
      <c r="R45" s="450">
        <f t="shared" ca="1" si="3"/>
        <v>0.10101571562321617</v>
      </c>
      <c r="S45" s="456">
        <f ca="1">+'S&amp;U'!I13</f>
        <v>15258747.913810223</v>
      </c>
      <c r="T45" s="445">
        <f t="shared" ca="1" si="4"/>
        <v>0.17042397555910385</v>
      </c>
      <c r="U45" s="456">
        <f ca="1">+'S&amp;U'!J13</f>
        <v>14154099.402868543</v>
      </c>
      <c r="V45" s="443">
        <f t="shared" ca="1" si="5"/>
        <v>0.14588542980435212</v>
      </c>
    </row>
    <row r="46" spans="2:22" ht="15.75">
      <c r="B46" s="1110"/>
      <c r="C46" s="530"/>
      <c r="D46" s="534"/>
      <c r="E46" s="536" t="s">
        <v>303</v>
      </c>
      <c r="F46" s="534" t="s">
        <v>304</v>
      </c>
      <c r="G46" s="534" t="s">
        <v>255</v>
      </c>
      <c r="H46" s="534" t="s">
        <v>256</v>
      </c>
      <c r="I46" s="537" t="s">
        <v>257</v>
      </c>
      <c r="J46" s="699"/>
      <c r="K46" s="699"/>
      <c r="L46" s="699"/>
      <c r="M46" s="592" t="s">
        <v>305</v>
      </c>
      <c r="N46" s="433"/>
      <c r="O46" s="433"/>
      <c r="P46" s="593">
        <f ca="1">+Q46+S46+U46</f>
        <v>368231802.27760637</v>
      </c>
      <c r="Q46" s="593">
        <f ca="1">+'S&amp;U'!H14</f>
        <v>181675735.02067354</v>
      </c>
      <c r="R46" s="448">
        <f t="shared" ca="1" si="3"/>
        <v>1</v>
      </c>
      <c r="S46" s="593">
        <f ca="1">+'S&amp;U'!I14</f>
        <v>89534045.099883363</v>
      </c>
      <c r="T46" s="461">
        <f t="shared" ca="1" si="4"/>
        <v>1</v>
      </c>
      <c r="U46" s="593">
        <f ca="1">+'S&amp;U'!J14</f>
        <v>97022022.157049507</v>
      </c>
      <c r="V46" s="460">
        <f t="shared" ca="1" si="5"/>
        <v>1</v>
      </c>
    </row>
    <row r="47" spans="2:22" ht="15.75">
      <c r="B47" s="491" t="s">
        <v>162</v>
      </c>
      <c r="C47" s="506"/>
      <c r="D47" s="506"/>
      <c r="E47" s="506"/>
      <c r="F47" s="492"/>
      <c r="G47" s="493"/>
      <c r="H47" s="493"/>
      <c r="I47" s="494"/>
      <c r="J47" s="699"/>
      <c r="K47" s="699"/>
      <c r="L47" s="699"/>
      <c r="M47" s="432"/>
      <c r="N47" s="293"/>
      <c r="O47" s="293"/>
      <c r="P47" s="456"/>
      <c r="Q47" s="456"/>
      <c r="R47" s="450"/>
      <c r="S47" s="456"/>
      <c r="T47" s="446"/>
      <c r="U47" s="456"/>
      <c r="V47" s="462"/>
    </row>
    <row r="48" spans="2:22" ht="15.75">
      <c r="B48" s="495" t="s">
        <v>306</v>
      </c>
      <c r="C48" s="507"/>
      <c r="D48" s="507"/>
      <c r="E48" s="524">
        <f>+Assumptions!E163</f>
        <v>450</v>
      </c>
      <c r="F48" s="523">
        <f>+Assumptions!E165</f>
        <v>0.7</v>
      </c>
      <c r="G48" s="1016" t="s">
        <v>27</v>
      </c>
      <c r="H48" s="1016" t="s">
        <v>27</v>
      </c>
      <c r="I48" s="496" t="s">
        <v>307</v>
      </c>
      <c r="J48" s="699"/>
      <c r="K48" s="699"/>
      <c r="L48" s="699"/>
      <c r="M48" s="429" t="s">
        <v>308</v>
      </c>
      <c r="N48" s="986"/>
      <c r="O48" s="986"/>
      <c r="P48" s="456"/>
      <c r="Q48" s="502"/>
      <c r="R48" s="503"/>
      <c r="S48" s="502"/>
      <c r="T48" s="504"/>
      <c r="U48" s="502"/>
      <c r="V48" s="443"/>
    </row>
    <row r="49" spans="2:22" ht="15.75">
      <c r="B49" s="495" t="s">
        <v>309</v>
      </c>
      <c r="C49" s="507"/>
      <c r="D49" s="507"/>
      <c r="E49" s="507"/>
      <c r="F49" s="482"/>
      <c r="G49" s="1016" t="s">
        <v>27</v>
      </c>
      <c r="H49" s="1016" t="s">
        <v>27</v>
      </c>
      <c r="I49" s="497">
        <f>+Assumptions!H166</f>
        <v>264.70320184964442</v>
      </c>
      <c r="J49" s="699"/>
      <c r="K49" s="699"/>
      <c r="L49" s="699"/>
      <c r="M49" s="594" t="s">
        <v>295</v>
      </c>
      <c r="N49" s="986"/>
      <c r="O49" s="986"/>
      <c r="P49" s="456"/>
      <c r="Q49" s="458"/>
      <c r="R49" s="451"/>
      <c r="S49" s="458"/>
      <c r="T49" s="447"/>
      <c r="U49" s="458"/>
      <c r="V49" s="443"/>
    </row>
    <row r="50" spans="2:22" ht="15.75">
      <c r="B50" s="498" t="s">
        <v>310</v>
      </c>
      <c r="C50" s="508"/>
      <c r="D50" s="508"/>
      <c r="E50" s="508"/>
      <c r="F50" s="499"/>
      <c r="G50" s="1017" t="s">
        <v>27</v>
      </c>
      <c r="H50" s="1017" t="s">
        <v>27</v>
      </c>
      <c r="I50" s="500">
        <f>+Assumptions!H164</f>
        <v>185.29224129475108</v>
      </c>
      <c r="J50" s="699"/>
      <c r="K50" s="699"/>
      <c r="L50" s="699"/>
      <c r="M50" s="432" t="s">
        <v>311</v>
      </c>
      <c r="N50" s="986"/>
      <c r="O50" s="986"/>
      <c r="P50" s="456">
        <f ca="1">+Q50+S50+U50</f>
        <v>647808485.2135824</v>
      </c>
      <c r="Q50" s="456">
        <f ca="1">+'S&amp;U'!H17</f>
        <v>275219018.29116291</v>
      </c>
      <c r="R50" s="450">
        <f ca="1">+Q50/Q$54</f>
        <v>0.51472768268582547</v>
      </c>
      <c r="S50" s="456">
        <f ca="1">+'S&amp;U'!I17</f>
        <v>249640532.78637764</v>
      </c>
      <c r="T50" s="459">
        <f ca="1">+S50/S$54</f>
        <v>0.62189600309823745</v>
      </c>
      <c r="U50" s="456">
        <f ca="1">+'S&amp;U'!J17</f>
        <v>122948934.13604183</v>
      </c>
      <c r="V50" s="457">
        <f ca="1">+U50/U$54</f>
        <v>0.32680982097566552</v>
      </c>
    </row>
    <row r="51" spans="2:22" ht="15.75">
      <c r="B51" s="486"/>
      <c r="C51" s="507"/>
      <c r="D51" s="507"/>
      <c r="E51" s="507"/>
      <c r="F51" s="482"/>
      <c r="G51" s="1016"/>
      <c r="H51" s="1016"/>
      <c r="I51" s="525"/>
      <c r="J51" s="699"/>
      <c r="K51" s="699"/>
      <c r="L51" s="699"/>
      <c r="M51" s="432" t="s">
        <v>243</v>
      </c>
      <c r="N51" s="986"/>
      <c r="O51" s="986"/>
      <c r="P51" s="456">
        <f t="shared" ref="P51:P53" ca="1" si="8">+Q51+S51+U51</f>
        <v>149586352.36032835</v>
      </c>
      <c r="Q51" s="456">
        <f ca="1">+'S&amp;U'!H18</f>
        <v>47890047.656001143</v>
      </c>
      <c r="R51" s="450">
        <f ca="1">+Q51/Q$54</f>
        <v>8.9566242212261823E-2</v>
      </c>
      <c r="S51" s="456">
        <f ca="1">+'S&amp;U'!I18</f>
        <v>50696716.287520386</v>
      </c>
      <c r="T51" s="459">
        <f ca="1">+S51/S$54</f>
        <v>0.12629393503335234</v>
      </c>
      <c r="U51" s="456">
        <f ca="1">+'S&amp;U'!J18</f>
        <v>50999588.416806847</v>
      </c>
      <c r="V51" s="457">
        <f ca="1">+U51/U$54</f>
        <v>0.13556169866334267</v>
      </c>
    </row>
    <row r="52" spans="2:22" ht="15.75">
      <c r="B52" s="941" t="s">
        <v>293</v>
      </c>
      <c r="C52" s="941"/>
      <c r="D52" s="941"/>
      <c r="E52" s="941"/>
      <c r="F52" s="941"/>
      <c r="G52" s="1113" t="s">
        <v>254</v>
      </c>
      <c r="H52" s="1113"/>
      <c r="I52" s="1113"/>
      <c r="J52" s="699"/>
      <c r="K52" s="699"/>
      <c r="L52" s="699"/>
      <c r="M52" s="432" t="s">
        <v>312</v>
      </c>
      <c r="N52" s="986"/>
      <c r="O52" s="986"/>
      <c r="P52" s="456">
        <f t="shared" ca="1" si="8"/>
        <v>223630796.80628985</v>
      </c>
      <c r="Q52" s="456">
        <f ca="1">+'S&amp;U'!H20</f>
        <v>96083432.146206573</v>
      </c>
      <c r="R52" s="450">
        <f ca="1">+Q52/Q$54</f>
        <v>0.17969979938230773</v>
      </c>
      <c r="S52" s="456">
        <f ca="1">+'S&amp;U'!I20</f>
        <v>71440658.636525184</v>
      </c>
      <c r="T52" s="459">
        <f ca="1">+S52/S$54</f>
        <v>0.17797053855344508</v>
      </c>
      <c r="U52" s="456">
        <f ca="1">+'S&amp;U'!J20</f>
        <v>56106706.023558073</v>
      </c>
      <c r="V52" s="457">
        <f ca="1">+U52/U$54</f>
        <v>0.1491368971999745</v>
      </c>
    </row>
    <row r="53" spans="2:22" ht="15.75">
      <c r="B53" s="941"/>
      <c r="C53" s="941"/>
      <c r="D53" s="942" t="s">
        <v>268</v>
      </c>
      <c r="E53" s="943"/>
      <c r="F53" s="942" t="s">
        <v>258</v>
      </c>
      <c r="G53" s="942" t="s">
        <v>255</v>
      </c>
      <c r="H53" s="942" t="s">
        <v>256</v>
      </c>
      <c r="I53" s="942" t="s">
        <v>257</v>
      </c>
      <c r="J53" s="699"/>
      <c r="K53" s="699"/>
      <c r="L53" s="699"/>
      <c r="M53" s="432" t="s">
        <v>230</v>
      </c>
      <c r="N53" s="986"/>
      <c r="O53" s="986"/>
      <c r="P53" s="456">
        <f t="shared" ca="1" si="8"/>
        <v>291290832.40700477</v>
      </c>
      <c r="Q53" s="456">
        <f ca="1">+'S&amp;U'!H23</f>
        <v>115496090.74467808</v>
      </c>
      <c r="R53" s="450">
        <f ca="1">+Q53/Q$54</f>
        <v>0.21600627571960504</v>
      </c>
      <c r="S53" s="456">
        <f ca="1">+'S&amp;U'!I23</f>
        <v>29640547.373204827</v>
      </c>
      <c r="T53" s="459">
        <f ca="1">+S53/S$54</f>
        <v>7.38395233149651E-2</v>
      </c>
      <c r="U53" s="456">
        <f ca="1">+'S&amp;U'!J23</f>
        <v>146154194.28912181</v>
      </c>
      <c r="V53" s="457">
        <f ca="1">+U53/U$54</f>
        <v>0.38849158316101728</v>
      </c>
    </row>
    <row r="54" spans="2:22" ht="15.75">
      <c r="B54" s="944" t="s">
        <v>161</v>
      </c>
      <c r="C54" s="936"/>
      <c r="D54" s="936"/>
      <c r="E54" s="936"/>
      <c r="F54" s="937"/>
      <c r="G54" s="938"/>
      <c r="H54" s="938"/>
      <c r="I54" s="938"/>
      <c r="J54" s="699"/>
      <c r="K54" s="699"/>
      <c r="L54" s="699"/>
      <c r="M54" s="592" t="s">
        <v>249</v>
      </c>
      <c r="N54" s="433"/>
      <c r="O54" s="433"/>
      <c r="P54" s="593">
        <f ca="1">+Q54+S54+U54</f>
        <v>1312316466.7872052</v>
      </c>
      <c r="Q54" s="593">
        <f ca="1">+'S&amp;U'!H26</f>
        <v>534688588.8380487</v>
      </c>
      <c r="R54" s="448">
        <f ca="1">+Q54/Q$54</f>
        <v>1</v>
      </c>
      <c r="S54" s="593">
        <f ca="1">+'S&amp;U'!I26</f>
        <v>401418455.08362806</v>
      </c>
      <c r="T54" s="449">
        <f ca="1">+S54/S$54</f>
        <v>1</v>
      </c>
      <c r="U54" s="593">
        <f ca="1">+'S&amp;U'!J26</f>
        <v>376209422.86552858</v>
      </c>
      <c r="V54" s="463">
        <f ca="1">+U54/U$54</f>
        <v>1</v>
      </c>
    </row>
    <row r="55" spans="2:22" ht="15.75">
      <c r="B55" s="945" t="str">
        <f>+Assumptions!AA223</f>
        <v>Cultural Center</v>
      </c>
      <c r="C55" s="936"/>
      <c r="D55" s="939">
        <f>+Assumptions!AD225</f>
        <v>15</v>
      </c>
      <c r="E55" s="936"/>
      <c r="F55" s="940">
        <f t="shared" ref="F55:F57" si="9">+SUM(G55:I55)</f>
        <v>0</v>
      </c>
      <c r="G55" s="938">
        <f>+Assumptions!AE224</f>
        <v>0</v>
      </c>
      <c r="H55" s="938">
        <f>+Assumptions!AF224</f>
        <v>0</v>
      </c>
      <c r="I55" s="938">
        <f>+Assumptions!AG224</f>
        <v>0</v>
      </c>
      <c r="J55" s="699"/>
      <c r="K55" s="699"/>
      <c r="L55" s="699"/>
      <c r="M55" s="432"/>
      <c r="N55" s="293"/>
      <c r="O55" s="293"/>
      <c r="P55" s="456"/>
      <c r="Q55" s="456"/>
      <c r="R55" s="450"/>
      <c r="S55" s="456"/>
      <c r="T55" s="446"/>
      <c r="U55" s="456"/>
      <c r="V55" s="443"/>
    </row>
    <row r="56" spans="2:22" ht="15.75">
      <c r="B56" s="945" t="str">
        <f>+Assumptions!AA227</f>
        <v>Library</v>
      </c>
      <c r="C56" s="936"/>
      <c r="D56" s="939">
        <f>+Assumptions!AD229</f>
        <v>12</v>
      </c>
      <c r="E56" s="936"/>
      <c r="F56" s="940">
        <f t="shared" si="9"/>
        <v>0</v>
      </c>
      <c r="G56" s="938">
        <f>+Assumptions!AE228</f>
        <v>0</v>
      </c>
      <c r="H56" s="938">
        <f>+Assumptions!AF228</f>
        <v>0</v>
      </c>
      <c r="I56" s="938">
        <f>+Assumptions!AG228</f>
        <v>0</v>
      </c>
      <c r="J56" s="699"/>
      <c r="K56" s="699"/>
      <c r="L56" s="699"/>
      <c r="M56" s="594" t="s">
        <v>313</v>
      </c>
      <c r="N56" s="986"/>
      <c r="O56" s="986"/>
      <c r="P56" s="456"/>
      <c r="Q56" s="458"/>
      <c r="R56" s="451"/>
      <c r="S56" s="458"/>
      <c r="T56" s="447"/>
      <c r="U56" s="458"/>
      <c r="V56" s="443"/>
    </row>
    <row r="57" spans="2:22" ht="15.75">
      <c r="B57" s="945" t="str">
        <f>+Assumptions!AA206</f>
        <v xml:space="preserve">University - Satellite Campus </v>
      </c>
      <c r="C57" s="936"/>
      <c r="D57" s="939">
        <f>+Assumptions!AD208</f>
        <v>22</v>
      </c>
      <c r="E57" s="936"/>
      <c r="F57" s="940">
        <f t="shared" si="9"/>
        <v>0</v>
      </c>
      <c r="G57" s="938">
        <f>+Assumptions!AE207</f>
        <v>0</v>
      </c>
      <c r="H57" s="938">
        <f>+Assumptions!AF207</f>
        <v>0</v>
      </c>
      <c r="I57" s="938">
        <f>+Assumptions!AG207</f>
        <v>0</v>
      </c>
      <c r="J57" s="699"/>
      <c r="K57" s="699"/>
      <c r="L57" s="699"/>
      <c r="M57" s="432" t="str">
        <f>+'S&amp;U'!B29</f>
        <v>Acquisition Costs</v>
      </c>
      <c r="N57" s="986"/>
      <c r="O57" s="986"/>
      <c r="P57" s="456">
        <f>+Q57+S57+U57</f>
        <v>70427722.556892037</v>
      </c>
      <c r="Q57" s="456">
        <f>+'S&amp;U'!H29</f>
        <v>57533874.841383234</v>
      </c>
      <c r="R57" s="450">
        <f t="shared" ref="R57:R64" ca="1" si="10">+Q57/Q$64</f>
        <v>0.107602585958328</v>
      </c>
      <c r="S57" s="456">
        <f>+'S&amp;U'!I29</f>
        <v>4691009.3245623549</v>
      </c>
      <c r="T57" s="459">
        <f t="shared" ref="T57:T64" ca="1" si="11">+S57/S$64</f>
        <v>1.1686082852331916E-2</v>
      </c>
      <c r="U57" s="456">
        <f>+'S&amp;U'!J29</f>
        <v>8202838.3909464516</v>
      </c>
      <c r="V57" s="457">
        <f t="shared" ref="V57:V64" ca="1" si="12">+U57/U$64</f>
        <v>2.1803915299267916E-2</v>
      </c>
    </row>
    <row r="58" spans="2:22" ht="15.75">
      <c r="B58" s="944" t="s">
        <v>258</v>
      </c>
      <c r="C58" s="936"/>
      <c r="D58" s="936"/>
      <c r="E58" s="936"/>
      <c r="F58" s="937">
        <f>SUM(F55:F57)</f>
        <v>0</v>
      </c>
      <c r="G58" s="938">
        <f>SUM(G55:G57)</f>
        <v>0</v>
      </c>
      <c r="H58" s="938">
        <f>SUM(H55:H57)</f>
        <v>0</v>
      </c>
      <c r="I58" s="938">
        <f>SUM(I55:I57)</f>
        <v>0</v>
      </c>
      <c r="J58" s="699"/>
      <c r="K58" s="699"/>
      <c r="L58" s="699"/>
      <c r="M58" s="432" t="str">
        <f>+'S&amp;U'!B30</f>
        <v>Infrastructure Costs</v>
      </c>
      <c r="N58" s="986"/>
      <c r="O58" s="986"/>
      <c r="P58" s="456">
        <f t="shared" ref="P58:P63" si="13">+Q58+S58+U58</f>
        <v>35730655</v>
      </c>
      <c r="Q58" s="456">
        <f>+'S&amp;U'!H30</f>
        <v>20194435</v>
      </c>
      <c r="R58" s="450">
        <f t="shared" ca="1" si="10"/>
        <v>3.7768591702855049E-2</v>
      </c>
      <c r="S58" s="456">
        <f>+'S&amp;U'!I30</f>
        <v>2030684</v>
      </c>
      <c r="T58" s="459">
        <f t="shared" ca="1" si="11"/>
        <v>5.0587709017437792E-3</v>
      </c>
      <c r="U58" s="456">
        <f>+'S&amp;U'!J30</f>
        <v>13505536</v>
      </c>
      <c r="V58" s="457">
        <f t="shared" ca="1" si="12"/>
        <v>3.5898983861516374E-2</v>
      </c>
    </row>
    <row r="59" spans="2:22" ht="15.75">
      <c r="B59" s="490"/>
      <c r="C59" s="507"/>
      <c r="D59" s="507"/>
      <c r="E59" s="507"/>
      <c r="F59" s="482"/>
      <c r="G59" s="483"/>
      <c r="H59" s="483"/>
      <c r="I59" s="483"/>
      <c r="J59" s="699"/>
      <c r="K59" s="699"/>
      <c r="L59" s="699"/>
      <c r="M59" s="432" t="str">
        <f>+'S&amp;U'!B31</f>
        <v>Hard Costs</v>
      </c>
      <c r="N59" s="986"/>
      <c r="O59" s="986"/>
      <c r="P59" s="456">
        <f t="shared" ca="1" si="13"/>
        <v>829777939.51147532</v>
      </c>
      <c r="Q59" s="456">
        <f ca="1">+'S&amp;U'!H31</f>
        <v>302119898.65899998</v>
      </c>
      <c r="R59" s="450">
        <f t="shared" ca="1" si="10"/>
        <v>0.56503898711500045</v>
      </c>
      <c r="S59" s="456">
        <f ca="1">+'S&amp;U'!I31</f>
        <v>267804657.74088666</v>
      </c>
      <c r="T59" s="459">
        <f t="shared" ca="1" si="11"/>
        <v>0.66714585328443499</v>
      </c>
      <c r="U59" s="456">
        <f ca="1">+'S&amp;U'!J31</f>
        <v>259853383.11158872</v>
      </c>
      <c r="V59" s="457">
        <f t="shared" ca="1" si="12"/>
        <v>0.69071471185470568</v>
      </c>
    </row>
    <row r="60" spans="2:22">
      <c r="B60" s="699"/>
      <c r="C60" s="699"/>
      <c r="D60" s="699"/>
      <c r="E60" s="699"/>
      <c r="F60" s="699"/>
      <c r="G60" s="692"/>
      <c r="H60" s="692"/>
      <c r="I60" s="692"/>
      <c r="J60" s="699"/>
      <c r="K60" s="699"/>
      <c r="L60" s="699"/>
      <c r="M60" s="432" t="str">
        <f>+'S&amp;U'!B32</f>
        <v>Soft Costs</v>
      </c>
      <c r="N60" s="986"/>
      <c r="O60" s="986"/>
      <c r="P60" s="456">
        <f t="shared" ca="1" si="13"/>
        <v>209075721.87759775</v>
      </c>
      <c r="Q60" s="456">
        <f ca="1">+'S&amp;U'!H32</f>
        <v>81624624.794803187</v>
      </c>
      <c r="R60" s="450">
        <f t="shared" ca="1" si="10"/>
        <v>0.15265825098714869</v>
      </c>
      <c r="S60" s="456">
        <f ca="1">+'S&amp;U'!I32</f>
        <v>67128952.665678784</v>
      </c>
      <c r="T60" s="459">
        <f t="shared" ca="1" si="11"/>
        <v>0.16722936331288935</v>
      </c>
      <c r="U60" s="456">
        <f ca="1">+'S&amp;U'!J32</f>
        <v>60322144.417115763</v>
      </c>
      <c r="V60" s="457">
        <f t="shared" ca="1" si="12"/>
        <v>0.16034192859299318</v>
      </c>
    </row>
    <row r="61" spans="2:22">
      <c r="B61" s="699"/>
      <c r="C61" s="699"/>
      <c r="D61" s="699"/>
      <c r="E61" s="699"/>
      <c r="F61" s="699"/>
      <c r="G61" s="692"/>
      <c r="H61" s="692"/>
      <c r="I61" s="692"/>
      <c r="J61" s="699"/>
      <c r="K61" s="699"/>
      <c r="L61" s="699"/>
      <c r="M61" s="432" t="str">
        <f>+'S&amp;U'!B33</f>
        <v>Financing Costs</v>
      </c>
      <c r="N61" s="986"/>
      <c r="O61" s="986"/>
      <c r="P61" s="456">
        <f t="shared" ca="1" si="13"/>
        <v>66661498.56137123</v>
      </c>
      <c r="Q61" s="456">
        <f ca="1">+'S&amp;U'!H33</f>
        <v>33225688.0881561</v>
      </c>
      <c r="R61" s="450">
        <f t="shared" ca="1" si="10"/>
        <v>6.2140260296858131E-2</v>
      </c>
      <c r="S61" s="456">
        <f ca="1">+'S&amp;U'!I33</f>
        <v>21460662.638504423</v>
      </c>
      <c r="T61" s="459">
        <f t="shared" ca="1" si="11"/>
        <v>5.3462072724168835E-2</v>
      </c>
      <c r="U61" s="456">
        <f ca="1">+'S&amp;U'!J33</f>
        <v>11975147.834710708</v>
      </c>
      <c r="V61" s="457">
        <f t="shared" ca="1" si="12"/>
        <v>3.183106830099542E-2</v>
      </c>
    </row>
    <row r="62" spans="2:22">
      <c r="B62" s="699"/>
      <c r="C62" s="699"/>
      <c r="D62" s="699"/>
      <c r="E62" s="699"/>
      <c r="F62" s="699"/>
      <c r="G62" s="692"/>
      <c r="H62" s="692"/>
      <c r="I62" s="692"/>
      <c r="J62" s="699"/>
      <c r="K62" s="699"/>
      <c r="L62" s="699"/>
      <c r="M62" s="432" t="str">
        <f>+'S&amp;U'!B34</f>
        <v>Reserves</v>
      </c>
      <c r="N62" s="986"/>
      <c r="O62" s="986"/>
      <c r="P62" s="456">
        <f t="shared" ca="1" si="13"/>
        <v>52877977.578703068</v>
      </c>
      <c r="Q62" s="456">
        <f ca="1">+'S&amp;U'!H34</f>
        <v>21637963.070219036</v>
      </c>
      <c r="R62" s="450">
        <f t="shared" ca="1" si="10"/>
        <v>4.0468346476668381E-2</v>
      </c>
      <c r="S62" s="456">
        <f ca="1">+'S&amp;U'!I34</f>
        <v>23043740.800185625</v>
      </c>
      <c r="T62" s="459">
        <f t="shared" ca="1" si="11"/>
        <v>5.7405783187982451E-2</v>
      </c>
      <c r="U62" s="456">
        <f ca="1">+'S&amp;U'!J34</f>
        <v>8196273.7082984075</v>
      </c>
      <c r="V62" s="457">
        <f t="shared" ca="1" si="12"/>
        <v>2.1786465755877848E-2</v>
      </c>
    </row>
    <row r="63" spans="2:22" ht="15.75">
      <c r="B63" s="699"/>
      <c r="C63" s="699"/>
      <c r="D63" s="699"/>
      <c r="E63" s="699"/>
      <c r="F63" s="699"/>
      <c r="G63" s="274"/>
      <c r="H63" s="274"/>
      <c r="I63" s="274"/>
      <c r="J63" s="699"/>
      <c r="K63" s="699"/>
      <c r="L63" s="699"/>
      <c r="M63" s="432" t="str">
        <f>+'S&amp;U'!B35</f>
        <v>Developer Fee</v>
      </c>
      <c r="N63" s="986"/>
      <c r="O63" s="986"/>
      <c r="P63" s="456">
        <f t="shared" ca="1" si="13"/>
        <v>47764951.7011659</v>
      </c>
      <c r="Q63" s="456">
        <f ca="1">+'S&amp;U'!H35</f>
        <v>18352104.384487133</v>
      </c>
      <c r="R63" s="450">
        <f t="shared" ca="1" si="10"/>
        <v>3.4322977463141231E-2</v>
      </c>
      <c r="S63" s="456">
        <f ca="1">+'S&amp;U'!I35</f>
        <v>15258747.913810223</v>
      </c>
      <c r="T63" s="459">
        <f t="shared" ca="1" si="11"/>
        <v>3.8012073736448784E-2</v>
      </c>
      <c r="U63" s="456">
        <f ca="1">+'S&amp;U'!J35</f>
        <v>14154099.402868543</v>
      </c>
      <c r="V63" s="457">
        <f t="shared" ca="1" si="12"/>
        <v>3.7622926334643543E-2</v>
      </c>
    </row>
    <row r="64" spans="2:22" ht="15.75">
      <c r="B64" s="699"/>
      <c r="C64" s="699"/>
      <c r="D64" s="699"/>
      <c r="E64" s="699"/>
      <c r="F64" s="699"/>
      <c r="G64" s="274"/>
      <c r="H64" s="274"/>
      <c r="I64" s="274"/>
      <c r="J64" s="699"/>
      <c r="K64" s="699"/>
      <c r="L64" s="699"/>
      <c r="M64" s="592" t="s">
        <v>314</v>
      </c>
      <c r="N64" s="433"/>
      <c r="O64" s="433"/>
      <c r="P64" s="593">
        <f ca="1">+Q64+S64+U64</f>
        <v>1312316466.7872052</v>
      </c>
      <c r="Q64" s="593">
        <f ca="1">+'S&amp;U'!H36</f>
        <v>534688588.8380487</v>
      </c>
      <c r="R64" s="448">
        <f t="shared" ca="1" si="10"/>
        <v>1</v>
      </c>
      <c r="S64" s="593">
        <f ca="1">+'S&amp;U'!I36</f>
        <v>401418455.08362806</v>
      </c>
      <c r="T64" s="449">
        <f t="shared" ca="1" si="11"/>
        <v>1</v>
      </c>
      <c r="U64" s="593">
        <f ca="1">+'S&amp;U'!J36</f>
        <v>376209422.86552858</v>
      </c>
      <c r="V64" s="463">
        <f t="shared" ca="1" si="12"/>
        <v>1</v>
      </c>
    </row>
    <row r="65" spans="2:22" ht="15.75">
      <c r="B65" s="699"/>
      <c r="C65" s="699"/>
      <c r="D65" s="699"/>
      <c r="E65" s="699"/>
      <c r="F65" s="699"/>
      <c r="G65" s="274"/>
      <c r="H65" s="274"/>
      <c r="I65" s="274"/>
      <c r="J65" s="699"/>
      <c r="K65" s="699"/>
      <c r="L65" s="699"/>
      <c r="M65" s="432"/>
      <c r="N65" s="293"/>
      <c r="O65" s="293"/>
      <c r="P65" s="456"/>
      <c r="Q65" s="456"/>
      <c r="R65" s="450"/>
      <c r="S65" s="456"/>
      <c r="T65" s="450"/>
      <c r="U65" s="456"/>
      <c r="V65" s="462"/>
    </row>
    <row r="66" spans="2:22" ht="15.75">
      <c r="B66" s="699"/>
      <c r="C66" s="699"/>
      <c r="D66" s="699"/>
      <c r="E66" s="699"/>
      <c r="F66" s="699"/>
      <c r="G66" s="274"/>
      <c r="H66" s="274"/>
      <c r="I66" s="274"/>
      <c r="J66" s="699"/>
      <c r="K66" s="699"/>
      <c r="L66" s="699"/>
      <c r="M66" s="429" t="s">
        <v>315</v>
      </c>
      <c r="N66" s="986"/>
      <c r="O66" s="986"/>
      <c r="P66" s="456"/>
      <c r="Q66" s="502"/>
      <c r="R66" s="503"/>
      <c r="S66" s="502"/>
      <c r="T66" s="503"/>
      <c r="U66" s="502"/>
      <c r="V66" s="457"/>
    </row>
    <row r="67" spans="2:22" ht="15.75">
      <c r="B67" s="699"/>
      <c r="C67" s="699"/>
      <c r="D67" s="699"/>
      <c r="E67" s="699"/>
      <c r="F67" s="699"/>
      <c r="G67" s="274"/>
      <c r="H67" s="274"/>
      <c r="I67" s="274"/>
      <c r="J67" s="699"/>
      <c r="K67" s="699"/>
      <c r="L67" s="699"/>
      <c r="M67" s="594" t="s">
        <v>316</v>
      </c>
      <c r="N67" s="986"/>
      <c r="O67" s="986"/>
      <c r="P67" s="456"/>
      <c r="Q67" s="458"/>
      <c r="R67" s="451"/>
      <c r="S67" s="458"/>
      <c r="T67" s="451"/>
      <c r="U67" s="458"/>
      <c r="V67" s="457"/>
    </row>
    <row r="68" spans="2:22" ht="15.75">
      <c r="B68" s="274"/>
      <c r="C68" s="274"/>
      <c r="D68" s="509"/>
      <c r="E68" s="274"/>
      <c r="F68" s="1018"/>
      <c r="G68" s="274"/>
      <c r="H68" s="274"/>
      <c r="I68" s="274"/>
      <c r="J68" s="699"/>
      <c r="K68" s="699"/>
      <c r="L68" s="699"/>
      <c r="M68" s="432" t="str">
        <f>+'S&amp;U'!L17</f>
        <v>Senior Permanent Loan</v>
      </c>
      <c r="N68" s="986"/>
      <c r="O68" s="986"/>
      <c r="P68" s="456">
        <f ca="1">+Q68+S68+U68</f>
        <v>647808485.2135824</v>
      </c>
      <c r="Q68" s="456">
        <f ca="1">+'S&amp;U'!R17</f>
        <v>275219018.29116291</v>
      </c>
      <c r="R68" s="450">
        <f ca="1">+Q68/Q$72</f>
        <v>0.51472768268582547</v>
      </c>
      <c r="S68" s="456">
        <f ca="1">+'S&amp;U'!S17</f>
        <v>249640532.78637764</v>
      </c>
      <c r="T68" s="450">
        <f ca="1">+S68/S$72</f>
        <v>0.62189600309823745</v>
      </c>
      <c r="U68" s="456">
        <f ca="1">+'S&amp;U'!T17</f>
        <v>122948934.13604183</v>
      </c>
      <c r="V68" s="457">
        <f ca="1">+U68/U$72</f>
        <v>0.32680982097566552</v>
      </c>
    </row>
    <row r="69" spans="2:22" ht="15.6" customHeight="1">
      <c r="B69" s="274"/>
      <c r="C69" s="274"/>
      <c r="D69" s="509"/>
      <c r="E69" s="274"/>
      <c r="F69" s="1018"/>
      <c r="G69" s="274"/>
      <c r="H69" s="274"/>
      <c r="I69" s="274"/>
      <c r="J69" s="699"/>
      <c r="K69" s="699"/>
      <c r="L69" s="699"/>
      <c r="M69" s="432" t="s">
        <v>243</v>
      </c>
      <c r="N69" s="986"/>
      <c r="O69" s="986"/>
      <c r="P69" s="456">
        <f t="shared" ref="P69:P71" ca="1" si="14">+Q69+S69+U69</f>
        <v>149586352.36032835</v>
      </c>
      <c r="Q69" s="456">
        <f ca="1">+'S&amp;U'!R20</f>
        <v>47890047.656001143</v>
      </c>
      <c r="R69" s="450">
        <f ca="1">+Q69/Q$72</f>
        <v>8.9566242212261823E-2</v>
      </c>
      <c r="S69" s="456">
        <f ca="1">+'S&amp;U'!S20</f>
        <v>50696716.287520386</v>
      </c>
      <c r="T69" s="450">
        <f ca="1">+S69/S$72</f>
        <v>0.12629393503335234</v>
      </c>
      <c r="U69" s="456">
        <f ca="1">+'S&amp;U'!T20</f>
        <v>50999588.416806847</v>
      </c>
      <c r="V69" s="457">
        <f ca="1">+U69/U$72</f>
        <v>0.13556169866334267</v>
      </c>
    </row>
    <row r="70" spans="2:22" ht="15.75">
      <c r="B70" s="5"/>
      <c r="C70" s="274"/>
      <c r="D70" s="509"/>
      <c r="E70" s="274"/>
      <c r="F70" s="1018"/>
      <c r="G70" s="274"/>
      <c r="H70" s="274"/>
      <c r="I70" s="274"/>
      <c r="J70" s="699"/>
      <c r="K70" s="699"/>
      <c r="L70" s="699"/>
      <c r="M70" s="432" t="s">
        <v>317</v>
      </c>
      <c r="N70" s="986"/>
      <c r="O70" s="986"/>
      <c r="P70" s="456">
        <f t="shared" ca="1" si="14"/>
        <v>223630796.80628985</v>
      </c>
      <c r="Q70" s="456">
        <f ca="1">+'S&amp;U'!R22</f>
        <v>96083432.146206573</v>
      </c>
      <c r="R70" s="450">
        <f ca="1">+Q70/Q$72</f>
        <v>0.17969979938230773</v>
      </c>
      <c r="S70" s="456">
        <f ca="1">+'S&amp;U'!S22</f>
        <v>71440658.636525184</v>
      </c>
      <c r="T70" s="450">
        <f ca="1">+S70/S$72</f>
        <v>0.17797053855344508</v>
      </c>
      <c r="U70" s="456">
        <f ca="1">+'S&amp;U'!T22</f>
        <v>56106706.023558073</v>
      </c>
      <c r="V70" s="457">
        <f ca="1">+U70/U$72</f>
        <v>0.1491368971999745</v>
      </c>
    </row>
    <row r="71" spans="2:22" ht="15.75">
      <c r="B71" s="5"/>
      <c r="C71" s="274"/>
      <c r="D71" s="509"/>
      <c r="E71" s="274"/>
      <c r="F71" s="1018"/>
      <c r="G71" s="274"/>
      <c r="H71" s="274"/>
      <c r="I71" s="274"/>
      <c r="J71" s="699"/>
      <c r="K71" s="699"/>
      <c r="L71" s="699"/>
      <c r="M71" s="432" t="s">
        <v>230</v>
      </c>
      <c r="N71" s="986"/>
      <c r="O71" s="986"/>
      <c r="P71" s="456">
        <f t="shared" ca="1" si="14"/>
        <v>291290832.40700477</v>
      </c>
      <c r="Q71" s="456">
        <f ca="1">+'S&amp;U'!R25</f>
        <v>115496090.74467808</v>
      </c>
      <c r="R71" s="450">
        <f ca="1">+Q71/Q$72</f>
        <v>0.21600627571960504</v>
      </c>
      <c r="S71" s="456">
        <f ca="1">+'S&amp;U'!S25</f>
        <v>29640547.373204827</v>
      </c>
      <c r="T71" s="450">
        <f ca="1">+S71/S$72</f>
        <v>7.38395233149651E-2</v>
      </c>
      <c r="U71" s="456">
        <f ca="1">+'S&amp;U'!T25</f>
        <v>146154194.28912181</v>
      </c>
      <c r="V71" s="1019">
        <f ca="1">+U71/U72</f>
        <v>0.38849158316101728</v>
      </c>
    </row>
    <row r="72" spans="2:22" ht="15.75">
      <c r="B72" s="5"/>
      <c r="C72" s="274"/>
      <c r="D72" s="509"/>
      <c r="E72" s="274"/>
      <c r="F72" s="1018"/>
      <c r="G72" s="274"/>
      <c r="H72" s="274"/>
      <c r="I72" s="274"/>
      <c r="J72" s="699"/>
      <c r="K72" s="699"/>
      <c r="L72" s="699"/>
      <c r="M72" s="592" t="s">
        <v>249</v>
      </c>
      <c r="N72" s="433"/>
      <c r="O72" s="433"/>
      <c r="P72" s="593">
        <f ca="1">+Q72+S72+U72</f>
        <v>1312316466.7872052</v>
      </c>
      <c r="Q72" s="593">
        <f ca="1">+'S&amp;U'!R26</f>
        <v>534688588.8380487</v>
      </c>
      <c r="R72" s="448">
        <f ca="1">+Q72/Q$72</f>
        <v>1</v>
      </c>
      <c r="S72" s="593">
        <f ca="1">+'S&amp;U'!S26</f>
        <v>401418455.08362806</v>
      </c>
      <c r="T72" s="448">
        <f ca="1">+S72/S$72</f>
        <v>1</v>
      </c>
      <c r="U72" s="593">
        <f ca="1">+'S&amp;U'!T26</f>
        <v>376209422.86552858</v>
      </c>
      <c r="V72" s="463">
        <f ca="1">+U72/U$72</f>
        <v>1</v>
      </c>
    </row>
    <row r="73" spans="2:22" ht="15.75">
      <c r="B73" s="5"/>
      <c r="C73" s="694"/>
      <c r="D73" s="695"/>
      <c r="E73" s="694"/>
      <c r="F73" s="696"/>
      <c r="G73" s="274"/>
      <c r="H73" s="274"/>
      <c r="I73" s="274"/>
      <c r="J73" s="699"/>
      <c r="K73" s="699"/>
      <c r="L73" s="699"/>
      <c r="M73" s="432"/>
      <c r="N73" s="293"/>
      <c r="O73" s="293"/>
      <c r="P73" s="456"/>
      <c r="Q73" s="456"/>
      <c r="R73" s="450"/>
      <c r="S73" s="456"/>
      <c r="T73" s="450"/>
      <c r="U73" s="456"/>
      <c r="V73" s="464"/>
    </row>
    <row r="74" spans="2:22" ht="15.75">
      <c r="B74" s="5"/>
      <c r="C74" s="697"/>
      <c r="D74" s="693"/>
      <c r="E74" s="694"/>
      <c r="F74" s="698"/>
      <c r="G74" s="274"/>
      <c r="H74" s="274"/>
      <c r="I74" s="274"/>
      <c r="J74" s="699"/>
      <c r="K74" s="699"/>
      <c r="L74" s="699"/>
      <c r="M74" s="594" t="s">
        <v>298</v>
      </c>
      <c r="N74" s="986"/>
      <c r="O74" s="986"/>
      <c r="P74" s="456"/>
      <c r="Q74" s="458"/>
      <c r="R74" s="451"/>
      <c r="S74" s="458"/>
      <c r="T74" s="451"/>
      <c r="U74" s="458"/>
      <c r="V74" s="1006"/>
    </row>
    <row r="75" spans="2:22" ht="15.75">
      <c r="B75" s="5"/>
      <c r="C75" s="697"/>
      <c r="D75" s="1020"/>
      <c r="E75" s="694"/>
      <c r="F75" s="374"/>
      <c r="G75" s="274"/>
      <c r="H75" s="274"/>
      <c r="I75" s="274"/>
      <c r="J75" s="699"/>
      <c r="K75" s="699"/>
      <c r="L75" s="699"/>
      <c r="M75" s="432" t="str">
        <f>+'S&amp;U'!L29</f>
        <v>Acquisition Costs</v>
      </c>
      <c r="N75" s="986"/>
      <c r="O75" s="986"/>
      <c r="P75" s="456">
        <f>+Q75+S75+U75</f>
        <v>70427722.556892037</v>
      </c>
      <c r="Q75" s="456">
        <f>+'S&amp;U'!R29</f>
        <v>57533874.841383234</v>
      </c>
      <c r="R75" s="450">
        <f t="shared" ref="R75:R82" ca="1" si="15">+Q75/Q$82</f>
        <v>0.107602585958328</v>
      </c>
      <c r="S75" s="456">
        <f>+'S&amp;U'!S29</f>
        <v>4691009.3245623549</v>
      </c>
      <c r="T75" s="450">
        <f t="shared" ref="T75:T82" ca="1" si="16">+S75/S$82</f>
        <v>1.1686082852331916E-2</v>
      </c>
      <c r="U75" s="456">
        <f>+'S&amp;U'!T29</f>
        <v>8202838.3909464516</v>
      </c>
      <c r="V75" s="457">
        <f t="shared" ref="V75:V81" ca="1" si="17">+U75/$U$82</f>
        <v>2.1803915299267916E-2</v>
      </c>
    </row>
    <row r="76" spans="2:22" ht="15.75">
      <c r="B76" s="5"/>
      <c r="C76" s="697"/>
      <c r="D76" s="693"/>
      <c r="E76" s="274"/>
      <c r="F76" s="510"/>
      <c r="G76" s="274"/>
      <c r="H76" s="274"/>
      <c r="I76" s="274"/>
      <c r="J76" s="699"/>
      <c r="K76" s="699"/>
      <c r="L76" s="699"/>
      <c r="M76" s="432" t="str">
        <f>+'S&amp;U'!L30</f>
        <v>Infrastructure Costs</v>
      </c>
      <c r="N76" s="986"/>
      <c r="O76" s="986"/>
      <c r="P76" s="456">
        <f t="shared" ref="P76:P81" si="18">+Q76+S76+U76</f>
        <v>35730655</v>
      </c>
      <c r="Q76" s="456">
        <f>+'S&amp;U'!R30</f>
        <v>20194435</v>
      </c>
      <c r="R76" s="450">
        <f t="shared" ca="1" si="15"/>
        <v>3.7768591702855049E-2</v>
      </c>
      <c r="S76" s="456">
        <f>+'S&amp;U'!S30</f>
        <v>2030684</v>
      </c>
      <c r="T76" s="450">
        <f t="shared" ca="1" si="16"/>
        <v>5.0587709017437792E-3</v>
      </c>
      <c r="U76" s="456">
        <f>+'S&amp;U'!T30</f>
        <v>13505536</v>
      </c>
      <c r="V76" s="457">
        <f t="shared" ca="1" si="17"/>
        <v>3.5898983861516374E-2</v>
      </c>
    </row>
    <row r="77" spans="2:22" ht="15.75">
      <c r="B77" s="5"/>
      <c r="C77" s="697"/>
      <c r="D77" s="509"/>
      <c r="E77" s="274"/>
      <c r="F77" s="510"/>
      <c r="G77" s="274"/>
      <c r="H77" s="274"/>
      <c r="I77" s="274"/>
      <c r="J77" s="699"/>
      <c r="K77" s="699"/>
      <c r="L77" s="699"/>
      <c r="M77" s="432" t="str">
        <f>+'S&amp;U'!L31</f>
        <v>Hard Costs</v>
      </c>
      <c r="N77" s="986"/>
      <c r="O77" s="986"/>
      <c r="P77" s="456">
        <f t="shared" ca="1" si="18"/>
        <v>829777939.51147532</v>
      </c>
      <c r="Q77" s="456">
        <f ca="1">+'S&amp;U'!R31</f>
        <v>302119898.65899998</v>
      </c>
      <c r="R77" s="450">
        <f t="shared" ca="1" si="15"/>
        <v>0.56503898711500045</v>
      </c>
      <c r="S77" s="456">
        <f ca="1">+'S&amp;U'!S31</f>
        <v>267804657.74088666</v>
      </c>
      <c r="T77" s="450">
        <f t="shared" ca="1" si="16"/>
        <v>0.66714585328443499</v>
      </c>
      <c r="U77" s="456">
        <f ca="1">+'S&amp;U'!T31</f>
        <v>259853383.11158872</v>
      </c>
      <c r="V77" s="457">
        <f t="shared" ca="1" si="17"/>
        <v>0.69071471185470568</v>
      </c>
    </row>
    <row r="78" spans="2:22" ht="15.75">
      <c r="B78" s="5"/>
      <c r="C78" s="274"/>
      <c r="D78" s="509"/>
      <c r="E78" s="274"/>
      <c r="F78" s="511"/>
      <c r="G78" s="274"/>
      <c r="H78" s="274"/>
      <c r="I78" s="274"/>
      <c r="J78" s="699"/>
      <c r="K78" s="699"/>
      <c r="L78" s="699"/>
      <c r="M78" s="432" t="str">
        <f>+'S&amp;U'!L32</f>
        <v>Soft Costs</v>
      </c>
      <c r="N78" s="986"/>
      <c r="O78" s="986"/>
      <c r="P78" s="456">
        <f t="shared" ca="1" si="18"/>
        <v>209075721.87759775</v>
      </c>
      <c r="Q78" s="456">
        <f ca="1">+'S&amp;U'!R32</f>
        <v>81624624.794803187</v>
      </c>
      <c r="R78" s="450">
        <f t="shared" ca="1" si="15"/>
        <v>0.15265825098714869</v>
      </c>
      <c r="S78" s="456">
        <f ca="1">+'S&amp;U'!S32</f>
        <v>67128952.665678784</v>
      </c>
      <c r="T78" s="450">
        <f t="shared" ca="1" si="16"/>
        <v>0.16722936331288935</v>
      </c>
      <c r="U78" s="456">
        <f ca="1">+'S&amp;U'!T32</f>
        <v>60322144.417115763</v>
      </c>
      <c r="V78" s="457">
        <f t="shared" ca="1" si="17"/>
        <v>0.16034192859299318</v>
      </c>
    </row>
    <row r="79" spans="2:22" ht="15.75">
      <c r="B79" s="5"/>
      <c r="C79" s="274"/>
      <c r="D79" s="509"/>
      <c r="E79" s="274"/>
      <c r="F79" s="512"/>
      <c r="G79" s="274"/>
      <c r="H79" s="274"/>
      <c r="I79" s="274"/>
      <c r="J79" s="699"/>
      <c r="K79" s="699"/>
      <c r="L79" s="699"/>
      <c r="M79" s="432" t="str">
        <f>+'S&amp;U'!L33</f>
        <v>Financing Costs</v>
      </c>
      <c r="N79" s="986"/>
      <c r="O79" s="986"/>
      <c r="P79" s="456">
        <f t="shared" ca="1" si="18"/>
        <v>66661498.56137123</v>
      </c>
      <c r="Q79" s="456">
        <f ca="1">+'S&amp;U'!R33</f>
        <v>33225688.0881561</v>
      </c>
      <c r="R79" s="450">
        <f t="shared" ca="1" si="15"/>
        <v>6.2140260296858131E-2</v>
      </c>
      <c r="S79" s="456">
        <f ca="1">+'S&amp;U'!S33</f>
        <v>21460662.638504423</v>
      </c>
      <c r="T79" s="450">
        <f t="shared" ca="1" si="16"/>
        <v>5.3462072724168835E-2</v>
      </c>
      <c r="U79" s="456">
        <f ca="1">+'S&amp;U'!T33</f>
        <v>11975147.834710708</v>
      </c>
      <c r="V79" s="457">
        <f t="shared" ca="1" si="17"/>
        <v>3.183106830099542E-2</v>
      </c>
    </row>
    <row r="80" spans="2:22" ht="15.75">
      <c r="B80" s="5"/>
      <c r="C80" s="274"/>
      <c r="D80" s="509"/>
      <c r="E80" s="274"/>
      <c r="F80" s="1018"/>
      <c r="G80" s="274"/>
      <c r="H80" s="274"/>
      <c r="I80" s="274"/>
      <c r="J80" s="699"/>
      <c r="K80" s="699"/>
      <c r="L80" s="699"/>
      <c r="M80" s="432" t="str">
        <f>+'S&amp;U'!L34</f>
        <v>Reserves</v>
      </c>
      <c r="N80" s="986"/>
      <c r="O80" s="986"/>
      <c r="P80" s="456">
        <f t="shared" ca="1" si="18"/>
        <v>52877977.578703068</v>
      </c>
      <c r="Q80" s="456">
        <f ca="1">+'S&amp;U'!R34</f>
        <v>21637963.070219036</v>
      </c>
      <c r="R80" s="450">
        <f t="shared" ca="1" si="15"/>
        <v>4.0468346476668381E-2</v>
      </c>
      <c r="S80" s="456">
        <f ca="1">+'S&amp;U'!S34</f>
        <v>23043740.800185625</v>
      </c>
      <c r="T80" s="450">
        <f t="shared" ca="1" si="16"/>
        <v>5.7405783187982451E-2</v>
      </c>
      <c r="U80" s="456">
        <f ca="1">+'S&amp;U'!T34</f>
        <v>8196273.7082984075</v>
      </c>
      <c r="V80" s="457">
        <f t="shared" ca="1" si="17"/>
        <v>2.1786465755877848E-2</v>
      </c>
    </row>
    <row r="81" spans="1:22" ht="15.75">
      <c r="A81" s="1021"/>
      <c r="B81" s="274"/>
      <c r="C81" s="274"/>
      <c r="D81" s="509"/>
      <c r="E81" s="274"/>
      <c r="F81" s="1018"/>
      <c r="G81" s="274"/>
      <c r="H81" s="274"/>
      <c r="I81" s="274"/>
      <c r="J81" s="699"/>
      <c r="K81" s="699"/>
      <c r="L81" s="699"/>
      <c r="M81" s="432" t="str">
        <f>+'S&amp;U'!L35</f>
        <v>Developer Fee</v>
      </c>
      <c r="N81" s="986"/>
      <c r="O81" s="986"/>
      <c r="P81" s="456">
        <f t="shared" ca="1" si="18"/>
        <v>47764951.7011659</v>
      </c>
      <c r="Q81" s="456">
        <f ca="1">+'S&amp;U'!R35</f>
        <v>18352104.384487133</v>
      </c>
      <c r="R81" s="450">
        <f t="shared" ca="1" si="15"/>
        <v>3.4322977463141231E-2</v>
      </c>
      <c r="S81" s="456">
        <f ca="1">+'S&amp;U'!S35</f>
        <v>15258747.913810223</v>
      </c>
      <c r="T81" s="450">
        <f t="shared" ca="1" si="16"/>
        <v>3.8012073736448784E-2</v>
      </c>
      <c r="U81" s="456">
        <f ca="1">+'S&amp;U'!T35</f>
        <v>14154099.402868543</v>
      </c>
      <c r="V81" s="457">
        <f t="shared" ca="1" si="17"/>
        <v>3.7622926334643543E-2</v>
      </c>
    </row>
    <row r="82" spans="1:22" ht="15.75">
      <c r="A82" s="1021"/>
      <c r="B82" s="274"/>
      <c r="C82" s="274"/>
      <c r="D82" s="274"/>
      <c r="E82" s="274"/>
      <c r="F82" s="274"/>
      <c r="G82" s="274"/>
      <c r="H82" s="274"/>
      <c r="I82" s="274"/>
      <c r="J82" s="699"/>
      <c r="K82" s="699"/>
      <c r="L82" s="699"/>
      <c r="M82" s="592" t="s">
        <v>314</v>
      </c>
      <c r="N82" s="433"/>
      <c r="O82" s="433"/>
      <c r="P82" s="593">
        <f ca="1">+SUM(Q82,S82,U82)</f>
        <v>1312316466.7872052</v>
      </c>
      <c r="Q82" s="593">
        <f ca="1">+'S&amp;U'!R36</f>
        <v>534688588.8380487</v>
      </c>
      <c r="R82" s="448">
        <f t="shared" ca="1" si="15"/>
        <v>1</v>
      </c>
      <c r="S82" s="593">
        <f ca="1">+'S&amp;U'!S36</f>
        <v>401418455.08362806</v>
      </c>
      <c r="T82" s="448">
        <f t="shared" ca="1" si="16"/>
        <v>1</v>
      </c>
      <c r="U82" s="593">
        <f ca="1">+'S&amp;U'!T36</f>
        <v>376209422.86552858</v>
      </c>
      <c r="V82" s="463">
        <f ca="1">+U82/U$82</f>
        <v>1</v>
      </c>
    </row>
    <row r="83" spans="1:22" ht="15.75">
      <c r="A83" s="1021"/>
      <c r="B83" s="274"/>
      <c r="C83" s="274"/>
      <c r="D83" s="274"/>
      <c r="E83" s="274"/>
      <c r="F83" s="274"/>
      <c r="G83" s="274"/>
      <c r="H83" s="274"/>
      <c r="I83" s="274"/>
      <c r="J83" s="699"/>
      <c r="K83" s="699"/>
      <c r="L83" s="699"/>
      <c r="M83" s="699"/>
      <c r="N83" s="699"/>
      <c r="O83" s="699"/>
      <c r="P83" s="699"/>
      <c r="Q83" s="699"/>
      <c r="R83" s="699"/>
      <c r="S83" s="699"/>
      <c r="T83" s="699"/>
      <c r="U83" s="699"/>
      <c r="V83" s="699"/>
    </row>
    <row r="84" spans="1:22" ht="15.75">
      <c r="A84" s="1021"/>
      <c r="B84" s="274"/>
      <c r="C84" s="274"/>
      <c r="D84" s="274"/>
      <c r="E84" s="274"/>
      <c r="F84" s="274"/>
      <c r="G84" s="274"/>
      <c r="H84" s="274"/>
      <c r="I84" s="274"/>
      <c r="J84" s="699"/>
      <c r="K84" s="699"/>
      <c r="L84" s="699"/>
      <c r="M84" s="699"/>
      <c r="N84" s="699"/>
      <c r="O84" s="699"/>
      <c r="P84" s="699"/>
      <c r="Q84" s="699"/>
      <c r="R84" s="699"/>
      <c r="S84" s="699"/>
      <c r="T84" s="699"/>
      <c r="U84" s="699"/>
      <c r="V84" s="699"/>
    </row>
    <row r="85" spans="1:22" ht="15.75">
      <c r="A85" s="1021"/>
      <c r="B85" s="274"/>
      <c r="C85" s="274"/>
      <c r="D85" s="274"/>
      <c r="E85" s="274"/>
      <c r="F85" s="274"/>
      <c r="G85" s="274"/>
      <c r="H85" s="274"/>
      <c r="I85" s="274"/>
      <c r="J85" s="699"/>
      <c r="K85" s="699"/>
      <c r="L85" s="699"/>
      <c r="M85" s="699"/>
      <c r="N85" s="699"/>
      <c r="O85" s="699"/>
      <c r="P85" s="699"/>
      <c r="Q85" s="699"/>
      <c r="R85" s="699"/>
      <c r="S85" s="699"/>
      <c r="T85" s="699"/>
      <c r="U85" s="699"/>
      <c r="V85" s="699"/>
    </row>
    <row r="86" spans="1:22" ht="15.75">
      <c r="A86" s="1021"/>
      <c r="B86" s="274"/>
      <c r="C86" s="274"/>
      <c r="D86" s="274"/>
      <c r="E86" s="274"/>
      <c r="F86" s="274"/>
      <c r="G86" s="274"/>
      <c r="H86" s="274"/>
      <c r="I86" s="274"/>
      <c r="J86" s="699"/>
      <c r="K86" s="699"/>
      <c r="L86" s="699"/>
      <c r="M86" s="699"/>
      <c r="N86" s="699"/>
      <c r="O86" s="699"/>
      <c r="P86" s="699"/>
      <c r="Q86" s="699"/>
      <c r="R86" s="699"/>
      <c r="S86" s="699"/>
      <c r="T86" s="699"/>
      <c r="U86" s="699"/>
      <c r="V86" s="699"/>
    </row>
    <row r="87" spans="1:22" ht="15.75">
      <c r="A87" s="1021"/>
      <c r="B87" s="274"/>
      <c r="C87" s="274"/>
      <c r="D87" s="274"/>
      <c r="E87" s="274"/>
      <c r="F87" s="274"/>
      <c r="G87" s="274"/>
      <c r="H87" s="274"/>
      <c r="I87" s="274"/>
      <c r="J87" s="699"/>
      <c r="K87" s="699"/>
      <c r="L87" s="699"/>
      <c r="M87" s="699"/>
      <c r="N87" s="699"/>
      <c r="O87" s="699"/>
      <c r="P87" s="699"/>
      <c r="Q87" s="699"/>
      <c r="R87" s="699"/>
      <c r="S87" s="699"/>
      <c r="T87" s="699"/>
      <c r="U87" s="699"/>
      <c r="V87" s="699"/>
    </row>
    <row r="88" spans="1:22" ht="15.75">
      <c r="A88" s="1021"/>
      <c r="B88" s="274"/>
      <c r="C88" s="274"/>
      <c r="D88" s="274"/>
      <c r="E88" s="274"/>
      <c r="F88" s="274"/>
      <c r="G88" s="274"/>
      <c r="H88" s="274"/>
      <c r="I88" s="274"/>
      <c r="J88" s="699"/>
      <c r="K88" s="699"/>
      <c r="L88" s="699"/>
      <c r="M88" s="699"/>
      <c r="N88" s="699"/>
      <c r="O88" s="699"/>
      <c r="P88" s="699"/>
      <c r="Q88" s="699"/>
      <c r="R88" s="699"/>
      <c r="S88" s="699"/>
      <c r="T88" s="699"/>
      <c r="U88" s="699"/>
      <c r="V88" s="699"/>
    </row>
    <row r="89" spans="1:22" ht="15.75">
      <c r="A89" s="1021"/>
      <c r="B89" s="274"/>
      <c r="C89" s="274"/>
      <c r="D89" s="274"/>
      <c r="E89" s="274"/>
      <c r="F89" s="274"/>
      <c r="G89" s="274"/>
      <c r="H89" s="274"/>
      <c r="I89" s="274"/>
      <c r="J89" s="699"/>
      <c r="K89" s="699"/>
      <c r="L89" s="699"/>
      <c r="M89" s="699"/>
      <c r="N89" s="699"/>
      <c r="O89" s="699"/>
      <c r="P89" s="699"/>
      <c r="Q89" s="699"/>
      <c r="R89" s="699"/>
      <c r="S89" s="699"/>
      <c r="T89" s="699"/>
      <c r="U89" s="699"/>
      <c r="V89" s="699"/>
    </row>
    <row r="90" spans="1:22" ht="15.75">
      <c r="A90" s="1021"/>
      <c r="B90" s="274"/>
      <c r="C90" s="274"/>
      <c r="D90" s="274"/>
      <c r="E90" s="274"/>
      <c r="F90" s="274"/>
      <c r="G90" s="274"/>
      <c r="H90" s="274"/>
      <c r="I90" s="274"/>
      <c r="J90" s="699"/>
      <c r="K90" s="699"/>
      <c r="L90" s="699"/>
      <c r="M90" s="699"/>
      <c r="N90" s="699"/>
      <c r="O90" s="699"/>
      <c r="P90" s="699"/>
      <c r="Q90" s="699"/>
      <c r="R90" s="699"/>
      <c r="S90" s="699"/>
      <c r="T90" s="699"/>
      <c r="U90" s="699"/>
      <c r="V90" s="699"/>
    </row>
    <row r="91" spans="1:22" ht="15.75">
      <c r="A91" s="1021"/>
      <c r="B91" s="274"/>
      <c r="C91" s="274"/>
      <c r="D91" s="274"/>
      <c r="E91" s="274"/>
      <c r="F91" s="274"/>
      <c r="G91" s="274"/>
      <c r="H91" s="274"/>
      <c r="I91" s="274"/>
      <c r="J91" s="699"/>
      <c r="K91" s="699"/>
      <c r="L91" s="699"/>
      <c r="M91" s="699"/>
      <c r="N91" s="699"/>
      <c r="O91" s="699"/>
      <c r="P91" s="699"/>
      <c r="Q91" s="699"/>
      <c r="R91" s="699"/>
      <c r="S91" s="699"/>
      <c r="T91" s="699"/>
      <c r="U91" s="699"/>
      <c r="V91" s="699"/>
    </row>
    <row r="92" spans="1:22" ht="15.75">
      <c r="A92" s="1021"/>
      <c r="B92" s="274"/>
      <c r="C92" s="274"/>
      <c r="D92" s="274"/>
      <c r="E92" s="274"/>
      <c r="F92" s="274"/>
      <c r="G92" s="274"/>
      <c r="H92" s="274"/>
      <c r="I92" s="274"/>
      <c r="J92" s="699"/>
      <c r="K92" s="699"/>
      <c r="L92" s="699"/>
      <c r="M92" s="699"/>
      <c r="N92" s="699"/>
      <c r="O92" s="699"/>
      <c r="P92" s="699"/>
      <c r="Q92" s="699"/>
      <c r="R92" s="699"/>
      <c r="S92" s="699"/>
      <c r="T92" s="699"/>
      <c r="U92" s="699"/>
      <c r="V92" s="699"/>
    </row>
    <row r="93" spans="1:22" ht="15.75">
      <c r="A93" s="1021"/>
      <c r="B93" s="274"/>
      <c r="C93" s="274"/>
      <c r="D93" s="274"/>
      <c r="E93" s="274"/>
      <c r="F93" s="274"/>
      <c r="G93" s="274"/>
      <c r="H93" s="274"/>
      <c r="I93" s="274"/>
      <c r="J93" s="699"/>
      <c r="K93" s="699"/>
      <c r="L93" s="699"/>
      <c r="M93" s="699"/>
      <c r="N93" s="699"/>
      <c r="O93" s="699"/>
      <c r="P93" s="699"/>
      <c r="Q93" s="699"/>
      <c r="R93" s="699"/>
      <c r="S93" s="699"/>
      <c r="T93" s="699"/>
      <c r="U93" s="699"/>
      <c r="V93" s="699"/>
    </row>
    <row r="94" spans="1:22" ht="15.75">
      <c r="A94" s="1021"/>
      <c r="B94" s="274"/>
      <c r="C94" s="274"/>
      <c r="D94" s="274"/>
      <c r="E94" s="274"/>
      <c r="F94" s="274"/>
      <c r="G94" s="274"/>
      <c r="H94" s="274"/>
      <c r="I94" s="274"/>
      <c r="J94" s="699"/>
      <c r="K94" s="699"/>
      <c r="L94" s="699"/>
      <c r="M94" s="699"/>
      <c r="N94" s="699"/>
      <c r="O94" s="699"/>
      <c r="P94" s="699"/>
      <c r="Q94" s="699"/>
      <c r="R94" s="699"/>
      <c r="S94" s="699"/>
      <c r="T94" s="699"/>
      <c r="U94" s="699"/>
      <c r="V94" s="699"/>
    </row>
    <row r="95" spans="1:22" ht="15.75">
      <c r="A95" s="1021"/>
      <c r="B95" s="274"/>
      <c r="C95" s="274"/>
      <c r="D95" s="274"/>
      <c r="E95" s="274"/>
      <c r="F95" s="274"/>
      <c r="G95" s="274"/>
      <c r="H95" s="274"/>
      <c r="I95" s="274"/>
      <c r="J95" s="699"/>
      <c r="K95" s="699"/>
      <c r="L95" s="699"/>
      <c r="M95" s="699"/>
      <c r="N95" s="699"/>
      <c r="O95" s="699"/>
      <c r="P95" s="699"/>
      <c r="Q95" s="699"/>
      <c r="R95" s="699"/>
      <c r="S95" s="699"/>
      <c r="T95" s="699"/>
      <c r="U95" s="699"/>
      <c r="V95" s="699"/>
    </row>
    <row r="96" spans="1:22" ht="15.75">
      <c r="A96" s="1021"/>
      <c r="B96" s="274"/>
      <c r="C96" s="274"/>
      <c r="D96" s="274"/>
      <c r="E96" s="274"/>
      <c r="F96" s="274"/>
      <c r="G96" s="274"/>
      <c r="H96" s="274"/>
      <c r="I96" s="274"/>
      <c r="J96" s="699"/>
      <c r="K96" s="699"/>
      <c r="L96" s="699"/>
      <c r="M96" s="699"/>
      <c r="N96" s="699"/>
      <c r="O96" s="699"/>
      <c r="P96" s="699"/>
      <c r="Q96" s="699"/>
      <c r="R96" s="699"/>
      <c r="S96" s="699"/>
      <c r="T96" s="699"/>
      <c r="U96" s="699"/>
      <c r="V96" s="699"/>
    </row>
    <row r="97" spans="2:9" ht="15.75">
      <c r="B97" s="274"/>
      <c r="C97" s="274"/>
      <c r="D97" s="274"/>
      <c r="E97" s="274"/>
      <c r="F97" s="274"/>
      <c r="G97" s="274"/>
      <c r="H97" s="274"/>
      <c r="I97" s="274"/>
    </row>
    <row r="98" spans="2:9" ht="15.75">
      <c r="B98" s="274"/>
      <c r="C98" s="274"/>
      <c r="D98" s="274"/>
      <c r="E98" s="274"/>
      <c r="F98" s="274"/>
      <c r="G98" s="274"/>
      <c r="H98" s="274"/>
      <c r="I98" s="274"/>
    </row>
    <row r="99" spans="2:9" ht="15.75">
      <c r="B99" s="274"/>
      <c r="C99" s="274"/>
      <c r="D99" s="274"/>
      <c r="E99" s="274"/>
      <c r="F99" s="274"/>
      <c r="G99" s="274"/>
      <c r="H99" s="274"/>
      <c r="I99" s="274"/>
    </row>
    <row r="100" spans="2:9" ht="15.75">
      <c r="B100" s="274"/>
      <c r="C100" s="274"/>
      <c r="D100" s="274"/>
      <c r="E100" s="274"/>
      <c r="F100" s="274"/>
      <c r="G100" s="274"/>
      <c r="H100" s="274"/>
      <c r="I100" s="274"/>
    </row>
    <row r="101" spans="2:9" ht="15.75">
      <c r="B101" s="274"/>
      <c r="C101" s="274"/>
      <c r="D101" s="274"/>
      <c r="E101" s="274"/>
      <c r="F101" s="274"/>
      <c r="G101" s="274"/>
      <c r="H101" s="274"/>
      <c r="I101" s="274"/>
    </row>
    <row r="102" spans="2:9" ht="15.75">
      <c r="B102" s="274"/>
      <c r="C102" s="274"/>
      <c r="D102" s="274"/>
      <c r="E102" s="274"/>
      <c r="F102" s="274"/>
      <c r="G102" s="274"/>
      <c r="H102" s="274"/>
      <c r="I102" s="274"/>
    </row>
    <row r="103" spans="2:9" ht="15.75">
      <c r="B103" s="274"/>
      <c r="C103" s="274"/>
      <c r="D103" s="274"/>
      <c r="E103" s="274"/>
      <c r="F103" s="274"/>
      <c r="G103" s="274"/>
      <c r="H103" s="274"/>
      <c r="I103" s="274"/>
    </row>
    <row r="104" spans="2:9" ht="15.75">
      <c r="B104" s="274"/>
      <c r="C104" s="274"/>
      <c r="D104" s="274"/>
      <c r="E104" s="274"/>
      <c r="F104" s="274"/>
      <c r="G104" s="274"/>
      <c r="H104" s="274"/>
      <c r="I104" s="274"/>
    </row>
    <row r="105" spans="2:9" ht="15.75">
      <c r="B105" s="274"/>
      <c r="C105" s="274"/>
      <c r="D105" s="274"/>
      <c r="E105" s="274"/>
      <c r="F105" s="274"/>
      <c r="G105" s="274"/>
      <c r="H105" s="274"/>
      <c r="I105" s="274"/>
    </row>
    <row r="106" spans="2:9" ht="15.75">
      <c r="B106" s="274"/>
      <c r="C106" s="274"/>
      <c r="D106" s="274"/>
      <c r="E106" s="274"/>
      <c r="F106" s="274"/>
      <c r="G106" s="274"/>
      <c r="H106" s="274"/>
      <c r="I106" s="274"/>
    </row>
    <row r="107" spans="2:9" ht="15.75">
      <c r="B107" s="274"/>
      <c r="C107" s="274"/>
      <c r="D107" s="274"/>
      <c r="E107" s="274"/>
      <c r="F107" s="274"/>
      <c r="G107" s="274"/>
      <c r="H107" s="274"/>
      <c r="I107" s="274"/>
    </row>
    <row r="120" spans="14:22">
      <c r="N120" s="699"/>
      <c r="O120" s="699"/>
      <c r="P120" s="699"/>
      <c r="Q120" s="699"/>
      <c r="R120" s="699"/>
      <c r="S120" s="699"/>
      <c r="T120" s="699"/>
      <c r="U120" s="699"/>
      <c r="V120" s="1022"/>
    </row>
    <row r="121" spans="14:22">
      <c r="N121" s="1022"/>
      <c r="O121" s="1022"/>
      <c r="P121" s="1022"/>
      <c r="Q121" s="1022"/>
      <c r="R121" s="1022"/>
      <c r="S121" s="1022"/>
      <c r="T121" s="1022"/>
      <c r="U121" s="1022"/>
      <c r="V121" s="699"/>
    </row>
    <row r="135" spans="1:22" s="522" customFormat="1">
      <c r="A135" s="1023"/>
      <c r="B135" s="699"/>
      <c r="C135" s="699"/>
      <c r="D135" s="699"/>
      <c r="E135" s="699"/>
      <c r="F135" s="699"/>
      <c r="G135" s="699"/>
      <c r="H135" s="699"/>
      <c r="I135" s="699"/>
      <c r="J135" s="699"/>
      <c r="K135" s="699"/>
      <c r="L135" s="699"/>
      <c r="M135" s="699"/>
      <c r="N135" s="699"/>
      <c r="O135" s="699"/>
      <c r="P135" s="699"/>
      <c r="Q135" s="699"/>
      <c r="R135" s="699"/>
      <c r="S135" s="699"/>
      <c r="T135" s="699"/>
      <c r="U135" s="699"/>
      <c r="V135" s="699"/>
    </row>
  </sheetData>
  <mergeCells count="11">
    <mergeCell ref="Q32:U32"/>
    <mergeCell ref="G4:I4"/>
    <mergeCell ref="E12:E13"/>
    <mergeCell ref="G12:I12"/>
    <mergeCell ref="Q4:U4"/>
    <mergeCell ref="Q18:U18"/>
    <mergeCell ref="B45:B46"/>
    <mergeCell ref="G45:I45"/>
    <mergeCell ref="G52:I52"/>
    <mergeCell ref="G34:I34"/>
    <mergeCell ref="B12:B13"/>
  </mergeCells>
  <pageMargins left="0.7" right="0.7" top="0.75" bottom="0.75" header="0.3" footer="0.3"/>
  <pageSetup paperSize="3" scale="41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C8F85A-036A-4016-B826-8E7D3D8823FF}">
  <dimension ref="A1:AB59"/>
  <sheetViews>
    <sheetView zoomScale="40" zoomScaleNormal="40" workbookViewId="0">
      <selection activeCell="J46" sqref="J46"/>
    </sheetView>
  </sheetViews>
  <sheetFormatPr defaultColWidth="8.85546875" defaultRowHeight="15"/>
  <cols>
    <col min="1" max="1" width="51.140625" customWidth="1"/>
    <col min="2" max="2" width="16.85546875" customWidth="1"/>
    <col min="3" max="3" width="19.42578125" customWidth="1"/>
    <col min="4" max="4" width="18.42578125" customWidth="1"/>
    <col min="5" max="5" width="17.42578125" customWidth="1"/>
    <col min="6" max="6" width="15.42578125" customWidth="1"/>
    <col min="8" max="8" width="16.42578125" customWidth="1"/>
    <col min="9" max="9" width="9.140625" customWidth="1"/>
    <col min="10" max="10" width="28.28515625" customWidth="1"/>
    <col min="11" max="11" width="9.85546875" bestFit="1" customWidth="1"/>
    <col min="12" max="12" width="19.42578125" customWidth="1"/>
    <col min="13" max="19" width="16.140625" bestFit="1" customWidth="1"/>
    <col min="23" max="23" width="9.85546875" bestFit="1" customWidth="1"/>
    <col min="24" max="31" width="16.140625" bestFit="1" customWidth="1"/>
  </cols>
  <sheetData>
    <row r="1" spans="1:28" ht="15.75">
      <c r="A1" s="1116" t="s">
        <v>318</v>
      </c>
      <c r="B1" s="1116"/>
      <c r="C1" s="1116"/>
      <c r="D1" s="1116"/>
      <c r="E1" s="1116"/>
    </row>
    <row r="2" spans="1:28" ht="16.5" thickBot="1">
      <c r="A2" s="1024"/>
      <c r="B2" s="349" t="s">
        <v>319</v>
      </c>
      <c r="C2" s="349" t="s">
        <v>255</v>
      </c>
      <c r="D2" s="349" t="s">
        <v>256</v>
      </c>
      <c r="E2" s="349" t="s">
        <v>257</v>
      </c>
      <c r="H2" s="468" t="s">
        <v>320</v>
      </c>
      <c r="I2" s="540"/>
      <c r="J2" s="540"/>
      <c r="K2" s="540"/>
      <c r="L2" s="540"/>
      <c r="M2" s="541" t="s">
        <v>219</v>
      </c>
      <c r="N2" s="541" t="s">
        <v>255</v>
      </c>
      <c r="O2" s="541" t="s">
        <v>256</v>
      </c>
      <c r="P2" s="541" t="s">
        <v>257</v>
      </c>
      <c r="Q2" s="5"/>
      <c r="R2" s="5"/>
      <c r="S2" s="5"/>
      <c r="T2" s="468" t="s">
        <v>321</v>
      </c>
      <c r="U2" s="540"/>
      <c r="V2" s="540"/>
      <c r="W2" s="540"/>
      <c r="X2" s="540"/>
      <c r="Y2" s="468" t="s">
        <v>258</v>
      </c>
      <c r="Z2" s="541" t="s">
        <v>255</v>
      </c>
      <c r="AA2" s="541" t="s">
        <v>256</v>
      </c>
      <c r="AB2" s="541" t="s">
        <v>257</v>
      </c>
    </row>
    <row r="3" spans="1:28" ht="15.75">
      <c r="A3" s="1025" t="s">
        <v>322</v>
      </c>
      <c r="B3" s="1026">
        <v>79487.399999999994</v>
      </c>
      <c r="C3" s="1026">
        <v>51624</v>
      </c>
      <c r="D3" s="1026">
        <v>7615.4000000000005</v>
      </c>
      <c r="E3" s="1026">
        <v>20248</v>
      </c>
      <c r="H3" s="699" t="s">
        <v>323</v>
      </c>
      <c r="I3" s="699"/>
      <c r="J3" s="103"/>
      <c r="K3" s="699"/>
      <c r="L3" s="134">
        <v>210.21725642105613</v>
      </c>
      <c r="M3" s="94">
        <v>605633182.92472923</v>
      </c>
      <c r="N3" s="83">
        <v>163435078.69527912</v>
      </c>
      <c r="O3" s="83">
        <v>256634478.98128277</v>
      </c>
      <c r="P3" s="83">
        <v>185563625.24816731</v>
      </c>
      <c r="Q3" s="5"/>
      <c r="R3" s="5"/>
      <c r="S3" s="5"/>
      <c r="T3" s="699" t="s">
        <v>324</v>
      </c>
      <c r="U3" s="699"/>
      <c r="V3" s="103"/>
      <c r="W3" s="699"/>
      <c r="X3" s="134">
        <v>261.07334767274529</v>
      </c>
      <c r="Y3" s="94">
        <v>752148920.69165945</v>
      </c>
      <c r="Z3" s="83">
        <v>232236077.19224322</v>
      </c>
      <c r="AA3" s="83">
        <v>327967429.34486657</v>
      </c>
      <c r="AB3" s="83">
        <v>191945414.15454957</v>
      </c>
    </row>
    <row r="4" spans="1:28" ht="15.75">
      <c r="A4" s="1025" t="s">
        <v>325</v>
      </c>
      <c r="B4" s="1026">
        <v>317949.59999999998</v>
      </c>
      <c r="C4" s="1026">
        <v>206496</v>
      </c>
      <c r="D4" s="1026">
        <v>30461.600000000002</v>
      </c>
      <c r="E4" s="1026">
        <v>80992</v>
      </c>
      <c r="H4" s="699" t="s">
        <v>326</v>
      </c>
      <c r="I4" s="699"/>
      <c r="J4" s="103"/>
      <c r="K4" s="699"/>
      <c r="L4" s="134">
        <v>10.350312037354595</v>
      </c>
      <c r="M4" s="94">
        <v>29819114.425562102</v>
      </c>
      <c r="N4" s="86">
        <v>9795956.3485185504</v>
      </c>
      <c r="O4" s="86">
        <v>14418952.055272354</v>
      </c>
      <c r="P4" s="86">
        <v>5604206.0217711963</v>
      </c>
      <c r="Q4" s="5"/>
      <c r="R4" s="5"/>
      <c r="S4" s="5"/>
      <c r="T4" s="699" t="s">
        <v>327</v>
      </c>
      <c r="U4" s="699"/>
      <c r="V4" s="103"/>
      <c r="W4" s="699"/>
      <c r="X4" s="134">
        <v>20.526092897349063</v>
      </c>
      <c r="Y4" s="94">
        <v>59135406.798054986</v>
      </c>
      <c r="Z4" s="83">
        <v>0</v>
      </c>
      <c r="AA4" s="83">
        <v>0</v>
      </c>
      <c r="AB4" s="83">
        <v>59135406.798054986</v>
      </c>
    </row>
    <row r="5" spans="1:28" ht="15.75">
      <c r="A5" s="1025" t="s">
        <v>328</v>
      </c>
      <c r="B5" s="1026">
        <v>34830</v>
      </c>
      <c r="C5" s="1026">
        <v>18000</v>
      </c>
      <c r="D5" s="1026">
        <v>16830</v>
      </c>
      <c r="E5" s="1026">
        <v>0</v>
      </c>
      <c r="H5" s="699" t="s">
        <v>329</v>
      </c>
      <c r="I5" s="699"/>
      <c r="J5" s="103"/>
      <c r="K5" s="699"/>
      <c r="L5" s="134">
        <v>11.848910438433965</v>
      </c>
      <c r="M5" s="94">
        <v>34136556.937292553</v>
      </c>
      <c r="N5" s="83">
        <v>21576525.137528516</v>
      </c>
      <c r="O5" s="83">
        <v>6548597.64178068</v>
      </c>
      <c r="P5" s="83">
        <v>6011434.1579833571</v>
      </c>
      <c r="Q5" s="5"/>
      <c r="R5" s="5"/>
      <c r="S5" s="5"/>
      <c r="T5" s="699" t="s">
        <v>326</v>
      </c>
      <c r="U5" s="699"/>
      <c r="V5" s="103"/>
      <c r="W5" s="699"/>
      <c r="X5" s="134">
        <v>10.350312037354595</v>
      </c>
      <c r="Y5" s="94">
        <v>29819114.425562102</v>
      </c>
      <c r="Z5" s="83">
        <v>9795956.3485185504</v>
      </c>
      <c r="AA5" s="83">
        <v>14418952.055272354</v>
      </c>
      <c r="AB5" s="83">
        <v>5604206.0217711963</v>
      </c>
    </row>
    <row r="6" spans="1:28" ht="15.75">
      <c r="A6" s="1025" t="s">
        <v>330</v>
      </c>
      <c r="B6" s="1026">
        <v>139320</v>
      </c>
      <c r="C6" s="1026">
        <v>72000</v>
      </c>
      <c r="D6" s="1026">
        <v>67320</v>
      </c>
      <c r="E6" s="1026">
        <v>0</v>
      </c>
      <c r="H6" s="699" t="s">
        <v>331</v>
      </c>
      <c r="I6" s="699"/>
      <c r="J6" s="103"/>
      <c r="K6" s="699"/>
      <c r="L6" s="134">
        <v>2.6791007523644099</v>
      </c>
      <c r="M6" s="94">
        <v>7718454.4392520841</v>
      </c>
      <c r="N6" s="83">
        <v>5089500</v>
      </c>
      <c r="O6" s="83">
        <v>2628954.4392520837</v>
      </c>
      <c r="P6" s="83">
        <v>0</v>
      </c>
      <c r="Q6" s="5"/>
      <c r="R6" s="5"/>
      <c r="S6" s="5"/>
      <c r="T6" s="699" t="s">
        <v>332</v>
      </c>
      <c r="U6" s="699"/>
      <c r="V6" s="103"/>
      <c r="W6" s="699"/>
      <c r="X6" s="134">
        <v>11.848910438433965</v>
      </c>
      <c r="Y6" s="94">
        <v>34136556.937292553</v>
      </c>
      <c r="Z6" s="83">
        <v>21576525.137528516</v>
      </c>
      <c r="AA6" s="83">
        <v>6548597.64178068</v>
      </c>
      <c r="AB6" s="83">
        <v>6011434.1579833571</v>
      </c>
    </row>
    <row r="7" spans="1:28" ht="15.75">
      <c r="A7" s="1025" t="s">
        <v>333</v>
      </c>
      <c r="B7" s="1026">
        <v>22236</v>
      </c>
      <c r="C7" s="1026">
        <v>22236</v>
      </c>
      <c r="D7" s="1026">
        <v>0</v>
      </c>
      <c r="E7" s="1026">
        <v>0</v>
      </c>
      <c r="H7" s="699" t="s">
        <v>334</v>
      </c>
      <c r="I7" s="699"/>
      <c r="J7" s="103"/>
      <c r="K7" s="699"/>
      <c r="L7" s="134">
        <v>115.26651438588445</v>
      </c>
      <c r="M7" s="94">
        <v>332081329.48104608</v>
      </c>
      <c r="N7" s="83">
        <v>72494737.644139022</v>
      </c>
      <c r="O7" s="83">
        <v>147493148.51788342</v>
      </c>
      <c r="P7" s="83">
        <v>112093443.31902364</v>
      </c>
      <c r="Q7" s="5"/>
      <c r="R7" s="5"/>
      <c r="S7" s="5"/>
      <c r="T7" s="699" t="s">
        <v>331</v>
      </c>
      <c r="U7" s="699"/>
      <c r="V7" s="103"/>
      <c r="W7" s="699"/>
      <c r="X7" s="134">
        <v>2.6791007523644099</v>
      </c>
      <c r="Y7" s="94">
        <v>7718454.4392520841</v>
      </c>
      <c r="Z7" s="83">
        <v>5089500</v>
      </c>
      <c r="AA7" s="83">
        <v>2628954.4392520837</v>
      </c>
      <c r="AB7" s="83">
        <v>0</v>
      </c>
    </row>
    <row r="8" spans="1:28" ht="15.75">
      <c r="A8" s="1025" t="s">
        <v>335</v>
      </c>
      <c r="B8" s="1026">
        <v>88944</v>
      </c>
      <c r="C8" s="1026">
        <v>88944</v>
      </c>
      <c r="D8" s="1026">
        <v>0</v>
      </c>
      <c r="E8" s="1026">
        <v>0</v>
      </c>
      <c r="H8" s="65" t="s">
        <v>336</v>
      </c>
      <c r="I8" s="65"/>
      <c r="J8" s="65"/>
      <c r="K8" s="65"/>
      <c r="L8" s="66">
        <v>350.36209403509361</v>
      </c>
      <c r="M8" s="62">
        <v>1009388638.2078822</v>
      </c>
      <c r="N8" s="62">
        <v>272391797.8254652</v>
      </c>
      <c r="O8" s="62">
        <v>427724131.63547128</v>
      </c>
      <c r="P8" s="62">
        <v>309272708.7469455</v>
      </c>
      <c r="Q8" s="5"/>
      <c r="R8" s="5"/>
      <c r="S8" s="5"/>
      <c r="T8" s="699" t="s">
        <v>334</v>
      </c>
      <c r="U8" s="699"/>
      <c r="V8" s="73"/>
      <c r="W8" s="699"/>
      <c r="X8" s="134">
        <v>43.884330236846246</v>
      </c>
      <c r="Y8" s="94">
        <v>126430184.91606095</v>
      </c>
      <c r="Z8" s="83">
        <v>3693739.1471749544</v>
      </c>
      <c r="AA8" s="83">
        <v>76160198.154299617</v>
      </c>
      <c r="AB8" s="83">
        <v>46576247.614586383</v>
      </c>
    </row>
    <row r="9" spans="1:28" ht="15.75">
      <c r="A9" s="1025" t="s">
        <v>337</v>
      </c>
      <c r="B9" s="1026">
        <v>15040</v>
      </c>
      <c r="C9" s="1026">
        <v>6400</v>
      </c>
      <c r="D9" s="1026">
        <v>8640</v>
      </c>
      <c r="E9" s="1026">
        <v>0</v>
      </c>
      <c r="H9" s="67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65" t="s">
        <v>336</v>
      </c>
      <c r="U9" s="65"/>
      <c r="V9" s="65"/>
      <c r="W9" s="65"/>
      <c r="X9" s="64">
        <v>350.36209403509355</v>
      </c>
      <c r="Y9" s="62">
        <v>1009388638.207882</v>
      </c>
      <c r="Z9" s="62">
        <v>272391797.8254652</v>
      </c>
      <c r="AA9" s="62">
        <v>427724131.63547128</v>
      </c>
      <c r="AB9" s="62">
        <v>309272708.7469455</v>
      </c>
    </row>
    <row r="10" spans="1:28" ht="15.75">
      <c r="A10" s="1025" t="s">
        <v>338</v>
      </c>
      <c r="B10" s="1026">
        <v>60160</v>
      </c>
      <c r="C10" s="1026">
        <v>25600</v>
      </c>
      <c r="D10" s="1026">
        <v>34560</v>
      </c>
      <c r="E10" s="1026">
        <v>0</v>
      </c>
      <c r="H10" s="468" t="s">
        <v>339</v>
      </c>
      <c r="I10" s="540"/>
      <c r="J10" s="540"/>
      <c r="K10" s="540"/>
      <c r="L10" s="540"/>
      <c r="M10" s="541" t="s">
        <v>219</v>
      </c>
      <c r="N10" s="541" t="s">
        <v>255</v>
      </c>
      <c r="O10" s="541" t="s">
        <v>256</v>
      </c>
      <c r="P10" s="541" t="s">
        <v>257</v>
      </c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</row>
    <row r="11" spans="1:28" ht="15.75">
      <c r="A11" s="1025" t="s">
        <v>340</v>
      </c>
      <c r="B11" s="1026">
        <v>25536</v>
      </c>
      <c r="C11" s="1026">
        <v>10896</v>
      </c>
      <c r="D11" s="1026">
        <v>0</v>
      </c>
      <c r="E11" s="1026">
        <v>14640</v>
      </c>
      <c r="H11" s="699" t="s">
        <v>341</v>
      </c>
      <c r="I11" s="699"/>
      <c r="J11" s="103"/>
      <c r="K11" s="699"/>
      <c r="L11" s="134">
        <v>0.79013877813402145</v>
      </c>
      <c r="M11" s="94">
        <v>2276379.548</v>
      </c>
      <c r="N11" s="83">
        <v>285213.54800000001</v>
      </c>
      <c r="O11" s="83">
        <v>520950</v>
      </c>
      <c r="P11" s="83">
        <v>1470216</v>
      </c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</row>
    <row r="12" spans="1:28" ht="15.75">
      <c r="A12" s="1025" t="s">
        <v>342</v>
      </c>
      <c r="B12" s="1026">
        <v>102144</v>
      </c>
      <c r="C12" s="1026">
        <v>43584</v>
      </c>
      <c r="D12" s="1026">
        <v>0</v>
      </c>
      <c r="E12" s="1026">
        <v>58560</v>
      </c>
      <c r="H12" s="699" t="s">
        <v>236</v>
      </c>
      <c r="I12" s="699"/>
      <c r="J12" s="103"/>
      <c r="K12" s="699"/>
      <c r="L12" s="134">
        <v>8.3505707245468308</v>
      </c>
      <c r="M12" s="94">
        <v>24057885.699999999</v>
      </c>
      <c r="N12" s="83">
        <v>14247449.1</v>
      </c>
      <c r="O12" s="83">
        <v>7047812.3000000007</v>
      </c>
      <c r="P12" s="83">
        <v>2762624.3</v>
      </c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</row>
    <row r="13" spans="1:28" ht="15.75">
      <c r="A13" s="1025" t="s">
        <v>343</v>
      </c>
      <c r="B13" s="1026">
        <v>1144615</v>
      </c>
      <c r="C13" s="1026">
        <v>164420</v>
      </c>
      <c r="D13" s="1026">
        <v>817285</v>
      </c>
      <c r="E13" s="1026">
        <v>162910</v>
      </c>
      <c r="H13" s="699" t="s">
        <v>344</v>
      </c>
      <c r="I13" s="699"/>
      <c r="J13" s="103"/>
      <c r="K13" s="699"/>
      <c r="L13" s="134">
        <v>266.12363321340644</v>
      </c>
      <c r="M13" s="94">
        <v>766698727.68059218</v>
      </c>
      <c r="N13" s="83">
        <v>202479700.46717101</v>
      </c>
      <c r="O13" s="83">
        <v>306451524.36255479</v>
      </c>
      <c r="P13" s="83">
        <v>257767502.85086638</v>
      </c>
      <c r="Q13" s="5"/>
      <c r="R13" s="5"/>
      <c r="S13" s="5"/>
      <c r="T13" s="49"/>
      <c r="U13" s="49"/>
      <c r="V13" s="49"/>
      <c r="W13" s="49"/>
      <c r="X13" s="49"/>
      <c r="Y13" s="49"/>
      <c r="Z13" s="49"/>
      <c r="AA13" s="49"/>
      <c r="AB13" s="49"/>
    </row>
    <row r="14" spans="1:28" ht="15.75">
      <c r="A14" s="1025" t="s">
        <v>160</v>
      </c>
      <c r="B14" s="1026">
        <v>171224</v>
      </c>
      <c r="C14" s="1026">
        <v>61203</v>
      </c>
      <c r="D14" s="1026">
        <v>68798</v>
      </c>
      <c r="E14" s="1026">
        <v>41223</v>
      </c>
      <c r="H14" s="699" t="s">
        <v>345</v>
      </c>
      <c r="I14" s="699"/>
      <c r="J14" s="103"/>
      <c r="K14" s="699"/>
      <c r="L14" s="134">
        <v>19.673755240918901</v>
      </c>
      <c r="M14" s="94">
        <v>56679833.090269223</v>
      </c>
      <c r="N14" s="83">
        <v>21217948.289778624</v>
      </c>
      <c r="O14" s="83">
        <v>23476397.022659916</v>
      </c>
      <c r="P14" s="83">
        <v>11985487.777830686</v>
      </c>
      <c r="Q14" s="5"/>
      <c r="R14" s="5"/>
      <c r="S14" s="5"/>
      <c r="T14" s="468" t="s">
        <v>346</v>
      </c>
      <c r="U14" s="540"/>
      <c r="V14" s="540"/>
      <c r="W14" s="540"/>
      <c r="X14" s="540"/>
      <c r="Y14" s="468" t="s">
        <v>219</v>
      </c>
      <c r="Z14" s="541" t="s">
        <v>255</v>
      </c>
      <c r="AA14" s="541" t="s">
        <v>256</v>
      </c>
      <c r="AB14" s="541" t="s">
        <v>257</v>
      </c>
    </row>
    <row r="15" spans="1:28" ht="15.75">
      <c r="A15" s="1025" t="s">
        <v>162</v>
      </c>
      <c r="B15" s="1026">
        <v>138000</v>
      </c>
      <c r="C15" s="1026">
        <v>0</v>
      </c>
      <c r="D15" s="1026">
        <v>0</v>
      </c>
      <c r="E15" s="1026">
        <v>138000</v>
      </c>
      <c r="H15" s="699" t="s">
        <v>347</v>
      </c>
      <c r="I15" s="699"/>
      <c r="J15" s="103"/>
      <c r="K15" s="699"/>
      <c r="L15" s="134">
        <v>16.387312953820487</v>
      </c>
      <c r="M15" s="94">
        <v>47211635.584888421</v>
      </c>
      <c r="N15" s="83">
        <v>12845388.283057047</v>
      </c>
      <c r="O15" s="83">
        <v>20112723.046912555</v>
      </c>
      <c r="P15" s="83">
        <v>14253524.254918823</v>
      </c>
      <c r="Q15" s="5"/>
      <c r="R15" s="5"/>
      <c r="S15" s="5"/>
      <c r="T15" s="699" t="s">
        <v>341</v>
      </c>
      <c r="U15" s="699"/>
      <c r="V15" s="103"/>
      <c r="W15" s="699"/>
      <c r="X15" s="134">
        <v>0.79013877813402145</v>
      </c>
      <c r="Y15" s="94">
        <v>2276379.548</v>
      </c>
      <c r="Z15" s="83">
        <v>285213.54800000001</v>
      </c>
      <c r="AA15" s="83">
        <v>520950</v>
      </c>
      <c r="AB15" s="83">
        <v>1470216</v>
      </c>
    </row>
    <row r="16" spans="1:28" ht="15.75">
      <c r="A16" s="1025" t="s">
        <v>180</v>
      </c>
      <c r="B16" s="1026">
        <v>68187</v>
      </c>
      <c r="C16" s="1026">
        <v>0</v>
      </c>
      <c r="D16" s="1026">
        <v>0</v>
      </c>
      <c r="E16" s="1026">
        <v>68187</v>
      </c>
      <c r="H16" s="699" t="s">
        <v>348</v>
      </c>
      <c r="I16" s="699"/>
      <c r="J16" s="103"/>
      <c r="K16" s="699"/>
      <c r="L16" s="134">
        <v>28.854975689598117</v>
      </c>
      <c r="M16" s="94">
        <v>83130809.847048208</v>
      </c>
      <c r="N16" s="83">
        <v>13390663.643940112</v>
      </c>
      <c r="O16" s="83">
        <v>57671913.7877478</v>
      </c>
      <c r="P16" s="83">
        <v>12068232.415360307</v>
      </c>
      <c r="Q16" s="5"/>
      <c r="R16" s="5"/>
      <c r="S16" s="5"/>
      <c r="T16" s="699" t="s">
        <v>236</v>
      </c>
      <c r="U16" s="699"/>
      <c r="V16" s="103"/>
      <c r="W16" s="699"/>
      <c r="X16" s="134">
        <v>8.3505707245468308</v>
      </c>
      <c r="Y16" s="94">
        <v>24057885.699999999</v>
      </c>
      <c r="Z16" s="83">
        <v>14247449.1</v>
      </c>
      <c r="AA16" s="83">
        <v>7047812.3000000007</v>
      </c>
      <c r="AB16" s="83">
        <v>2762624.3</v>
      </c>
    </row>
    <row r="17" spans="1:28" ht="15.75">
      <c r="A17" s="1025" t="s">
        <v>161</v>
      </c>
      <c r="B17" s="1026">
        <v>193482</v>
      </c>
      <c r="C17" s="1026">
        <v>161507</v>
      </c>
      <c r="D17" s="1026">
        <v>31975</v>
      </c>
      <c r="E17" s="1026">
        <v>0</v>
      </c>
      <c r="H17" s="699" t="s">
        <v>349</v>
      </c>
      <c r="I17" s="699"/>
      <c r="J17" s="73"/>
      <c r="K17" s="699"/>
      <c r="L17" s="134">
        <v>10.181707434668722</v>
      </c>
      <c r="M17" s="94">
        <v>29333366.757083938</v>
      </c>
      <c r="N17" s="83">
        <v>7925434.4935184028</v>
      </c>
      <c r="O17" s="83">
        <v>12442811.115596252</v>
      </c>
      <c r="P17" s="83">
        <v>8965121.147969285</v>
      </c>
      <c r="Q17" s="5"/>
      <c r="R17" s="5"/>
      <c r="S17" s="5"/>
      <c r="T17" s="699" t="s">
        <v>344</v>
      </c>
      <c r="U17" s="699"/>
      <c r="V17" s="103"/>
      <c r="W17" s="699"/>
      <c r="X17" s="134">
        <v>266.12363321340644</v>
      </c>
      <c r="Y17" s="94">
        <v>766698727.68059218</v>
      </c>
      <c r="Z17" s="83">
        <v>202479700.46717101</v>
      </c>
      <c r="AA17" s="83">
        <v>306451524.36255479</v>
      </c>
      <c r="AB17" s="83">
        <v>257767502.85086638</v>
      </c>
    </row>
    <row r="18" spans="1:28" ht="15.75">
      <c r="A18" s="1025" t="s">
        <v>350</v>
      </c>
      <c r="B18" s="1026">
        <v>279832</v>
      </c>
      <c r="C18" s="1026">
        <v>145580</v>
      </c>
      <c r="D18" s="1026">
        <v>109800</v>
      </c>
      <c r="E18" s="1026">
        <v>24452</v>
      </c>
      <c r="H18" s="65" t="s">
        <v>305</v>
      </c>
      <c r="I18" s="65"/>
      <c r="J18" s="65"/>
      <c r="K18" s="65"/>
      <c r="L18" s="66">
        <v>350.36209403509349</v>
      </c>
      <c r="M18" s="62">
        <v>1009388638.2078819</v>
      </c>
      <c r="N18" s="62">
        <v>272391797.8254652</v>
      </c>
      <c r="O18" s="62">
        <v>427724131.63547128</v>
      </c>
      <c r="P18" s="62">
        <v>309272708.7469455</v>
      </c>
      <c r="Q18" s="5"/>
      <c r="R18" s="5"/>
      <c r="S18" s="5"/>
      <c r="T18" s="699" t="s">
        <v>345</v>
      </c>
      <c r="U18" s="699"/>
      <c r="V18" s="103"/>
      <c r="W18" s="699"/>
      <c r="X18" s="134">
        <v>19.673755240918901</v>
      </c>
      <c r="Y18" s="94">
        <v>56679833.090269223</v>
      </c>
      <c r="Z18" s="83">
        <v>21217948.289778624</v>
      </c>
      <c r="AA18" s="83">
        <v>23476397.022659916</v>
      </c>
      <c r="AB18" s="83">
        <v>11985487.777830686</v>
      </c>
    </row>
    <row r="19" spans="1:28" ht="15.75">
      <c r="A19" s="1025" t="s">
        <v>182</v>
      </c>
      <c r="B19" s="1026">
        <v>0</v>
      </c>
      <c r="C19" s="1026">
        <v>0</v>
      </c>
      <c r="D19" s="1026">
        <v>0</v>
      </c>
      <c r="E19" s="1026">
        <v>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699" t="s">
        <v>347</v>
      </c>
      <c r="U19" s="699"/>
      <c r="V19" s="103"/>
      <c r="W19" s="699"/>
      <c r="X19" s="134">
        <v>16.387312953820487</v>
      </c>
      <c r="Y19" s="94">
        <v>47211635.584888421</v>
      </c>
      <c r="Z19" s="83">
        <v>12845388.283057047</v>
      </c>
      <c r="AA19" s="83">
        <v>20112723.046912555</v>
      </c>
      <c r="AB19" s="83">
        <v>14253524.254918823</v>
      </c>
    </row>
    <row r="20" spans="1:28" ht="15.75">
      <c r="A20" s="647" t="s">
        <v>351</v>
      </c>
      <c r="B20" s="648">
        <v>2880987</v>
      </c>
      <c r="C20" s="649">
        <v>1078490</v>
      </c>
      <c r="D20" s="649">
        <v>1193285</v>
      </c>
      <c r="E20" s="649">
        <v>609212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699" t="s">
        <v>348</v>
      </c>
      <c r="U20" s="699"/>
      <c r="V20" s="103"/>
      <c r="W20" s="699"/>
      <c r="X20" s="134">
        <v>28.854975689598117</v>
      </c>
      <c r="Y20" s="94">
        <v>83130809.847048208</v>
      </c>
      <c r="Z20" s="83">
        <v>13390663.643940112</v>
      </c>
      <c r="AA20" s="83">
        <v>57671913.7877478</v>
      </c>
      <c r="AB20" s="83">
        <v>12068232.415360307</v>
      </c>
    </row>
    <row r="21" spans="1:28" ht="15.75"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699" t="s">
        <v>349</v>
      </c>
      <c r="U21" s="699"/>
      <c r="V21" s="73"/>
      <c r="W21" s="699"/>
      <c r="X21" s="134">
        <v>10.181707434668722</v>
      </c>
      <c r="Y21" s="94">
        <v>29333366.757083938</v>
      </c>
      <c r="Z21" s="83">
        <v>7925434.4935184028</v>
      </c>
      <c r="AA21" s="83">
        <v>12442811.115596252</v>
      </c>
      <c r="AB21" s="83">
        <v>8965121.147969285</v>
      </c>
    </row>
    <row r="22" spans="1:28" ht="15.75"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65" t="s">
        <v>305</v>
      </c>
      <c r="U22" s="65"/>
      <c r="V22" s="65"/>
      <c r="W22" s="65"/>
      <c r="X22" s="64">
        <v>350.36209403509355</v>
      </c>
      <c r="Y22" s="62">
        <v>1009388638.207882</v>
      </c>
      <c r="Z22" s="62">
        <v>272391797.8254652</v>
      </c>
      <c r="AA22" s="62">
        <v>427724131.63547128</v>
      </c>
      <c r="AB22" s="62">
        <v>309272708.7469455</v>
      </c>
    </row>
    <row r="24" spans="1:28">
      <c r="A24" s="1117" t="s">
        <v>318</v>
      </c>
      <c r="B24" s="1117"/>
      <c r="C24" s="1117"/>
      <c r="D24" s="1117"/>
      <c r="E24" s="1117"/>
    </row>
    <row r="25" spans="1:28">
      <c r="A25" s="340" t="s">
        <v>352</v>
      </c>
      <c r="B25" s="343" t="s">
        <v>353</v>
      </c>
      <c r="C25" s="343" t="s">
        <v>354</v>
      </c>
      <c r="D25" s="343" t="s">
        <v>175</v>
      </c>
      <c r="E25" s="343" t="s">
        <v>176</v>
      </c>
    </row>
    <row r="26" spans="1:28">
      <c r="A26" s="341" t="s">
        <v>276</v>
      </c>
      <c r="B26" s="341">
        <f>+SUM(B3,B5,B7,B11)</f>
        <v>162089.4</v>
      </c>
      <c r="C26" s="341">
        <f t="shared" ref="C26:E26" si="0">+SUM(C3,C5,C7,C9,C11)</f>
        <v>109156</v>
      </c>
      <c r="D26" s="341">
        <f t="shared" si="0"/>
        <v>33085.4</v>
      </c>
      <c r="E26" s="341">
        <f t="shared" si="0"/>
        <v>34888</v>
      </c>
    </row>
    <row r="27" spans="1:28">
      <c r="A27" s="341" t="s">
        <v>355</v>
      </c>
      <c r="B27" s="341">
        <f>+SUM(B4,B6,B8,B12)</f>
        <v>648357.6</v>
      </c>
      <c r="C27" s="341">
        <f t="shared" ref="C27:E27" si="1">+SUM(C4,C6,C8,C10,C12)</f>
        <v>436624</v>
      </c>
      <c r="D27" s="341">
        <f t="shared" si="1"/>
        <v>132341.6</v>
      </c>
      <c r="E27" s="341">
        <f t="shared" si="1"/>
        <v>139552</v>
      </c>
    </row>
    <row r="28" spans="1:28" ht="15.75">
      <c r="A28" s="341" t="s">
        <v>337</v>
      </c>
      <c r="B28" s="341">
        <f>+SUM(B9)</f>
        <v>15040</v>
      </c>
      <c r="C28" s="341">
        <f t="shared" ref="C28:E28" si="2">+SUM(C9)</f>
        <v>6400</v>
      </c>
      <c r="D28" s="341">
        <f t="shared" si="2"/>
        <v>8640</v>
      </c>
      <c r="E28" s="341">
        <f t="shared" si="2"/>
        <v>0</v>
      </c>
      <c r="I28" s="468" t="s">
        <v>356</v>
      </c>
      <c r="J28" s="468"/>
      <c r="K28" s="541" t="s">
        <v>357</v>
      </c>
      <c r="L28" s="541" t="s">
        <v>258</v>
      </c>
      <c r="M28" s="541" t="s">
        <v>255</v>
      </c>
      <c r="N28" s="541" t="s">
        <v>256</v>
      </c>
      <c r="O28" s="541" t="s">
        <v>257</v>
      </c>
    </row>
    <row r="29" spans="1:28" ht="15.75">
      <c r="A29" s="341" t="s">
        <v>338</v>
      </c>
      <c r="B29" s="341">
        <f>+SUM(B10)</f>
        <v>60160</v>
      </c>
      <c r="C29" s="341">
        <f t="shared" ref="C29:E29" si="3">+SUM(C10)</f>
        <v>25600</v>
      </c>
      <c r="D29" s="341">
        <f t="shared" si="3"/>
        <v>34560</v>
      </c>
      <c r="E29" s="341">
        <f t="shared" si="3"/>
        <v>0</v>
      </c>
      <c r="I29" s="699" t="s">
        <v>358</v>
      </c>
      <c r="J29" s="699"/>
      <c r="K29" s="1027">
        <v>0.79013877813402145</v>
      </c>
      <c r="L29" s="1028">
        <v>2276379.548</v>
      </c>
      <c r="M29" s="1028">
        <v>285213.54800000001</v>
      </c>
      <c r="N29" s="1028">
        <v>520950</v>
      </c>
      <c r="O29" s="1028">
        <v>1470216</v>
      </c>
    </row>
    <row r="30" spans="1:28" ht="15.75">
      <c r="A30" s="341" t="s">
        <v>359</v>
      </c>
      <c r="B30" s="341">
        <v>1144615</v>
      </c>
      <c r="C30" s="341">
        <v>164420</v>
      </c>
      <c r="D30" s="341">
        <v>817285</v>
      </c>
      <c r="E30" s="341">
        <v>162910</v>
      </c>
      <c r="I30" s="699" t="s">
        <v>360</v>
      </c>
      <c r="J30" s="699"/>
      <c r="K30" s="1027">
        <v>8.3505707245468308</v>
      </c>
      <c r="L30" s="1028">
        <v>24057885.699999999</v>
      </c>
      <c r="M30" s="1028">
        <v>14247449.1</v>
      </c>
      <c r="N30" s="1028">
        <v>7047812.3000000007</v>
      </c>
      <c r="O30" s="1028">
        <v>2762624.3</v>
      </c>
    </row>
    <row r="31" spans="1:28" ht="15.75">
      <c r="A31" s="341" t="s">
        <v>160</v>
      </c>
      <c r="B31" s="341">
        <v>171224</v>
      </c>
      <c r="C31" s="341">
        <v>61203</v>
      </c>
      <c r="D31" s="341">
        <v>68798</v>
      </c>
      <c r="E31" s="341">
        <v>41223</v>
      </c>
      <c r="I31" s="699" t="s">
        <v>177</v>
      </c>
      <c r="J31" s="699"/>
      <c r="K31" s="1027">
        <v>266.12363321340649</v>
      </c>
      <c r="L31" s="1028">
        <v>766698727.6805923</v>
      </c>
      <c r="M31" s="1028">
        <v>202479700.46717101</v>
      </c>
      <c r="N31" s="1028">
        <v>306451524.36255479</v>
      </c>
      <c r="O31" s="1028">
        <v>257767502.85086638</v>
      </c>
    </row>
    <row r="32" spans="1:28" ht="15.75">
      <c r="A32" s="341" t="s">
        <v>162</v>
      </c>
      <c r="B32" s="341">
        <v>138000</v>
      </c>
      <c r="C32" s="341">
        <v>0</v>
      </c>
      <c r="D32" s="341">
        <v>0</v>
      </c>
      <c r="E32" s="341">
        <v>138000</v>
      </c>
      <c r="I32" s="699" t="s">
        <v>361</v>
      </c>
      <c r="J32" s="699"/>
      <c r="K32" s="1027">
        <v>19.673755240918901</v>
      </c>
      <c r="L32" s="1028">
        <v>56679833.090269223</v>
      </c>
      <c r="M32" s="1028">
        <v>21217948.289778624</v>
      </c>
      <c r="N32" s="1028">
        <v>23476397.022659916</v>
      </c>
      <c r="O32" s="1028">
        <v>11985487.777830686</v>
      </c>
    </row>
    <row r="33" spans="1:15" ht="15.75">
      <c r="A33" s="341" t="s">
        <v>362</v>
      </c>
      <c r="B33" s="341">
        <v>68187</v>
      </c>
      <c r="C33" s="341">
        <v>0</v>
      </c>
      <c r="D33" s="341">
        <v>0</v>
      </c>
      <c r="E33" s="341">
        <v>68187</v>
      </c>
      <c r="I33" s="699" t="s">
        <v>189</v>
      </c>
      <c r="J33" s="699"/>
      <c r="K33" s="1027">
        <v>16.387312953820487</v>
      </c>
      <c r="L33" s="1028">
        <v>47211635.584888421</v>
      </c>
      <c r="M33" s="1028">
        <v>12845388.283057047</v>
      </c>
      <c r="N33" s="1028">
        <v>20112723.046912555</v>
      </c>
      <c r="O33" s="1028">
        <v>14253524.254918823</v>
      </c>
    </row>
    <row r="34" spans="1:15" ht="15.75">
      <c r="A34" s="341" t="s">
        <v>161</v>
      </c>
      <c r="B34" s="341">
        <v>193482</v>
      </c>
      <c r="C34" s="341">
        <v>161507</v>
      </c>
      <c r="D34" s="341">
        <v>31975</v>
      </c>
      <c r="E34" s="341">
        <v>0</v>
      </c>
      <c r="I34" s="699" t="s">
        <v>363</v>
      </c>
      <c r="J34" s="699"/>
      <c r="K34" s="1027">
        <v>28.85497568959812</v>
      </c>
      <c r="L34" s="1028">
        <v>83130809.847048223</v>
      </c>
      <c r="M34" s="1028">
        <v>13390663.643940112</v>
      </c>
      <c r="N34" s="1028">
        <v>57671913.7877478</v>
      </c>
      <c r="O34" s="1028">
        <v>12068232.415360307</v>
      </c>
    </row>
    <row r="35" spans="1:15" ht="15.75">
      <c r="A35" s="342" t="s">
        <v>350</v>
      </c>
      <c r="B35" s="342">
        <v>279832</v>
      </c>
      <c r="C35" s="342">
        <v>145580</v>
      </c>
      <c r="D35" s="342">
        <v>109800</v>
      </c>
      <c r="E35" s="342">
        <v>24452</v>
      </c>
      <c r="I35" s="1029" t="s">
        <v>364</v>
      </c>
      <c r="J35" s="1029"/>
      <c r="K35" s="1030">
        <v>10.181707434668722</v>
      </c>
      <c r="L35" s="1031">
        <v>29333366.757083938</v>
      </c>
      <c r="M35" s="1031">
        <v>7925434.4935184028</v>
      </c>
      <c r="N35" s="1031">
        <v>12442811.115596252</v>
      </c>
      <c r="O35" s="1031">
        <v>8965121.147969285</v>
      </c>
    </row>
    <row r="36" spans="1:15" ht="15.75">
      <c r="A36" s="691" t="s">
        <v>258</v>
      </c>
      <c r="B36" s="691">
        <f>+SUM(B26:B35)</f>
        <v>2880987</v>
      </c>
      <c r="C36" s="691">
        <f t="shared" ref="C36:E36" si="4">+SUM(C26:C35)</f>
        <v>1110490</v>
      </c>
      <c r="D36" s="691">
        <f t="shared" si="4"/>
        <v>1236485</v>
      </c>
      <c r="E36" s="691">
        <f t="shared" si="4"/>
        <v>609212</v>
      </c>
      <c r="I36" s="468" t="s">
        <v>365</v>
      </c>
      <c r="J36" s="468"/>
      <c r="K36" s="645">
        <v>350.36209403509361</v>
      </c>
      <c r="L36" s="646">
        <v>1009388638.2078822</v>
      </c>
      <c r="M36" s="646">
        <v>272391797.8254652</v>
      </c>
      <c r="N36" s="646">
        <v>427724131.63547128</v>
      </c>
      <c r="O36" s="646">
        <v>309272708.7469455</v>
      </c>
    </row>
    <row r="38" spans="1:15">
      <c r="A38" s="14" t="s">
        <v>366</v>
      </c>
    </row>
    <row r="40" spans="1:15" ht="15.75">
      <c r="A40" s="230" t="s">
        <v>367</v>
      </c>
      <c r="B40" s="120"/>
      <c r="C40" s="242" t="s">
        <v>174</v>
      </c>
      <c r="D40" s="242" t="s">
        <v>175</v>
      </c>
      <c r="E40" s="242" t="s">
        <v>176</v>
      </c>
    </row>
    <row r="41" spans="1:15">
      <c r="A41" s="232" t="s">
        <v>368</v>
      </c>
      <c r="B41" s="236"/>
      <c r="C41" s="236">
        <v>235929816.33941814</v>
      </c>
      <c r="D41" s="236">
        <v>404127627.49916619</v>
      </c>
      <c r="E41" s="236">
        <v>297657068.56719095</v>
      </c>
    </row>
    <row r="42" spans="1:15">
      <c r="A42" s="237" t="s">
        <v>369</v>
      </c>
      <c r="B42" s="238"/>
      <c r="C42" s="238">
        <v>357286272.60345107</v>
      </c>
      <c r="D42" s="238">
        <v>504565275.91517937</v>
      </c>
      <c r="E42" s="238">
        <v>369219895.65841419</v>
      </c>
    </row>
    <row r="43" spans="1:15">
      <c r="A43" s="237" t="s">
        <v>370</v>
      </c>
      <c r="B43" s="238"/>
      <c r="C43" s="238">
        <v>21037916.889402982</v>
      </c>
      <c r="D43" s="238">
        <v>30223491.094951078</v>
      </c>
      <c r="E43" s="238">
        <v>22472997.22837374</v>
      </c>
    </row>
    <row r="44" spans="1:15">
      <c r="A44" s="232" t="s">
        <v>371</v>
      </c>
      <c r="B44" s="233"/>
      <c r="C44" s="233">
        <v>8.9170233825541526E-2</v>
      </c>
      <c r="D44" s="233">
        <v>7.4786995588450422E-2</v>
      </c>
      <c r="E44" s="233">
        <v>7.5499625581042937E-2</v>
      </c>
    </row>
    <row r="45" spans="1:15">
      <c r="A45" s="237" t="s">
        <v>372</v>
      </c>
      <c r="B45" s="239"/>
      <c r="C45" s="239">
        <v>5.8882522230997617E-2</v>
      </c>
      <c r="D45" s="239">
        <v>5.9900061573067584E-2</v>
      </c>
      <c r="E45" s="239">
        <v>6.0866159956788346E-2</v>
      </c>
    </row>
    <row r="46" spans="1:15">
      <c r="A46" s="234" t="s">
        <v>373</v>
      </c>
      <c r="B46" s="235"/>
      <c r="C46" s="283">
        <v>302.87711594543907</v>
      </c>
      <c r="D46" s="283">
        <v>148.86934015382838</v>
      </c>
      <c r="E46" s="283">
        <v>146.33465624254592</v>
      </c>
    </row>
    <row r="49" spans="1:4" ht="63">
      <c r="A49" s="95" t="s">
        <v>374</v>
      </c>
      <c r="B49" s="244"/>
      <c r="C49" s="344" t="s">
        <v>375</v>
      </c>
      <c r="D49" s="344" t="s">
        <v>376</v>
      </c>
    </row>
    <row r="50" spans="1:4">
      <c r="A50" s="237" t="s">
        <v>377</v>
      </c>
      <c r="B50" s="239"/>
      <c r="C50" s="239">
        <v>0.11399896245314678</v>
      </c>
      <c r="D50" s="239">
        <v>0.14916242401975546</v>
      </c>
    </row>
    <row r="51" spans="1:4">
      <c r="A51" s="237" t="s">
        <v>378</v>
      </c>
      <c r="B51" s="239"/>
      <c r="C51" s="239">
        <v>0.19400552310393926</v>
      </c>
      <c r="D51" s="239">
        <v>0.25868578239702394</v>
      </c>
    </row>
    <row r="54" spans="1:4" ht="15.75">
      <c r="A54" s="230" t="s">
        <v>379</v>
      </c>
      <c r="B54" s="242" t="s">
        <v>174</v>
      </c>
      <c r="C54" s="242" t="s">
        <v>175</v>
      </c>
      <c r="D54" s="242" t="s">
        <v>176</v>
      </c>
    </row>
    <row r="55" spans="1:4">
      <c r="A55" s="232" t="s">
        <v>377</v>
      </c>
      <c r="B55" s="233">
        <v>0.12517596679207843</v>
      </c>
      <c r="C55" s="233">
        <v>9.3544526166750686E-2</v>
      </c>
      <c r="D55" s="233">
        <v>0.13604895396622574</v>
      </c>
    </row>
    <row r="56" spans="1:4">
      <c r="A56" s="237" t="s">
        <v>378</v>
      </c>
      <c r="B56" s="239">
        <v>0.24675809505331725</v>
      </c>
      <c r="C56" s="239">
        <v>0.13744191546039208</v>
      </c>
      <c r="D56" s="239">
        <v>0.22025789842733268</v>
      </c>
    </row>
    <row r="57" spans="1:4">
      <c r="A57" s="237" t="s">
        <v>380</v>
      </c>
      <c r="B57" s="239">
        <v>0.16539294966431897</v>
      </c>
      <c r="C57" s="239">
        <v>0.10573259914604348</v>
      </c>
      <c r="D57" s="239">
        <v>0.21924007657375522</v>
      </c>
    </row>
    <row r="58" spans="1:4">
      <c r="A58" s="237" t="s">
        <v>381</v>
      </c>
      <c r="B58" s="239">
        <v>0.34311796290922375</v>
      </c>
      <c r="C58" s="239">
        <v>0.15873758897720253</v>
      </c>
      <c r="D58" s="239">
        <v>0.33034994349585844</v>
      </c>
    </row>
    <row r="59" spans="1:4">
      <c r="A59" s="234" t="s">
        <v>382</v>
      </c>
      <c r="B59" s="240">
        <v>2.4786729059129855</v>
      </c>
      <c r="C59" s="240">
        <v>1.7660052209267214</v>
      </c>
      <c r="D59" s="240">
        <v>1.7654240690878498</v>
      </c>
    </row>
  </sheetData>
  <mergeCells count="2">
    <mergeCell ref="A1:E1"/>
    <mergeCell ref="A24:E24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14AC9-C9D4-4C6E-84EA-F80A3E39B0B2}">
  <dimension ref="A1:L31"/>
  <sheetViews>
    <sheetView workbookViewId="0">
      <selection sqref="A1:C1"/>
    </sheetView>
  </sheetViews>
  <sheetFormatPr defaultColWidth="8.85546875" defaultRowHeight="15"/>
  <cols>
    <col min="1" max="1" width="6" style="5" customWidth="1"/>
    <col min="2" max="2" width="84.28515625" style="5" customWidth="1"/>
    <col min="3" max="3" width="60.85546875" style="5" customWidth="1"/>
    <col min="4" max="16384" width="8.85546875" style="5"/>
  </cols>
  <sheetData>
    <row r="1" spans="1:12" ht="15.75" thickBot="1">
      <c r="A1" s="1118" t="s">
        <v>383</v>
      </c>
      <c r="B1" s="1119"/>
      <c r="C1" s="1120"/>
      <c r="D1" s="15"/>
      <c r="E1" s="15"/>
      <c r="F1" s="15"/>
      <c r="G1" s="15"/>
      <c r="H1" s="15"/>
      <c r="I1" s="15"/>
      <c r="J1" s="15"/>
      <c r="K1" s="15"/>
      <c r="L1" s="15"/>
    </row>
    <row r="2" spans="1:12" ht="15.75" thickBot="1">
      <c r="A2" s="569" t="s">
        <v>384</v>
      </c>
      <c r="B2" s="569" t="s">
        <v>385</v>
      </c>
      <c r="C2" s="568" t="s">
        <v>386</v>
      </c>
    </row>
    <row r="3" spans="1:12">
      <c r="A3" s="5">
        <f>1</f>
        <v>1</v>
      </c>
      <c r="B3" s="5" t="s">
        <v>387</v>
      </c>
    </row>
    <row r="4" spans="1:12">
      <c r="A4" s="5">
        <f>A3+1</f>
        <v>2</v>
      </c>
      <c r="B4" s="5" t="s">
        <v>388</v>
      </c>
    </row>
    <row r="5" spans="1:12">
      <c r="A5" s="5">
        <f t="shared" ref="A5:A31" si="0">A4+1</f>
        <v>3</v>
      </c>
      <c r="B5" s="5" t="s">
        <v>389</v>
      </c>
    </row>
    <row r="6" spans="1:12">
      <c r="A6" s="5">
        <f t="shared" si="0"/>
        <v>4</v>
      </c>
      <c r="B6" s="48" t="s">
        <v>390</v>
      </c>
    </row>
    <row r="7" spans="1:12">
      <c r="A7" s="5">
        <f t="shared" si="0"/>
        <v>5</v>
      </c>
      <c r="B7" s="48" t="s">
        <v>391</v>
      </c>
    </row>
    <row r="8" spans="1:12">
      <c r="A8" s="5">
        <f t="shared" si="0"/>
        <v>6</v>
      </c>
      <c r="B8" s="5" t="s">
        <v>392</v>
      </c>
    </row>
    <row r="9" spans="1:12">
      <c r="A9" s="5">
        <f t="shared" si="0"/>
        <v>7</v>
      </c>
      <c r="B9" s="5" t="s">
        <v>393</v>
      </c>
    </row>
    <row r="10" spans="1:12">
      <c r="A10" s="5">
        <f t="shared" si="0"/>
        <v>8</v>
      </c>
      <c r="B10" s="5" t="s">
        <v>394</v>
      </c>
    </row>
    <row r="11" spans="1:12">
      <c r="A11" s="5">
        <f t="shared" si="0"/>
        <v>9</v>
      </c>
      <c r="B11" s="5" t="s">
        <v>395</v>
      </c>
    </row>
    <row r="12" spans="1:12">
      <c r="A12" s="5">
        <f t="shared" si="0"/>
        <v>10</v>
      </c>
    </row>
    <row r="13" spans="1:12">
      <c r="A13" s="5">
        <f t="shared" si="0"/>
        <v>11</v>
      </c>
    </row>
    <row r="14" spans="1:12">
      <c r="A14" s="5">
        <f t="shared" si="0"/>
        <v>12</v>
      </c>
    </row>
    <row r="15" spans="1:12">
      <c r="A15" s="5">
        <f t="shared" si="0"/>
        <v>13</v>
      </c>
    </row>
    <row r="16" spans="1:12">
      <c r="A16" s="5">
        <f t="shared" si="0"/>
        <v>14</v>
      </c>
    </row>
    <row r="17" spans="1:1">
      <c r="A17" s="5">
        <f t="shared" si="0"/>
        <v>15</v>
      </c>
    </row>
    <row r="18" spans="1:1">
      <c r="A18" s="5">
        <f t="shared" si="0"/>
        <v>16</v>
      </c>
    </row>
    <row r="19" spans="1:1">
      <c r="A19" s="5">
        <f t="shared" si="0"/>
        <v>17</v>
      </c>
    </row>
    <row r="20" spans="1:1">
      <c r="A20" s="5">
        <f t="shared" si="0"/>
        <v>18</v>
      </c>
    </row>
    <row r="21" spans="1:1">
      <c r="A21" s="5">
        <f t="shared" si="0"/>
        <v>19</v>
      </c>
    </row>
    <row r="22" spans="1:1">
      <c r="A22" s="5">
        <f t="shared" si="0"/>
        <v>20</v>
      </c>
    </row>
    <row r="23" spans="1:1">
      <c r="A23" s="5">
        <f t="shared" si="0"/>
        <v>21</v>
      </c>
    </row>
    <row r="24" spans="1:1">
      <c r="A24" s="5">
        <f t="shared" si="0"/>
        <v>22</v>
      </c>
    </row>
    <row r="25" spans="1:1">
      <c r="A25" s="5">
        <f t="shared" si="0"/>
        <v>23</v>
      </c>
    </row>
    <row r="26" spans="1:1">
      <c r="A26" s="5">
        <f t="shared" si="0"/>
        <v>24</v>
      </c>
    </row>
    <row r="27" spans="1:1">
      <c r="A27" s="5">
        <f t="shared" si="0"/>
        <v>25</v>
      </c>
    </row>
    <row r="28" spans="1:1">
      <c r="A28" s="5">
        <f t="shared" si="0"/>
        <v>26</v>
      </c>
    </row>
    <row r="29" spans="1:1">
      <c r="A29" s="5">
        <f t="shared" si="0"/>
        <v>27</v>
      </c>
    </row>
    <row r="30" spans="1:1">
      <c r="A30" s="5">
        <f t="shared" si="0"/>
        <v>28</v>
      </c>
    </row>
    <row r="31" spans="1:1">
      <c r="A31" s="5">
        <f t="shared" si="0"/>
        <v>29</v>
      </c>
    </row>
  </sheetData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1835D1-AB85-4A3A-AB79-40B46517ADA5}">
  <dimension ref="A2:O59"/>
  <sheetViews>
    <sheetView workbookViewId="0"/>
  </sheetViews>
  <sheetFormatPr defaultColWidth="8.85546875" defaultRowHeight="15"/>
  <cols>
    <col min="1" max="1" width="8.85546875" style="212"/>
    <col min="2" max="2" width="16.42578125" style="212" bestFit="1" customWidth="1"/>
    <col min="3" max="3" width="10.140625" style="212" bestFit="1" customWidth="1"/>
    <col min="4" max="4" width="13.85546875" style="212" bestFit="1" customWidth="1"/>
    <col min="5" max="5" width="12.140625" style="212" bestFit="1" customWidth="1"/>
    <col min="6" max="6" width="16.42578125" style="212" customWidth="1"/>
    <col min="7" max="7" width="32.42578125" style="212" customWidth="1"/>
    <col min="8" max="8" width="61.42578125" style="212" customWidth="1"/>
    <col min="9" max="9" width="13.42578125" style="212" customWidth="1"/>
    <col min="10" max="10" width="23.85546875" style="212" customWidth="1"/>
    <col min="11" max="11" width="18.7109375" style="212" customWidth="1"/>
    <col min="12" max="12" width="18" style="212" customWidth="1"/>
    <col min="13" max="13" width="50.42578125" style="212" bestFit="1" customWidth="1"/>
    <col min="14" max="14" width="8.140625" style="212" bestFit="1" customWidth="1"/>
    <col min="15" max="15" width="14.7109375" style="212" bestFit="1" customWidth="1"/>
    <col min="16" max="16384" width="8.85546875" style="212"/>
  </cols>
  <sheetData>
    <row r="2" spans="1:15" ht="15.75">
      <c r="A2" s="132" t="s">
        <v>396</v>
      </c>
      <c r="B2" s="699"/>
      <c r="C2" s="699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</row>
    <row r="3" spans="1:15">
      <c r="A3" s="699"/>
      <c r="B3" s="699"/>
      <c r="C3" s="699"/>
      <c r="D3" s="699"/>
      <c r="E3" s="699"/>
      <c r="F3" s="699"/>
      <c r="G3" s="699"/>
      <c r="H3" s="699"/>
      <c r="I3" s="699"/>
      <c r="J3" s="699"/>
      <c r="K3" s="699"/>
      <c r="L3" s="699"/>
      <c r="M3" s="699"/>
      <c r="N3" s="699"/>
      <c r="O3" s="1032">
        <v>43560</v>
      </c>
    </row>
    <row r="4" spans="1:15" ht="32.25" thickBot="1">
      <c r="A4" s="699"/>
      <c r="B4" s="132" t="s">
        <v>397</v>
      </c>
      <c r="C4" s="213" t="s">
        <v>398</v>
      </c>
      <c r="D4" s="213" t="s">
        <v>399</v>
      </c>
      <c r="E4" s="213" t="s">
        <v>400</v>
      </c>
      <c r="F4" s="213" t="s">
        <v>401</v>
      </c>
      <c r="G4" s="213" t="s">
        <v>402</v>
      </c>
      <c r="H4" s="213" t="s">
        <v>403</v>
      </c>
      <c r="I4" s="213" t="s">
        <v>404</v>
      </c>
      <c r="J4" s="213" t="s">
        <v>405</v>
      </c>
      <c r="K4" s="213" t="s">
        <v>406</v>
      </c>
      <c r="L4" s="213" t="s">
        <v>407</v>
      </c>
      <c r="M4" s="213" t="s">
        <v>408</v>
      </c>
      <c r="N4" s="214"/>
      <c r="O4" s="213" t="s">
        <v>409</v>
      </c>
    </row>
    <row r="5" spans="1:15" ht="15.75">
      <c r="A5" s="699"/>
      <c r="B5" s="131" t="s">
        <v>410</v>
      </c>
      <c r="C5" s="188">
        <v>1</v>
      </c>
      <c r="D5" s="189" t="s">
        <v>410</v>
      </c>
      <c r="E5" s="1033" t="s">
        <v>411</v>
      </c>
      <c r="F5" s="1033" t="s">
        <v>412</v>
      </c>
      <c r="G5" s="190" t="s">
        <v>413</v>
      </c>
      <c r="H5" s="190" t="s">
        <v>414</v>
      </c>
      <c r="I5" s="191" t="s">
        <v>415</v>
      </c>
      <c r="J5" s="192">
        <v>129152</v>
      </c>
      <c r="K5" s="193">
        <v>0</v>
      </c>
      <c r="L5" s="1034">
        <f t="shared" ref="L5:L29" si="0">+SUM(J5:K5)</f>
        <v>129152</v>
      </c>
      <c r="M5" s="194" t="s">
        <v>416</v>
      </c>
      <c r="N5" s="195">
        <v>0.29699999999999999</v>
      </c>
      <c r="O5" s="1035">
        <f>+$N5*'Parcel List'!$O$3</f>
        <v>12937.32</v>
      </c>
    </row>
    <row r="6" spans="1:15" ht="15.75">
      <c r="A6" s="699"/>
      <c r="B6" s="131" t="s">
        <v>417</v>
      </c>
      <c r="C6" s="196">
        <f t="shared" ref="C6:C39" si="1">C5+1</f>
        <v>2</v>
      </c>
      <c r="D6" s="179" t="s">
        <v>417</v>
      </c>
      <c r="E6" s="699" t="s">
        <v>411</v>
      </c>
      <c r="F6" s="699" t="s">
        <v>412</v>
      </c>
      <c r="G6" s="180" t="s">
        <v>418</v>
      </c>
      <c r="H6" s="180" t="s">
        <v>419</v>
      </c>
      <c r="I6" s="182" t="s">
        <v>415</v>
      </c>
      <c r="J6" s="183">
        <v>589757</v>
      </c>
      <c r="K6" s="174">
        <v>368</v>
      </c>
      <c r="L6" s="1028">
        <f t="shared" si="0"/>
        <v>590125</v>
      </c>
      <c r="M6" s="173" t="s">
        <v>420</v>
      </c>
      <c r="N6" s="176">
        <v>2.2970000000000002</v>
      </c>
      <c r="O6" s="1036">
        <f>+$N6*'Parcel List'!$O$3</f>
        <v>100057.32</v>
      </c>
    </row>
    <row r="7" spans="1:15" ht="15.75">
      <c r="A7" s="699"/>
      <c r="B7" s="131" t="s">
        <v>421</v>
      </c>
      <c r="C7" s="196">
        <f t="shared" si="1"/>
        <v>3</v>
      </c>
      <c r="D7" s="179" t="s">
        <v>410</v>
      </c>
      <c r="E7" s="699" t="s">
        <v>411</v>
      </c>
      <c r="F7" s="699" t="s">
        <v>412</v>
      </c>
      <c r="G7" s="180" t="s">
        <v>422</v>
      </c>
      <c r="H7" s="180" t="s">
        <v>423</v>
      </c>
      <c r="I7" s="182" t="s">
        <v>415</v>
      </c>
      <c r="J7" s="183">
        <v>83200</v>
      </c>
      <c r="K7" s="174">
        <v>43098</v>
      </c>
      <c r="L7" s="1028">
        <f t="shared" si="0"/>
        <v>126298</v>
      </c>
      <c r="M7" s="173" t="s">
        <v>424</v>
      </c>
      <c r="N7" s="176">
        <v>0.30599999999999999</v>
      </c>
      <c r="O7" s="1036">
        <f>+$N7*'Parcel List'!$O$3</f>
        <v>13329.36</v>
      </c>
    </row>
    <row r="8" spans="1:15" ht="15.75">
      <c r="A8" s="699"/>
      <c r="B8" s="131" t="s">
        <v>425</v>
      </c>
      <c r="C8" s="196">
        <f t="shared" si="1"/>
        <v>4</v>
      </c>
      <c r="D8" s="179" t="s">
        <v>410</v>
      </c>
      <c r="E8" s="699" t="s">
        <v>411</v>
      </c>
      <c r="F8" s="699" t="s">
        <v>412</v>
      </c>
      <c r="G8" s="180" t="s">
        <v>426</v>
      </c>
      <c r="H8" s="180" t="s">
        <v>427</v>
      </c>
      <c r="I8" s="182" t="s">
        <v>415</v>
      </c>
      <c r="J8" s="183">
        <v>14108</v>
      </c>
      <c r="K8" s="174">
        <v>56091</v>
      </c>
      <c r="L8" s="1028">
        <f t="shared" si="0"/>
        <v>70199</v>
      </c>
      <c r="M8" s="173" t="s">
        <v>428</v>
      </c>
      <c r="N8" s="176">
        <v>9.0999999999999998E-2</v>
      </c>
      <c r="O8" s="1036">
        <f>+$N8*'Parcel List'!$O$3</f>
        <v>3963.96</v>
      </c>
    </row>
    <row r="9" spans="1:15" ht="15.75">
      <c r="A9" s="699"/>
      <c r="B9" s="131" t="s">
        <v>429</v>
      </c>
      <c r="C9" s="196">
        <f t="shared" si="1"/>
        <v>5</v>
      </c>
      <c r="D9" s="179" t="s">
        <v>410</v>
      </c>
      <c r="E9" s="699" t="s">
        <v>411</v>
      </c>
      <c r="F9" s="699" t="s">
        <v>412</v>
      </c>
      <c r="G9" s="180" t="s">
        <v>430</v>
      </c>
      <c r="H9" s="180" t="s">
        <v>431</v>
      </c>
      <c r="I9" s="182" t="s">
        <v>415</v>
      </c>
      <c r="J9" s="183">
        <v>73216</v>
      </c>
      <c r="K9" s="174">
        <v>0</v>
      </c>
      <c r="L9" s="1028">
        <f t="shared" si="0"/>
        <v>73216</v>
      </c>
      <c r="M9" s="173" t="s">
        <v>416</v>
      </c>
      <c r="N9" s="176">
        <v>0.16400000000000001</v>
      </c>
      <c r="O9" s="1036">
        <f>+$N9*'Parcel List'!$O$3</f>
        <v>7143.84</v>
      </c>
    </row>
    <row r="10" spans="1:15" ht="15.75">
      <c r="A10" s="699"/>
      <c r="B10" s="131" t="s">
        <v>432</v>
      </c>
      <c r="C10" s="196">
        <f t="shared" si="1"/>
        <v>6</v>
      </c>
      <c r="D10" s="179" t="s">
        <v>421</v>
      </c>
      <c r="E10" s="699" t="s">
        <v>411</v>
      </c>
      <c r="F10" s="699" t="s">
        <v>412</v>
      </c>
      <c r="G10" s="180" t="s">
        <v>433</v>
      </c>
      <c r="H10" s="180" t="s">
        <v>434</v>
      </c>
      <c r="I10" s="182" t="s">
        <v>415</v>
      </c>
      <c r="J10" s="183">
        <v>998400</v>
      </c>
      <c r="K10" s="174">
        <v>1106560</v>
      </c>
      <c r="L10" s="1028">
        <f t="shared" si="0"/>
        <v>2104960</v>
      </c>
      <c r="M10" s="173" t="s">
        <v>435</v>
      </c>
      <c r="N10" s="176">
        <v>1.145</v>
      </c>
      <c r="O10" s="1036">
        <f>+$N10*'Parcel List'!$O$3</f>
        <v>49876.200000000004</v>
      </c>
    </row>
    <row r="11" spans="1:15" ht="15.75">
      <c r="A11" s="699"/>
      <c r="B11" s="131" t="s">
        <v>436</v>
      </c>
      <c r="C11" s="196">
        <f t="shared" si="1"/>
        <v>7</v>
      </c>
      <c r="D11" s="179" t="s">
        <v>425</v>
      </c>
      <c r="E11" s="699" t="s">
        <v>411</v>
      </c>
      <c r="F11" s="699" t="s">
        <v>412</v>
      </c>
      <c r="G11" s="180" t="s">
        <v>437</v>
      </c>
      <c r="H11" s="180" t="s">
        <v>438</v>
      </c>
      <c r="I11" s="182" t="s">
        <v>415</v>
      </c>
      <c r="J11" s="183">
        <v>864000</v>
      </c>
      <c r="K11" s="174">
        <v>19936</v>
      </c>
      <c r="L11" s="1028">
        <f t="shared" si="0"/>
        <v>883936</v>
      </c>
      <c r="M11" s="173" t="s">
        <v>420</v>
      </c>
      <c r="N11" s="176">
        <v>1.4339999999999999</v>
      </c>
      <c r="O11" s="1036">
        <f>+$N11*'Parcel List'!$O$3</f>
        <v>62465.04</v>
      </c>
    </row>
    <row r="12" spans="1:15" ht="15.75">
      <c r="A12" s="699"/>
      <c r="B12" s="131" t="s">
        <v>439</v>
      </c>
      <c r="C12" s="196">
        <f t="shared" si="1"/>
        <v>8</v>
      </c>
      <c r="D12" s="179" t="s">
        <v>425</v>
      </c>
      <c r="E12" s="699" t="s">
        <v>411</v>
      </c>
      <c r="F12" s="699" t="s">
        <v>412</v>
      </c>
      <c r="G12" s="180" t="s">
        <v>440</v>
      </c>
      <c r="H12" s="180" t="s">
        <v>438</v>
      </c>
      <c r="I12" s="182" t="s">
        <v>415</v>
      </c>
      <c r="J12" s="183">
        <v>290867</v>
      </c>
      <c r="K12" s="174">
        <v>210496</v>
      </c>
      <c r="L12" s="1028">
        <f t="shared" si="0"/>
        <v>501363</v>
      </c>
      <c r="M12" s="173" t="s">
        <v>416</v>
      </c>
      <c r="N12" s="176">
        <v>0.86599999999999999</v>
      </c>
      <c r="O12" s="1036">
        <f>+$N12*'Parcel List'!$O$3</f>
        <v>37722.959999999999</v>
      </c>
    </row>
    <row r="13" spans="1:15" ht="15.75">
      <c r="A13" s="699"/>
      <c r="B13" s="131" t="s">
        <v>255</v>
      </c>
      <c r="C13" s="196">
        <f t="shared" si="1"/>
        <v>9</v>
      </c>
      <c r="D13" s="179" t="s">
        <v>429</v>
      </c>
      <c r="E13" s="699" t="s">
        <v>411</v>
      </c>
      <c r="F13" s="699" t="s">
        <v>412</v>
      </c>
      <c r="G13" s="180" t="s">
        <v>441</v>
      </c>
      <c r="H13" s="180" t="s">
        <v>442</v>
      </c>
      <c r="I13" s="182" t="s">
        <v>415</v>
      </c>
      <c r="J13" s="183">
        <v>147168</v>
      </c>
      <c r="K13" s="174">
        <v>0</v>
      </c>
      <c r="L13" s="1028">
        <f t="shared" si="0"/>
        <v>147168</v>
      </c>
      <c r="M13" s="173" t="s">
        <v>416</v>
      </c>
      <c r="N13" s="176">
        <v>0.59</v>
      </c>
      <c r="O13" s="1036">
        <f>+$N13*'Parcel List'!$O$3</f>
        <v>25700.399999999998</v>
      </c>
    </row>
    <row r="14" spans="1:15" ht="15.75">
      <c r="A14" s="699"/>
      <c r="B14" s="131"/>
      <c r="C14" s="196">
        <f t="shared" si="1"/>
        <v>10</v>
      </c>
      <c r="D14" s="179" t="s">
        <v>429</v>
      </c>
      <c r="E14" s="699" t="s">
        <v>411</v>
      </c>
      <c r="F14" s="699" t="s">
        <v>412</v>
      </c>
      <c r="G14" s="180" t="s">
        <v>443</v>
      </c>
      <c r="H14" s="180" t="s">
        <v>444</v>
      </c>
      <c r="I14" s="182" t="s">
        <v>415</v>
      </c>
      <c r="J14" s="183">
        <v>56194</v>
      </c>
      <c r="K14" s="174">
        <v>331</v>
      </c>
      <c r="L14" s="1028">
        <f t="shared" si="0"/>
        <v>56525</v>
      </c>
      <c r="M14" s="173" t="s">
        <v>420</v>
      </c>
      <c r="N14" s="176">
        <v>0.35</v>
      </c>
      <c r="O14" s="1036">
        <f>+$N14*'Parcel List'!$O$3</f>
        <v>15245.999999999998</v>
      </c>
    </row>
    <row r="15" spans="1:15" ht="15.75">
      <c r="A15" s="699"/>
      <c r="B15" s="699"/>
      <c r="C15" s="196">
        <f t="shared" si="1"/>
        <v>11</v>
      </c>
      <c r="D15" s="179" t="s">
        <v>429</v>
      </c>
      <c r="E15" s="699" t="s">
        <v>411</v>
      </c>
      <c r="F15" s="699" t="s">
        <v>412</v>
      </c>
      <c r="G15" s="180" t="s">
        <v>445</v>
      </c>
      <c r="H15" s="180" t="s">
        <v>446</v>
      </c>
      <c r="I15" s="182" t="s">
        <v>415</v>
      </c>
      <c r="J15" s="183">
        <v>78715</v>
      </c>
      <c r="K15" s="174">
        <v>552</v>
      </c>
      <c r="L15" s="1028">
        <f t="shared" si="0"/>
        <v>79267</v>
      </c>
      <c r="M15" s="173" t="s">
        <v>420</v>
      </c>
      <c r="N15" s="176">
        <v>0.60199999999999998</v>
      </c>
      <c r="O15" s="1036">
        <f>+$N15*'Parcel List'!$O$3</f>
        <v>26223.119999999999</v>
      </c>
    </row>
    <row r="16" spans="1:15" ht="15.75">
      <c r="A16" s="699"/>
      <c r="B16" s="699"/>
      <c r="C16" s="196">
        <f t="shared" si="1"/>
        <v>12</v>
      </c>
      <c r="D16" s="179" t="s">
        <v>432</v>
      </c>
      <c r="E16" s="699" t="s">
        <v>411</v>
      </c>
      <c r="F16" s="699" t="s">
        <v>412</v>
      </c>
      <c r="G16" s="180" t="s">
        <v>447</v>
      </c>
      <c r="H16" s="180" t="s">
        <v>448</v>
      </c>
      <c r="I16" s="182" t="s">
        <v>415</v>
      </c>
      <c r="J16" s="183">
        <v>27693</v>
      </c>
      <c r="K16" s="174">
        <v>105833</v>
      </c>
      <c r="L16" s="1028">
        <f t="shared" si="0"/>
        <v>133526</v>
      </c>
      <c r="M16" s="173" t="s">
        <v>449</v>
      </c>
      <c r="N16" s="176">
        <v>0.14199999999999999</v>
      </c>
      <c r="O16" s="1036">
        <f>+$N16*'Parcel List'!$O$3</f>
        <v>6185.5199999999995</v>
      </c>
    </row>
    <row r="17" spans="3:15" ht="15.75">
      <c r="C17" s="196">
        <f t="shared" si="1"/>
        <v>13</v>
      </c>
      <c r="D17" s="179" t="s">
        <v>432</v>
      </c>
      <c r="E17" s="699" t="s">
        <v>411</v>
      </c>
      <c r="F17" s="699" t="s">
        <v>412</v>
      </c>
      <c r="G17" s="180" t="s">
        <v>450</v>
      </c>
      <c r="H17" s="180" t="s">
        <v>451</v>
      </c>
      <c r="I17" s="182" t="s">
        <v>415</v>
      </c>
      <c r="J17" s="183">
        <v>55605</v>
      </c>
      <c r="K17" s="174">
        <v>331</v>
      </c>
      <c r="L17" s="1028">
        <f t="shared" si="0"/>
        <v>55936</v>
      </c>
      <c r="M17" s="173" t="s">
        <v>420</v>
      </c>
      <c r="N17" s="176">
        <v>0.42</v>
      </c>
      <c r="O17" s="1036">
        <f>+$N17*'Parcel List'!$O$3</f>
        <v>18295.2</v>
      </c>
    </row>
    <row r="18" spans="3:15" ht="15.75">
      <c r="C18" s="196">
        <f t="shared" si="1"/>
        <v>14</v>
      </c>
      <c r="D18" s="179" t="s">
        <v>432</v>
      </c>
      <c r="E18" s="699" t="s">
        <v>411</v>
      </c>
      <c r="F18" s="699" t="s">
        <v>412</v>
      </c>
      <c r="G18" s="180" t="s">
        <v>452</v>
      </c>
      <c r="H18" s="180" t="s">
        <v>453</v>
      </c>
      <c r="I18" s="182" t="s">
        <v>415</v>
      </c>
      <c r="J18" s="183">
        <v>133952</v>
      </c>
      <c r="K18" s="174">
        <v>36488</v>
      </c>
      <c r="L18" s="1028">
        <f t="shared" si="0"/>
        <v>170440</v>
      </c>
      <c r="M18" s="173" t="s">
        <v>454</v>
      </c>
      <c r="N18" s="176">
        <v>0.433</v>
      </c>
      <c r="O18" s="1036">
        <f>+$N18*'Parcel List'!$O$3</f>
        <v>18861.48</v>
      </c>
    </row>
    <row r="19" spans="3:15" ht="15.75">
      <c r="C19" s="196">
        <f t="shared" si="1"/>
        <v>15</v>
      </c>
      <c r="D19" s="179" t="s">
        <v>432</v>
      </c>
      <c r="E19" s="699" t="s">
        <v>411</v>
      </c>
      <c r="F19" s="699" t="s">
        <v>412</v>
      </c>
      <c r="G19" s="180" t="s">
        <v>455</v>
      </c>
      <c r="H19" s="197" t="s">
        <v>456</v>
      </c>
      <c r="I19" s="182" t="s">
        <v>415</v>
      </c>
      <c r="J19" s="183">
        <v>19578</v>
      </c>
      <c r="K19" s="174">
        <v>0</v>
      </c>
      <c r="L19" s="1028">
        <f t="shared" si="0"/>
        <v>19578</v>
      </c>
      <c r="M19" s="173" t="s">
        <v>420</v>
      </c>
      <c r="N19" s="176">
        <v>0.156</v>
      </c>
      <c r="O19" s="1036">
        <f>+$N19*'Parcel List'!$O$3</f>
        <v>6795.36</v>
      </c>
    </row>
    <row r="20" spans="3:15" ht="15.75">
      <c r="C20" s="196">
        <f t="shared" si="1"/>
        <v>16</v>
      </c>
      <c r="D20" s="179" t="s">
        <v>429</v>
      </c>
      <c r="E20" s="699" t="s">
        <v>411</v>
      </c>
      <c r="F20" s="699" t="s">
        <v>412</v>
      </c>
      <c r="G20" s="180" t="s">
        <v>457</v>
      </c>
      <c r="H20" s="49" t="s">
        <v>458</v>
      </c>
      <c r="I20" s="182" t="s">
        <v>415</v>
      </c>
      <c r="J20" s="183">
        <v>18336</v>
      </c>
      <c r="K20" s="174">
        <v>0</v>
      </c>
      <c r="L20" s="1028">
        <f t="shared" si="0"/>
        <v>18336</v>
      </c>
      <c r="M20" s="173" t="s">
        <v>416</v>
      </c>
      <c r="N20" s="176">
        <v>7.5999999999999998E-2</v>
      </c>
      <c r="O20" s="1036">
        <f>+$N20*'Parcel List'!$O$3</f>
        <v>3310.56</v>
      </c>
    </row>
    <row r="21" spans="3:15" ht="15.75">
      <c r="C21" s="196">
        <f t="shared" si="1"/>
        <v>17</v>
      </c>
      <c r="D21" s="179" t="s">
        <v>429</v>
      </c>
      <c r="E21" s="699" t="s">
        <v>411</v>
      </c>
      <c r="F21" s="699" t="s">
        <v>412</v>
      </c>
      <c r="G21" s="180" t="s">
        <v>459</v>
      </c>
      <c r="H21" s="180" t="s">
        <v>460</v>
      </c>
      <c r="I21" s="182" t="s">
        <v>415</v>
      </c>
      <c r="J21" s="183">
        <v>93184</v>
      </c>
      <c r="K21" s="174">
        <v>0</v>
      </c>
      <c r="L21" s="1028">
        <f t="shared" si="0"/>
        <v>93184</v>
      </c>
      <c r="M21" s="173" t="s">
        <v>416</v>
      </c>
      <c r="N21" s="176">
        <v>0.14599999999999999</v>
      </c>
      <c r="O21" s="1036">
        <f>+$N21*'Parcel List'!$O$3</f>
        <v>6359.7599999999993</v>
      </c>
    </row>
    <row r="22" spans="3:15" ht="15.75">
      <c r="C22" s="196">
        <f t="shared" si="1"/>
        <v>18</v>
      </c>
      <c r="D22" s="179" t="s">
        <v>429</v>
      </c>
      <c r="E22" s="699" t="s">
        <v>411</v>
      </c>
      <c r="F22" s="699" t="s">
        <v>412</v>
      </c>
      <c r="G22" s="180" t="s">
        <v>461</v>
      </c>
      <c r="H22" s="180" t="s">
        <v>462</v>
      </c>
      <c r="I22" s="182" t="s">
        <v>415</v>
      </c>
      <c r="J22" s="183">
        <v>133952</v>
      </c>
      <c r="K22" s="174">
        <v>0</v>
      </c>
      <c r="L22" s="1028">
        <f t="shared" si="0"/>
        <v>133952</v>
      </c>
      <c r="M22" s="173" t="s">
        <v>416</v>
      </c>
      <c r="N22" s="176">
        <v>0.36599999999999999</v>
      </c>
      <c r="O22" s="1036">
        <f>+$N22*'Parcel List'!$O$3</f>
        <v>15942.96</v>
      </c>
    </row>
    <row r="23" spans="3:15" ht="15.75">
      <c r="C23" s="196">
        <f t="shared" si="1"/>
        <v>19</v>
      </c>
      <c r="D23" s="179" t="s">
        <v>429</v>
      </c>
      <c r="E23" s="699" t="s">
        <v>411</v>
      </c>
      <c r="F23" s="699" t="s">
        <v>412</v>
      </c>
      <c r="G23" s="180" t="s">
        <v>463</v>
      </c>
      <c r="H23" s="180" t="s">
        <v>464</v>
      </c>
      <c r="I23" s="182" t="s">
        <v>415</v>
      </c>
      <c r="J23" s="183">
        <v>78715</v>
      </c>
      <c r="K23" s="174">
        <v>552</v>
      </c>
      <c r="L23" s="1028">
        <f t="shared" si="0"/>
        <v>79267</v>
      </c>
      <c r="M23" s="173" t="s">
        <v>420</v>
      </c>
      <c r="N23" s="176">
        <v>0.60199999999999998</v>
      </c>
      <c r="O23" s="1036">
        <f>+$N23*'Parcel List'!$O$3</f>
        <v>26223.119999999999</v>
      </c>
    </row>
    <row r="24" spans="3:15" ht="15.75">
      <c r="C24" s="196">
        <f t="shared" si="1"/>
        <v>20</v>
      </c>
      <c r="D24" s="179" t="s">
        <v>432</v>
      </c>
      <c r="E24" s="699" t="s">
        <v>411</v>
      </c>
      <c r="F24" s="699" t="s">
        <v>412</v>
      </c>
      <c r="G24" s="180" t="s">
        <v>465</v>
      </c>
      <c r="H24" s="180" t="s">
        <v>466</v>
      </c>
      <c r="I24" s="182" t="s">
        <v>415</v>
      </c>
      <c r="J24" s="183">
        <v>158461</v>
      </c>
      <c r="K24" s="174">
        <v>0</v>
      </c>
      <c r="L24" s="1028">
        <f t="shared" si="0"/>
        <v>158461</v>
      </c>
      <c r="M24" s="173" t="s">
        <v>420</v>
      </c>
      <c r="N24" s="176">
        <v>1.1719999999999999</v>
      </c>
      <c r="O24" s="1036">
        <f>+$N24*'Parcel List'!$O$3</f>
        <v>51052.32</v>
      </c>
    </row>
    <row r="25" spans="3:15" ht="15.75">
      <c r="C25" s="196">
        <f t="shared" si="1"/>
        <v>21</v>
      </c>
      <c r="D25" s="179" t="s">
        <v>436</v>
      </c>
      <c r="E25" s="699" t="s">
        <v>411</v>
      </c>
      <c r="F25" s="699" t="s">
        <v>412</v>
      </c>
      <c r="G25" s="180" t="s">
        <v>467</v>
      </c>
      <c r="H25" s="180" t="s">
        <v>468</v>
      </c>
      <c r="I25" s="182" t="s">
        <v>415</v>
      </c>
      <c r="J25" s="183">
        <v>204939</v>
      </c>
      <c r="K25" s="174">
        <v>331</v>
      </c>
      <c r="L25" s="1028">
        <f t="shared" si="0"/>
        <v>205270</v>
      </c>
      <c r="M25" s="173" t="s">
        <v>420</v>
      </c>
      <c r="N25" s="176">
        <v>0.59899999999999998</v>
      </c>
      <c r="O25" s="1036">
        <f>+$N25*'Parcel List'!$O$3</f>
        <v>26092.44</v>
      </c>
    </row>
    <row r="26" spans="3:15" ht="15.75">
      <c r="C26" s="196">
        <f t="shared" si="1"/>
        <v>22</v>
      </c>
      <c r="D26" s="179" t="s">
        <v>436</v>
      </c>
      <c r="E26" s="699" t="s">
        <v>411</v>
      </c>
      <c r="F26" s="699" t="s">
        <v>412</v>
      </c>
      <c r="G26" s="180" t="s">
        <v>469</v>
      </c>
      <c r="H26" s="180" t="s">
        <v>470</v>
      </c>
      <c r="I26" s="182" t="s">
        <v>415</v>
      </c>
      <c r="J26" s="183">
        <v>95312</v>
      </c>
      <c r="K26" s="174">
        <v>331</v>
      </c>
      <c r="L26" s="1028">
        <f t="shared" si="0"/>
        <v>95643</v>
      </c>
      <c r="M26" s="173" t="s">
        <v>420</v>
      </c>
      <c r="N26" s="176">
        <v>0.22500000000000001</v>
      </c>
      <c r="O26" s="1036">
        <f>+$N26*'Parcel List'!$O$3</f>
        <v>9801</v>
      </c>
    </row>
    <row r="27" spans="3:15" ht="15.75">
      <c r="C27" s="196">
        <f t="shared" si="1"/>
        <v>23</v>
      </c>
      <c r="D27" s="179" t="s">
        <v>436</v>
      </c>
      <c r="E27" s="699" t="s">
        <v>411</v>
      </c>
      <c r="F27" s="699" t="s">
        <v>412</v>
      </c>
      <c r="G27" s="180" t="s">
        <v>471</v>
      </c>
      <c r="H27" s="180" t="s">
        <v>472</v>
      </c>
      <c r="I27" s="182" t="s">
        <v>415</v>
      </c>
      <c r="J27" s="183">
        <v>146979</v>
      </c>
      <c r="K27" s="174">
        <v>331</v>
      </c>
      <c r="L27" s="1028">
        <f t="shared" si="0"/>
        <v>147310</v>
      </c>
      <c r="M27" s="173" t="s">
        <v>420</v>
      </c>
      <c r="N27" s="176">
        <v>0.31</v>
      </c>
      <c r="O27" s="1036">
        <f>+$N27*'Parcel List'!$O$3</f>
        <v>13503.6</v>
      </c>
    </row>
    <row r="28" spans="3:15" ht="15.75">
      <c r="C28" s="196">
        <f t="shared" si="1"/>
        <v>24</v>
      </c>
      <c r="D28" s="179" t="s">
        <v>436</v>
      </c>
      <c r="E28" s="699" t="s">
        <v>411</v>
      </c>
      <c r="F28" s="699" t="s">
        <v>412</v>
      </c>
      <c r="G28" s="180" t="s">
        <v>473</v>
      </c>
      <c r="H28" s="180" t="s">
        <v>474</v>
      </c>
      <c r="I28" s="182" t="s">
        <v>415</v>
      </c>
      <c r="J28" s="183">
        <v>43192</v>
      </c>
      <c r="K28" s="174">
        <v>331</v>
      </c>
      <c r="L28" s="1028">
        <f t="shared" si="0"/>
        <v>43523</v>
      </c>
      <c r="M28" s="173" t="s">
        <v>420</v>
      </c>
      <c r="N28" s="176">
        <v>1.159</v>
      </c>
      <c r="O28" s="1036">
        <f>+$N28*'Parcel List'!$O$3</f>
        <v>50486.04</v>
      </c>
    </row>
    <row r="29" spans="3:15" ht="30.75">
      <c r="C29" s="196">
        <f t="shared" si="1"/>
        <v>25</v>
      </c>
      <c r="D29" s="179" t="s">
        <v>439</v>
      </c>
      <c r="E29" s="699" t="s">
        <v>411</v>
      </c>
      <c r="F29" s="699" t="s">
        <v>412</v>
      </c>
      <c r="G29" s="180" t="s">
        <v>475</v>
      </c>
      <c r="H29" s="181" t="s">
        <v>476</v>
      </c>
      <c r="I29" s="182" t="s">
        <v>415</v>
      </c>
      <c r="J29" s="183">
        <v>1331200</v>
      </c>
      <c r="K29" s="174" t="s">
        <v>477</v>
      </c>
      <c r="L29" s="1028">
        <f t="shared" si="0"/>
        <v>1331200</v>
      </c>
      <c r="M29" s="173" t="s">
        <v>416</v>
      </c>
      <c r="N29" s="176">
        <v>2.1989999999999998</v>
      </c>
      <c r="O29" s="1036">
        <f>+$N29*'Parcel List'!$O$3</f>
        <v>95788.439999999988</v>
      </c>
    </row>
    <row r="30" spans="3:15" ht="15.75">
      <c r="C30" s="196">
        <f t="shared" si="1"/>
        <v>26</v>
      </c>
      <c r="D30" s="179" t="s">
        <v>410</v>
      </c>
      <c r="E30" s="699" t="s">
        <v>478</v>
      </c>
      <c r="F30" s="699" t="s">
        <v>479</v>
      </c>
      <c r="G30" s="180" t="s">
        <v>480</v>
      </c>
      <c r="H30" s="181" t="s">
        <v>481</v>
      </c>
      <c r="I30" s="182" t="s">
        <v>415</v>
      </c>
      <c r="J30" s="183">
        <v>401700</v>
      </c>
      <c r="K30" s="174">
        <v>119250</v>
      </c>
      <c r="L30" s="1028">
        <f>+SUM(J30:K30)</f>
        <v>520950</v>
      </c>
      <c r="M30" s="173" t="s">
        <v>482</v>
      </c>
      <c r="N30" s="176">
        <f>$O30/'Parcel List'!$O$3</f>
        <v>0.13909550045913682</v>
      </c>
      <c r="O30" s="1036">
        <v>6059</v>
      </c>
    </row>
    <row r="31" spans="3:15" ht="15.75">
      <c r="C31" s="196">
        <f t="shared" si="1"/>
        <v>27</v>
      </c>
      <c r="D31" s="179" t="s">
        <v>255</v>
      </c>
      <c r="E31" s="699" t="s">
        <v>478</v>
      </c>
      <c r="F31" s="699" t="s">
        <v>479</v>
      </c>
      <c r="G31" s="180" t="s">
        <v>483</v>
      </c>
      <c r="H31" s="181" t="s">
        <v>484</v>
      </c>
      <c r="I31" s="182" t="s">
        <v>415</v>
      </c>
      <c r="J31" s="183">
        <v>1080000</v>
      </c>
      <c r="K31" s="174">
        <v>33800</v>
      </c>
      <c r="L31" s="1028">
        <f>+SUM(J31:K31)</f>
        <v>1113800</v>
      </c>
      <c r="M31" s="173" t="s">
        <v>485</v>
      </c>
      <c r="N31" s="176">
        <f>$O31/'Parcel List'!$O$3</f>
        <v>0.5805316804407713</v>
      </c>
      <c r="O31" s="1036">
        <v>25287.96</v>
      </c>
    </row>
    <row r="32" spans="3:15" ht="15.75">
      <c r="C32" s="196">
        <f t="shared" si="1"/>
        <v>28</v>
      </c>
      <c r="D32" s="179" t="s">
        <v>255</v>
      </c>
      <c r="E32" s="699" t="s">
        <v>478</v>
      </c>
      <c r="F32" s="699" t="s">
        <v>479</v>
      </c>
      <c r="G32" s="180" t="s">
        <v>486</v>
      </c>
      <c r="H32" s="181" t="s">
        <v>487</v>
      </c>
      <c r="I32" s="182" t="s">
        <v>415</v>
      </c>
      <c r="J32" s="183">
        <v>345600</v>
      </c>
      <c r="K32" s="174">
        <v>10816</v>
      </c>
      <c r="L32" s="1028">
        <f>+SUM(J32:K32)</f>
        <v>356416</v>
      </c>
      <c r="M32" s="173" t="s">
        <v>488</v>
      </c>
      <c r="N32" s="176">
        <f>$O32/'Parcel List'!$O$3</f>
        <v>0.64040013774104687</v>
      </c>
      <c r="O32" s="1036">
        <v>27895.83</v>
      </c>
    </row>
    <row r="33" spans="3:15" ht="15.75">
      <c r="C33" s="196">
        <f t="shared" si="1"/>
        <v>29</v>
      </c>
      <c r="D33" s="179" t="s">
        <v>410</v>
      </c>
      <c r="E33" s="699" t="s">
        <v>478</v>
      </c>
      <c r="F33" s="699" t="s">
        <v>479</v>
      </c>
      <c r="G33" s="180" t="s">
        <v>489</v>
      </c>
      <c r="H33" s="181" t="s">
        <v>490</v>
      </c>
      <c r="I33" s="182" t="s">
        <v>491</v>
      </c>
      <c r="J33" s="183"/>
      <c r="K33" s="174"/>
      <c r="L33" s="1028"/>
      <c r="M33" s="173" t="s">
        <v>492</v>
      </c>
      <c r="N33" s="176">
        <f>O33/43560</f>
        <v>0.21196510560146925</v>
      </c>
      <c r="O33" s="1036">
        <v>9233.2000000000007</v>
      </c>
    </row>
    <row r="34" spans="3:15" ht="15.75">
      <c r="C34" s="196">
        <f t="shared" si="1"/>
        <v>30</v>
      </c>
      <c r="D34" s="179"/>
      <c r="E34" s="699"/>
      <c r="F34" s="699"/>
      <c r="G34" s="180"/>
      <c r="H34" s="181"/>
      <c r="I34" s="182"/>
      <c r="J34" s="183"/>
      <c r="K34" s="174"/>
      <c r="L34" s="1028"/>
      <c r="M34" s="173"/>
      <c r="N34" s="176"/>
      <c r="O34" s="1036"/>
    </row>
    <row r="35" spans="3:15" ht="15.75">
      <c r="C35" s="196">
        <f t="shared" si="1"/>
        <v>31</v>
      </c>
      <c r="D35" s="179"/>
      <c r="E35" s="699"/>
      <c r="F35" s="699"/>
      <c r="G35" s="180"/>
      <c r="H35" s="181"/>
      <c r="I35" s="182"/>
      <c r="J35" s="183"/>
      <c r="K35" s="174"/>
      <c r="L35" s="1028"/>
      <c r="M35" s="173"/>
      <c r="N35" s="176"/>
      <c r="O35" s="1036"/>
    </row>
    <row r="36" spans="3:15" ht="15.75">
      <c r="C36" s="196">
        <f t="shared" si="1"/>
        <v>32</v>
      </c>
      <c r="D36" s="179"/>
      <c r="E36" s="699"/>
      <c r="F36" s="699"/>
      <c r="G36" s="180"/>
      <c r="H36" s="181"/>
      <c r="I36" s="182"/>
      <c r="J36" s="183"/>
      <c r="K36" s="174"/>
      <c r="L36" s="1028"/>
      <c r="M36" s="173"/>
      <c r="N36" s="176"/>
      <c r="O36" s="1036"/>
    </row>
    <row r="37" spans="3:15" ht="15.75">
      <c r="C37" s="196">
        <f t="shared" si="1"/>
        <v>33</v>
      </c>
      <c r="D37" s="179"/>
      <c r="E37" s="699"/>
      <c r="F37" s="699"/>
      <c r="G37" s="180"/>
      <c r="H37" s="181"/>
      <c r="I37" s="182"/>
      <c r="J37" s="183"/>
      <c r="K37" s="174"/>
      <c r="L37" s="1028"/>
      <c r="M37" s="173"/>
      <c r="N37" s="176"/>
      <c r="O37" s="1036"/>
    </row>
    <row r="38" spans="3:15" ht="15.75">
      <c r="C38" s="196">
        <f t="shared" si="1"/>
        <v>34</v>
      </c>
      <c r="D38" s="699"/>
      <c r="E38" s="699"/>
      <c r="F38" s="699"/>
      <c r="G38" s="699"/>
      <c r="H38" s="699"/>
      <c r="I38" s="699"/>
      <c r="J38" s="699"/>
      <c r="K38" s="699"/>
      <c r="L38" s="699"/>
      <c r="M38" s="699"/>
      <c r="N38" s="699"/>
      <c r="O38" s="1037"/>
    </row>
    <row r="39" spans="3:15" ht="16.5" thickBot="1">
      <c r="C39" s="198">
        <f t="shared" si="1"/>
        <v>35</v>
      </c>
      <c r="D39" s="199"/>
      <c r="E39" s="1038"/>
      <c r="F39" s="1038"/>
      <c r="G39" s="200"/>
      <c r="H39" s="201"/>
      <c r="I39" s="202"/>
      <c r="J39" s="203"/>
      <c r="K39" s="204"/>
      <c r="L39" s="1039"/>
      <c r="M39" s="205"/>
      <c r="N39" s="206"/>
      <c r="O39" s="1040"/>
    </row>
    <row r="40" spans="3:15" ht="16.5" thickBot="1">
      <c r="C40" s="699"/>
      <c r="D40" s="699"/>
      <c r="E40" s="699"/>
      <c r="F40" s="699"/>
      <c r="G40" s="180"/>
      <c r="H40" s="699"/>
      <c r="I40" s="699"/>
      <c r="J40" s="207">
        <f>SUM($J$5:$J$39)</f>
        <v>7693175</v>
      </c>
      <c r="K40" s="208">
        <f>SUM($K$5:$K$39)</f>
        <v>1745826</v>
      </c>
      <c r="L40" s="209">
        <f>+SUM($L$5:$L$39)</f>
        <v>9439001</v>
      </c>
      <c r="M40" s="210"/>
      <c r="N40" s="211">
        <f>+SUM($N$5:$N$39)</f>
        <v>17.718992424242426</v>
      </c>
      <c r="O40" s="215">
        <f>+SUM($O$5:$O$39)</f>
        <v>771839.30999999994</v>
      </c>
    </row>
    <row r="41" spans="3:15" ht="15.75">
      <c r="C41" s="699"/>
      <c r="D41" s="699"/>
      <c r="E41" s="699"/>
      <c r="F41" s="699"/>
      <c r="G41" s="180"/>
      <c r="H41" s="699"/>
      <c r="I41" s="699"/>
      <c r="J41" s="185"/>
      <c r="K41" s="186"/>
      <c r="L41" s="175"/>
      <c r="M41" s="187"/>
      <c r="N41" s="176"/>
      <c r="O41" s="218"/>
    </row>
    <row r="42" spans="3:15" ht="15.75">
      <c r="C42" s="699"/>
      <c r="D42" s="699"/>
      <c r="E42" s="699"/>
      <c r="F42" s="699"/>
      <c r="G42" s="699"/>
      <c r="H42" s="699"/>
      <c r="I42" s="699"/>
      <c r="J42" s="699"/>
      <c r="K42" s="699"/>
      <c r="L42" s="219" t="s">
        <v>409</v>
      </c>
      <c r="M42" s="699"/>
      <c r="N42" s="699"/>
      <c r="O42" s="699"/>
    </row>
    <row r="43" spans="3:15" ht="15.75">
      <c r="C43" s="151" t="s">
        <v>493</v>
      </c>
      <c r="D43" s="699"/>
      <c r="E43" s="699"/>
      <c r="F43" s="699"/>
      <c r="G43" s="699"/>
      <c r="H43" s="699"/>
      <c r="I43" s="699"/>
      <c r="J43" s="132" t="s">
        <v>494</v>
      </c>
      <c r="K43" s="175">
        <f>$L$40/$N$40</f>
        <v>532705.29012055625</v>
      </c>
      <c r="L43" s="220">
        <f>$L$40/$O$40</f>
        <v>12.229230719021036</v>
      </c>
      <c r="M43" s="699"/>
      <c r="N43" s="699"/>
      <c r="O43" s="699"/>
    </row>
    <row r="44" spans="3:15" ht="15.75">
      <c r="C44" s="699"/>
      <c r="D44" s="699"/>
      <c r="E44" s="699"/>
      <c r="F44" s="699"/>
      <c r="G44" s="699"/>
      <c r="H44" s="699"/>
      <c r="I44" s="699"/>
      <c r="J44" s="132"/>
      <c r="K44" s="175"/>
      <c r="L44" s="699"/>
      <c r="M44" s="699" t="s">
        <v>495</v>
      </c>
      <c r="N44" s="699"/>
      <c r="O44" s="1041">
        <f>+SUM(O6,O11,O14:O15,O17,O19,O23:O28,O32)</f>
        <v>434136.38999999996</v>
      </c>
    </row>
    <row r="45" spans="3:15" ht="15.75">
      <c r="C45" s="699"/>
      <c r="D45" s="699"/>
      <c r="E45" s="699"/>
      <c r="F45" s="699"/>
      <c r="G45" s="699"/>
      <c r="H45" s="699"/>
      <c r="I45" s="699"/>
      <c r="J45" s="132" t="s">
        <v>496</v>
      </c>
      <c r="K45" s="175">
        <f>+SUMIF($E$5:$E$39,"Owned",$L$5:$L$39)</f>
        <v>7447835</v>
      </c>
      <c r="L45" s="1042">
        <f>K45/16.2</f>
        <v>459742.90123456792</v>
      </c>
      <c r="M45" s="1029" t="s">
        <v>497</v>
      </c>
      <c r="N45" s="1029"/>
      <c r="O45" s="1029">
        <v>8471</v>
      </c>
    </row>
    <row r="46" spans="3:15" ht="15.75">
      <c r="C46" s="699"/>
      <c r="D46" s="699"/>
      <c r="E46" s="699"/>
      <c r="F46" s="699"/>
      <c r="G46" s="699"/>
      <c r="H46" s="699"/>
      <c r="I46" s="699"/>
      <c r="J46" s="132" t="s">
        <v>498</v>
      </c>
      <c r="K46" s="175">
        <f>+SUMIF($E$5:$E$39,"Acquired",$L$5:$L$39)</f>
        <v>1991166</v>
      </c>
      <c r="L46" s="1043">
        <f>K46/SUM(N30:N32)</f>
        <v>1464063.2380750468</v>
      </c>
      <c r="M46" s="699"/>
      <c r="N46" s="699"/>
      <c r="O46" s="218">
        <f>SUM(O44:O45)</f>
        <v>442607.38999999996</v>
      </c>
    </row>
    <row r="47" spans="3:15">
      <c r="C47" s="699"/>
      <c r="D47" s="699"/>
      <c r="E47" s="699"/>
      <c r="F47" s="699"/>
      <c r="G47" s="699" t="s">
        <v>410</v>
      </c>
      <c r="H47" s="699"/>
      <c r="I47" s="699"/>
      <c r="J47" s="699"/>
      <c r="K47" s="699"/>
      <c r="L47" s="699"/>
      <c r="M47" s="699"/>
      <c r="N47" s="699"/>
      <c r="O47" s="699"/>
    </row>
    <row r="48" spans="3:15">
      <c r="C48" s="699" t="s">
        <v>499</v>
      </c>
      <c r="D48" s="1041">
        <f>+SUM(O5,O7:O9,O30)</f>
        <v>43433.479999999996</v>
      </c>
      <c r="E48" s="699"/>
      <c r="F48" s="699"/>
      <c r="G48" s="699" t="s">
        <v>500</v>
      </c>
      <c r="H48" s="699"/>
      <c r="I48" s="699"/>
      <c r="J48" s="699"/>
      <c r="K48" s="699"/>
      <c r="L48" s="699"/>
      <c r="M48" s="699"/>
      <c r="N48" s="699"/>
      <c r="O48" s="699"/>
    </row>
    <row r="49" spans="2:15">
      <c r="B49" s="699"/>
      <c r="C49" s="1029" t="s">
        <v>501</v>
      </c>
      <c r="D49" s="1044">
        <f>+O6</f>
        <v>100057.32</v>
      </c>
      <c r="E49" s="699"/>
      <c r="F49" s="699"/>
      <c r="G49" s="699" t="s">
        <v>417</v>
      </c>
      <c r="H49" s="699"/>
      <c r="I49" s="699"/>
      <c r="J49" s="216" t="s">
        <v>502</v>
      </c>
      <c r="K49" s="217">
        <f>+SUM($K$45:$K$46)-$L$40</f>
        <v>0</v>
      </c>
      <c r="L49" s="699"/>
      <c r="M49" s="699"/>
      <c r="N49" s="699"/>
      <c r="O49" s="699"/>
    </row>
    <row r="50" spans="2:15">
      <c r="B50" s="699"/>
      <c r="C50" s="699" t="s">
        <v>503</v>
      </c>
      <c r="D50" s="1041">
        <f>SUM(D48:D49)</f>
        <v>143490.79999999999</v>
      </c>
      <c r="E50" s="699"/>
      <c r="F50" s="699"/>
      <c r="G50" s="699"/>
      <c r="H50" s="699"/>
      <c r="I50" s="699"/>
      <c r="J50" s="699"/>
      <c r="K50" s="699"/>
      <c r="L50" s="699"/>
      <c r="M50" s="699"/>
      <c r="N50" s="699"/>
      <c r="O50" s="699"/>
    </row>
    <row r="53" spans="2:15">
      <c r="B53" s="699"/>
      <c r="C53" s="699" t="s">
        <v>504</v>
      </c>
      <c r="D53" s="1045">
        <v>78078</v>
      </c>
      <c r="E53" s="699"/>
      <c r="F53" s="699" t="s">
        <v>504</v>
      </c>
      <c r="G53" s="1045">
        <v>78078</v>
      </c>
      <c r="H53" s="699"/>
      <c r="I53" s="699"/>
      <c r="J53" s="699"/>
      <c r="K53" s="699"/>
      <c r="L53" s="699"/>
      <c r="M53" s="699"/>
      <c r="N53" s="699"/>
      <c r="O53" s="699"/>
    </row>
    <row r="54" spans="2:15">
      <c r="B54" s="699"/>
      <c r="C54" s="1029" t="s">
        <v>505</v>
      </c>
      <c r="D54" s="1046">
        <v>74646</v>
      </c>
      <c r="E54" s="699"/>
      <c r="F54" s="1029" t="s">
        <v>506</v>
      </c>
      <c r="G54" s="1046">
        <v>15260</v>
      </c>
      <c r="H54" s="699"/>
      <c r="I54" s="699"/>
      <c r="J54" s="699"/>
      <c r="K54" s="699"/>
      <c r="L54" s="699"/>
      <c r="M54" s="699"/>
      <c r="N54" s="699"/>
      <c r="O54" s="699"/>
    </row>
    <row r="55" spans="2:15">
      <c r="B55" s="699"/>
      <c r="C55" s="699" t="s">
        <v>507</v>
      </c>
      <c r="D55" s="1045">
        <f>SUM(D53:D54)</f>
        <v>152724</v>
      </c>
      <c r="E55" s="699"/>
      <c r="F55" s="699" t="s">
        <v>508</v>
      </c>
      <c r="G55" s="1045">
        <f>G53-G54</f>
        <v>62818</v>
      </c>
      <c r="H55" s="699"/>
      <c r="I55" s="699"/>
      <c r="J55" s="699"/>
      <c r="K55" s="699"/>
      <c r="L55" s="699"/>
      <c r="M55" s="699"/>
      <c r="N55" s="699"/>
      <c r="O55" s="699"/>
    </row>
    <row r="57" spans="2:15" ht="15.75">
      <c r="B57" s="699"/>
      <c r="C57" s="132" t="s">
        <v>509</v>
      </c>
      <c r="D57" s="218">
        <f>D55-D50</f>
        <v>9233.2000000000116</v>
      </c>
      <c r="E57" s="699"/>
      <c r="F57" s="699"/>
      <c r="G57" s="699"/>
      <c r="H57" s="699"/>
      <c r="I57" s="699"/>
      <c r="J57" s="699"/>
      <c r="K57" s="699"/>
      <c r="L57" s="699"/>
      <c r="M57" s="699"/>
      <c r="N57" s="699"/>
      <c r="O57" s="699"/>
    </row>
    <row r="58" spans="2:15" ht="15.75">
      <c r="B58" s="699"/>
      <c r="C58" s="563" t="s">
        <v>510</v>
      </c>
      <c r="D58" s="179"/>
      <c r="E58" s="699"/>
      <c r="F58" s="699"/>
      <c r="G58" s="180"/>
      <c r="H58" s="181"/>
      <c r="I58" s="182"/>
      <c r="J58" s="183"/>
      <c r="K58" s="174"/>
      <c r="L58" s="1028"/>
      <c r="M58" s="173"/>
      <c r="N58" s="176"/>
      <c r="O58" s="1036"/>
    </row>
    <row r="59" spans="2:15" ht="15.75">
      <c r="B59" s="699"/>
      <c r="C59" s="564"/>
      <c r="D59" s="179"/>
      <c r="E59" s="699"/>
      <c r="F59" s="699"/>
      <c r="G59" s="180"/>
      <c r="H59" s="181"/>
      <c r="I59" s="182"/>
      <c r="J59" s="183"/>
      <c r="K59" s="174"/>
      <c r="L59" s="1028"/>
      <c r="M59" s="173"/>
      <c r="N59" s="176"/>
      <c r="O59" s="1036"/>
    </row>
  </sheetData>
  <autoFilter ref="C4:O4" xr:uid="{E346F402-FD29-44E6-9942-3912B83963F3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CFC14-B73F-4A7F-804E-260183166427}">
  <sheetPr>
    <tabColor theme="4"/>
    <pageSetUpPr fitToPage="1"/>
  </sheetPr>
  <dimension ref="A1:CA484"/>
  <sheetViews>
    <sheetView topLeftCell="A28" zoomScale="50" zoomScaleNormal="50" workbookViewId="0">
      <selection activeCell="M50" sqref="M50"/>
    </sheetView>
  </sheetViews>
  <sheetFormatPr defaultColWidth="8.85546875" defaultRowHeight="15"/>
  <cols>
    <col min="1" max="1" width="4.140625" style="352" customWidth="1"/>
    <col min="2" max="2" width="59.28515625" style="350" bestFit="1" customWidth="1"/>
    <col min="3" max="3" width="19.42578125" style="350" bestFit="1" customWidth="1"/>
    <col min="4" max="4" width="1.85546875" style="350" customWidth="1"/>
    <col min="5" max="5" width="22" style="350" bestFit="1" customWidth="1"/>
    <col min="6" max="6" width="18.42578125" style="350" bestFit="1" customWidth="1"/>
    <col min="7" max="7" width="21" style="350" bestFit="1" customWidth="1"/>
    <col min="8" max="8" width="23.85546875" style="350" bestFit="1" customWidth="1"/>
    <col min="9" max="9" width="33" style="350" bestFit="1" customWidth="1"/>
    <col min="10" max="10" width="85" style="350" bestFit="1" customWidth="1"/>
    <col min="11" max="11" width="15" style="350" bestFit="1" customWidth="1"/>
    <col min="12" max="12" width="19" style="350" bestFit="1" customWidth="1"/>
    <col min="13" max="13" width="20.28515625" style="350" bestFit="1" customWidth="1"/>
    <col min="14" max="15" width="20.140625" style="350" bestFit="1" customWidth="1"/>
    <col min="16" max="16" width="16.140625" style="350" bestFit="1" customWidth="1"/>
    <col min="17" max="17" width="10.85546875" style="350" bestFit="1" customWidth="1"/>
    <col min="18" max="18" width="40.140625" style="350" bestFit="1" customWidth="1"/>
    <col min="19" max="19" width="16.5703125" style="350" bestFit="1" customWidth="1"/>
    <col min="20" max="21" width="13.42578125" style="350" customWidth="1"/>
    <col min="22" max="22" width="8.85546875" style="350"/>
    <col min="23" max="23" width="27.28515625" style="350" customWidth="1"/>
    <col min="24" max="24" width="15.42578125" style="350" customWidth="1"/>
    <col min="25" max="26" width="16.28515625" style="350" bestFit="1" customWidth="1"/>
    <col min="27" max="27" width="58.28515625" style="350" bestFit="1" customWidth="1"/>
    <col min="28" max="29" width="8.85546875" style="350"/>
    <col min="30" max="30" width="12.28515625" style="350" bestFit="1" customWidth="1"/>
    <col min="31" max="33" width="10.85546875" style="350" bestFit="1" customWidth="1"/>
    <col min="34" max="35" width="8.85546875" style="350"/>
    <col min="36" max="36" width="9" style="350" bestFit="1" customWidth="1"/>
    <col min="37" max="39" width="8.85546875" style="350"/>
    <col min="40" max="40" width="11.140625" style="350" bestFit="1" customWidth="1"/>
    <col min="41" max="41" width="9.5703125" style="350" bestFit="1" customWidth="1"/>
    <col min="42" max="45" width="9" style="350" bestFit="1" customWidth="1"/>
    <col min="46" max="46" width="13.5703125" style="350" bestFit="1" customWidth="1"/>
    <col min="47" max="47" width="15.85546875" style="350" bestFit="1" customWidth="1"/>
    <col min="48" max="48" width="9" style="350" bestFit="1" customWidth="1"/>
    <col min="49" max="16384" width="8.85546875" style="350"/>
  </cols>
  <sheetData>
    <row r="1" spans="1:79" ht="15" customHeight="1">
      <c r="A1" s="1047" t="s">
        <v>511</v>
      </c>
      <c r="B1" s="132" t="s">
        <v>512</v>
      </c>
      <c r="C1" s="132"/>
      <c r="D1" s="699"/>
      <c r="E1" s="699"/>
      <c r="F1" s="699"/>
      <c r="G1" s="699"/>
      <c r="H1" s="699"/>
      <c r="I1" s="699"/>
      <c r="J1" s="699"/>
      <c r="K1" s="699"/>
      <c r="L1" s="699"/>
      <c r="M1" s="699"/>
      <c r="N1" s="699"/>
      <c r="O1" s="699"/>
      <c r="P1" s="699"/>
      <c r="Q1" s="699"/>
      <c r="R1" s="699"/>
      <c r="S1" s="699"/>
      <c r="T1" s="699"/>
      <c r="U1" s="699"/>
      <c r="V1" s="699"/>
      <c r="W1" s="699"/>
      <c r="X1" s="699"/>
      <c r="Y1" s="699"/>
      <c r="Z1" s="699"/>
      <c r="AA1" s="699"/>
      <c r="AB1" s="699"/>
      <c r="AC1" s="699"/>
      <c r="AD1" s="699"/>
      <c r="AE1" s="699"/>
      <c r="AF1" s="699"/>
      <c r="AG1" s="699"/>
      <c r="AH1" s="699"/>
      <c r="AI1" s="699"/>
      <c r="AJ1" s="699"/>
      <c r="AK1" s="699"/>
      <c r="AL1" s="699"/>
      <c r="AM1" s="699"/>
      <c r="AN1" s="699"/>
      <c r="AO1" s="699"/>
      <c r="AP1" s="699"/>
      <c r="AQ1" s="699"/>
      <c r="AR1" s="699"/>
      <c r="AS1" s="699"/>
      <c r="AT1" s="699"/>
      <c r="AU1" s="699"/>
      <c r="AV1" s="699"/>
      <c r="AW1" s="699"/>
      <c r="AX1" s="699"/>
      <c r="AY1" s="699"/>
      <c r="AZ1" s="699"/>
      <c r="BA1" s="699"/>
      <c r="BB1" s="699"/>
      <c r="BC1" s="699"/>
      <c r="BD1" s="699"/>
      <c r="BE1" s="699"/>
      <c r="BF1" s="699"/>
      <c r="BG1" s="699"/>
      <c r="BH1" s="699"/>
      <c r="BI1" s="699"/>
      <c r="BJ1" s="699"/>
      <c r="BK1" s="699"/>
      <c r="BL1" s="699"/>
      <c r="BM1" s="699"/>
      <c r="BN1" s="699"/>
      <c r="BO1" s="699"/>
      <c r="BP1" s="699"/>
      <c r="BQ1" s="699"/>
      <c r="BR1" s="699"/>
      <c r="BS1" s="699"/>
      <c r="BT1" s="699"/>
      <c r="BU1" s="699"/>
      <c r="BV1" s="699"/>
      <c r="BW1" s="699"/>
      <c r="BX1" s="699"/>
      <c r="BY1" s="699"/>
      <c r="BZ1" s="699"/>
      <c r="CA1" s="699"/>
    </row>
    <row r="2" spans="1:79" ht="25.7" customHeight="1">
      <c r="A2" s="1047"/>
      <c r="B2" s="132" t="s">
        <v>250</v>
      </c>
      <c r="C2" s="132"/>
      <c r="D2" s="699"/>
      <c r="E2" s="699"/>
      <c r="F2" s="699"/>
      <c r="G2" s="699"/>
      <c r="H2" s="699"/>
      <c r="I2" s="699"/>
      <c r="J2" s="699"/>
      <c r="K2" s="699"/>
      <c r="L2" s="699"/>
      <c r="M2" s="699"/>
      <c r="N2" s="699"/>
      <c r="O2" s="699"/>
      <c r="P2" s="699"/>
      <c r="Q2" s="699"/>
      <c r="R2" s="699"/>
      <c r="S2" s="699"/>
      <c r="T2" s="699"/>
      <c r="U2" s="699"/>
      <c r="V2" s="699"/>
      <c r="W2" s="699"/>
      <c r="X2" s="699"/>
      <c r="Y2" s="699"/>
      <c r="Z2" s="699"/>
      <c r="AA2" s="699"/>
      <c r="AB2" s="699"/>
      <c r="AC2" s="699"/>
      <c r="AD2" s="699"/>
      <c r="AE2" s="699"/>
      <c r="AF2" s="699"/>
      <c r="AG2" s="699"/>
      <c r="AH2" s="699"/>
      <c r="AI2" s="699"/>
      <c r="AJ2" s="699"/>
      <c r="AK2" s="699"/>
      <c r="AL2" s="699"/>
      <c r="AM2" s="699"/>
      <c r="AN2" s="699"/>
      <c r="AO2" s="699"/>
      <c r="AP2" s="699"/>
      <c r="AQ2" s="699"/>
      <c r="AR2" s="699"/>
      <c r="AS2" s="699"/>
      <c r="AT2" s="699"/>
      <c r="AU2" s="699"/>
      <c r="AV2" s="699"/>
      <c r="AW2" s="699"/>
      <c r="AX2" s="699"/>
      <c r="AY2" s="699"/>
      <c r="AZ2" s="699"/>
      <c r="BA2" s="699"/>
      <c r="BB2" s="699"/>
      <c r="BC2" s="699"/>
      <c r="BD2" s="699"/>
      <c r="BE2" s="699"/>
      <c r="BF2" s="699"/>
      <c r="BG2" s="699"/>
      <c r="BH2" s="699"/>
      <c r="BI2" s="699"/>
      <c r="BJ2" s="699"/>
      <c r="BK2" s="699"/>
      <c r="BL2" s="699"/>
      <c r="BM2" s="699"/>
      <c r="BN2" s="699"/>
      <c r="BO2" s="699"/>
      <c r="BP2" s="699"/>
      <c r="BQ2" s="699"/>
      <c r="BR2" s="699"/>
      <c r="BS2" s="699"/>
      <c r="BT2" s="699"/>
      <c r="BU2" s="699"/>
      <c r="BV2" s="699"/>
      <c r="BW2" s="699"/>
      <c r="BX2" s="699"/>
      <c r="BY2" s="699"/>
      <c r="BZ2" s="699"/>
      <c r="CA2" s="699"/>
    </row>
    <row r="3" spans="1:79" ht="87" customHeight="1">
      <c r="A3" s="1047"/>
      <c r="B3" s="95" t="s">
        <v>513</v>
      </c>
      <c r="C3" s="244"/>
      <c r="D3" s="244"/>
      <c r="E3" s="344" t="s">
        <v>375</v>
      </c>
      <c r="F3" s="934" t="s">
        <v>376</v>
      </c>
      <c r="G3" s="120"/>
      <c r="H3" s="699"/>
      <c r="I3" s="699"/>
      <c r="J3" s="699"/>
      <c r="K3" s="699"/>
      <c r="L3" s="699"/>
      <c r="M3" s="699"/>
      <c r="N3" s="699"/>
      <c r="O3" s="699"/>
      <c r="P3" s="699"/>
      <c r="Q3" s="699"/>
      <c r="R3" s="699"/>
      <c r="S3" s="699"/>
      <c r="T3" s="699"/>
      <c r="U3" s="132"/>
      <c r="V3" s="699"/>
      <c r="W3" s="699"/>
      <c r="X3" s="699"/>
      <c r="Y3" s="699"/>
      <c r="Z3" s="699"/>
      <c r="AA3" s="699"/>
      <c r="AB3" s="699"/>
      <c r="AC3" s="699"/>
      <c r="AD3" s="699"/>
      <c r="AE3" s="699"/>
      <c r="AF3" s="699"/>
      <c r="AG3" s="699"/>
      <c r="AH3" s="699"/>
      <c r="AI3" s="699"/>
      <c r="AJ3" s="699"/>
      <c r="AK3" s="699"/>
      <c r="AL3" s="699"/>
      <c r="AM3" s="699"/>
      <c r="AN3" s="699"/>
      <c r="AO3" s="699"/>
      <c r="AP3" s="699"/>
      <c r="AQ3" s="699"/>
      <c r="AR3" s="699"/>
      <c r="AS3" s="699"/>
      <c r="AT3" s="699"/>
      <c r="AU3" s="699"/>
      <c r="AV3" s="699"/>
      <c r="AW3" s="699"/>
      <c r="AX3" s="699"/>
      <c r="AY3" s="699"/>
      <c r="AZ3" s="699"/>
      <c r="BA3" s="699"/>
      <c r="BB3" s="699"/>
      <c r="BC3" s="699"/>
      <c r="BD3" s="699"/>
      <c r="BE3" s="699"/>
      <c r="BF3" s="699"/>
      <c r="BG3" s="699"/>
      <c r="BH3" s="699"/>
      <c r="BI3" s="699"/>
      <c r="BJ3" s="699"/>
      <c r="BK3" s="699"/>
      <c r="BL3" s="699"/>
      <c r="BM3" s="699"/>
      <c r="BN3" s="699"/>
      <c r="BO3" s="699"/>
      <c r="BP3" s="699"/>
      <c r="BQ3" s="699"/>
      <c r="BR3" s="699"/>
      <c r="BS3" s="699"/>
      <c r="BT3" s="699"/>
      <c r="BU3" s="699"/>
      <c r="BV3" s="699"/>
      <c r="BW3" s="699"/>
      <c r="BX3" s="699"/>
      <c r="BY3" s="699"/>
      <c r="BZ3" s="699"/>
      <c r="CA3" s="699"/>
    </row>
    <row r="4" spans="1:79" ht="15.75">
      <c r="A4" s="1047"/>
      <c r="B4" s="237" t="s">
        <v>377</v>
      </c>
      <c r="C4" s="239"/>
      <c r="D4" s="120"/>
      <c r="E4" s="239">
        <f ca="1">+'Cash Flow Roll-Up'!$D$17</f>
        <v>0.10495487631732092</v>
      </c>
      <c r="F4" s="933" t="e">
        <f ca="1">+'Cash Flow Roll-Up'!$D$27</f>
        <v>#NUM!</v>
      </c>
      <c r="G4" s="120"/>
      <c r="H4" s="699"/>
      <c r="I4" s="468" t="s">
        <v>356</v>
      </c>
      <c r="J4" s="468"/>
      <c r="K4" s="469" t="s">
        <v>357</v>
      </c>
      <c r="L4" s="469" t="s">
        <v>258</v>
      </c>
      <c r="M4" s="469" t="s">
        <v>255</v>
      </c>
      <c r="N4" s="469" t="s">
        <v>256</v>
      </c>
      <c r="O4" s="469" t="s">
        <v>257</v>
      </c>
      <c r="P4" s="699"/>
      <c r="Q4" s="699"/>
      <c r="R4" s="699"/>
      <c r="S4" s="699"/>
      <c r="T4" s="699"/>
      <c r="U4" s="132"/>
      <c r="V4" s="699"/>
      <c r="W4" s="699"/>
      <c r="X4" s="699"/>
      <c r="Y4" s="699"/>
      <c r="Z4" s="699"/>
      <c r="AA4" s="699"/>
      <c r="AB4" s="699"/>
      <c r="AC4" s="699"/>
      <c r="AD4" s="699"/>
      <c r="AE4" s="699"/>
      <c r="AF4" s="699"/>
      <c r="AG4" s="699"/>
      <c r="AH4" s="699"/>
      <c r="AI4" s="699"/>
      <c r="AJ4" s="699"/>
      <c r="AK4" s="699"/>
      <c r="AL4" s="699"/>
      <c r="AM4" s="699"/>
      <c r="AN4" s="699"/>
      <c r="AO4" s="699"/>
      <c r="AP4" s="699"/>
      <c r="AQ4" s="699"/>
      <c r="AR4" s="699"/>
      <c r="AS4" s="699"/>
      <c r="AT4" s="699"/>
      <c r="AU4" s="699"/>
      <c r="AV4" s="699"/>
      <c r="AW4" s="699"/>
      <c r="AX4" s="699"/>
      <c r="AY4" s="699"/>
      <c r="AZ4" s="699"/>
      <c r="BA4" s="699"/>
      <c r="BB4" s="699"/>
      <c r="BC4" s="699"/>
      <c r="BD4" s="699"/>
      <c r="BE4" s="699"/>
      <c r="BF4" s="699"/>
      <c r="BG4" s="699"/>
      <c r="BH4" s="699"/>
      <c r="BI4" s="699"/>
      <c r="BJ4" s="699"/>
      <c r="BK4" s="699"/>
      <c r="BL4" s="699"/>
      <c r="BM4" s="699"/>
      <c r="BN4" s="699"/>
      <c r="BO4" s="699"/>
      <c r="BP4" s="699"/>
      <c r="BQ4" s="699"/>
      <c r="BR4" s="699"/>
      <c r="BS4" s="699"/>
      <c r="BT4" s="699"/>
      <c r="BU4" s="699"/>
      <c r="BV4" s="699"/>
      <c r="BW4" s="699"/>
      <c r="BX4" s="699"/>
      <c r="BY4" s="699"/>
      <c r="BZ4" s="699"/>
      <c r="CA4" s="699"/>
    </row>
    <row r="5" spans="1:79">
      <c r="A5" s="1047"/>
      <c r="B5" s="237" t="s">
        <v>378</v>
      </c>
      <c r="C5" s="239"/>
      <c r="D5" s="120"/>
      <c r="E5" s="239">
        <f ca="1">+'Cash Flow Roll-Up'!$D$8</f>
        <v>0.16914395854006492</v>
      </c>
      <c r="F5" s="933" t="e">
        <f ca="1">+'Cash Flow Roll-Up'!$D$36</f>
        <v>#NUM!</v>
      </c>
      <c r="G5" s="120"/>
      <c r="H5" s="699"/>
      <c r="I5" s="699" t="s">
        <v>358</v>
      </c>
      <c r="J5" s="699"/>
      <c r="K5" s="1027">
        <f ca="1">+$L5/Budget!$G$10</f>
        <v>28.190021441156695</v>
      </c>
      <c r="L5" s="1028">
        <f>+Budget!G$35</f>
        <v>70427722.556892037</v>
      </c>
      <c r="M5" s="1028">
        <f>+Budget!H$35</f>
        <v>57533874.841383234</v>
      </c>
      <c r="N5" s="1028">
        <f>+Budget!I$35</f>
        <v>4691009.3245623549</v>
      </c>
      <c r="O5" s="1028">
        <f>+Budget!J$35</f>
        <v>8202838.3909464516</v>
      </c>
      <c r="P5" s="699"/>
      <c r="Q5" s="699"/>
      <c r="R5" s="699"/>
      <c r="S5" s="699"/>
      <c r="T5" s="699"/>
      <c r="U5" s="699"/>
      <c r="V5" s="699"/>
      <c r="W5" s="699"/>
      <c r="X5" s="699"/>
      <c r="Y5" s="699"/>
      <c r="Z5" s="699"/>
      <c r="AA5" s="699"/>
      <c r="AB5" s="699"/>
      <c r="AC5" s="699"/>
      <c r="AD5" s="699"/>
      <c r="AE5" s="699"/>
      <c r="AF5" s="699"/>
      <c r="AG5" s="699"/>
      <c r="AH5" s="699"/>
      <c r="AI5" s="699"/>
      <c r="AJ5" s="699"/>
      <c r="AK5" s="699"/>
      <c r="AL5" s="699"/>
      <c r="AM5" s="699"/>
      <c r="AN5" s="699"/>
      <c r="AO5" s="699"/>
      <c r="AP5" s="699"/>
      <c r="AQ5" s="699"/>
      <c r="AR5" s="699"/>
      <c r="AS5" s="699"/>
      <c r="AT5" s="699"/>
      <c r="AU5" s="699"/>
      <c r="AV5" s="699"/>
      <c r="AW5" s="699"/>
      <c r="AX5" s="699"/>
      <c r="AY5" s="699"/>
      <c r="AZ5" s="699"/>
      <c r="BA5" s="699"/>
      <c r="BB5" s="699"/>
      <c r="BC5" s="699"/>
      <c r="BD5" s="699"/>
      <c r="BE5" s="699"/>
      <c r="BF5" s="699"/>
      <c r="BG5" s="699"/>
      <c r="BH5" s="699"/>
      <c r="BI5" s="699"/>
      <c r="BJ5" s="699"/>
      <c r="BK5" s="699"/>
      <c r="BL5" s="699"/>
      <c r="BM5" s="699"/>
      <c r="BN5" s="699"/>
      <c r="BO5" s="699"/>
      <c r="BP5" s="699"/>
      <c r="BQ5" s="699"/>
      <c r="BR5" s="699"/>
      <c r="BS5" s="699"/>
      <c r="BT5" s="699"/>
      <c r="BU5" s="699"/>
      <c r="BV5" s="699"/>
      <c r="BW5" s="699"/>
      <c r="BX5" s="699"/>
      <c r="BY5" s="699"/>
      <c r="BZ5" s="699"/>
      <c r="CA5" s="699"/>
    </row>
    <row r="6" spans="1:79" ht="17.45" customHeight="1">
      <c r="A6" s="1047"/>
      <c r="B6" s="699"/>
      <c r="C6" s="699"/>
      <c r="D6" s="699"/>
      <c r="E6" s="699"/>
      <c r="F6" s="699"/>
      <c r="G6" s="120"/>
      <c r="H6" s="699"/>
      <c r="I6" s="699" t="s">
        <v>360</v>
      </c>
      <c r="J6" s="699"/>
      <c r="K6" s="1027">
        <f ca="1">+$L6/Budget!$G$10</f>
        <v>14.301867133967173</v>
      </c>
      <c r="L6" s="1028">
        <f>+Budget!G$46</f>
        <v>35730655</v>
      </c>
      <c r="M6" s="1028">
        <f>+Budget!H$46</f>
        <v>20194435</v>
      </c>
      <c r="N6" s="1028">
        <f>+Budget!I$46</f>
        <v>2030684</v>
      </c>
      <c r="O6" s="1028">
        <f>+Budget!J$46</f>
        <v>13505536</v>
      </c>
      <c r="P6" s="699"/>
      <c r="Q6" s="699"/>
      <c r="R6" s="699"/>
      <c r="S6" s="699"/>
      <c r="T6" s="699"/>
      <c r="U6" s="699"/>
      <c r="V6" s="699"/>
      <c r="W6" s="699"/>
      <c r="X6" s="699"/>
      <c r="Y6" s="699"/>
      <c r="Z6" s="699"/>
      <c r="AA6" s="699"/>
      <c r="AB6" s="699"/>
      <c r="AC6" s="699"/>
      <c r="AD6" s="699"/>
      <c r="AE6" s="699"/>
      <c r="AF6" s="699"/>
      <c r="AG6" s="699"/>
      <c r="AH6" s="699"/>
      <c r="AI6" s="699"/>
      <c r="AJ6" s="699"/>
      <c r="AK6" s="699"/>
      <c r="AL6" s="699"/>
      <c r="AM6" s="699"/>
      <c r="AN6" s="699"/>
      <c r="AO6" s="699"/>
      <c r="AP6" s="699"/>
      <c r="AQ6" s="699"/>
      <c r="AR6" s="699"/>
      <c r="AS6" s="699"/>
      <c r="AT6" s="699"/>
      <c r="AU6" s="699"/>
      <c r="AV6" s="699"/>
      <c r="AW6" s="699"/>
      <c r="AX6" s="699"/>
      <c r="AY6" s="699"/>
      <c r="AZ6" s="699"/>
      <c r="BA6" s="699"/>
      <c r="BB6" s="699"/>
      <c r="BC6" s="699"/>
      <c r="BD6" s="699"/>
      <c r="BE6" s="699"/>
      <c r="BF6" s="699"/>
      <c r="BG6" s="699"/>
      <c r="BH6" s="699"/>
      <c r="BI6" s="699"/>
      <c r="BJ6" s="699"/>
      <c r="BK6" s="699"/>
      <c r="BL6" s="699"/>
      <c r="BM6" s="699"/>
      <c r="BN6" s="699"/>
      <c r="BO6" s="699"/>
      <c r="BP6" s="699"/>
      <c r="BQ6" s="699"/>
      <c r="BR6" s="699"/>
      <c r="BS6" s="699"/>
      <c r="BT6" s="699"/>
      <c r="BU6" s="699"/>
      <c r="BV6" s="699"/>
      <c r="BW6" s="699"/>
      <c r="BX6" s="699"/>
      <c r="BY6" s="699"/>
      <c r="BZ6" s="699"/>
      <c r="CA6" s="699"/>
    </row>
    <row r="7" spans="1:79" ht="17.45" customHeight="1">
      <c r="A7" s="1047"/>
      <c r="B7" s="120"/>
      <c r="C7" s="120"/>
      <c r="D7" s="120"/>
      <c r="E7" s="699"/>
      <c r="F7" s="699"/>
      <c r="G7" s="699"/>
      <c r="H7" s="699"/>
      <c r="I7" s="699" t="s">
        <v>177</v>
      </c>
      <c r="J7" s="699"/>
      <c r="K7" s="1027">
        <f ca="1">+$L7/Budget!$G$10</f>
        <v>332.13423715826565</v>
      </c>
      <c r="L7" s="1028">
        <f ca="1">+Budget!G$69</f>
        <v>829777939.51147532</v>
      </c>
      <c r="M7" s="1028">
        <f ca="1">+Budget!H$69</f>
        <v>302119898.65899998</v>
      </c>
      <c r="N7" s="1028">
        <f ca="1">+Budget!I$69</f>
        <v>267804657.74088666</v>
      </c>
      <c r="O7" s="1028">
        <f ca="1">+Budget!J$69</f>
        <v>259853383.11158872</v>
      </c>
      <c r="P7" s="699"/>
      <c r="Q7" s="699"/>
      <c r="R7" s="699"/>
      <c r="S7" s="699"/>
      <c r="T7" s="699"/>
      <c r="U7" s="132"/>
      <c r="V7" s="699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</row>
    <row r="8" spans="1:79" ht="17.45" customHeight="1">
      <c r="A8" s="1047"/>
      <c r="B8" s="120"/>
      <c r="C8" s="120"/>
      <c r="D8" s="120"/>
      <c r="E8" s="241"/>
      <c r="F8" s="241"/>
      <c r="G8" s="241"/>
      <c r="H8" s="699"/>
      <c r="I8" s="699" t="s">
        <v>361</v>
      </c>
      <c r="J8" s="699"/>
      <c r="K8" s="1027">
        <f ca="1">+$L8/Budget!$G$10</f>
        <v>83.686492599468906</v>
      </c>
      <c r="L8" s="1028">
        <f ca="1">+Budget!G$84</f>
        <v>209075721.87759775</v>
      </c>
      <c r="M8" s="1028">
        <f ca="1">+Budget!H$84</f>
        <v>81624624.794803187</v>
      </c>
      <c r="N8" s="1028">
        <f ca="1">+Budget!I$84</f>
        <v>67128952.665678784</v>
      </c>
      <c r="O8" s="1028">
        <f ca="1">+Budget!J$84</f>
        <v>60322144.417115763</v>
      </c>
      <c r="P8" s="699"/>
      <c r="Q8" s="699"/>
      <c r="R8" s="699"/>
      <c r="S8" s="699"/>
      <c r="T8" s="699"/>
      <c r="U8" s="353"/>
      <c r="V8" s="353"/>
      <c r="W8" s="849"/>
      <c r="X8" s="849"/>
      <c r="Y8" s="849"/>
      <c r="Z8" s="849"/>
      <c r="AA8" s="849"/>
      <c r="AB8" s="849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</row>
    <row r="9" spans="1:79" ht="17.45" customHeight="1">
      <c r="A9" s="1047"/>
      <c r="B9" s="230" t="s">
        <v>367</v>
      </c>
      <c r="C9" s="120"/>
      <c r="D9" s="120"/>
      <c r="E9" s="242" t="s">
        <v>174</v>
      </c>
      <c r="F9" s="242" t="s">
        <v>175</v>
      </c>
      <c r="G9" s="242" t="s">
        <v>176</v>
      </c>
      <c r="H9" s="699"/>
      <c r="I9" s="699" t="s">
        <v>189</v>
      </c>
      <c r="J9" s="699"/>
      <c r="K9" s="1027">
        <f ca="1">+$L9/Budget!$G$10</f>
        <v>26.68251940458061</v>
      </c>
      <c r="L9" s="1028">
        <f ca="1">+Budget!G97</f>
        <v>66661498.561371237</v>
      </c>
      <c r="M9" s="1028">
        <f ca="1">+Budget!H97</f>
        <v>33225688.088156089</v>
      </c>
      <c r="N9" s="1028">
        <f ca="1">+Budget!I97</f>
        <v>21460662.638504427</v>
      </c>
      <c r="O9" s="1028">
        <f ca="1">+Budget!J97</f>
        <v>11975147.834710708</v>
      </c>
      <c r="P9" s="699"/>
      <c r="Q9" s="699"/>
      <c r="R9" s="699"/>
      <c r="S9" s="699"/>
      <c r="T9" s="699"/>
      <c r="U9" s="699"/>
      <c r="V9" s="699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850">
        <f>+'Parcel Breakdown'!$BP$179</f>
        <v>0</v>
      </c>
      <c r="AT9" s="851">
        <f>$AS9-$AO65</f>
        <v>0</v>
      </c>
      <c r="AU9" s="151"/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151"/>
      <c r="BV9" s="151"/>
      <c r="BW9" s="151"/>
      <c r="BX9" s="151"/>
      <c r="BY9" s="151"/>
      <c r="BZ9" s="151"/>
      <c r="CA9" s="151"/>
    </row>
    <row r="10" spans="1:79" ht="17.45" customHeight="1">
      <c r="A10" s="1047"/>
      <c r="B10" s="232" t="s">
        <v>368</v>
      </c>
      <c r="C10" s="236"/>
      <c r="D10" s="242"/>
      <c r="E10" s="236">
        <f ca="1">+Budget!$H$110-SUM('S&amp;U'!$H$18:$H$22)</f>
        <v>390715109.03584099</v>
      </c>
      <c r="F10" s="236">
        <f ca="1">+Budget!$I$110-SUM('S&amp;U'!$I$18:$I$22)</f>
        <v>279281080.1595825</v>
      </c>
      <c r="G10" s="236">
        <f ca="1">+Budget!$J$110-SUM('S&amp;U'!$J$18:$J$22)</f>
        <v>269103128.42516363</v>
      </c>
      <c r="H10" s="699"/>
      <c r="I10" s="699" t="s">
        <v>363</v>
      </c>
      <c r="J10" s="699"/>
      <c r="K10" s="1027">
        <f ca="1">+$L10/Budget!$G$10</f>
        <v>21.165405717961413</v>
      </c>
      <c r="L10" s="1028">
        <f ca="1">+Budget!G104</f>
        <v>52877977.578703076</v>
      </c>
      <c r="M10" s="1028">
        <f ca="1">+Budget!H104</f>
        <v>21637963.070219036</v>
      </c>
      <c r="N10" s="1028">
        <f ca="1">+Budget!I104</f>
        <v>23043740.800185625</v>
      </c>
      <c r="O10" s="1028">
        <f ca="1">+Budget!J104</f>
        <v>8196273.7082984075</v>
      </c>
      <c r="P10" s="699"/>
      <c r="Q10" s="699"/>
      <c r="R10" s="699"/>
      <c r="S10" s="699"/>
      <c r="T10" s="699"/>
      <c r="U10" s="132"/>
      <c r="V10" s="699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850">
        <f>+'Parcel Breakdown'!$BP$172</f>
        <v>0</v>
      </c>
      <c r="AT10" s="851">
        <f>$AS10-$AO66</f>
        <v>0</v>
      </c>
      <c r="AU10" s="151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151"/>
      <c r="BV10" s="151"/>
      <c r="BW10" s="151"/>
      <c r="BX10" s="151"/>
      <c r="BY10" s="151"/>
      <c r="BZ10" s="151"/>
      <c r="CA10" s="151"/>
    </row>
    <row r="11" spans="1:79" ht="17.45" customHeight="1">
      <c r="A11" s="1047"/>
      <c r="B11" s="237" t="s">
        <v>369</v>
      </c>
      <c r="C11" s="238"/>
      <c r="D11" s="242"/>
      <c r="E11" s="238">
        <f ca="1">+'Loan Sizing'!$F$61+'Loan Sizing'!$F$45+SUM('Loan Sizing'!$F$5:$F$18)</f>
        <v>460091119.27788812</v>
      </c>
      <c r="F11" s="238">
        <f ca="1">+'Loan Sizing'!$G$61+'Loan Sizing'!$G$45+SUM('Loan Sizing'!$G$5:$G$18)</f>
        <v>410977949.05967224</v>
      </c>
      <c r="G11" s="238">
        <f ca="1">+'Loan Sizing'!$H$61+'Loan Sizing'!$H$45+SUM('Loan Sizing'!$H$5:$H$18)</f>
        <v>206287492.70282978</v>
      </c>
      <c r="H11" s="699"/>
      <c r="I11" s="1029" t="s">
        <v>364</v>
      </c>
      <c r="J11" s="1029"/>
      <c r="K11" s="1030">
        <f ca="1">+$L11/Budget!$G$10</f>
        <v>19.11882088056975</v>
      </c>
      <c r="L11" s="1031">
        <f ca="1">+Budget!G108</f>
        <v>47764951.7011659</v>
      </c>
      <c r="M11" s="1031">
        <f ca="1">+Budget!H108</f>
        <v>18352104.384487133</v>
      </c>
      <c r="N11" s="1031">
        <f ca="1">+Budget!I108</f>
        <v>15258747.913810223</v>
      </c>
      <c r="O11" s="1031">
        <f ca="1">+Budget!J108</f>
        <v>14154099.402868543</v>
      </c>
      <c r="P11" s="699"/>
      <c r="Q11" s="699"/>
      <c r="R11" s="699"/>
      <c r="S11" s="699"/>
      <c r="T11" s="699"/>
      <c r="U11" s="699"/>
      <c r="V11" s="699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850">
        <f>+'Parcel Breakdown'!$BP$193</f>
        <v>0</v>
      </c>
      <c r="AT11" s="851">
        <f>$AS11-$AO67</f>
        <v>0</v>
      </c>
      <c r="AU11" s="151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151"/>
      <c r="BV11" s="151"/>
      <c r="BW11" s="151"/>
      <c r="BX11" s="151"/>
      <c r="BY11" s="151"/>
      <c r="BZ11" s="151"/>
      <c r="CA11" s="151"/>
    </row>
    <row r="12" spans="1:79" ht="17.45" customHeight="1">
      <c r="A12" s="1047"/>
      <c r="B12" s="237" t="s">
        <v>370</v>
      </c>
      <c r="C12" s="238"/>
      <c r="D12" s="242"/>
      <c r="E12" s="238">
        <f ca="1">+'Loan Sizing'!F$76</f>
        <v>21120150.213353541</v>
      </c>
      <c r="F12" s="238">
        <f ca="1">+'Loan Sizing'!G$76</f>
        <v>19157271.850348722</v>
      </c>
      <c r="G12" s="238">
        <f ca="1">+'Loan Sizing'!H$76</f>
        <v>19504090.881404951</v>
      </c>
      <c r="H12" s="699"/>
      <c r="I12" s="468" t="s">
        <v>365</v>
      </c>
      <c r="J12" s="468"/>
      <c r="K12" s="470">
        <f ca="1">+$L12/Budget!$G$10</f>
        <v>525.27936433597017</v>
      </c>
      <c r="L12" s="471">
        <f ca="1">+Budget!G110</f>
        <v>1312316466.7872052</v>
      </c>
      <c r="M12" s="471">
        <f ca="1">+Budget!H110</f>
        <v>534688588.8380487</v>
      </c>
      <c r="N12" s="471">
        <f ca="1">+Budget!I110</f>
        <v>401418455.08362806</v>
      </c>
      <c r="O12" s="471">
        <f ca="1">+Budget!J110</f>
        <v>376209422.86552858</v>
      </c>
      <c r="P12" s="699"/>
      <c r="Q12" s="699"/>
      <c r="R12" s="699"/>
      <c r="S12" s="699"/>
      <c r="T12" s="699"/>
      <c r="U12" s="699"/>
      <c r="V12" s="699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850">
        <f>+'Parcel Breakdown'!$BP$186</f>
        <v>0</v>
      </c>
      <c r="AT12" s="851">
        <f>$AS12-$AO68</f>
        <v>0</v>
      </c>
      <c r="AU12" s="15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151"/>
      <c r="BV12" s="151"/>
      <c r="BW12" s="151"/>
      <c r="BX12" s="151"/>
      <c r="BY12" s="151"/>
      <c r="BZ12" s="151"/>
      <c r="CA12" s="151"/>
    </row>
    <row r="13" spans="1:79" ht="17.45" customHeight="1">
      <c r="A13" s="1047"/>
      <c r="B13" s="232" t="s">
        <v>371</v>
      </c>
      <c r="C13" s="233"/>
      <c r="D13" s="120"/>
      <c r="E13" s="233">
        <f ca="1">+'Loan Sizing'!$F$76/Assumptions!$E$10</f>
        <v>5.4055115159153344E-2</v>
      </c>
      <c r="F13" s="233">
        <f ca="1">+'Loan Sizing'!$G$76/Assumptions!$F$10</f>
        <v>6.8594950432740262E-2</v>
      </c>
      <c r="G13" s="233">
        <f ca="1">+'Loan Sizing'!$H$76/Assumptions!$G$10</f>
        <v>7.2478127606862633E-2</v>
      </c>
      <c r="H13" s="699"/>
      <c r="I13" s="274"/>
      <c r="J13" s="274"/>
      <c r="K13" s="274"/>
      <c r="L13" s="274"/>
      <c r="M13" s="274"/>
      <c r="N13" s="274"/>
      <c r="O13" s="274"/>
      <c r="P13" s="699"/>
      <c r="Q13" s="699"/>
      <c r="R13" s="699"/>
      <c r="S13" s="699"/>
      <c r="T13" s="699"/>
      <c r="U13" s="699"/>
      <c r="V13" s="699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</row>
    <row r="14" spans="1:79" ht="17.45" customHeight="1">
      <c r="A14" s="1047"/>
      <c r="B14" s="237" t="s">
        <v>372</v>
      </c>
      <c r="C14" s="239"/>
      <c r="D14" s="120"/>
      <c r="E14" s="239">
        <f ca="1">+'Loan Sizing'!$F$76/Assumptions!E11</f>
        <v>4.5904277062555704E-2</v>
      </c>
      <c r="F14" s="239">
        <f ca="1">+'Loan Sizing'!$G$76/Assumptions!F11</f>
        <v>4.6613867956130095E-2</v>
      </c>
      <c r="G14" s="239">
        <f ca="1">+'Loan Sizing'!$H$76/Assumptions!G11</f>
        <v>9.4548101903113593E-2</v>
      </c>
      <c r="H14" s="699"/>
      <c r="I14" s="699"/>
      <c r="J14" s="699"/>
      <c r="K14" s="699"/>
      <c r="L14" s="699"/>
      <c r="M14" s="699"/>
      <c r="N14" s="699"/>
      <c r="O14" s="699"/>
      <c r="P14" s="699"/>
      <c r="Q14" s="699"/>
      <c r="R14" s="699"/>
      <c r="S14" s="699"/>
      <c r="T14" s="699"/>
      <c r="U14" s="699"/>
      <c r="V14" s="699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</row>
    <row r="15" spans="1:79" ht="17.45" customHeight="1">
      <c r="A15" s="1047"/>
      <c r="B15" s="234" t="s">
        <v>373</v>
      </c>
      <c r="C15" s="235"/>
      <c r="D15" s="244"/>
      <c r="E15" s="283">
        <f ca="1">+(E13-E14)*10000</f>
        <v>81.5083809659764</v>
      </c>
      <c r="F15" s="283">
        <f t="shared" ref="F15:G15" ca="1" si="0">+(F13-F14)*10000</f>
        <v>219.81082476610166</v>
      </c>
      <c r="G15" s="283">
        <f t="shared" ca="1" si="0"/>
        <v>-220.69974296250962</v>
      </c>
      <c r="H15" s="699"/>
      <c r="I15" s="699"/>
      <c r="J15" s="699"/>
      <c r="K15" s="699"/>
      <c r="L15" s="699"/>
      <c r="M15" s="699"/>
      <c r="N15" s="699"/>
      <c r="O15" s="699"/>
      <c r="P15" s="699"/>
      <c r="Q15" s="699"/>
      <c r="R15" s="699"/>
      <c r="S15" s="699"/>
      <c r="T15" s="699"/>
      <c r="U15" s="699"/>
      <c r="V15" s="699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850">
        <f>+'Parcel Breakdown'!$BM$134</f>
        <v>0</v>
      </c>
      <c r="AT15" s="851">
        <f>$AS15-$AO70</f>
        <v>0</v>
      </c>
      <c r="AU15" s="151"/>
      <c r="AV15" s="151"/>
      <c r="AW15" s="151"/>
      <c r="AX15" s="151"/>
      <c r="AY15" s="151"/>
      <c r="AZ15" s="151"/>
      <c r="BA15" s="151"/>
      <c r="BB15" s="151"/>
      <c r="BC15" s="151"/>
      <c r="BD15" s="151"/>
      <c r="BE15" s="151"/>
      <c r="BF15" s="151"/>
      <c r="BG15" s="151"/>
      <c r="BH15" s="151"/>
      <c r="BI15" s="151"/>
      <c r="BJ15" s="151"/>
      <c r="BK15" s="151"/>
      <c r="BL15" s="151"/>
      <c r="BM15" s="151"/>
      <c r="BN15" s="151"/>
      <c r="BO15" s="151"/>
      <c r="BP15" s="151"/>
      <c r="BQ15" s="151"/>
      <c r="BR15" s="151"/>
      <c r="BS15" s="151"/>
      <c r="BT15" s="151"/>
      <c r="BU15" s="151"/>
      <c r="BV15" s="151"/>
      <c r="BW15" s="151"/>
      <c r="BX15" s="151"/>
      <c r="BY15" s="151"/>
      <c r="BZ15" s="151"/>
      <c r="CA15" s="151"/>
    </row>
    <row r="16" spans="1:79" ht="17.45" customHeight="1">
      <c r="A16" s="1047"/>
      <c r="B16" s="231"/>
      <c r="C16" s="120"/>
      <c r="D16" s="120"/>
      <c r="E16" s="120"/>
      <c r="F16" s="120"/>
      <c r="G16" s="120"/>
      <c r="H16" s="699"/>
      <c r="I16" s="699"/>
      <c r="J16" s="472"/>
      <c r="K16" s="699"/>
      <c r="L16" s="699"/>
      <c r="M16" s="699"/>
      <c r="N16" s="699"/>
      <c r="O16" s="699"/>
      <c r="P16" s="699"/>
      <c r="Q16" s="699"/>
      <c r="R16" s="699"/>
      <c r="S16" s="699"/>
      <c r="T16" s="699"/>
      <c r="U16" s="699"/>
      <c r="V16" s="699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850">
        <f>+'Parcel Breakdown'!$BM$127</f>
        <v>0</v>
      </c>
      <c r="AT16" s="851">
        <f>$AS16-$AO71</f>
        <v>0</v>
      </c>
      <c r="AU16" s="151"/>
      <c r="AV16" s="151"/>
      <c r="AW16" s="151"/>
      <c r="AX16" s="151"/>
      <c r="AY16" s="151"/>
      <c r="AZ16" s="151"/>
      <c r="BA16" s="151"/>
      <c r="BB16" s="151"/>
      <c r="BC16" s="151"/>
      <c r="BD16" s="151"/>
      <c r="BE16" s="151"/>
      <c r="BF16" s="151"/>
      <c r="BG16" s="151"/>
      <c r="BH16" s="151"/>
      <c r="BI16" s="151"/>
      <c r="BJ16" s="151"/>
      <c r="BK16" s="151"/>
      <c r="BL16" s="151"/>
      <c r="BM16" s="151"/>
      <c r="BN16" s="151"/>
      <c r="BO16" s="151"/>
      <c r="BP16" s="151"/>
      <c r="BQ16" s="151"/>
      <c r="BR16" s="151"/>
      <c r="BS16" s="151"/>
      <c r="BT16" s="151"/>
      <c r="BU16" s="151"/>
      <c r="BV16" s="151"/>
      <c r="BW16" s="151"/>
      <c r="BX16" s="151"/>
      <c r="BY16" s="151"/>
      <c r="BZ16" s="151"/>
      <c r="CA16" s="151"/>
    </row>
    <row r="17" spans="2:79" ht="17.45" customHeight="1">
      <c r="B17" s="230" t="s">
        <v>379</v>
      </c>
      <c r="C17" s="120"/>
      <c r="D17" s="120"/>
      <c r="E17" s="242" t="s">
        <v>174</v>
      </c>
      <c r="F17" s="242" t="s">
        <v>175</v>
      </c>
      <c r="G17" s="242" t="s">
        <v>176</v>
      </c>
      <c r="H17" s="699"/>
      <c r="I17" s="699"/>
      <c r="J17" s="699"/>
      <c r="K17" s="699"/>
      <c r="L17" s="699"/>
      <c r="M17" s="699"/>
      <c r="N17" s="699"/>
      <c r="O17" s="699"/>
      <c r="P17" s="699"/>
      <c r="Q17" s="699"/>
      <c r="R17" s="699"/>
      <c r="S17" s="699"/>
      <c r="T17" s="699"/>
      <c r="U17" s="699"/>
      <c r="V17" s="699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  <c r="AU17" s="151"/>
      <c r="AV17" s="151"/>
      <c r="AW17" s="151"/>
      <c r="AX17" s="151"/>
      <c r="AY17" s="151"/>
      <c r="AZ17" s="151"/>
      <c r="BA17" s="151"/>
      <c r="BB17" s="151"/>
      <c r="BC17" s="151"/>
      <c r="BD17" s="151"/>
      <c r="BE17" s="151"/>
      <c r="BF17" s="151"/>
      <c r="BG17" s="151"/>
      <c r="BH17" s="151"/>
      <c r="BI17" s="151"/>
      <c r="BJ17" s="151"/>
      <c r="BK17" s="151"/>
      <c r="BL17" s="151"/>
      <c r="BM17" s="151"/>
      <c r="BN17" s="151"/>
      <c r="BO17" s="151"/>
      <c r="BP17" s="151"/>
      <c r="BQ17" s="151"/>
      <c r="BR17" s="151"/>
      <c r="BS17" s="151"/>
      <c r="BT17" s="151"/>
      <c r="BU17" s="151"/>
      <c r="BV17" s="151"/>
      <c r="BW17" s="151"/>
      <c r="BX17" s="151"/>
      <c r="BY17" s="151"/>
      <c r="BZ17" s="151"/>
      <c r="CA17" s="151"/>
    </row>
    <row r="18" spans="2:79" ht="17.45" customHeight="1">
      <c r="B18" s="232" t="s">
        <v>377</v>
      </c>
      <c r="C18" s="233"/>
      <c r="D18" s="120"/>
      <c r="E18" s="233">
        <f ca="1">+'Phase 1 Pro Forma'!$D$369</f>
        <v>8.3632841306258587E-2</v>
      </c>
      <c r="F18" s="233">
        <f ca="1">+'Phase 2 Pro Forma'!$D$423</f>
        <v>0.14216035742914723</v>
      </c>
      <c r="G18" s="233">
        <f ca="1">+'Phase 3 Pro Forma'!$D$621</f>
        <v>0.12666794291558103</v>
      </c>
      <c r="H18" s="699"/>
      <c r="I18" s="699"/>
      <c r="J18" s="699"/>
      <c r="K18" s="699"/>
      <c r="L18" s="699"/>
      <c r="M18" s="699"/>
      <c r="N18" s="699"/>
      <c r="O18" s="699"/>
      <c r="P18" s="699"/>
      <c r="Q18" s="699"/>
      <c r="R18" s="699"/>
      <c r="S18" s="699"/>
      <c r="T18" s="699"/>
      <c r="U18" s="699"/>
      <c r="V18" s="699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  <c r="AU18" s="151"/>
      <c r="AV18" s="151"/>
      <c r="AW18" s="151"/>
      <c r="AX18" s="151"/>
      <c r="AY18" s="151"/>
      <c r="AZ18" s="151"/>
      <c r="BA18" s="151"/>
      <c r="BB18" s="151"/>
      <c r="BC18" s="151"/>
      <c r="BD18" s="151"/>
      <c r="BE18" s="151"/>
      <c r="BF18" s="151"/>
      <c r="BG18" s="151"/>
      <c r="BH18" s="151"/>
      <c r="BI18" s="151"/>
      <c r="BJ18" s="151"/>
      <c r="BK18" s="151"/>
      <c r="BL18" s="151"/>
      <c r="BM18" s="151"/>
      <c r="BN18" s="151"/>
      <c r="BO18" s="151"/>
      <c r="BP18" s="151"/>
      <c r="BQ18" s="151"/>
      <c r="BR18" s="151"/>
      <c r="BS18" s="151"/>
      <c r="BT18" s="151"/>
      <c r="BU18" s="151"/>
      <c r="BV18" s="151"/>
      <c r="BW18" s="151"/>
      <c r="BX18" s="151"/>
      <c r="BY18" s="151"/>
      <c r="BZ18" s="151"/>
      <c r="CA18" s="151"/>
    </row>
    <row r="19" spans="2:79" ht="17.45" customHeight="1">
      <c r="B19" s="237" t="s">
        <v>378</v>
      </c>
      <c r="C19" s="239"/>
      <c r="D19" s="120"/>
      <c r="E19" s="239">
        <f ca="1">+'Phase 1 Pro Forma'!$D$327</f>
        <v>0.12496530232341252</v>
      </c>
      <c r="F19" s="239">
        <f ca="1">+'Phase 2 Pro Forma'!$D$381</f>
        <v>0.39038561957097051</v>
      </c>
      <c r="G19" s="239">
        <f ca="1">+'Phase 3 Pro Forma'!$D$579</f>
        <v>0.15442094215274849</v>
      </c>
      <c r="H19" s="699"/>
      <c r="I19" s="699"/>
      <c r="J19" s="699"/>
      <c r="K19" s="513"/>
      <c r="L19" s="699"/>
      <c r="M19" s="699"/>
      <c r="N19" s="514"/>
      <c r="O19" s="699"/>
      <c r="P19" s="699"/>
      <c r="Q19" s="699"/>
      <c r="R19" s="699"/>
      <c r="S19" s="699"/>
      <c r="T19" s="699"/>
      <c r="U19" s="699"/>
      <c r="V19" s="699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  <c r="AU19" s="151"/>
      <c r="AV19" s="151"/>
      <c r="AW19" s="151"/>
      <c r="AX19" s="151"/>
      <c r="AY19" s="151"/>
      <c r="AZ19" s="151"/>
      <c r="BA19" s="151"/>
      <c r="BB19" s="151"/>
      <c r="BC19" s="151"/>
      <c r="BD19" s="151"/>
      <c r="BE19" s="151"/>
      <c r="BF19" s="151"/>
      <c r="BG19" s="151"/>
      <c r="BH19" s="151"/>
      <c r="BI19" s="151"/>
      <c r="BJ19" s="151"/>
      <c r="BK19" s="151"/>
      <c r="BL19" s="151"/>
      <c r="BM19" s="151"/>
      <c r="BN19" s="151"/>
      <c r="BO19" s="151"/>
      <c r="BP19" s="151"/>
      <c r="BQ19" s="151"/>
      <c r="BR19" s="151"/>
      <c r="BS19" s="151"/>
      <c r="BT19" s="151"/>
      <c r="BU19" s="151"/>
      <c r="BV19" s="151"/>
      <c r="BW19" s="151"/>
      <c r="BX19" s="151"/>
      <c r="BY19" s="151"/>
      <c r="BZ19" s="151"/>
      <c r="CA19" s="151"/>
    </row>
    <row r="20" spans="2:79" ht="17.45" customHeight="1">
      <c r="B20" s="234" t="s">
        <v>382</v>
      </c>
      <c r="C20" s="235"/>
      <c r="D20" s="120"/>
      <c r="E20" s="240">
        <f ca="1">+'Phase 1 Pro Forma'!$D$371</f>
        <v>1.9552557742765679</v>
      </c>
      <c r="F20" s="240">
        <f ca="1">+'Phase 2 Pro Forma'!$D$425</f>
        <v>2.1505565071374253</v>
      </c>
      <c r="G20" s="240">
        <f ca="1">+'Phase 3 Pro Forma'!$D$623</f>
        <v>1.6449346210385154</v>
      </c>
      <c r="H20" s="699"/>
      <c r="I20" s="699"/>
      <c r="J20" s="699"/>
      <c r="K20" s="699"/>
      <c r="L20" s="699"/>
      <c r="M20" s="699"/>
      <c r="N20" s="699"/>
      <c r="O20" s="699"/>
      <c r="P20" s="699"/>
      <c r="Q20" s="699"/>
      <c r="R20" s="699"/>
      <c r="S20" s="699"/>
      <c r="T20" s="699"/>
      <c r="U20" s="699"/>
      <c r="V20" s="699"/>
      <c r="W20" s="151"/>
      <c r="X20" s="151"/>
      <c r="Y20" s="151"/>
      <c r="Z20" s="151"/>
      <c r="AA20" s="847" t="s">
        <v>514</v>
      </c>
      <c r="AB20" s="151"/>
      <c r="AC20" s="151"/>
      <c r="AD20" s="732"/>
      <c r="AE20" s="729">
        <f>+'Parcel Breakdown'!AJ59</f>
        <v>0</v>
      </c>
      <c r="AF20" s="729">
        <f>+'Parcel Breakdown'!AJ60</f>
        <v>0</v>
      </c>
      <c r="AG20" s="729">
        <f>+'Parcel Breakdown'!AJ61</f>
        <v>0</v>
      </c>
      <c r="AH20" s="151"/>
      <c r="AI20" s="151"/>
      <c r="AJ20" s="745">
        <v>0</v>
      </c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  <c r="AU20" s="151"/>
      <c r="AV20" s="151"/>
      <c r="AW20" s="151"/>
      <c r="AX20" s="151"/>
      <c r="AY20" s="151"/>
      <c r="AZ20" s="151"/>
      <c r="BA20" s="151"/>
      <c r="BB20" s="151"/>
      <c r="BC20" s="151"/>
      <c r="BD20" s="151"/>
      <c r="BE20" s="151"/>
      <c r="BF20" s="151"/>
      <c r="BG20" s="151"/>
      <c r="BH20" s="151"/>
      <c r="BI20" s="151"/>
      <c r="BJ20" s="151"/>
      <c r="BK20" s="151"/>
      <c r="BL20" s="151"/>
      <c r="BM20" s="151"/>
      <c r="BN20" s="151"/>
      <c r="BO20" s="151"/>
      <c r="BP20" s="151"/>
      <c r="BQ20" s="151"/>
      <c r="BR20" s="151"/>
      <c r="BS20" s="151"/>
      <c r="BT20" s="151"/>
      <c r="BU20" s="151"/>
      <c r="BV20" s="151"/>
      <c r="BW20" s="151"/>
      <c r="BX20" s="151"/>
      <c r="BY20" s="151"/>
      <c r="BZ20" s="151"/>
      <c r="CA20" s="151"/>
    </row>
    <row r="21" spans="2:79" ht="17.45" customHeight="1">
      <c r="B21" s="699"/>
      <c r="C21" s="699"/>
      <c r="D21" s="699"/>
      <c r="E21" s="699"/>
      <c r="F21" s="699"/>
      <c r="G21" s="699"/>
      <c r="H21" s="699"/>
      <c r="I21" s="699"/>
      <c r="J21" s="699"/>
      <c r="K21" s="699"/>
      <c r="L21" s="699"/>
      <c r="M21" s="699"/>
      <c r="N21" s="699"/>
      <c r="O21" s="699"/>
      <c r="P21" s="699"/>
      <c r="Q21" s="699"/>
      <c r="R21" s="699"/>
      <c r="S21" s="699"/>
      <c r="T21" s="699"/>
      <c r="U21" s="699"/>
      <c r="V21" s="699"/>
      <c r="W21" s="151"/>
      <c r="X21" s="151"/>
      <c r="Y21" s="151"/>
      <c r="Z21" s="151"/>
      <c r="AA21" s="685" t="s">
        <v>515</v>
      </c>
      <c r="AB21" s="151"/>
      <c r="AC21" s="151"/>
      <c r="AD21" s="730"/>
      <c r="AE21" s="731">
        <f>+$E77</f>
        <v>499</v>
      </c>
      <c r="AF21" s="731">
        <f>+$E77</f>
        <v>499</v>
      </c>
      <c r="AG21" s="731">
        <f>+$E77</f>
        <v>499</v>
      </c>
      <c r="AH21" s="151"/>
      <c r="AI21" s="151"/>
      <c r="AJ21" s="745">
        <f>+AJ20+1</f>
        <v>1</v>
      </c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  <c r="AU21" s="151"/>
      <c r="AV21" s="151"/>
      <c r="AW21" s="151"/>
      <c r="AX21" s="151"/>
      <c r="AY21" s="151"/>
      <c r="AZ21" s="151"/>
      <c r="BA21" s="151"/>
      <c r="BB21" s="151"/>
      <c r="BC21" s="151"/>
      <c r="BD21" s="151"/>
      <c r="BE21" s="151"/>
      <c r="BF21" s="151"/>
      <c r="BG21" s="151"/>
      <c r="BH21" s="151"/>
      <c r="BI21" s="151"/>
      <c r="BJ21" s="151"/>
      <c r="BK21" s="151"/>
      <c r="BL21" s="151"/>
      <c r="BM21" s="151"/>
      <c r="BN21" s="151"/>
      <c r="BO21" s="151"/>
      <c r="BP21" s="151"/>
      <c r="BQ21" s="151"/>
      <c r="BR21" s="151"/>
      <c r="BS21" s="151"/>
      <c r="BT21" s="151"/>
      <c r="BU21" s="151"/>
      <c r="BV21" s="151"/>
      <c r="BW21" s="151"/>
      <c r="BX21" s="151"/>
      <c r="BY21" s="151"/>
      <c r="BZ21" s="151"/>
      <c r="CA21" s="151"/>
    </row>
    <row r="22" spans="2:79" ht="17.45" customHeight="1">
      <c r="B22" s="699"/>
      <c r="C22" s="699"/>
      <c r="D22" s="699"/>
      <c r="E22" s="699"/>
      <c r="F22" s="699"/>
      <c r="G22" s="699"/>
      <c r="H22" s="699"/>
      <c r="I22" s="699"/>
      <c r="J22" s="699"/>
      <c r="K22" s="699"/>
      <c r="L22" s="699"/>
      <c r="M22" s="699"/>
      <c r="N22" s="699"/>
      <c r="O22" s="699"/>
      <c r="P22" s="699"/>
      <c r="Q22" s="699"/>
      <c r="R22" s="699"/>
      <c r="S22" s="699"/>
      <c r="T22" s="699"/>
      <c r="U22" s="699"/>
      <c r="V22" s="699"/>
      <c r="W22" s="151"/>
      <c r="X22" s="151"/>
      <c r="Y22" s="151"/>
      <c r="Z22" s="151"/>
      <c r="AA22" s="685" t="s">
        <v>268</v>
      </c>
      <c r="AB22" s="151"/>
      <c r="AC22" s="151"/>
      <c r="AD22" s="717"/>
      <c r="AE22" s="686">
        <f>(AE23*12)/AE21</f>
        <v>18.084168336673347</v>
      </c>
      <c r="AF22" s="686">
        <f>(AF23*12)/AF21</f>
        <v>19.191064112224449</v>
      </c>
      <c r="AG22" s="686">
        <f>(AG23*12)/AG21</f>
        <v>19.966383102358318</v>
      </c>
      <c r="AH22" s="151"/>
      <c r="AI22" s="151"/>
      <c r="AJ22" s="745">
        <f t="shared" ref="AJ22:AJ36" si="1">+AJ21+1</f>
        <v>2</v>
      </c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  <c r="AU22" s="151"/>
      <c r="AV22" s="151"/>
      <c r="AW22" s="151"/>
      <c r="AX22" s="151"/>
      <c r="AY22" s="151"/>
      <c r="AZ22" s="151"/>
      <c r="BA22" s="151"/>
      <c r="BB22" s="151"/>
      <c r="BC22" s="151"/>
      <c r="BD22" s="151"/>
      <c r="BE22" s="151"/>
      <c r="BF22" s="151"/>
      <c r="BG22" s="151"/>
      <c r="BH22" s="151"/>
      <c r="BI22" s="151"/>
      <c r="BJ22" s="151"/>
      <c r="BK22" s="151"/>
      <c r="BL22" s="151"/>
      <c r="BM22" s="151"/>
      <c r="BN22" s="151"/>
      <c r="BO22" s="151"/>
      <c r="BP22" s="151"/>
      <c r="BQ22" s="151"/>
      <c r="BR22" s="151"/>
      <c r="BS22" s="151"/>
      <c r="BT22" s="151"/>
      <c r="BU22" s="151"/>
      <c r="BV22" s="151"/>
      <c r="BW22" s="151"/>
      <c r="BX22" s="151"/>
      <c r="BY22" s="151"/>
      <c r="BZ22" s="151"/>
      <c r="CA22" s="151"/>
    </row>
    <row r="23" spans="2:79" ht="17.45" customHeight="1">
      <c r="B23" s="699"/>
      <c r="C23" s="132"/>
      <c r="D23" s="699"/>
      <c r="E23" s="699"/>
      <c r="F23" s="699"/>
      <c r="G23" s="699"/>
      <c r="H23" s="699"/>
      <c r="I23" s="699"/>
      <c r="J23" s="699"/>
      <c r="K23" s="699"/>
      <c r="L23" s="699"/>
      <c r="M23" s="699"/>
      <c r="N23" s="699"/>
      <c r="O23" s="699"/>
      <c r="P23" s="699"/>
      <c r="Q23" s="699"/>
      <c r="R23" s="699"/>
      <c r="S23" s="699"/>
      <c r="T23" s="699"/>
      <c r="U23" s="699"/>
      <c r="V23" s="699"/>
      <c r="W23" s="151"/>
      <c r="X23" s="151"/>
      <c r="Y23" s="151"/>
      <c r="Z23" s="151"/>
      <c r="AA23" s="685" t="s">
        <v>516</v>
      </c>
      <c r="AB23" s="151"/>
      <c r="AC23" s="151"/>
      <c r="AD23" s="732">
        <v>752</v>
      </c>
      <c r="AE23" s="731">
        <f>+AD23</f>
        <v>752</v>
      </c>
      <c r="AF23" s="731">
        <f>+$AE23*(1+0.02)^G$36</f>
        <v>798.02841599999999</v>
      </c>
      <c r="AG23" s="731">
        <f>+$AE23*(1+0.02)^H$36</f>
        <v>830.26876400640003</v>
      </c>
      <c r="AH23" s="151"/>
      <c r="AI23" s="151"/>
      <c r="AJ23" s="745">
        <f t="shared" si="1"/>
        <v>3</v>
      </c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  <c r="AU23" s="151"/>
      <c r="AV23" s="151"/>
      <c r="AW23" s="151"/>
      <c r="AX23" s="151"/>
      <c r="AY23" s="151"/>
      <c r="AZ23" s="151"/>
      <c r="BA23" s="151"/>
      <c r="BB23" s="151"/>
      <c r="BC23" s="151"/>
      <c r="BD23" s="151"/>
      <c r="BE23" s="151"/>
      <c r="BF23" s="151"/>
      <c r="BG23" s="151"/>
      <c r="BH23" s="151"/>
      <c r="BI23" s="151"/>
      <c r="BJ23" s="151"/>
      <c r="BK23" s="151"/>
      <c r="BL23" s="151"/>
      <c r="BM23" s="151"/>
      <c r="BN23" s="151"/>
      <c r="BO23" s="151"/>
      <c r="BP23" s="151"/>
      <c r="BQ23" s="151"/>
      <c r="BR23" s="151"/>
      <c r="BS23" s="151"/>
      <c r="BT23" s="151"/>
      <c r="BU23" s="151"/>
      <c r="BV23" s="151"/>
      <c r="BW23" s="151"/>
      <c r="BX23" s="151"/>
      <c r="BY23" s="151"/>
      <c r="BZ23" s="151"/>
      <c r="CA23" s="151"/>
    </row>
    <row r="24" spans="2:79" ht="19.5" customHeight="1">
      <c r="B24" s="699"/>
      <c r="C24" s="132"/>
      <c r="D24" s="699"/>
      <c r="E24" s="699"/>
      <c r="F24" s="699"/>
      <c r="G24" s="699"/>
      <c r="H24" s="699"/>
      <c r="I24" s="699"/>
      <c r="J24" s="699"/>
      <c r="K24" s="699"/>
      <c r="L24" s="699"/>
      <c r="M24" s="699"/>
      <c r="N24" s="699"/>
      <c r="O24" s="699"/>
      <c r="P24" s="699"/>
      <c r="Q24" s="699"/>
      <c r="R24" s="699"/>
      <c r="S24" s="699"/>
      <c r="T24" s="699"/>
      <c r="U24" s="5"/>
      <c r="V24" s="699"/>
      <c r="W24" s="151"/>
      <c r="X24" s="151"/>
      <c r="Y24" s="151"/>
      <c r="Z24" s="151"/>
      <c r="AA24" s="847" t="s">
        <v>272</v>
      </c>
      <c r="AB24" s="151"/>
      <c r="AC24" s="151"/>
      <c r="AD24" s="717"/>
      <c r="AE24" s="717">
        <f>+'Parcel Breakdown'!AL59</f>
        <v>0</v>
      </c>
      <c r="AF24" s="717">
        <f>+'Parcel Breakdown'!AL60</f>
        <v>0</v>
      </c>
      <c r="AG24" s="717">
        <f>+'Parcel Breakdown'!AL61</f>
        <v>0</v>
      </c>
      <c r="AH24" s="151"/>
      <c r="AI24" s="151"/>
      <c r="AJ24" s="745">
        <f t="shared" si="1"/>
        <v>4</v>
      </c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  <c r="AU24" s="151"/>
      <c r="AV24" s="151"/>
      <c r="AW24" s="151"/>
      <c r="AX24" s="151"/>
      <c r="AY24" s="151"/>
      <c r="AZ24" s="151"/>
      <c r="BA24" s="151"/>
      <c r="BB24" s="151"/>
      <c r="BC24" s="151"/>
      <c r="BD24" s="151"/>
      <c r="BE24" s="151"/>
      <c r="BF24" s="151"/>
      <c r="BG24" s="151"/>
      <c r="BH24" s="151"/>
      <c r="BI24" s="151"/>
      <c r="BJ24" s="151"/>
      <c r="BK24" s="151"/>
      <c r="BL24" s="151"/>
      <c r="BM24" s="151"/>
      <c r="BN24" s="151"/>
      <c r="BO24" s="151"/>
      <c r="BP24" s="151"/>
      <c r="BQ24" s="151"/>
      <c r="BR24" s="151"/>
      <c r="BS24" s="151"/>
      <c r="BT24" s="151"/>
      <c r="BU24" s="151"/>
      <c r="BV24" s="151"/>
      <c r="BW24" s="151"/>
      <c r="BX24" s="151"/>
      <c r="BY24" s="151"/>
      <c r="BZ24" s="151"/>
      <c r="CA24" s="151"/>
    </row>
    <row r="25" spans="2:79" ht="15" customHeight="1" thickBot="1">
      <c r="B25" s="699"/>
      <c r="C25" s="699"/>
      <c r="D25" s="699"/>
      <c r="E25" s="699"/>
      <c r="F25" s="1121" t="s">
        <v>254</v>
      </c>
      <c r="G25" s="1121"/>
      <c r="H25" s="1121"/>
      <c r="I25" s="699"/>
      <c r="J25" s="1121" t="s">
        <v>517</v>
      </c>
      <c r="K25" s="1121"/>
      <c r="L25" s="1121"/>
      <c r="M25" s="349" t="s">
        <v>319</v>
      </c>
      <c r="N25" s="349" t="str">
        <f>+F$26</f>
        <v>I</v>
      </c>
      <c r="O25" s="349" t="str">
        <f>+G$26</f>
        <v>II</v>
      </c>
      <c r="P25" s="349" t="str">
        <f>+H$26</f>
        <v>III</v>
      </c>
      <c r="Q25" s="699"/>
      <c r="R25" s="699"/>
      <c r="S25" s="699"/>
      <c r="T25" s="699"/>
      <c r="U25" s="5"/>
      <c r="V25" s="699"/>
      <c r="W25" s="151"/>
      <c r="X25" s="151"/>
      <c r="Y25" s="151"/>
      <c r="Z25" s="151"/>
      <c r="AA25" s="685" t="s">
        <v>515</v>
      </c>
      <c r="AB25" s="151"/>
      <c r="AC25" s="151"/>
      <c r="AD25" s="730"/>
      <c r="AE25" s="731">
        <f>+$E81</f>
        <v>694</v>
      </c>
      <c r="AF25" s="731">
        <f>+$E81</f>
        <v>694</v>
      </c>
      <c r="AG25" s="731">
        <f>+$E81</f>
        <v>694</v>
      </c>
      <c r="AH25" s="151"/>
      <c r="AI25" s="151"/>
      <c r="AJ25" s="745">
        <f t="shared" si="1"/>
        <v>5</v>
      </c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  <c r="AU25" s="151"/>
      <c r="AV25" s="151"/>
      <c r="AW25" s="151"/>
      <c r="AX25" s="151"/>
      <c r="AY25" s="151"/>
      <c r="AZ25" s="151"/>
      <c r="BA25" s="151"/>
      <c r="BB25" s="151"/>
      <c r="BC25" s="151"/>
      <c r="BD25" s="151"/>
      <c r="BE25" s="151"/>
      <c r="BF25" s="151"/>
      <c r="BG25" s="151"/>
      <c r="BH25" s="151"/>
      <c r="BI25" s="151"/>
      <c r="BJ25" s="151"/>
      <c r="BK25" s="151"/>
      <c r="BL25" s="151"/>
      <c r="BM25" s="151"/>
      <c r="BN25" s="151"/>
      <c r="BO25" s="151"/>
      <c r="BP25" s="151"/>
      <c r="BQ25" s="151"/>
      <c r="BR25" s="151"/>
      <c r="BS25" s="151"/>
      <c r="BT25" s="151"/>
      <c r="BU25" s="151"/>
      <c r="BV25" s="151"/>
      <c r="BW25" s="151"/>
      <c r="BX25" s="151"/>
      <c r="BY25" s="151"/>
      <c r="BZ25" s="151"/>
      <c r="CA25" s="151"/>
    </row>
    <row r="26" spans="2:79" ht="24.75" customHeight="1" thickBot="1">
      <c r="B26" s="1121" t="s">
        <v>518</v>
      </c>
      <c r="C26" s="1121"/>
      <c r="D26" s="699"/>
      <c r="E26" s="349" t="s">
        <v>319</v>
      </c>
      <c r="F26" s="354" t="s">
        <v>255</v>
      </c>
      <c r="G26" s="354" t="s">
        <v>256</v>
      </c>
      <c r="H26" s="354" t="s">
        <v>257</v>
      </c>
      <c r="I26" s="699"/>
      <c r="J26" s="132" t="s">
        <v>519</v>
      </c>
      <c r="K26" s="699"/>
      <c r="L26" s="699"/>
      <c r="M26" s="355"/>
      <c r="N26" s="1048"/>
      <c r="O26" s="1048"/>
      <c r="P26" s="1048"/>
      <c r="Q26" s="699"/>
      <c r="R26" s="356" t="s">
        <v>520</v>
      </c>
      <c r="S26" s="699"/>
      <c r="T26" s="699"/>
      <c r="U26" s="5"/>
      <c r="V26" s="699"/>
      <c r="W26" s="151"/>
      <c r="X26" s="151"/>
      <c r="Y26" s="151"/>
      <c r="Z26" s="151"/>
      <c r="AA26" s="685" t="s">
        <v>268</v>
      </c>
      <c r="AB26" s="151"/>
      <c r="AC26" s="151"/>
      <c r="AD26" s="717"/>
      <c r="AE26" s="686">
        <f>(AE27*12)/AE25</f>
        <v>14.870317002881844</v>
      </c>
      <c r="AF26" s="686">
        <f t="shared" ref="AF26" si="2">(AF27*12)/AF25</f>
        <v>15.780499365994237</v>
      </c>
      <c r="AG26" s="686">
        <f t="shared" ref="AG26" si="3">(AG27*12)/AG25</f>
        <v>16.418031540380404</v>
      </c>
      <c r="AH26" s="151"/>
      <c r="AI26" s="151"/>
      <c r="AJ26" s="745">
        <f t="shared" si="1"/>
        <v>6</v>
      </c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  <c r="AU26" s="151"/>
      <c r="AV26" s="151"/>
      <c r="AW26" s="151"/>
      <c r="AX26" s="151"/>
      <c r="AY26" s="151"/>
      <c r="AZ26" s="151"/>
      <c r="BA26" s="151"/>
      <c r="BB26" s="151"/>
      <c r="BC26" s="151"/>
      <c r="BD26" s="151"/>
      <c r="BE26" s="151"/>
      <c r="BF26" s="151"/>
      <c r="BG26" s="151"/>
      <c r="BH26" s="151"/>
      <c r="BI26" s="151"/>
      <c r="BJ26" s="151"/>
      <c r="BK26" s="151"/>
      <c r="BL26" s="151"/>
      <c r="BM26" s="151"/>
      <c r="BN26" s="151"/>
      <c r="BO26" s="151"/>
      <c r="BP26" s="151"/>
      <c r="BQ26" s="151"/>
      <c r="BR26" s="151"/>
      <c r="BS26" s="151"/>
      <c r="BT26" s="151"/>
      <c r="BU26" s="151"/>
      <c r="BV26" s="151"/>
      <c r="BW26" s="151"/>
      <c r="BX26" s="151"/>
      <c r="BY26" s="151"/>
      <c r="BZ26" s="151"/>
      <c r="CA26" s="151"/>
    </row>
    <row r="27" spans="2:79" ht="17.45" customHeight="1">
      <c r="B27" s="699" t="s">
        <v>521</v>
      </c>
      <c r="C27" s="699"/>
      <c r="D27" s="699"/>
      <c r="E27" s="1049">
        <f>+MIN(F27:H27)</f>
        <v>45291</v>
      </c>
      <c r="F27" s="885">
        <v>45291</v>
      </c>
      <c r="G27" s="885">
        <v>46387</v>
      </c>
      <c r="H27" s="885">
        <v>47118</v>
      </c>
      <c r="I27" s="699"/>
      <c r="J27" s="758" t="s">
        <v>322</v>
      </c>
      <c r="K27" s="699"/>
      <c r="L27" s="699"/>
      <c r="M27" s="355">
        <f>+SUM(N27:P27)</f>
        <v>357600.348</v>
      </c>
      <c r="N27" s="1048">
        <f>+F$70</f>
        <v>168356.66399999999</v>
      </c>
      <c r="O27" s="1048">
        <f>+G$70</f>
        <v>122223.78</v>
      </c>
      <c r="P27" s="1048">
        <f>+H$70</f>
        <v>67019.90400000001</v>
      </c>
      <c r="Q27" s="1050"/>
      <c r="R27" s="358">
        <f ca="1">+OFFSET('Parcel Breakdown'!$AJ$43,0,Assumptions!$AJ20)</f>
        <v>357600.348</v>
      </c>
      <c r="S27" s="359">
        <f ca="1">$M27-$R27</f>
        <v>0</v>
      </c>
      <c r="T27" s="699"/>
      <c r="U27" s="5"/>
      <c r="V27" s="699"/>
      <c r="W27" s="151"/>
      <c r="X27" s="151"/>
      <c r="Y27" s="151"/>
      <c r="Z27" s="151"/>
      <c r="AA27" s="685" t="s">
        <v>516</v>
      </c>
      <c r="AB27" s="151"/>
      <c r="AC27" s="151"/>
      <c r="AD27" s="732">
        <v>860</v>
      </c>
      <c r="AE27" s="731">
        <f>$AD27</f>
        <v>860</v>
      </c>
      <c r="AF27" s="731">
        <f>+$AE27*(1+0.02)^G$36</f>
        <v>912.63887999999997</v>
      </c>
      <c r="AG27" s="731">
        <f>+$AE27*(1+0.02)^H$36</f>
        <v>949.50949075200003</v>
      </c>
      <c r="AH27" s="151"/>
      <c r="AI27" s="151"/>
      <c r="AJ27" s="745">
        <f>+AJ26+1</f>
        <v>7</v>
      </c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  <c r="AU27" s="151"/>
      <c r="AV27" s="151"/>
      <c r="AW27" s="151"/>
      <c r="AX27" s="151"/>
      <c r="AY27" s="151"/>
      <c r="AZ27" s="151"/>
      <c r="BA27" s="151"/>
      <c r="BB27" s="151"/>
      <c r="BC27" s="151"/>
      <c r="BD27" s="151"/>
      <c r="BE27" s="151"/>
      <c r="BF27" s="151"/>
      <c r="BG27" s="151"/>
      <c r="BH27" s="151"/>
      <c r="BI27" s="151"/>
      <c r="BJ27" s="151"/>
      <c r="BK27" s="151"/>
      <c r="BL27" s="151"/>
      <c r="BM27" s="151"/>
      <c r="BN27" s="151"/>
      <c r="BO27" s="151"/>
      <c r="BP27" s="151"/>
      <c r="BQ27" s="151"/>
      <c r="BR27" s="151"/>
      <c r="BS27" s="151"/>
      <c r="BT27" s="151"/>
      <c r="BU27" s="151"/>
      <c r="BV27" s="151"/>
      <c r="BW27" s="151"/>
      <c r="BX27" s="151"/>
      <c r="BY27" s="151"/>
      <c r="BZ27" s="151"/>
      <c r="CA27" s="151"/>
    </row>
    <row r="28" spans="2:79" ht="17.45" customHeight="1">
      <c r="B28" s="699" t="s">
        <v>522</v>
      </c>
      <c r="C28" s="699"/>
      <c r="D28" s="699"/>
      <c r="E28" s="699"/>
      <c r="F28" s="886">
        <v>12</v>
      </c>
      <c r="G28" s="886">
        <v>12</v>
      </c>
      <c r="H28" s="886">
        <v>12</v>
      </c>
      <c r="I28" s="699"/>
      <c r="J28" s="758" t="s">
        <v>325</v>
      </c>
      <c r="K28" s="699"/>
      <c r="L28" s="699"/>
      <c r="M28" s="355">
        <f t="shared" ref="M28" si="4">+SUM(N28:P28)</f>
        <v>536400.522</v>
      </c>
      <c r="N28" s="1048">
        <f>+F$93</f>
        <v>252534.99599999998</v>
      </c>
      <c r="O28" s="1048">
        <f>+G$93</f>
        <v>183335.66999999995</v>
      </c>
      <c r="P28" s="1048">
        <f>+H$93</f>
        <v>100529.856</v>
      </c>
      <c r="Q28" s="1050"/>
      <c r="R28" s="358">
        <f ca="1">+OFFSET('Parcel Breakdown'!$AJ$43,0,Assumptions!$AJ21)</f>
        <v>536400.522</v>
      </c>
      <c r="S28" s="359">
        <f t="shared" ref="S28:S34" ca="1" si="5">$M28-$R28</f>
        <v>0</v>
      </c>
      <c r="T28" s="699"/>
      <c r="U28" s="5"/>
      <c r="V28" s="699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745">
        <f t="shared" si="1"/>
        <v>8</v>
      </c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  <c r="AU28" s="151"/>
      <c r="AV28" s="151"/>
      <c r="AW28" s="151"/>
      <c r="AX28" s="151"/>
      <c r="AY28" s="151"/>
      <c r="AZ28" s="151"/>
      <c r="BA28" s="151"/>
      <c r="BB28" s="151"/>
      <c r="BC28" s="151"/>
      <c r="BD28" s="151"/>
      <c r="BE28" s="151"/>
      <c r="BF28" s="151"/>
      <c r="BG28" s="151"/>
      <c r="BH28" s="151"/>
      <c r="BI28" s="151"/>
      <c r="BJ28" s="151"/>
      <c r="BK28" s="151"/>
      <c r="BL28" s="151"/>
      <c r="BM28" s="151"/>
      <c r="BN28" s="151"/>
      <c r="BO28" s="151"/>
      <c r="BP28" s="151"/>
      <c r="BQ28" s="151"/>
      <c r="BR28" s="151"/>
      <c r="BS28" s="151"/>
      <c r="BT28" s="151"/>
      <c r="BU28" s="151"/>
      <c r="BV28" s="151"/>
      <c r="BW28" s="151"/>
      <c r="BX28" s="151"/>
      <c r="BY28" s="151"/>
      <c r="BZ28" s="151"/>
      <c r="CA28" s="151"/>
    </row>
    <row r="29" spans="2:79" ht="17.45" customHeight="1">
      <c r="B29" s="699" t="s">
        <v>260</v>
      </c>
      <c r="C29" s="699"/>
      <c r="D29" s="699"/>
      <c r="E29" s="699"/>
      <c r="F29" s="1051">
        <f>EDATE(F27,F28)</f>
        <v>45657</v>
      </c>
      <c r="G29" s="1051">
        <f t="shared" ref="G29:H29" si="6">EOMONTH(G27,G28)</f>
        <v>46752</v>
      </c>
      <c r="H29" s="1051">
        <f t="shared" si="6"/>
        <v>47483</v>
      </c>
      <c r="I29" s="699"/>
      <c r="J29" s="758" t="s">
        <v>337</v>
      </c>
      <c r="K29" s="699"/>
      <c r="L29" s="699"/>
      <c r="M29" s="355">
        <f>+SUM(N29:P29)</f>
        <v>71214.337500000009</v>
      </c>
      <c r="N29" s="1048">
        <f>+F$137</f>
        <v>25053.075000000004</v>
      </c>
      <c r="O29" s="1048">
        <f>+G$137</f>
        <v>18188.0625</v>
      </c>
      <c r="P29" s="1048">
        <f>+H$137</f>
        <v>27973.200000000001</v>
      </c>
      <c r="Q29" s="699"/>
      <c r="R29" s="358">
        <f>'Parcel Breakdown'!AL43</f>
        <v>71214.337499999994</v>
      </c>
      <c r="S29" s="360">
        <f>$M29-$R29</f>
        <v>0</v>
      </c>
      <c r="T29" s="699"/>
      <c r="U29" s="5"/>
      <c r="V29" s="699"/>
      <c r="W29" s="151"/>
      <c r="X29" s="151"/>
      <c r="Y29" s="151"/>
      <c r="Z29" s="151"/>
      <c r="AA29" s="847" t="s">
        <v>523</v>
      </c>
      <c r="AB29" s="151"/>
      <c r="AC29" s="151"/>
      <c r="AD29" s="717"/>
      <c r="AE29" s="729">
        <f>+'Parcel Breakdown'!AW59</f>
        <v>0</v>
      </c>
      <c r="AF29" s="729">
        <f>+'Parcel Breakdown'!AW60</f>
        <v>0</v>
      </c>
      <c r="AG29" s="729">
        <f>+'Parcel Breakdown'!AW61</f>
        <v>0</v>
      </c>
      <c r="AH29" s="151"/>
      <c r="AI29" s="151"/>
      <c r="AJ29" s="745">
        <f t="shared" si="1"/>
        <v>9</v>
      </c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  <c r="AU29" s="151"/>
      <c r="AV29" s="151"/>
      <c r="AW29" s="151"/>
      <c r="AX29" s="151"/>
      <c r="AY29" s="151"/>
      <c r="AZ29" s="151"/>
      <c r="BA29" s="151"/>
      <c r="BB29" s="151"/>
      <c r="BC29" s="151"/>
      <c r="BD29" s="151"/>
      <c r="BE29" s="151"/>
      <c r="BF29" s="151"/>
      <c r="BG29" s="151"/>
      <c r="BH29" s="151"/>
      <c r="BI29" s="151"/>
      <c r="BJ29" s="151"/>
      <c r="BK29" s="151"/>
      <c r="BL29" s="151"/>
      <c r="BM29" s="151"/>
      <c r="BN29" s="151"/>
      <c r="BO29" s="151"/>
      <c r="BP29" s="151"/>
      <c r="BQ29" s="151"/>
      <c r="BR29" s="151"/>
      <c r="BS29" s="151"/>
      <c r="BT29" s="151"/>
      <c r="BU29" s="151"/>
      <c r="BV29" s="151"/>
      <c r="BW29" s="151"/>
      <c r="BX29" s="151"/>
      <c r="BY29" s="151"/>
      <c r="BZ29" s="151"/>
      <c r="CA29" s="151"/>
    </row>
    <row r="30" spans="2:79" ht="17.45" customHeight="1">
      <c r="B30" s="699" t="s">
        <v>524</v>
      </c>
      <c r="C30" s="699"/>
      <c r="D30" s="699"/>
      <c r="E30" s="699"/>
      <c r="F30" s="886">
        <v>36</v>
      </c>
      <c r="G30" s="886">
        <v>24</v>
      </c>
      <c r="H30" s="886">
        <v>24</v>
      </c>
      <c r="I30" s="699"/>
      <c r="J30" s="758" t="s">
        <v>338</v>
      </c>
      <c r="K30" s="699"/>
      <c r="L30" s="699"/>
      <c r="M30" s="355">
        <f>+SUM(N30:P30)</f>
        <v>153071.54250000001</v>
      </c>
      <c r="N30" s="1048">
        <f t="shared" ref="N30:O30" si="7">F151*F152+F148*F147+F144*F143</f>
        <v>55116.764999999999</v>
      </c>
      <c r="O30" s="1048">
        <f t="shared" si="7"/>
        <v>40013.737500000003</v>
      </c>
      <c r="P30" s="1048">
        <f>H151*H152+H148*H147+H144*H143</f>
        <v>57941.040000000008</v>
      </c>
      <c r="Q30" s="699"/>
      <c r="R30" s="358">
        <f>'Parcel Breakdown'!AM43</f>
        <v>153071.54249999998</v>
      </c>
      <c r="S30" s="360">
        <f>$M30-$R30</f>
        <v>0</v>
      </c>
      <c r="T30" s="699"/>
      <c r="U30" s="5"/>
      <c r="V30" s="699"/>
      <c r="W30" s="151"/>
      <c r="X30" s="151"/>
      <c r="Y30" s="151"/>
      <c r="Z30" s="151"/>
      <c r="AA30" s="685" t="s">
        <v>515</v>
      </c>
      <c r="AB30" s="151"/>
      <c r="AC30" s="151"/>
      <c r="AD30" s="730"/>
      <c r="AE30" s="731">
        <f>+$AD151</f>
        <v>1300</v>
      </c>
      <c r="AF30" s="731">
        <f>+$AD151</f>
        <v>1300</v>
      </c>
      <c r="AG30" s="731">
        <f>+$AD151</f>
        <v>1300</v>
      </c>
      <c r="AH30" s="151"/>
      <c r="AI30" s="151"/>
      <c r="AJ30" s="745">
        <f t="shared" si="1"/>
        <v>10</v>
      </c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  <c r="AU30" s="151"/>
      <c r="AV30" s="151"/>
      <c r="AW30" s="151"/>
      <c r="AX30" s="151"/>
      <c r="AY30" s="151"/>
      <c r="AZ30" s="151"/>
      <c r="BA30" s="151"/>
      <c r="BB30" s="151"/>
      <c r="BC30" s="151"/>
      <c r="BD30" s="151"/>
      <c r="BE30" s="151"/>
      <c r="BF30" s="151"/>
      <c r="BG30" s="151"/>
      <c r="BH30" s="151"/>
      <c r="BI30" s="151"/>
      <c r="BJ30" s="151"/>
      <c r="BK30" s="151"/>
      <c r="BL30" s="151"/>
      <c r="BM30" s="151"/>
      <c r="BN30" s="151"/>
      <c r="BO30" s="151"/>
      <c r="BP30" s="151"/>
      <c r="BQ30" s="151"/>
      <c r="BR30" s="151"/>
      <c r="BS30" s="151"/>
      <c r="BT30" s="151"/>
      <c r="BU30" s="151"/>
      <c r="BV30" s="151"/>
      <c r="BW30" s="151"/>
      <c r="BX30" s="151"/>
      <c r="BY30" s="151"/>
      <c r="BZ30" s="151"/>
      <c r="CA30" s="151"/>
    </row>
    <row r="31" spans="2:79" ht="17.45" customHeight="1">
      <c r="B31" s="699" t="s">
        <v>261</v>
      </c>
      <c r="C31" s="699"/>
      <c r="D31" s="699"/>
      <c r="E31" s="699"/>
      <c r="F31" s="1051">
        <f>EOMONTH(F29,F30)</f>
        <v>46752</v>
      </c>
      <c r="G31" s="1051">
        <f>EOMONTH(G29,G30)</f>
        <v>47483</v>
      </c>
      <c r="H31" s="1051">
        <f>EOMONTH(H29,H30)</f>
        <v>48213</v>
      </c>
      <c r="I31" s="699"/>
      <c r="J31" s="758" t="s">
        <v>299</v>
      </c>
      <c r="K31" s="699"/>
      <c r="L31" s="699"/>
      <c r="M31" s="355">
        <f t="shared" ref="M31:M34" si="8">+SUM(N31:P31)</f>
        <v>100931.25</v>
      </c>
      <c r="N31" s="1048">
        <f t="shared" ref="N31:O31" si="9">+F$111</f>
        <v>32323.5</v>
      </c>
      <c r="O31" s="1048">
        <f t="shared" si="9"/>
        <v>59765.25</v>
      </c>
      <c r="P31" s="1048">
        <f>+H$111</f>
        <v>8842.5</v>
      </c>
      <c r="Q31" s="699"/>
      <c r="R31" s="358">
        <f>'Parcel Breakdown'!AN43</f>
        <v>100931.25</v>
      </c>
      <c r="S31" s="831">
        <f>$M31-$R31</f>
        <v>0</v>
      </c>
      <c r="T31" s="699"/>
      <c r="U31" s="5"/>
      <c r="V31" s="699"/>
      <c r="W31" s="151"/>
      <c r="X31" s="151"/>
      <c r="Y31" s="151"/>
      <c r="Z31" s="151"/>
      <c r="AA31" s="685" t="s">
        <v>268</v>
      </c>
      <c r="AB31" s="151"/>
      <c r="AC31" s="151"/>
      <c r="AD31" s="717"/>
      <c r="AE31" s="686">
        <f>(AE32*12)/AE30</f>
        <v>10.716923076923077</v>
      </c>
      <c r="AF31" s="686">
        <f t="shared" ref="AF31" si="10">(AF32*12)/AF30</f>
        <v>11.372884504615385</v>
      </c>
      <c r="AG31" s="686">
        <f t="shared" ref="AG31" si="11">(AG32*12)/AG30</f>
        <v>11.832349038601846</v>
      </c>
      <c r="AH31" s="151"/>
      <c r="AI31" s="151"/>
      <c r="AJ31" s="745">
        <f t="shared" si="1"/>
        <v>11</v>
      </c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  <c r="AU31" s="151"/>
      <c r="AV31" s="151"/>
      <c r="AW31" s="151"/>
      <c r="AX31" s="151"/>
      <c r="AY31" s="151"/>
      <c r="AZ31" s="151"/>
      <c r="BA31" s="151"/>
      <c r="BB31" s="151"/>
      <c r="BC31" s="151"/>
      <c r="BD31" s="151"/>
      <c r="BE31" s="151"/>
      <c r="BF31" s="151"/>
      <c r="BG31" s="151"/>
      <c r="BH31" s="151"/>
      <c r="BI31" s="151"/>
      <c r="BJ31" s="151"/>
      <c r="BK31" s="151"/>
      <c r="BL31" s="151"/>
      <c r="BM31" s="151"/>
      <c r="BN31" s="151"/>
      <c r="BO31" s="151"/>
      <c r="BP31" s="151"/>
      <c r="BQ31" s="151"/>
      <c r="BR31" s="151"/>
      <c r="BS31" s="151"/>
      <c r="BT31" s="151"/>
      <c r="BU31" s="151"/>
      <c r="BV31" s="151"/>
      <c r="BW31" s="151"/>
      <c r="BX31" s="151"/>
      <c r="BY31" s="151"/>
      <c r="BZ31" s="151"/>
      <c r="CA31" s="151"/>
    </row>
    <row r="32" spans="2:79" ht="17.45" customHeight="1">
      <c r="B32" s="699" t="s">
        <v>525</v>
      </c>
      <c r="C32" s="699"/>
      <c r="D32" s="699"/>
      <c r="E32" s="699"/>
      <c r="F32" s="886">
        <v>24</v>
      </c>
      <c r="G32" s="886">
        <v>24</v>
      </c>
      <c r="H32" s="886">
        <v>24</v>
      </c>
      <c r="I32" s="699"/>
      <c r="J32" s="758" t="s">
        <v>160</v>
      </c>
      <c r="K32" s="699"/>
      <c r="L32" s="699"/>
      <c r="M32" s="355">
        <f t="shared" si="8"/>
        <v>162372</v>
      </c>
      <c r="N32" s="1048">
        <f>+F$124</f>
        <v>84452.25</v>
      </c>
      <c r="O32" s="1048">
        <f>+G$124</f>
        <v>48484.5</v>
      </c>
      <c r="P32" s="1048">
        <f>+H$124</f>
        <v>29435.25</v>
      </c>
      <c r="Q32" s="699"/>
      <c r="R32" s="358">
        <f>'Parcel Breakdown'!AO43</f>
        <v>162372</v>
      </c>
      <c r="S32" s="360">
        <f>$M32-$R32</f>
        <v>0</v>
      </c>
      <c r="T32" s="699"/>
      <c r="U32" s="5"/>
      <c r="V32" s="699"/>
      <c r="W32" s="151"/>
      <c r="X32" s="151"/>
      <c r="Y32" s="151"/>
      <c r="Z32" s="151"/>
      <c r="AA32" s="685" t="s">
        <v>516</v>
      </c>
      <c r="AB32" s="151"/>
      <c r="AC32" s="151"/>
      <c r="AD32" s="732">
        <v>1161</v>
      </c>
      <c r="AE32" s="731">
        <f>+$AD32</f>
        <v>1161</v>
      </c>
      <c r="AF32" s="731">
        <f>+$AE32*(1+0.02)^G$36</f>
        <v>1232.062488</v>
      </c>
      <c r="AG32" s="731">
        <f>+$AE32*(1+0.02)^H$36</f>
        <v>1281.8378125152001</v>
      </c>
      <c r="AH32" s="151"/>
      <c r="AI32" s="151"/>
      <c r="AJ32" s="745">
        <f t="shared" si="1"/>
        <v>12</v>
      </c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  <c r="AU32" s="151"/>
      <c r="AV32" s="151"/>
      <c r="AW32" s="151"/>
      <c r="AX32" s="151"/>
      <c r="AY32" s="151"/>
      <c r="AZ32" s="151"/>
      <c r="BA32" s="151"/>
      <c r="BB32" s="151"/>
      <c r="BC32" s="151"/>
      <c r="BD32" s="151"/>
      <c r="BE32" s="151"/>
      <c r="BF32" s="151"/>
      <c r="BG32" s="151"/>
      <c r="BH32" s="151"/>
      <c r="BI32" s="151"/>
      <c r="BJ32" s="151"/>
      <c r="BK32" s="151"/>
      <c r="BL32" s="151"/>
      <c r="BM32" s="151"/>
      <c r="BN32" s="151"/>
      <c r="BO32" s="151"/>
      <c r="BP32" s="151"/>
      <c r="BQ32" s="151"/>
      <c r="BR32" s="151"/>
      <c r="BS32" s="151"/>
      <c r="BT32" s="151"/>
      <c r="BU32" s="151"/>
      <c r="BV32" s="151"/>
      <c r="BW32" s="151"/>
      <c r="BX32" s="151"/>
      <c r="BY32" s="151"/>
      <c r="BZ32" s="151"/>
      <c r="CA32" s="151"/>
    </row>
    <row r="33" spans="1:79" ht="17.45" customHeight="1">
      <c r="A33" s="1047"/>
      <c r="B33" s="699" t="s">
        <v>526</v>
      </c>
      <c r="C33" s="699"/>
      <c r="D33" s="699"/>
      <c r="E33" s="699"/>
      <c r="F33" s="1051">
        <f>EOMONTH(F31,F32)</f>
        <v>47483</v>
      </c>
      <c r="G33" s="1051">
        <f t="shared" ref="G33:H33" si="12">EOMONTH(G31,G32)</f>
        <v>48213</v>
      </c>
      <c r="H33" s="1051">
        <f t="shared" si="12"/>
        <v>48944</v>
      </c>
      <c r="I33" s="699"/>
      <c r="J33" s="758" t="s">
        <v>162</v>
      </c>
      <c r="K33" s="699"/>
      <c r="L33" s="699"/>
      <c r="M33" s="355">
        <f ca="1">+SUM(N33:P33)</f>
        <v>188116.5</v>
      </c>
      <c r="N33" s="1048">
        <f>+F$168+F$179</f>
        <v>0</v>
      </c>
      <c r="O33" s="1048">
        <f ca="1">+G$168+G$179</f>
        <v>0</v>
      </c>
      <c r="P33" s="1048">
        <f>+H$168+H$179</f>
        <v>188116.5</v>
      </c>
      <c r="Q33" s="274"/>
      <c r="R33" s="358">
        <f>'Parcel Breakdown'!AP43</f>
        <v>188116.5</v>
      </c>
      <c r="S33" s="360">
        <f t="shared" ca="1" si="5"/>
        <v>0</v>
      </c>
      <c r="T33" s="699"/>
      <c r="U33" s="5"/>
      <c r="V33" s="699"/>
      <c r="W33" s="151"/>
      <c r="X33" s="151"/>
      <c r="Y33" s="151"/>
      <c r="Z33" s="151"/>
      <c r="AA33" s="685" t="str">
        <f>+AL45</f>
        <v xml:space="preserve">Affordable Student Housing </v>
      </c>
      <c r="AB33" s="151"/>
      <c r="AC33" s="151"/>
      <c r="AD33" s="852">
        <v>6.5000000000000002E-2</v>
      </c>
      <c r="AE33" s="852">
        <f>+$AD33</f>
        <v>6.5000000000000002E-2</v>
      </c>
      <c r="AF33" s="852">
        <f t="shared" ref="AF33:AG36" si="13">+$AD33</f>
        <v>6.5000000000000002E-2</v>
      </c>
      <c r="AG33" s="852">
        <f t="shared" si="13"/>
        <v>6.5000000000000002E-2</v>
      </c>
      <c r="AH33" s="151"/>
      <c r="AI33" s="151"/>
      <c r="AJ33" s="745">
        <f t="shared" si="1"/>
        <v>13</v>
      </c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  <c r="AU33" s="151"/>
      <c r="AV33" s="151"/>
      <c r="AW33" s="151"/>
      <c r="AX33" s="151"/>
      <c r="AY33" s="151"/>
      <c r="AZ33" s="151"/>
      <c r="BA33" s="151"/>
      <c r="BB33" s="151"/>
      <c r="BC33" s="151"/>
      <c r="BD33" s="151"/>
      <c r="BE33" s="151"/>
      <c r="BF33" s="151"/>
      <c r="BG33" s="151"/>
      <c r="BH33" s="151"/>
      <c r="BI33" s="151"/>
      <c r="BJ33" s="151"/>
      <c r="BK33" s="151"/>
      <c r="BL33" s="151"/>
      <c r="BM33" s="151"/>
      <c r="BN33" s="151"/>
      <c r="BO33" s="151"/>
      <c r="BP33" s="151"/>
      <c r="BQ33" s="151"/>
      <c r="BR33" s="151"/>
      <c r="BS33" s="151"/>
      <c r="BT33" s="151"/>
      <c r="BU33" s="151"/>
      <c r="BV33" s="151"/>
      <c r="BW33" s="151"/>
      <c r="BX33" s="151"/>
      <c r="BY33" s="151"/>
      <c r="BZ33" s="151"/>
      <c r="CA33" s="151"/>
    </row>
    <row r="34" spans="1:79" ht="17.45" customHeight="1">
      <c r="A34" s="1047"/>
      <c r="B34" s="699" t="s">
        <v>263</v>
      </c>
      <c r="C34" s="699"/>
      <c r="D34" s="699"/>
      <c r="E34" s="361">
        <v>120</v>
      </c>
      <c r="F34" s="782">
        <f>$E34</f>
        <v>120</v>
      </c>
      <c r="G34" s="782">
        <f>$E34</f>
        <v>120</v>
      </c>
      <c r="H34" s="782">
        <f>$E34</f>
        <v>120</v>
      </c>
      <c r="I34" s="699"/>
      <c r="J34" s="758" t="s">
        <v>350</v>
      </c>
      <c r="K34" s="699"/>
      <c r="L34" s="699"/>
      <c r="M34" s="355">
        <f t="shared" si="8"/>
        <v>385110.05</v>
      </c>
      <c r="N34" s="1048">
        <f>+F$199</f>
        <v>144000.04999999999</v>
      </c>
      <c r="O34" s="1048">
        <f>+G$199</f>
        <v>164160</v>
      </c>
      <c r="P34" s="1048">
        <f>+H$199</f>
        <v>76950</v>
      </c>
      <c r="Q34" s="274"/>
      <c r="R34" s="358">
        <f>'Parcel Breakdown'!AQ43</f>
        <v>385110.05</v>
      </c>
      <c r="S34" s="360">
        <f t="shared" si="5"/>
        <v>0</v>
      </c>
      <c r="T34" s="699"/>
      <c r="U34" s="5"/>
      <c r="V34" s="699"/>
      <c r="W34" s="151"/>
      <c r="X34" s="151"/>
      <c r="Y34" s="151"/>
      <c r="Z34" s="151"/>
      <c r="AA34" s="685" t="str">
        <f>+AL46</f>
        <v xml:space="preserve">Market-Rate Student Housing </v>
      </c>
      <c r="AB34" s="151"/>
      <c r="AC34" s="151"/>
      <c r="AD34" s="852">
        <v>6.5000000000000002E-2</v>
      </c>
      <c r="AE34" s="852">
        <f>+$AD34</f>
        <v>6.5000000000000002E-2</v>
      </c>
      <c r="AF34" s="852">
        <f t="shared" si="13"/>
        <v>6.5000000000000002E-2</v>
      </c>
      <c r="AG34" s="852">
        <f t="shared" si="13"/>
        <v>6.5000000000000002E-2</v>
      </c>
      <c r="AH34" s="151"/>
      <c r="AI34" s="151"/>
      <c r="AJ34" s="745">
        <f t="shared" si="1"/>
        <v>14</v>
      </c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  <c r="AU34" s="151"/>
      <c r="AV34" s="151"/>
      <c r="AW34" s="151"/>
      <c r="AX34" s="151"/>
      <c r="AY34" s="151"/>
      <c r="AZ34" s="151"/>
      <c r="BA34" s="151"/>
      <c r="BB34" s="151"/>
      <c r="BC34" s="151"/>
      <c r="BD34" s="151"/>
      <c r="BE34" s="151"/>
      <c r="BF34" s="151"/>
      <c r="BG34" s="151"/>
      <c r="BH34" s="151"/>
      <c r="BI34" s="151"/>
      <c r="BJ34" s="151"/>
      <c r="BK34" s="151"/>
      <c r="BL34" s="151"/>
      <c r="BM34" s="151"/>
      <c r="BN34" s="151"/>
      <c r="BO34" s="151"/>
      <c r="BP34" s="151"/>
      <c r="BQ34" s="151"/>
      <c r="BR34" s="151"/>
      <c r="BS34" s="151"/>
      <c r="BT34" s="151"/>
      <c r="BU34" s="151"/>
      <c r="BV34" s="151"/>
      <c r="BW34" s="151"/>
      <c r="BX34" s="151"/>
      <c r="BY34" s="151"/>
      <c r="BZ34" s="151"/>
      <c r="CA34" s="151"/>
    </row>
    <row r="35" spans="1:79" ht="15" customHeight="1">
      <c r="A35" s="1047"/>
      <c r="B35" s="699" t="s">
        <v>527</v>
      </c>
      <c r="C35" s="699"/>
      <c r="D35" s="699"/>
      <c r="E35" s="699"/>
      <c r="F35" s="1051">
        <f>+EOMONTH($E$27,F34)</f>
        <v>48944</v>
      </c>
      <c r="G35" s="1051">
        <f>+EOMONTH($E$27,G34)</f>
        <v>48944</v>
      </c>
      <c r="H35" s="1051">
        <f>+EOMONTH($E$27,H34)</f>
        <v>48944</v>
      </c>
      <c r="I35" s="699"/>
      <c r="J35" s="133" t="s">
        <v>528</v>
      </c>
      <c r="K35" s="1052"/>
      <c r="L35" s="1052"/>
      <c r="M35" s="362">
        <f ca="1">+SUM(M27:M34)</f>
        <v>1954816.55</v>
      </c>
      <c r="N35" s="1053">
        <f>+SUM(N27:N34)</f>
        <v>761837.3</v>
      </c>
      <c r="O35" s="1053">
        <f ca="1">+SUM(O27:O34)</f>
        <v>636171</v>
      </c>
      <c r="P35" s="1053">
        <f>+SUM(P27:P34)</f>
        <v>556808.25</v>
      </c>
      <c r="Q35" s="274"/>
      <c r="R35" s="358"/>
      <c r="S35" s="360"/>
      <c r="T35" s="699"/>
      <c r="U35" s="5"/>
      <c r="V35" s="5"/>
      <c r="W35" s="689"/>
      <c r="X35" s="689"/>
      <c r="Y35" s="689"/>
      <c r="Z35" s="689"/>
      <c r="AA35" s="685" t="s">
        <v>529</v>
      </c>
      <c r="AB35" s="151"/>
      <c r="AC35" s="151"/>
      <c r="AD35" s="852">
        <v>6.1499999999999999E-2</v>
      </c>
      <c r="AE35" s="852">
        <f>+$AD35</f>
        <v>6.1499999999999999E-2</v>
      </c>
      <c r="AF35" s="852">
        <f t="shared" si="13"/>
        <v>6.1499999999999999E-2</v>
      </c>
      <c r="AG35" s="852">
        <f t="shared" si="13"/>
        <v>6.1499999999999999E-2</v>
      </c>
      <c r="AH35" s="151"/>
      <c r="AI35" s="151"/>
      <c r="AJ35" s="745">
        <f t="shared" si="1"/>
        <v>15</v>
      </c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  <c r="AU35" s="151"/>
      <c r="AV35" s="151"/>
      <c r="AW35" s="151"/>
      <c r="AX35" s="151"/>
      <c r="AY35" s="151"/>
      <c r="AZ35" s="151"/>
      <c r="BA35" s="151"/>
      <c r="BB35" s="151"/>
      <c r="BC35" s="151"/>
      <c r="BD35" s="151"/>
      <c r="BE35" s="151"/>
      <c r="BF35" s="151"/>
      <c r="BG35" s="151"/>
      <c r="BH35" s="151"/>
      <c r="BI35" s="151"/>
      <c r="BJ35" s="151"/>
      <c r="BK35" s="151"/>
      <c r="BL35" s="151"/>
      <c r="BM35" s="151"/>
      <c r="BN35" s="151"/>
      <c r="BO35" s="151"/>
      <c r="BP35" s="151"/>
      <c r="BQ35" s="151"/>
      <c r="BR35" s="151"/>
      <c r="BS35" s="151"/>
      <c r="BT35" s="151"/>
      <c r="BU35" s="151"/>
      <c r="BV35" s="151"/>
      <c r="BW35" s="151"/>
      <c r="BX35" s="151"/>
      <c r="BY35" s="151"/>
      <c r="BZ35" s="151"/>
      <c r="CA35" s="151"/>
    </row>
    <row r="36" spans="1:79" ht="15.75">
      <c r="A36" s="1047"/>
      <c r="B36" s="699" t="s">
        <v>530</v>
      </c>
      <c r="C36" s="699"/>
      <c r="D36" s="699"/>
      <c r="E36" s="699"/>
      <c r="F36" s="782">
        <v>1</v>
      </c>
      <c r="G36" s="782">
        <f>YEAR(G$29)-YEAR($F$29)</f>
        <v>3</v>
      </c>
      <c r="H36" s="782">
        <f>YEAR(H$29)-YEAR($F$29)</f>
        <v>5</v>
      </c>
      <c r="I36" s="699"/>
      <c r="J36" s="699"/>
      <c r="K36" s="699"/>
      <c r="L36" s="699"/>
      <c r="M36" s="699"/>
      <c r="N36" s="699"/>
      <c r="O36" s="699"/>
      <c r="P36" s="699"/>
      <c r="Q36" s="274"/>
      <c r="R36" s="699"/>
      <c r="S36" s="699"/>
      <c r="T36" s="699"/>
      <c r="U36" s="5"/>
      <c r="V36" s="5"/>
      <c r="W36" s="689"/>
      <c r="X36" s="689"/>
      <c r="Y36" s="689"/>
      <c r="Z36" s="689"/>
      <c r="AA36" s="685" t="s">
        <v>531</v>
      </c>
      <c r="AB36" s="151"/>
      <c r="AC36" s="151"/>
      <c r="AD36" s="852">
        <v>0.06</v>
      </c>
      <c r="AE36" s="852">
        <f>+$AD36</f>
        <v>0.06</v>
      </c>
      <c r="AF36" s="852">
        <f t="shared" si="13"/>
        <v>0.06</v>
      </c>
      <c r="AG36" s="852">
        <f t="shared" si="13"/>
        <v>0.06</v>
      </c>
      <c r="AH36" s="151"/>
      <c r="AI36" s="151"/>
      <c r="AJ36" s="745">
        <f t="shared" si="1"/>
        <v>16</v>
      </c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  <c r="AU36" s="151"/>
      <c r="AV36" s="151"/>
      <c r="AW36" s="151"/>
      <c r="AX36" s="151"/>
      <c r="AY36" s="151"/>
      <c r="AZ36" s="151"/>
      <c r="BA36" s="151"/>
      <c r="BB36" s="151"/>
      <c r="BC36" s="151"/>
      <c r="BD36" s="151"/>
      <c r="BE36" s="151"/>
      <c r="BF36" s="151"/>
      <c r="BG36" s="151"/>
      <c r="BH36" s="151"/>
      <c r="BI36" s="151"/>
      <c r="BJ36" s="151"/>
      <c r="BK36" s="151"/>
      <c r="BL36" s="151"/>
      <c r="BM36" s="151"/>
      <c r="BN36" s="151"/>
      <c r="BO36" s="151"/>
      <c r="BP36" s="151"/>
      <c r="BQ36" s="151"/>
      <c r="BR36" s="151"/>
      <c r="BS36" s="151"/>
      <c r="BT36" s="151"/>
      <c r="BU36" s="151"/>
      <c r="BV36" s="151"/>
      <c r="BW36" s="151"/>
      <c r="BX36" s="151"/>
      <c r="BY36" s="151"/>
      <c r="BZ36" s="151"/>
      <c r="CA36" s="151"/>
    </row>
    <row r="37" spans="1:79" ht="15.75">
      <c r="A37" s="1047" t="s">
        <v>511</v>
      </c>
      <c r="B37" s="699"/>
      <c r="C37" s="699"/>
      <c r="D37" s="699"/>
      <c r="E37" s="699"/>
      <c r="F37" s="699"/>
      <c r="G37" s="699"/>
      <c r="H37" s="699"/>
      <c r="I37" s="1054"/>
      <c r="J37" s="132" t="s">
        <v>532</v>
      </c>
      <c r="K37" s="699"/>
      <c r="L37" s="699"/>
      <c r="M37" s="699"/>
      <c r="N37" s="699"/>
      <c r="O37" s="699"/>
      <c r="P37" s="699"/>
      <c r="Q37" s="274"/>
      <c r="R37" s="699"/>
      <c r="S37" s="699"/>
      <c r="T37" s="699"/>
      <c r="U37" s="5"/>
      <c r="V37" s="5"/>
      <c r="W37" s="689"/>
      <c r="X37" s="689"/>
      <c r="Y37" s="689"/>
      <c r="Z37" s="689"/>
      <c r="AA37" s="1123" t="s">
        <v>533</v>
      </c>
      <c r="AB37" s="1123"/>
      <c r="AC37" s="151"/>
      <c r="AD37" s="752" t="s">
        <v>319</v>
      </c>
      <c r="AE37" s="778" t="str">
        <f>+F$26</f>
        <v>I</v>
      </c>
      <c r="AF37" s="778" t="str">
        <f>+G$26</f>
        <v>II</v>
      </c>
      <c r="AG37" s="778" t="str">
        <f>+H$26</f>
        <v>III</v>
      </c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  <c r="AU37" s="151"/>
      <c r="AV37" s="151"/>
      <c r="AW37" s="151"/>
      <c r="AX37" s="151"/>
      <c r="AY37" s="151"/>
      <c r="AZ37" s="151"/>
      <c r="BA37" s="151"/>
      <c r="BB37" s="151"/>
      <c r="BC37" s="151"/>
      <c r="BD37" s="151"/>
      <c r="BE37" s="151"/>
      <c r="BF37" s="151"/>
      <c r="BG37" s="151"/>
      <c r="BH37" s="151"/>
      <c r="BI37" s="151"/>
      <c r="BJ37" s="151"/>
      <c r="BK37" s="151"/>
      <c r="BL37" s="151"/>
      <c r="BM37" s="151"/>
      <c r="BN37" s="151"/>
      <c r="BO37" s="151"/>
      <c r="BP37" s="151"/>
      <c r="BQ37" s="151"/>
      <c r="BR37" s="151"/>
      <c r="BS37" s="151"/>
      <c r="BT37" s="151"/>
      <c r="BU37" s="151"/>
      <c r="BV37" s="151"/>
      <c r="BW37" s="151"/>
      <c r="BX37" s="151"/>
      <c r="BY37" s="151"/>
      <c r="BZ37" s="151"/>
      <c r="CA37" s="151"/>
    </row>
    <row r="38" spans="1:79" ht="16.5" thickBot="1">
      <c r="A38" s="1047"/>
      <c r="B38" s="1121" t="s">
        <v>534</v>
      </c>
      <c r="C38" s="1121"/>
      <c r="D38" s="699"/>
      <c r="E38" s="1038"/>
      <c r="F38" s="179" t="str">
        <f>+F26</f>
        <v>I</v>
      </c>
      <c r="G38" s="179" t="str">
        <f>+G26</f>
        <v>II</v>
      </c>
      <c r="H38" s="179" t="str">
        <f>+H26</f>
        <v>III</v>
      </c>
      <c r="I38" s="699"/>
      <c r="J38" s="758" t="s">
        <v>322</v>
      </c>
      <c r="K38" s="699"/>
      <c r="L38" s="699"/>
      <c r="M38" s="364">
        <f ca="1">+SUM(N38:P38)</f>
        <v>476800.46400000004</v>
      </c>
      <c r="N38" s="365">
        <f ca="1">+OFFSET('Parcel Breakdown'!$O$44,0,$AJ20)</f>
        <v>224475.552</v>
      </c>
      <c r="O38" s="365">
        <f ca="1">+OFFSET('Parcel Breakdown'!$O$44,1,$AJ20)</f>
        <v>162965.04</v>
      </c>
      <c r="P38" s="365">
        <f ca="1">+OFFSET('Parcel Breakdown'!$O$44,2,$AJ20)</f>
        <v>89359.872000000003</v>
      </c>
      <c r="Q38" s="132"/>
      <c r="R38" s="699"/>
      <c r="S38" s="699"/>
      <c r="T38" s="699"/>
      <c r="U38" s="5"/>
      <c r="V38" s="5"/>
      <c r="W38" s="689"/>
      <c r="X38" s="689"/>
      <c r="Y38" s="689"/>
      <c r="Z38" s="689"/>
      <c r="AA38" s="727" t="s">
        <v>270</v>
      </c>
      <c r="AB38" s="151"/>
      <c r="AC38" s="151"/>
      <c r="AD38" s="151"/>
      <c r="AE38" s="729">
        <f>+'Parcel Breakdown'!BG176</f>
        <v>0</v>
      </c>
      <c r="AF38" s="729">
        <f>+'Parcel Breakdown'!BG177</f>
        <v>0</v>
      </c>
      <c r="AG38" s="729">
        <f>+'Parcel Breakdown'!BG178</f>
        <v>0</v>
      </c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  <c r="AU38" s="151"/>
      <c r="AV38" s="151"/>
      <c r="AW38" s="151"/>
      <c r="AX38" s="151"/>
      <c r="AY38" s="151"/>
      <c r="AZ38" s="151"/>
      <c r="BA38" s="151"/>
      <c r="BB38" s="151"/>
      <c r="BC38" s="151"/>
      <c r="BD38" s="151"/>
      <c r="BE38" s="151"/>
      <c r="BF38" s="151"/>
      <c r="BG38" s="151"/>
      <c r="BH38" s="151"/>
      <c r="BI38" s="151"/>
      <c r="BJ38" s="151"/>
      <c r="BK38" s="151"/>
      <c r="BL38" s="151"/>
      <c r="BM38" s="151"/>
      <c r="BN38" s="151"/>
      <c r="BO38" s="151"/>
      <c r="BP38" s="151"/>
      <c r="BQ38" s="151"/>
      <c r="BR38" s="151"/>
      <c r="BS38" s="151"/>
      <c r="BT38" s="151"/>
      <c r="BU38" s="151"/>
      <c r="BV38" s="151"/>
      <c r="BW38" s="151"/>
      <c r="BX38" s="151"/>
      <c r="BY38" s="151"/>
      <c r="BZ38" s="151"/>
      <c r="CA38" s="151"/>
    </row>
    <row r="39" spans="1:79" ht="15.75">
      <c r="A39" s="1047"/>
      <c r="B39" s="699" t="s">
        <v>535</v>
      </c>
      <c r="C39" s="699"/>
      <c r="D39" s="699"/>
      <c r="E39" s="699"/>
      <c r="F39" s="887">
        <v>0.03</v>
      </c>
      <c r="G39" s="887">
        <v>0.03</v>
      </c>
      <c r="H39" s="887">
        <v>0.03</v>
      </c>
      <c r="I39" s="699"/>
      <c r="J39" s="758" t="s">
        <v>325</v>
      </c>
      <c r="K39" s="699"/>
      <c r="L39" s="699"/>
      <c r="M39" s="364">
        <f t="shared" ref="M39:M44" ca="1" si="14">+SUM(N39:P39)</f>
        <v>715200.696</v>
      </c>
      <c r="N39" s="365">
        <f ca="1">+OFFSET('Parcel Breakdown'!$O$44,0,$AJ21)</f>
        <v>336713.32799999998</v>
      </c>
      <c r="O39" s="365">
        <f ca="1">+OFFSET('Parcel Breakdown'!$O$44,1,$AJ21)</f>
        <v>244447.56</v>
      </c>
      <c r="P39" s="365">
        <f ca="1">+OFFSET('Parcel Breakdown'!$O$44,2,$AJ21)</f>
        <v>134039.80799999999</v>
      </c>
      <c r="Q39" s="699"/>
      <c r="R39" s="699"/>
      <c r="S39" s="699"/>
      <c r="T39" s="699"/>
      <c r="U39" s="5"/>
      <c r="V39" s="5"/>
      <c r="W39" s="689"/>
      <c r="X39" s="689"/>
      <c r="Y39" s="689"/>
      <c r="Z39" s="689"/>
      <c r="AA39" s="685" t="s">
        <v>515</v>
      </c>
      <c r="AB39" s="151"/>
      <c r="AC39" s="151"/>
      <c r="AD39" s="730">
        <f>+AD66</f>
        <v>550</v>
      </c>
      <c r="AE39" s="731">
        <f>+$AD39</f>
        <v>550</v>
      </c>
      <c r="AF39" s="731">
        <f>+$AD39</f>
        <v>550</v>
      </c>
      <c r="AG39" s="731">
        <f>+$AD39</f>
        <v>550</v>
      </c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  <c r="AU39" s="151"/>
      <c r="AV39" s="151"/>
      <c r="AW39" s="151"/>
      <c r="AX39" s="151"/>
      <c r="AY39" s="151"/>
      <c r="AZ39" s="151"/>
      <c r="BA39" s="151"/>
      <c r="BB39" s="151"/>
      <c r="BC39" s="151"/>
      <c r="BD39" s="151"/>
      <c r="BE39" s="151"/>
      <c r="BF39" s="151"/>
      <c r="BG39" s="151"/>
      <c r="BH39" s="151"/>
      <c r="BI39" s="151"/>
      <c r="BJ39" s="151"/>
      <c r="BK39" s="151"/>
      <c r="BL39" s="151"/>
      <c r="BM39" s="151"/>
      <c r="BN39" s="151"/>
      <c r="BO39" s="151"/>
      <c r="BP39" s="151"/>
      <c r="BQ39" s="151"/>
      <c r="BR39" s="151"/>
      <c r="BS39" s="151"/>
      <c r="BT39" s="151"/>
      <c r="BU39" s="151"/>
      <c r="BV39" s="151"/>
      <c r="BW39" s="151"/>
      <c r="BX39" s="151"/>
      <c r="BY39" s="151"/>
      <c r="BZ39" s="151"/>
      <c r="CA39" s="151"/>
    </row>
    <row r="40" spans="1:79" ht="15.75">
      <c r="A40" s="1047"/>
      <c r="B40" s="699" t="s">
        <v>536</v>
      </c>
      <c r="C40" s="699"/>
      <c r="D40" s="699"/>
      <c r="E40" s="699"/>
      <c r="F40" s="886">
        <v>13.741</v>
      </c>
      <c r="G40" s="886">
        <v>13.741</v>
      </c>
      <c r="H40" s="886">
        <v>13.741</v>
      </c>
      <c r="I40" s="699"/>
      <c r="J40" s="758" t="s">
        <v>337</v>
      </c>
      <c r="K40" s="699"/>
      <c r="L40" s="699"/>
      <c r="M40" s="364">
        <f t="shared" ca="1" si="14"/>
        <v>94952.450000000012</v>
      </c>
      <c r="N40" s="365">
        <f ca="1">+OFFSET('Parcel Breakdown'!$O$44,0,$AJ26)</f>
        <v>33404.100000000006</v>
      </c>
      <c r="O40" s="365">
        <f ca="1">+OFFSET('Parcel Breakdown'!$O$44,1,$AJ26)</f>
        <v>24250.75</v>
      </c>
      <c r="P40" s="365">
        <f ca="1">+OFFSET('Parcel Breakdown'!$O$44,2,$AJ26)</f>
        <v>37297.599999999999</v>
      </c>
      <c r="Q40" s="699"/>
      <c r="R40" s="699"/>
      <c r="S40" s="699"/>
      <c r="T40" s="699"/>
      <c r="U40" s="5"/>
      <c r="V40" s="5"/>
      <c r="W40" s="689"/>
      <c r="X40" s="689"/>
      <c r="Y40" s="689"/>
      <c r="Z40" s="689"/>
      <c r="AA40" s="685" t="s">
        <v>268</v>
      </c>
      <c r="AB40" s="151"/>
      <c r="AC40" s="151"/>
      <c r="AD40" s="717"/>
      <c r="AE40" s="686">
        <f>(AE41*12)/AE39</f>
        <v>16.407272727272726</v>
      </c>
      <c r="AF40" s="686">
        <f t="shared" ref="AF40:AG40" si="15">(AF41*12)/AF39</f>
        <v>17.411529076363635</v>
      </c>
      <c r="AG40" s="686">
        <f t="shared" si="15"/>
        <v>18.114954851048729</v>
      </c>
      <c r="AH40" s="151"/>
      <c r="AI40" s="151"/>
      <c r="AJ40" s="151"/>
      <c r="AK40" s="151"/>
      <c r="AL40" s="685" t="s">
        <v>533</v>
      </c>
      <c r="AM40" s="151"/>
      <c r="AN40" s="151"/>
      <c r="AO40" s="853">
        <f>+SUM(AP40:AR40)</f>
        <v>0</v>
      </c>
      <c r="AP40" s="747">
        <f>+AE$59</f>
        <v>0</v>
      </c>
      <c r="AQ40" s="747">
        <f>+AF$59</f>
        <v>0</v>
      </c>
      <c r="AR40" s="747">
        <f>+AG$59</f>
        <v>0</v>
      </c>
      <c r="AS40" s="151"/>
      <c r="AT40" s="854">
        <f ca="1">+OFFSET('Parcel Breakdown'!$AJ$43,0,Assumptions!$AJ22)</f>
        <v>71214.337499999994</v>
      </c>
      <c r="AU40" s="851">
        <f ca="1">$AO40-$AT40</f>
        <v>-71214.337499999994</v>
      </c>
      <c r="AV40" s="151"/>
      <c r="AW40" s="151"/>
      <c r="AX40" s="151"/>
      <c r="AY40" s="151"/>
      <c r="AZ40" s="151"/>
      <c r="BA40" s="151"/>
      <c r="BB40" s="151"/>
      <c r="BC40" s="151"/>
      <c r="BD40" s="151"/>
      <c r="BE40" s="151"/>
      <c r="BF40" s="151"/>
      <c r="BG40" s="151"/>
      <c r="BH40" s="151"/>
      <c r="BI40" s="151"/>
      <c r="BJ40" s="151"/>
      <c r="BK40" s="151"/>
      <c r="BL40" s="151"/>
      <c r="BM40" s="151"/>
      <c r="BN40" s="151"/>
      <c r="BO40" s="151"/>
      <c r="BP40" s="151"/>
      <c r="BQ40" s="151"/>
      <c r="BR40" s="151"/>
      <c r="BS40" s="151"/>
      <c r="BT40" s="151"/>
      <c r="BU40" s="151"/>
      <c r="BV40" s="151"/>
      <c r="BW40" s="151"/>
      <c r="BX40" s="151"/>
      <c r="BY40" s="151"/>
      <c r="BZ40" s="151"/>
      <c r="CA40" s="151"/>
    </row>
    <row r="41" spans="1:79" ht="15.75">
      <c r="A41" s="1047"/>
      <c r="B41" s="699" t="s">
        <v>537</v>
      </c>
      <c r="C41" s="699"/>
      <c r="D41" s="699"/>
      <c r="E41" s="699"/>
      <c r="F41" s="888">
        <v>4.4999999999999998E-2</v>
      </c>
      <c r="G41" s="888">
        <v>4.4999999999999998E-2</v>
      </c>
      <c r="H41" s="888">
        <v>4.4999999999999998E-2</v>
      </c>
      <c r="I41" s="699"/>
      <c r="J41" s="758" t="s">
        <v>338</v>
      </c>
      <c r="K41" s="699"/>
      <c r="L41" s="699"/>
      <c r="M41" s="364">
        <f t="shared" ca="1" si="14"/>
        <v>204095.38999999998</v>
      </c>
      <c r="N41" s="365">
        <f ca="1">+OFFSET('Parcel Breakdown'!$O$44,0,$AJ27)</f>
        <v>73489.01999999999</v>
      </c>
      <c r="O41" s="365">
        <f ca="1">+OFFSET('Parcel Breakdown'!$O$44,1,$AJ27)</f>
        <v>53351.65</v>
      </c>
      <c r="P41" s="365">
        <f ca="1">+OFFSET('Parcel Breakdown'!$O$44,2,$AJ27)</f>
        <v>77254.720000000001</v>
      </c>
      <c r="Q41" s="699"/>
      <c r="R41" s="699"/>
      <c r="S41" s="699"/>
      <c r="T41" s="699"/>
      <c r="U41" s="5"/>
      <c r="V41" s="5"/>
      <c r="W41" s="689"/>
      <c r="X41" s="689"/>
      <c r="Y41" s="689"/>
      <c r="Z41" s="689"/>
      <c r="AA41" s="685" t="s">
        <v>516</v>
      </c>
      <c r="AB41" s="151"/>
      <c r="AC41" s="151"/>
      <c r="AD41" s="732">
        <f>+AD23</f>
        <v>752</v>
      </c>
      <c r="AE41" s="731">
        <f>$AD41</f>
        <v>752</v>
      </c>
      <c r="AF41" s="731">
        <f>+$AE41*(1+0.02)^G$36</f>
        <v>798.02841599999999</v>
      </c>
      <c r="AG41" s="731">
        <f>+$AE41*(1+0.02)^H$36</f>
        <v>830.26876400640003</v>
      </c>
      <c r="AH41" s="151"/>
      <c r="AI41" s="151"/>
      <c r="AJ41" s="151"/>
      <c r="AK41" s="151"/>
      <c r="AL41" s="685" t="s">
        <v>538</v>
      </c>
      <c r="AM41" s="151"/>
      <c r="AN41" s="151"/>
      <c r="AO41" s="853">
        <f>+SUM(AP41:AR41)</f>
        <v>0</v>
      </c>
      <c r="AP41" s="747">
        <f>+AE$86</f>
        <v>0</v>
      </c>
      <c r="AQ41" s="747">
        <f>+AF$86</f>
        <v>0</v>
      </c>
      <c r="AR41" s="747">
        <f>+AG$86</f>
        <v>0</v>
      </c>
      <c r="AS41" s="151"/>
      <c r="AT41" s="854">
        <f ca="1">+OFFSET('Parcel Breakdown'!$AJ$43,0,Assumptions!$AJ23)</f>
        <v>153071.54249999998</v>
      </c>
      <c r="AU41" s="851">
        <f ca="1">$AO41-$AT41</f>
        <v>-153071.54249999998</v>
      </c>
      <c r="AV41" s="151"/>
      <c r="AW41" s="151"/>
      <c r="AX41" s="151"/>
      <c r="AY41" s="151"/>
      <c r="AZ41" s="151"/>
      <c r="BA41" s="151"/>
      <c r="BB41" s="151"/>
      <c r="BC41" s="151"/>
      <c r="BD41" s="151"/>
      <c r="BE41" s="151"/>
      <c r="BF41" s="151"/>
      <c r="BG41" s="151"/>
      <c r="BH41" s="151"/>
      <c r="BI41" s="151"/>
      <c r="BJ41" s="151"/>
      <c r="BK41" s="151"/>
      <c r="BL41" s="151"/>
      <c r="BM41" s="151"/>
      <c r="BN41" s="151"/>
      <c r="BO41" s="151"/>
      <c r="BP41" s="151"/>
      <c r="BQ41" s="151"/>
      <c r="BR41" s="151"/>
      <c r="BS41" s="151"/>
      <c r="BT41" s="151"/>
      <c r="BU41" s="151"/>
      <c r="BV41" s="151"/>
      <c r="BW41" s="151"/>
      <c r="BX41" s="151"/>
      <c r="BY41" s="151"/>
      <c r="BZ41" s="151"/>
      <c r="CA41" s="151"/>
    </row>
    <row r="42" spans="1:79" ht="15.75">
      <c r="A42" s="1047"/>
      <c r="B42" s="699" t="s">
        <v>539</v>
      </c>
      <c r="C42" s="699"/>
      <c r="D42" s="699"/>
      <c r="E42" s="699"/>
      <c r="F42" s="888">
        <v>0.01</v>
      </c>
      <c r="G42" s="888">
        <v>0.01</v>
      </c>
      <c r="H42" s="888">
        <v>0.01</v>
      </c>
      <c r="I42" s="699"/>
      <c r="J42" s="758" t="s">
        <v>159</v>
      </c>
      <c r="K42" s="699"/>
      <c r="L42" s="699"/>
      <c r="M42" s="364">
        <f ca="1">+SUM(N42:P42)</f>
        <v>134575</v>
      </c>
      <c r="N42" s="365">
        <f ca="1">+OFFSET('Parcel Breakdown'!$O$44,0,$AJ30)</f>
        <v>43098</v>
      </c>
      <c r="O42" s="365">
        <f ca="1">+OFFSET('Parcel Breakdown'!$O$44,1,$AJ30)</f>
        <v>79687</v>
      </c>
      <c r="P42" s="365">
        <f ca="1">+OFFSET('Parcel Breakdown'!$O$44,2,$AJ30)</f>
        <v>11790</v>
      </c>
      <c r="Q42" s="699"/>
      <c r="R42" s="699"/>
      <c r="S42" s="699"/>
      <c r="T42" s="699"/>
      <c r="U42" s="5"/>
      <c r="V42" s="5"/>
      <c r="W42" s="689"/>
      <c r="X42" s="689"/>
      <c r="Y42" s="689"/>
      <c r="Z42" s="689"/>
      <c r="AA42" s="727" t="s">
        <v>272</v>
      </c>
      <c r="AB42" s="151"/>
      <c r="AC42" s="151"/>
      <c r="AD42" s="717"/>
      <c r="AE42" s="717">
        <f>+'Parcel Breakdown'!BI176</f>
        <v>0</v>
      </c>
      <c r="AF42" s="717">
        <f>+'Parcel Breakdown'!BI177</f>
        <v>0</v>
      </c>
      <c r="AG42" s="717">
        <f>+'Parcel Breakdown'!BI178</f>
        <v>0</v>
      </c>
      <c r="AH42" s="151"/>
      <c r="AI42" s="151"/>
      <c r="AJ42" s="151"/>
      <c r="AK42" s="151"/>
      <c r="AL42" s="685" t="s">
        <v>333</v>
      </c>
      <c r="AM42" s="151"/>
      <c r="AN42" s="151"/>
      <c r="AO42" s="853">
        <f>+SUM(AP42:AR42)</f>
        <v>0</v>
      </c>
      <c r="AP42" s="747">
        <f>+AE$116</f>
        <v>0</v>
      </c>
      <c r="AQ42" s="747">
        <f>+AF$116</f>
        <v>0</v>
      </c>
      <c r="AR42" s="747">
        <f>+AG$116</f>
        <v>0</v>
      </c>
      <c r="AS42" s="151"/>
      <c r="AT42" s="854">
        <f ca="1">+OFFSET('Parcel Breakdown'!$AJ$43,0,Assumptions!$AJ24)</f>
        <v>100931.25</v>
      </c>
      <c r="AU42" s="851">
        <f ca="1">$AO42-$AT42</f>
        <v>-100931.25</v>
      </c>
      <c r="AV42" s="151"/>
      <c r="AW42" s="151"/>
      <c r="AX42" s="151"/>
      <c r="AY42" s="151"/>
      <c r="AZ42" s="151"/>
      <c r="BA42" s="151"/>
      <c r="BB42" s="151"/>
      <c r="BC42" s="151"/>
      <c r="BD42" s="151"/>
      <c r="BE42" s="151"/>
      <c r="BF42" s="151"/>
      <c r="BG42" s="151"/>
      <c r="BH42" s="151"/>
      <c r="BI42" s="151"/>
      <c r="BJ42" s="151"/>
      <c r="BK42" s="151"/>
      <c r="BL42" s="151"/>
      <c r="BM42" s="151"/>
      <c r="BN42" s="151"/>
      <c r="BO42" s="151"/>
      <c r="BP42" s="151"/>
      <c r="BQ42" s="151"/>
      <c r="BR42" s="151"/>
      <c r="BS42" s="151"/>
      <c r="BT42" s="151"/>
      <c r="BU42" s="151"/>
      <c r="BV42" s="151"/>
      <c r="BW42" s="151"/>
      <c r="BX42" s="151"/>
      <c r="BY42" s="151"/>
      <c r="BZ42" s="151"/>
      <c r="CA42" s="151"/>
    </row>
    <row r="43" spans="1:79" ht="15.75">
      <c r="A43" s="1047"/>
      <c r="B43" s="699"/>
      <c r="C43" s="699"/>
      <c r="D43" s="699"/>
      <c r="E43" s="699"/>
      <c r="F43" s="699"/>
      <c r="G43" s="699"/>
      <c r="H43" s="699"/>
      <c r="I43" s="699"/>
      <c r="J43" s="758" t="s">
        <v>160</v>
      </c>
      <c r="K43" s="699"/>
      <c r="L43" s="699"/>
      <c r="M43" s="364">
        <f t="shared" ca="1" si="14"/>
        <v>216496</v>
      </c>
      <c r="N43" s="365">
        <f ca="1">+OFFSET('Parcel Breakdown'!$O$44,0,$AJ31)</f>
        <v>112603</v>
      </c>
      <c r="O43" s="365">
        <f ca="1">+OFFSET('Parcel Breakdown'!$O$44,1,$AJ31)</f>
        <v>64646</v>
      </c>
      <c r="P43" s="365">
        <f ca="1">+OFFSET('Parcel Breakdown'!$O$44,2,$AJ31)</f>
        <v>39247</v>
      </c>
      <c r="Q43" s="699"/>
      <c r="R43" s="699"/>
      <c r="S43" s="699"/>
      <c r="T43" s="699"/>
      <c r="U43" s="699"/>
      <c r="V43" s="5"/>
      <c r="W43" s="689"/>
      <c r="X43" s="689"/>
      <c r="Y43" s="689"/>
      <c r="Z43" s="689"/>
      <c r="AA43" s="685" t="s">
        <v>515</v>
      </c>
      <c r="AB43" s="151"/>
      <c r="AC43" s="151"/>
      <c r="AD43" s="730">
        <f>+AD70</f>
        <v>750</v>
      </c>
      <c r="AE43" s="731">
        <f>+$AD43</f>
        <v>750</v>
      </c>
      <c r="AF43" s="731">
        <f>+$AD43</f>
        <v>750</v>
      </c>
      <c r="AG43" s="731">
        <f>+$AD43</f>
        <v>750</v>
      </c>
      <c r="AH43" s="151"/>
      <c r="AI43" s="151"/>
      <c r="AJ43" s="151"/>
      <c r="AK43" s="151"/>
      <c r="AL43" s="685" t="s">
        <v>335</v>
      </c>
      <c r="AM43" s="151"/>
      <c r="AN43" s="151"/>
      <c r="AO43" s="853">
        <f>+SUM(AP43:AR43)</f>
        <v>0</v>
      </c>
      <c r="AP43" s="747">
        <f>+AE$146</f>
        <v>0</v>
      </c>
      <c r="AQ43" s="747">
        <f>+AF$146</f>
        <v>0</v>
      </c>
      <c r="AR43" s="747">
        <f>+AG$146</f>
        <v>0</v>
      </c>
      <c r="AS43" s="151"/>
      <c r="AT43" s="854">
        <f ca="1">+OFFSET('Parcel Breakdown'!$AJ$43,0,Assumptions!$AJ25)</f>
        <v>162372</v>
      </c>
      <c r="AU43" s="851">
        <f ca="1">$AO43-$AT43</f>
        <v>-162372</v>
      </c>
      <c r="AV43" s="151"/>
      <c r="AW43" s="151"/>
      <c r="AX43" s="151"/>
      <c r="AY43" s="151"/>
      <c r="AZ43" s="151"/>
      <c r="BA43" s="151"/>
      <c r="BB43" s="151"/>
      <c r="BC43" s="151"/>
      <c r="BD43" s="151"/>
      <c r="BE43" s="151"/>
      <c r="BF43" s="151"/>
      <c r="BG43" s="151"/>
      <c r="BH43" s="151"/>
      <c r="BI43" s="151"/>
      <c r="BJ43" s="151"/>
      <c r="BK43" s="151"/>
      <c r="BL43" s="151"/>
      <c r="BM43" s="151"/>
      <c r="BN43" s="151"/>
      <c r="BO43" s="151"/>
      <c r="BP43" s="151"/>
      <c r="BQ43" s="151"/>
      <c r="BR43" s="151"/>
      <c r="BS43" s="151"/>
      <c r="BT43" s="151"/>
      <c r="BU43" s="151"/>
      <c r="BV43" s="151"/>
      <c r="BW43" s="151"/>
      <c r="BX43" s="151"/>
      <c r="BY43" s="151"/>
      <c r="BZ43" s="151"/>
      <c r="CA43" s="151"/>
    </row>
    <row r="44" spans="1:79" ht="16.5" thickBot="1">
      <c r="A44" s="1047"/>
      <c r="B44" s="363" t="s">
        <v>540</v>
      </c>
      <c r="C44" s="1038"/>
      <c r="D44" s="274"/>
      <c r="E44" s="349" t="s">
        <v>319</v>
      </c>
      <c r="F44" s="349" t="str">
        <f>F26</f>
        <v>I</v>
      </c>
      <c r="G44" s="349" t="str">
        <f>G26</f>
        <v>II</v>
      </c>
      <c r="H44" s="349" t="str">
        <f>H26</f>
        <v>III</v>
      </c>
      <c r="I44" s="699"/>
      <c r="J44" s="758" t="s">
        <v>162</v>
      </c>
      <c r="K44" s="699"/>
      <c r="L44" s="699"/>
      <c r="M44" s="364">
        <f t="shared" ca="1" si="14"/>
        <v>250822</v>
      </c>
      <c r="N44" s="365">
        <f ca="1">+OFFSET('Parcel Breakdown'!$O$44,0,$AJ32)</f>
        <v>0</v>
      </c>
      <c r="O44" s="365">
        <f ca="1">+OFFSET('Parcel Breakdown'!$O$44,1,$AJ32)</f>
        <v>0</v>
      </c>
      <c r="P44" s="365">
        <f ca="1">+OFFSET('Parcel Breakdown'!$O$44,2,$AJ32)</f>
        <v>250822</v>
      </c>
      <c r="Q44" s="699"/>
      <c r="R44" s="699"/>
      <c r="S44" s="699"/>
      <c r="T44" s="699"/>
      <c r="U44" s="5"/>
      <c r="V44" s="5"/>
      <c r="W44" s="689"/>
      <c r="X44" s="689"/>
      <c r="Y44" s="689"/>
      <c r="Z44" s="689"/>
      <c r="AA44" s="685" t="s">
        <v>268</v>
      </c>
      <c r="AB44" s="151"/>
      <c r="AC44" s="151"/>
      <c r="AD44" s="717"/>
      <c r="AE44" s="686">
        <f>(AE45*12)/AE43</f>
        <v>13.76</v>
      </c>
      <c r="AF44" s="686">
        <f t="shared" ref="AF44:AG44" si="16">(AF45*12)/AF43</f>
        <v>14.602222079999999</v>
      </c>
      <c r="AG44" s="686">
        <f t="shared" si="16"/>
        <v>15.192151852032</v>
      </c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  <c r="AU44" s="151"/>
      <c r="AV44" s="151"/>
      <c r="AW44" s="151"/>
      <c r="AX44" s="151"/>
      <c r="AY44" s="151"/>
      <c r="AZ44" s="151"/>
      <c r="BA44" s="151"/>
      <c r="BB44" s="151"/>
      <c r="BC44" s="151"/>
      <c r="BD44" s="151"/>
      <c r="BE44" s="151"/>
      <c r="BF44" s="151"/>
      <c r="BG44" s="151"/>
      <c r="BH44" s="151"/>
      <c r="BI44" s="151"/>
      <c r="BJ44" s="151"/>
      <c r="BK44" s="151"/>
      <c r="BL44" s="151"/>
      <c r="BM44" s="151"/>
      <c r="BN44" s="151"/>
      <c r="BO44" s="151"/>
      <c r="BP44" s="151"/>
      <c r="BQ44" s="151"/>
      <c r="BR44" s="151"/>
      <c r="BS44" s="151"/>
      <c r="BT44" s="151"/>
      <c r="BU44" s="151"/>
      <c r="BV44" s="151"/>
      <c r="BW44" s="151"/>
      <c r="BX44" s="151"/>
      <c r="BY44" s="151"/>
      <c r="BZ44" s="151"/>
      <c r="CA44" s="151"/>
    </row>
    <row r="45" spans="1:79" ht="15.75">
      <c r="A45" s="1047"/>
      <c r="B45" s="758" t="s">
        <v>541</v>
      </c>
      <c r="C45" s="699"/>
      <c r="D45" s="274"/>
      <c r="E45" s="123">
        <v>4.2500000000000003E-2</v>
      </c>
      <c r="F45" s="384">
        <f>+$E45</f>
        <v>4.2500000000000003E-2</v>
      </c>
      <c r="G45" s="384">
        <f t="shared" ref="G45:H45" si="17">+$E45</f>
        <v>4.2500000000000003E-2</v>
      </c>
      <c r="H45" s="384">
        <f t="shared" si="17"/>
        <v>4.2500000000000003E-2</v>
      </c>
      <c r="I45" s="699"/>
      <c r="J45" s="758" t="s">
        <v>350</v>
      </c>
      <c r="K45" s="699"/>
      <c r="L45" s="699"/>
      <c r="M45" s="364">
        <f ca="1">+SUM(N45:P45)</f>
        <v>405379</v>
      </c>
      <c r="N45" s="365">
        <f ca="1">+OFFSET('Parcel Breakdown'!$O$44,0,$AJ35)</f>
        <v>151579</v>
      </c>
      <c r="O45" s="365">
        <f ca="1">+OFFSET('Parcel Breakdown'!$O$44,1,$AJ35)</f>
        <v>172800</v>
      </c>
      <c r="P45" s="365">
        <f ca="1">+OFFSET('Parcel Breakdown'!$O$44,2,$AJ35)</f>
        <v>81000</v>
      </c>
      <c r="Q45" s="699"/>
      <c r="R45" s="699"/>
      <c r="S45" s="699"/>
      <c r="T45" s="699"/>
      <c r="U45" s="699"/>
      <c r="V45" s="5"/>
      <c r="W45" s="689"/>
      <c r="X45" s="689"/>
      <c r="Y45" s="689"/>
      <c r="Z45" s="689"/>
      <c r="AA45" s="685" t="s">
        <v>516</v>
      </c>
      <c r="AB45" s="151"/>
      <c r="AC45" s="151"/>
      <c r="AD45" s="732">
        <f>+AD27</f>
        <v>860</v>
      </c>
      <c r="AE45" s="731">
        <f>$AD45</f>
        <v>860</v>
      </c>
      <c r="AF45" s="731">
        <f>+$AE45*(1+0.02)^G$36</f>
        <v>912.63887999999997</v>
      </c>
      <c r="AG45" s="731">
        <f>+$AE45*(1+0.02)^H$36</f>
        <v>949.50949075200003</v>
      </c>
      <c r="AH45" s="151"/>
      <c r="AI45" s="151"/>
      <c r="AJ45" s="151"/>
      <c r="AK45" s="151"/>
      <c r="AL45" s="685" t="s">
        <v>340</v>
      </c>
      <c r="AM45" s="151"/>
      <c r="AN45" s="151"/>
      <c r="AO45" s="853">
        <f t="shared" ref="AO45:AO46" si="18">+SUM(AP45:AR45)</f>
        <v>0</v>
      </c>
      <c r="AP45" s="747">
        <f>+F$228</f>
        <v>0</v>
      </c>
      <c r="AQ45" s="747">
        <f>+G$228</f>
        <v>0</v>
      </c>
      <c r="AR45" s="747">
        <f>+H$228</f>
        <v>0</v>
      </c>
      <c r="AS45" s="151"/>
      <c r="AT45" s="854">
        <f ca="1">+OFFSET('Parcel Breakdown'!$AJ$43,0,Assumptions!$AJ28)</f>
        <v>70427722.556892037</v>
      </c>
      <c r="AU45" s="851">
        <f ca="1">$AO45-$AT45</f>
        <v>-70427722.556892037</v>
      </c>
      <c r="AV45" s="151"/>
      <c r="AW45" s="151"/>
      <c r="AX45" s="151"/>
      <c r="AY45" s="151"/>
      <c r="AZ45" s="151"/>
      <c r="BA45" s="151"/>
      <c r="BB45" s="151"/>
      <c r="BC45" s="151"/>
      <c r="BD45" s="151"/>
      <c r="BE45" s="151"/>
      <c r="BF45" s="151"/>
      <c r="BG45" s="151"/>
      <c r="BH45" s="151"/>
      <c r="BI45" s="151"/>
      <c r="BJ45" s="151"/>
      <c r="BK45" s="151"/>
      <c r="BL45" s="151"/>
      <c r="BM45" s="151"/>
      <c r="BN45" s="151"/>
      <c r="BO45" s="151"/>
      <c r="BP45" s="151"/>
      <c r="BQ45" s="151"/>
      <c r="BR45" s="151"/>
      <c r="BS45" s="151"/>
      <c r="BT45" s="151"/>
      <c r="BU45" s="151"/>
      <c r="BV45" s="151"/>
      <c r="BW45" s="151"/>
      <c r="BX45" s="151"/>
      <c r="BY45" s="151"/>
      <c r="BZ45" s="151"/>
      <c r="CA45" s="151"/>
    </row>
    <row r="46" spans="1:79" ht="15.75">
      <c r="A46" s="1047"/>
      <c r="B46" s="758" t="str">
        <f>+J29</f>
        <v>Affordable For-Sale Residential</v>
      </c>
      <c r="C46" s="699"/>
      <c r="D46" s="699"/>
      <c r="E46" s="123">
        <v>4.2500000000000003E-2</v>
      </c>
      <c r="F46" s="384">
        <f t="shared" ref="F46:H47" si="19">+$E46</f>
        <v>4.2500000000000003E-2</v>
      </c>
      <c r="G46" s="384">
        <f t="shared" si="19"/>
        <v>4.2500000000000003E-2</v>
      </c>
      <c r="H46" s="384">
        <f t="shared" si="19"/>
        <v>4.2500000000000003E-2</v>
      </c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5"/>
      <c r="W46" s="689"/>
      <c r="X46" s="689"/>
      <c r="Y46" s="689"/>
      <c r="Z46" s="689"/>
      <c r="AA46" s="727" t="s">
        <v>273</v>
      </c>
      <c r="AB46" s="151"/>
      <c r="AC46" s="151"/>
      <c r="AD46" s="717"/>
      <c r="AE46" s="729">
        <f>+'Parcel Breakdown'!BK176</f>
        <v>0</v>
      </c>
      <c r="AF46" s="729">
        <f>+'Parcel Breakdown'!BK177</f>
        <v>0</v>
      </c>
      <c r="AG46" s="729">
        <f>+'Parcel Breakdown'!BK178</f>
        <v>0</v>
      </c>
      <c r="AH46" s="151"/>
      <c r="AI46" s="151"/>
      <c r="AJ46" s="151"/>
      <c r="AK46" s="151"/>
      <c r="AL46" s="685" t="s">
        <v>342</v>
      </c>
      <c r="AM46" s="151"/>
      <c r="AN46" s="151"/>
      <c r="AO46" s="853">
        <f t="shared" si="18"/>
        <v>0</v>
      </c>
      <c r="AP46" s="747">
        <f>+F$255</f>
        <v>0</v>
      </c>
      <c r="AQ46" s="747">
        <f>+G$255</f>
        <v>0</v>
      </c>
      <c r="AR46" s="747">
        <f>+H$255</f>
        <v>0</v>
      </c>
      <c r="AS46" s="151"/>
      <c r="AT46" s="854">
        <f ca="1">+OFFSET('Parcel Breakdown'!$AJ$43,0,Assumptions!$AJ29)</f>
        <v>0</v>
      </c>
      <c r="AU46" s="851">
        <f ca="1">$AO46-$AT46</f>
        <v>0</v>
      </c>
      <c r="AV46" s="151"/>
      <c r="AW46" s="151"/>
      <c r="AX46" s="151"/>
      <c r="AY46" s="151"/>
      <c r="AZ46" s="151"/>
      <c r="BA46" s="151"/>
      <c r="BB46" s="151"/>
      <c r="BC46" s="151"/>
      <c r="BD46" s="151"/>
      <c r="BE46" s="151"/>
      <c r="BF46" s="151"/>
      <c r="BG46" s="151"/>
      <c r="BH46" s="151"/>
      <c r="BI46" s="151"/>
      <c r="BJ46" s="151"/>
      <c r="BK46" s="151"/>
      <c r="BL46" s="151"/>
      <c r="BM46" s="151"/>
      <c r="BN46" s="151"/>
      <c r="BO46" s="151"/>
      <c r="BP46" s="151"/>
      <c r="BQ46" s="151"/>
      <c r="BR46" s="151"/>
      <c r="BS46" s="151"/>
      <c r="BT46" s="151"/>
      <c r="BU46" s="151"/>
      <c r="BV46" s="151"/>
      <c r="BW46" s="151"/>
      <c r="BX46" s="151"/>
      <c r="BY46" s="151"/>
      <c r="BZ46" s="151"/>
      <c r="CA46" s="151"/>
    </row>
    <row r="47" spans="1:79" ht="15.75">
      <c r="A47" s="1047"/>
      <c r="B47" s="758" t="str">
        <f>+J30</f>
        <v xml:space="preserve">Market-Rate For-Sale Residential </v>
      </c>
      <c r="C47" s="699"/>
      <c r="D47" s="699"/>
      <c r="E47" s="123">
        <v>4.2500000000000003E-2</v>
      </c>
      <c r="F47" s="384">
        <f t="shared" si="19"/>
        <v>4.2500000000000003E-2</v>
      </c>
      <c r="G47" s="384">
        <f t="shared" si="19"/>
        <v>4.2500000000000003E-2</v>
      </c>
      <c r="H47" s="384">
        <f t="shared" si="19"/>
        <v>4.2500000000000003E-2</v>
      </c>
      <c r="I47" s="699"/>
      <c r="J47" s="133" t="s">
        <v>351</v>
      </c>
      <c r="K47" s="1052"/>
      <c r="L47" s="1052"/>
      <c r="M47" s="362">
        <f ca="1">SUM(M38:M46)</f>
        <v>2498321</v>
      </c>
      <c r="N47" s="362">
        <f ca="1">SUM(N38:N46)</f>
        <v>975362</v>
      </c>
      <c r="O47" s="362">
        <f ca="1">SUM(O38:O46)</f>
        <v>802148</v>
      </c>
      <c r="P47" s="362">
        <f ca="1">SUM(P38:P46)</f>
        <v>720811</v>
      </c>
      <c r="Q47" s="699"/>
      <c r="R47" s="699"/>
      <c r="S47" s="699"/>
      <c r="T47" s="699"/>
      <c r="U47" s="699"/>
      <c r="V47" s="5"/>
      <c r="W47" s="689"/>
      <c r="X47" s="689"/>
      <c r="Y47" s="689"/>
      <c r="Z47" s="689"/>
      <c r="AA47" s="685" t="s">
        <v>515</v>
      </c>
      <c r="AB47" s="151"/>
      <c r="AC47" s="151"/>
      <c r="AD47" s="730">
        <v>1200</v>
      </c>
      <c r="AE47" s="731">
        <f>+$AD47</f>
        <v>1200</v>
      </c>
      <c r="AF47" s="731">
        <f>+$AD47</f>
        <v>1200</v>
      </c>
      <c r="AG47" s="731">
        <f>+$AD47</f>
        <v>1200</v>
      </c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  <c r="AU47" s="151"/>
      <c r="AV47" s="151"/>
      <c r="AW47" s="151"/>
      <c r="AX47" s="151"/>
      <c r="AY47" s="151"/>
      <c r="AZ47" s="151"/>
      <c r="BA47" s="151"/>
      <c r="BB47" s="151"/>
      <c r="BC47" s="151"/>
      <c r="BD47" s="151"/>
      <c r="BE47" s="151"/>
      <c r="BF47" s="151"/>
      <c r="BG47" s="151"/>
      <c r="BH47" s="151"/>
      <c r="BI47" s="151"/>
      <c r="BJ47" s="151"/>
      <c r="BK47" s="151"/>
      <c r="BL47" s="151"/>
      <c r="BM47" s="151"/>
      <c r="BN47" s="151"/>
      <c r="BO47" s="151"/>
      <c r="BP47" s="151"/>
      <c r="BQ47" s="151"/>
      <c r="BR47" s="151"/>
      <c r="BS47" s="151"/>
      <c r="BT47" s="151"/>
      <c r="BU47" s="151"/>
      <c r="BV47" s="151"/>
      <c r="BW47" s="151"/>
      <c r="BX47" s="151"/>
      <c r="BY47" s="151"/>
      <c r="BZ47" s="151"/>
      <c r="CA47" s="151"/>
    </row>
    <row r="48" spans="1:79" ht="15.75">
      <c r="A48" s="1047"/>
      <c r="B48" s="758" t="str">
        <f>+J31</f>
        <v xml:space="preserve">Office </v>
      </c>
      <c r="C48" s="699"/>
      <c r="D48" s="699"/>
      <c r="E48" s="123">
        <v>5.1799999999999999E-2</v>
      </c>
      <c r="F48" s="384">
        <f t="shared" ref="F48:F51" si="20">+$E48</f>
        <v>5.1799999999999999E-2</v>
      </c>
      <c r="G48" s="384">
        <f t="shared" ref="G48:H51" si="21">+$E48</f>
        <v>5.1799999999999999E-2</v>
      </c>
      <c r="H48" s="384">
        <f t="shared" si="21"/>
        <v>5.1799999999999999E-2</v>
      </c>
      <c r="I48" s="699"/>
      <c r="J48" s="758"/>
      <c r="K48" s="699"/>
      <c r="L48" s="699"/>
      <c r="M48" s="18"/>
      <c r="N48" s="1050"/>
      <c r="O48" s="1050"/>
      <c r="P48" s="1050"/>
      <c r="Q48" s="699"/>
      <c r="R48" s="699"/>
      <c r="S48" s="699"/>
      <c r="T48" s="699"/>
      <c r="U48" s="699"/>
      <c r="V48" s="5"/>
      <c r="W48" s="689"/>
      <c r="X48" s="689"/>
      <c r="Y48" s="689"/>
      <c r="Z48" s="689"/>
      <c r="AA48" s="685" t="s">
        <v>268</v>
      </c>
      <c r="AB48" s="151"/>
      <c r="AC48" s="151"/>
      <c r="AD48" s="717"/>
      <c r="AE48" s="686">
        <f>(AE49*12)/AE47</f>
        <v>14.41</v>
      </c>
      <c r="AF48" s="686">
        <f t="shared" ref="AF48:AG48" si="22">(AF49*12)/AF47</f>
        <v>15.292007279999998</v>
      </c>
      <c r="AG48" s="686">
        <f t="shared" si="22"/>
        <v>15.909804374111999</v>
      </c>
      <c r="AH48" s="151"/>
      <c r="AI48" s="151"/>
      <c r="AJ48" s="151"/>
      <c r="AK48" s="151"/>
      <c r="AL48" s="151"/>
      <c r="AM48" s="685" t="s">
        <v>180</v>
      </c>
      <c r="AN48" s="151"/>
      <c r="AO48" s="151"/>
      <c r="AP48" s="853">
        <f>+SUM(AQ48:AS48)</f>
        <v>0</v>
      </c>
      <c r="AQ48" s="747">
        <f>+AE$194</f>
        <v>0</v>
      </c>
      <c r="AR48" s="747">
        <f>+AF$194</f>
        <v>0</v>
      </c>
      <c r="AS48" s="747">
        <f>+AG$194</f>
        <v>0</v>
      </c>
      <c r="AT48" s="367"/>
      <c r="AU48" s="854">
        <f ca="1">+OFFSET('Parcel Breakdown'!$AJ$43,0,Assumptions!$AJ33)</f>
        <v>0</v>
      </c>
      <c r="AV48" s="851">
        <f ca="1">$AP48-$AU48</f>
        <v>0</v>
      </c>
      <c r="AW48" s="151"/>
      <c r="AX48" s="151"/>
      <c r="AY48" s="151"/>
      <c r="AZ48" s="151"/>
      <c r="BA48" s="151"/>
      <c r="BB48" s="151"/>
      <c r="BC48" s="151"/>
      <c r="BD48" s="151"/>
      <c r="BE48" s="151"/>
      <c r="BF48" s="151"/>
      <c r="BG48" s="151"/>
      <c r="BH48" s="151"/>
      <c r="BI48" s="151"/>
      <c r="BJ48" s="151"/>
      <c r="BK48" s="151"/>
      <c r="BL48" s="151"/>
      <c r="BM48" s="151"/>
      <c r="BN48" s="151"/>
      <c r="BO48" s="151"/>
      <c r="BP48" s="151"/>
      <c r="BQ48" s="151"/>
      <c r="BR48" s="151"/>
      <c r="BS48" s="151"/>
      <c r="BT48" s="151"/>
      <c r="BU48" s="151"/>
      <c r="BV48" s="151"/>
      <c r="BW48" s="151"/>
      <c r="BX48" s="151"/>
      <c r="BY48" s="151"/>
      <c r="BZ48" s="151"/>
      <c r="CA48" s="151"/>
    </row>
    <row r="49" spans="1:79" ht="16.5" thickBot="1">
      <c r="A49" s="1047"/>
      <c r="B49" s="758" t="str">
        <f>+J32</f>
        <v xml:space="preserve">Retail </v>
      </c>
      <c r="C49" s="699"/>
      <c r="D49" s="699"/>
      <c r="E49" s="123">
        <v>5.1499999999999997E-2</v>
      </c>
      <c r="F49" s="384">
        <f t="shared" si="20"/>
        <v>5.1499999999999997E-2</v>
      </c>
      <c r="G49" s="384">
        <f t="shared" si="21"/>
        <v>5.1499999999999997E-2</v>
      </c>
      <c r="H49" s="384">
        <f t="shared" si="21"/>
        <v>5.1499999999999997E-2</v>
      </c>
      <c r="I49" s="699"/>
      <c r="J49" s="363" t="s">
        <v>542</v>
      </c>
      <c r="K49" s="1038"/>
      <c r="L49" s="1038"/>
      <c r="M49" s="1038"/>
      <c r="N49" s="1038"/>
      <c r="O49" s="1038"/>
      <c r="P49" s="1038"/>
      <c r="Q49" s="699"/>
      <c r="R49" s="356" t="s">
        <v>520</v>
      </c>
      <c r="S49" s="699"/>
      <c r="T49" s="699"/>
      <c r="U49" s="699"/>
      <c r="V49" s="5"/>
      <c r="W49" s="689"/>
      <c r="X49" s="689"/>
      <c r="Y49" s="689"/>
      <c r="Z49" s="689"/>
      <c r="AA49" s="685" t="s">
        <v>516</v>
      </c>
      <c r="AB49" s="151"/>
      <c r="AC49" s="151"/>
      <c r="AD49" s="732">
        <f>+E64</f>
        <v>1441</v>
      </c>
      <c r="AE49" s="731">
        <f>$AD49</f>
        <v>1441</v>
      </c>
      <c r="AF49" s="731">
        <f>+$AE49*(1+0.02)^G$36</f>
        <v>1529.2007279999998</v>
      </c>
      <c r="AG49" s="731">
        <f>+$AE49*(1+0.02)^H$36</f>
        <v>1590.9804374112</v>
      </c>
      <c r="AH49" s="151"/>
      <c r="AI49" s="151"/>
      <c r="AJ49" s="151"/>
      <c r="AK49" s="151"/>
      <c r="AL49" s="151"/>
      <c r="AM49" s="685" t="s">
        <v>161</v>
      </c>
      <c r="AN49" s="151"/>
      <c r="AO49" s="151"/>
      <c r="AP49" s="853">
        <f>+SUM(AQ49:AS49)</f>
        <v>0</v>
      </c>
      <c r="AQ49" s="747">
        <f>+AE$232</f>
        <v>0</v>
      </c>
      <c r="AR49" s="747">
        <f>+AF$232</f>
        <v>0</v>
      </c>
      <c r="AS49" s="747">
        <f>+AG$232</f>
        <v>0</v>
      </c>
      <c r="AT49" s="367"/>
      <c r="AU49" s="854">
        <f ca="1">+OFFSET('Parcel Breakdown'!$AJ$43,0,Assumptions!$AJ34)</f>
        <v>0</v>
      </c>
      <c r="AV49" s="851">
        <f ca="1">$AP49-$AU49</f>
        <v>0</v>
      </c>
      <c r="AW49" s="151"/>
      <c r="AX49" s="151"/>
      <c r="AY49" s="151"/>
      <c r="AZ49" s="151"/>
      <c r="BA49" s="151"/>
      <c r="BB49" s="151"/>
      <c r="BC49" s="151"/>
      <c r="BD49" s="151"/>
      <c r="BE49" s="151"/>
      <c r="BF49" s="151"/>
      <c r="BG49" s="151"/>
      <c r="BH49" s="151"/>
      <c r="BI49" s="151"/>
      <c r="BJ49" s="151"/>
      <c r="BK49" s="151"/>
      <c r="BL49" s="151"/>
      <c r="BM49" s="151"/>
      <c r="BN49" s="151"/>
      <c r="BO49" s="151"/>
      <c r="BP49" s="151"/>
      <c r="BQ49" s="151"/>
      <c r="BR49" s="151"/>
      <c r="BS49" s="151"/>
      <c r="BT49" s="151"/>
      <c r="BU49" s="151"/>
      <c r="BV49" s="151"/>
      <c r="BW49" s="151"/>
      <c r="BX49" s="151"/>
      <c r="BY49" s="151"/>
      <c r="BZ49" s="151"/>
      <c r="CA49" s="151"/>
    </row>
    <row r="50" spans="1:79" ht="15.75">
      <c r="A50" s="1047" t="s">
        <v>511</v>
      </c>
      <c r="B50" s="758" t="str">
        <f>+J33</f>
        <v xml:space="preserve">Hotel </v>
      </c>
      <c r="C50" s="699"/>
      <c r="D50" s="699"/>
      <c r="E50" s="123">
        <v>6.3E-2</v>
      </c>
      <c r="F50" s="384">
        <f t="shared" si="20"/>
        <v>6.3E-2</v>
      </c>
      <c r="G50" s="384">
        <f t="shared" si="21"/>
        <v>6.3E-2</v>
      </c>
      <c r="H50" s="384">
        <f t="shared" si="21"/>
        <v>6.3E-2</v>
      </c>
      <c r="I50" s="699"/>
      <c r="J50" s="758" t="s">
        <v>322</v>
      </c>
      <c r="K50" s="699"/>
      <c r="L50" s="699"/>
      <c r="M50" s="364">
        <f>+SUM(N50:P50)</f>
        <v>321.6280430615256</v>
      </c>
      <c r="N50" s="1055">
        <f>+F$71</f>
        <v>151.421061756592</v>
      </c>
      <c r="O50" s="1055">
        <f>+G$71</f>
        <v>109.9288504523</v>
      </c>
      <c r="P50" s="1055">
        <f>+H$71</f>
        <v>60.278130852633616</v>
      </c>
      <c r="Q50" s="699"/>
      <c r="R50" s="366">
        <f>+'Parcel Breakdown'!$AQ$62</f>
        <v>321.6280430615256</v>
      </c>
      <c r="S50" s="360">
        <f>$R50-$M50</f>
        <v>0</v>
      </c>
      <c r="T50" s="699"/>
      <c r="U50" s="699"/>
      <c r="V50" s="5"/>
      <c r="W50" s="689"/>
      <c r="X50" s="689"/>
      <c r="Y50" s="689"/>
      <c r="Z50" s="689"/>
      <c r="AA50" s="727" t="s">
        <v>274</v>
      </c>
      <c r="AB50" s="151"/>
      <c r="AC50" s="151"/>
      <c r="AD50" s="717"/>
      <c r="AE50" s="729">
        <f>+'Parcel Breakdown'!BM176</f>
        <v>0</v>
      </c>
      <c r="AF50" s="729">
        <f>+'Parcel Breakdown'!BM177</f>
        <v>0</v>
      </c>
      <c r="AG50" s="729">
        <f>+'Parcel Breakdown'!BM178</f>
        <v>0</v>
      </c>
      <c r="AH50" s="151"/>
      <c r="AI50" s="151"/>
      <c r="AJ50" s="151"/>
      <c r="AK50" s="151"/>
      <c r="AL50" s="685" t="s">
        <v>182</v>
      </c>
      <c r="AM50" s="151"/>
      <c r="AN50" s="151"/>
      <c r="AO50" s="853">
        <f>+SUM(AP50:AR50)</f>
        <v>0</v>
      </c>
      <c r="AP50" s="747">
        <f>+AE$204</f>
        <v>0</v>
      </c>
      <c r="AQ50" s="747">
        <f>+AF$204</f>
        <v>0</v>
      </c>
      <c r="AR50" s="747">
        <f>+AG$204</f>
        <v>0</v>
      </c>
      <c r="AS50" s="367"/>
      <c r="AT50" s="854"/>
      <c r="AU50" s="851"/>
      <c r="AV50" s="151"/>
      <c r="AW50" s="689"/>
      <c r="AX50" s="151"/>
      <c r="AY50" s="151"/>
      <c r="AZ50" s="151"/>
      <c r="BA50" s="151"/>
      <c r="BB50" s="151"/>
      <c r="BC50" s="151"/>
      <c r="BD50" s="151"/>
      <c r="BE50" s="151"/>
      <c r="BF50" s="151"/>
      <c r="BG50" s="151"/>
      <c r="BH50" s="151"/>
      <c r="BI50" s="151"/>
      <c r="BJ50" s="151"/>
      <c r="BK50" s="151"/>
      <c r="BL50" s="151"/>
      <c r="BM50" s="151"/>
      <c r="BN50" s="151"/>
      <c r="BO50" s="151"/>
      <c r="BP50" s="151"/>
      <c r="BQ50" s="151"/>
      <c r="BR50" s="151"/>
      <c r="BS50" s="151"/>
      <c r="BT50" s="151"/>
      <c r="BU50" s="151"/>
      <c r="BV50" s="151"/>
      <c r="BW50" s="151"/>
      <c r="BX50" s="151"/>
      <c r="BY50" s="151"/>
      <c r="BZ50" s="151"/>
      <c r="CA50" s="151"/>
    </row>
    <row r="51" spans="1:79" ht="15.75">
      <c r="A51" s="1047"/>
      <c r="B51" s="758" t="s">
        <v>543</v>
      </c>
      <c r="C51" s="699"/>
      <c r="D51" s="699"/>
      <c r="E51" s="123">
        <v>5.7500000000000002E-2</v>
      </c>
      <c r="F51" s="384">
        <f t="shared" si="20"/>
        <v>5.7500000000000002E-2</v>
      </c>
      <c r="G51" s="384">
        <f t="shared" si="21"/>
        <v>5.7500000000000002E-2</v>
      </c>
      <c r="H51" s="384">
        <f t="shared" si="21"/>
        <v>5.7500000000000002E-2</v>
      </c>
      <c r="I51" s="699"/>
      <c r="J51" s="758" t="s">
        <v>325</v>
      </c>
      <c r="K51" s="699"/>
      <c r="L51" s="699"/>
      <c r="M51" s="364">
        <f t="shared" ref="M51:M55" si="23">+SUM(N51:P51)</f>
        <v>746.61687628076265</v>
      </c>
      <c r="N51" s="1055">
        <f>+F$94</f>
        <v>351.50392688300718</v>
      </c>
      <c r="O51" s="1055">
        <f>+G$94</f>
        <v>255.18525734440044</v>
      </c>
      <c r="P51" s="1055">
        <f>+H$94</f>
        <v>139.92769205335503</v>
      </c>
      <c r="Q51" s="699"/>
      <c r="R51" s="366">
        <f>+'Parcel Breakdown'!$AQ$55</f>
        <v>746.61687628076265</v>
      </c>
      <c r="S51" s="360">
        <f>$R51-$M51</f>
        <v>0</v>
      </c>
      <c r="T51" s="699"/>
      <c r="U51" s="357"/>
      <c r="V51" s="5"/>
      <c r="W51" s="689"/>
      <c r="X51" s="689"/>
      <c r="Y51" s="689"/>
      <c r="Z51" s="689"/>
      <c r="AA51" s="685" t="s">
        <v>515</v>
      </c>
      <c r="AB51" s="151"/>
      <c r="AC51" s="151"/>
      <c r="AD51" s="730">
        <f>$AD$78</f>
        <v>1400</v>
      </c>
      <c r="AE51" s="731">
        <f>+$AD51</f>
        <v>1400</v>
      </c>
      <c r="AF51" s="731">
        <f>+$AD51</f>
        <v>1400</v>
      </c>
      <c r="AG51" s="731">
        <f>+$AD51</f>
        <v>1400</v>
      </c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  <c r="AU51" s="151"/>
      <c r="AV51" s="151"/>
      <c r="AW51" s="151"/>
      <c r="AX51" s="151"/>
      <c r="AY51" s="151"/>
      <c r="AZ51" s="151"/>
      <c r="BA51" s="151"/>
      <c r="BB51" s="151"/>
      <c r="BC51" s="151"/>
      <c r="BD51" s="151"/>
      <c r="BE51" s="151"/>
      <c r="BF51" s="151"/>
      <c r="BG51" s="151"/>
      <c r="BH51" s="151"/>
      <c r="BI51" s="151"/>
      <c r="BJ51" s="151"/>
      <c r="BK51" s="151"/>
      <c r="BL51" s="151"/>
      <c r="BM51" s="151"/>
      <c r="BN51" s="151"/>
      <c r="BO51" s="151"/>
      <c r="BP51" s="151"/>
      <c r="BQ51" s="151"/>
      <c r="BR51" s="151"/>
      <c r="BS51" s="151"/>
      <c r="BT51" s="151"/>
      <c r="BU51" s="151"/>
      <c r="BV51" s="151"/>
      <c r="BW51" s="151"/>
      <c r="BX51" s="151"/>
      <c r="BY51" s="151"/>
      <c r="BZ51" s="151"/>
      <c r="CA51" s="151"/>
    </row>
    <row r="52" spans="1:79" ht="15.75">
      <c r="A52" s="1047"/>
      <c r="B52" s="758"/>
      <c r="C52" s="699"/>
      <c r="D52" s="699"/>
      <c r="E52" s="699"/>
      <c r="F52" s="699"/>
      <c r="G52" s="699"/>
      <c r="H52" s="699"/>
      <c r="I52" s="699"/>
      <c r="J52" s="758" t="s">
        <v>337</v>
      </c>
      <c r="K52" s="699"/>
      <c r="L52" s="699"/>
      <c r="M52" s="364">
        <f>+SUM(N52:P52)</f>
        <v>52.16068156250001</v>
      </c>
      <c r="N52" s="1055">
        <f>+F$138</f>
        <v>19.416133125000005</v>
      </c>
      <c r="O52" s="1055">
        <f>+G$138</f>
        <v>14.095748437499999</v>
      </c>
      <c r="P52" s="1055">
        <f>+H$138</f>
        <v>18.648800000000001</v>
      </c>
      <c r="Q52" s="699"/>
      <c r="R52" s="366">
        <f>'Parcel Breakdown'!AQ83</f>
        <v>52.160681562500002</v>
      </c>
      <c r="S52" s="360">
        <f>$R52-$M52</f>
        <v>0</v>
      </c>
      <c r="T52" s="699"/>
      <c r="U52" s="699"/>
      <c r="V52" s="5"/>
      <c r="W52" s="689"/>
      <c r="X52" s="689"/>
      <c r="Y52" s="689"/>
      <c r="Z52" s="689"/>
      <c r="AA52" s="685" t="s">
        <v>268</v>
      </c>
      <c r="AB52" s="151"/>
      <c r="AC52" s="151"/>
      <c r="AD52" s="717"/>
      <c r="AE52" s="686">
        <f>(AE53*12)/AE51</f>
        <v>13.825714285714286</v>
      </c>
      <c r="AF52" s="686">
        <f t="shared" ref="AF52:AG52" si="24">(AF53*12)/AF51</f>
        <v>14.671958605714286</v>
      </c>
      <c r="AG52" s="686">
        <f t="shared" si="24"/>
        <v>15.264705733385142</v>
      </c>
      <c r="AH52" s="151"/>
      <c r="AI52" s="151"/>
      <c r="AJ52" s="151"/>
      <c r="AK52" s="151"/>
      <c r="AL52" s="685" t="s">
        <v>533</v>
      </c>
      <c r="AM52" s="151"/>
      <c r="AN52" s="151"/>
      <c r="AO52" s="853">
        <f ca="1">+SUM(AP52:AR52)</f>
        <v>0</v>
      </c>
      <c r="AP52" s="853">
        <f ca="1">+OFFSET('Parcel Breakdown'!$O$44,0,$AJ22)</f>
        <v>0</v>
      </c>
      <c r="AQ52" s="853">
        <f ca="1">+OFFSET('Parcel Breakdown'!$O$44,1,$AJ22)</f>
        <v>0</v>
      </c>
      <c r="AR52" s="853">
        <f ca="1">+OFFSET('Parcel Breakdown'!$O$44,2,$AJ22)</f>
        <v>0</v>
      </c>
      <c r="AS52" s="151"/>
      <c r="AT52" s="151"/>
      <c r="AU52" s="151"/>
      <c r="AV52" s="151"/>
      <c r="AW52" s="151"/>
      <c r="AX52" s="151"/>
      <c r="AY52" s="151"/>
      <c r="AZ52" s="151"/>
      <c r="BA52" s="151"/>
      <c r="BB52" s="151"/>
      <c r="BC52" s="151"/>
      <c r="BD52" s="151"/>
      <c r="BE52" s="151"/>
      <c r="BF52" s="151"/>
      <c r="BG52" s="151"/>
      <c r="BH52" s="151"/>
      <c r="BI52" s="151"/>
      <c r="BJ52" s="151"/>
      <c r="BK52" s="151"/>
      <c r="BL52" s="151"/>
      <c r="BM52" s="151"/>
      <c r="BN52" s="151"/>
      <c r="BO52" s="151"/>
      <c r="BP52" s="151"/>
      <c r="BQ52" s="151"/>
      <c r="BR52" s="151"/>
      <c r="BS52" s="151"/>
      <c r="BT52" s="151"/>
      <c r="BU52" s="151"/>
      <c r="BV52" s="151"/>
      <c r="BW52" s="151"/>
      <c r="BX52" s="151"/>
      <c r="BY52" s="151"/>
      <c r="BZ52" s="151"/>
      <c r="CA52" s="151"/>
    </row>
    <row r="53" spans="1:79" ht="16.5" thickBot="1">
      <c r="A53" s="1047"/>
      <c r="B53" s="363" t="s">
        <v>544</v>
      </c>
      <c r="C53" s="368" t="s">
        <v>545</v>
      </c>
      <c r="D53" s="274"/>
      <c r="E53" s="699"/>
      <c r="F53" s="699"/>
      <c r="G53" s="699"/>
      <c r="H53" s="699"/>
      <c r="I53" s="699"/>
      <c r="J53" s="758" t="s">
        <v>338</v>
      </c>
      <c r="K53" s="699"/>
      <c r="L53" s="699"/>
      <c r="M53" s="364">
        <f>+SUM(N53:P53)</f>
        <v>133.36148540625001</v>
      </c>
      <c r="N53" s="1055">
        <f>+F$157</f>
        <v>54.887111812500002</v>
      </c>
      <c r="O53" s="1055">
        <f>+G$157</f>
        <v>39.847013593750006</v>
      </c>
      <c r="P53" s="1055">
        <f>+H$157</f>
        <v>38.627360000000003</v>
      </c>
      <c r="Q53" s="699"/>
      <c r="R53" s="366">
        <f>'Parcel Breakdown'!AQ90</f>
        <v>133.36148540625001</v>
      </c>
      <c r="S53" s="360">
        <f>$R53-$M53</f>
        <v>0</v>
      </c>
      <c r="T53" s="699"/>
      <c r="U53" s="699"/>
      <c r="V53" s="5"/>
      <c r="W53" s="689"/>
      <c r="X53" s="689"/>
      <c r="Y53" s="689"/>
      <c r="Z53" s="689"/>
      <c r="AA53" s="685" t="s">
        <v>516</v>
      </c>
      <c r="AB53" s="151"/>
      <c r="AC53" s="151"/>
      <c r="AD53" s="732">
        <f>+E68</f>
        <v>1613</v>
      </c>
      <c r="AE53" s="731">
        <f>$AD53</f>
        <v>1613</v>
      </c>
      <c r="AF53" s="731">
        <f>+$AE53*(1+0.02)^G$36</f>
        <v>1711.7285039999999</v>
      </c>
      <c r="AG53" s="731">
        <f>+$AE53*(1+0.02)^H$36</f>
        <v>1780.8823355616</v>
      </c>
      <c r="AH53" s="151"/>
      <c r="AI53" s="151"/>
      <c r="AJ53" s="151"/>
      <c r="AK53" s="151"/>
      <c r="AL53" s="685" t="s">
        <v>538</v>
      </c>
      <c r="AM53" s="151"/>
      <c r="AN53" s="151"/>
      <c r="AO53" s="853">
        <f ca="1">+SUM(AP53:AR53)</f>
        <v>0</v>
      </c>
      <c r="AP53" s="853">
        <f ca="1">+OFFSET('Parcel Breakdown'!$O$44,0,$AJ23)</f>
        <v>0</v>
      </c>
      <c r="AQ53" s="853">
        <f ca="1">+OFFSET('Parcel Breakdown'!$O$44,1,$AJ23)</f>
        <v>0</v>
      </c>
      <c r="AR53" s="853">
        <f ca="1">+OFFSET('Parcel Breakdown'!$O$44,2,$AJ23)</f>
        <v>0</v>
      </c>
      <c r="AS53" s="151"/>
      <c r="AT53" s="151"/>
      <c r="AU53" s="151"/>
      <c r="AV53" s="151"/>
      <c r="AW53" s="151"/>
      <c r="AX53" s="151"/>
      <c r="AY53" s="151"/>
      <c r="AZ53" s="151"/>
      <c r="BA53" s="151"/>
      <c r="BB53" s="151"/>
      <c r="BC53" s="151"/>
      <c r="BD53" s="151"/>
      <c r="BE53" s="151"/>
      <c r="BF53" s="151"/>
      <c r="BG53" s="151"/>
      <c r="BH53" s="151"/>
      <c r="BI53" s="151"/>
      <c r="BJ53" s="151"/>
      <c r="BK53" s="151"/>
      <c r="BL53" s="151"/>
      <c r="BM53" s="151"/>
      <c r="BN53" s="151"/>
      <c r="BO53" s="151"/>
      <c r="BP53" s="151"/>
      <c r="BQ53" s="151"/>
      <c r="BR53" s="151"/>
      <c r="BS53" s="151"/>
      <c r="BT53" s="151"/>
      <c r="BU53" s="151"/>
      <c r="BV53" s="151"/>
      <c r="BW53" s="151"/>
      <c r="BX53" s="151"/>
      <c r="BY53" s="151"/>
      <c r="BZ53" s="151"/>
      <c r="CA53" s="151"/>
    </row>
    <row r="54" spans="1:79" ht="15.75">
      <c r="A54" s="1047"/>
      <c r="B54" s="758" t="s">
        <v>546</v>
      </c>
      <c r="C54" s="78">
        <v>0.155</v>
      </c>
      <c r="D54" s="250"/>
      <c r="E54" s="699"/>
      <c r="F54" s="699"/>
      <c r="G54" s="699"/>
      <c r="H54" s="699"/>
      <c r="I54" s="699"/>
      <c r="J54" s="758" t="s">
        <v>162</v>
      </c>
      <c r="K54" s="699"/>
      <c r="L54" s="699"/>
      <c r="M54" s="364">
        <f ca="1">+SUM(N54:P54)</f>
        <v>364.70333333333332</v>
      </c>
      <c r="N54" s="1055">
        <f>+F$162</f>
        <v>0</v>
      </c>
      <c r="O54" s="1055">
        <f ca="1">+G$162</f>
        <v>0</v>
      </c>
      <c r="P54" s="1055">
        <f>+H$162</f>
        <v>364.70333333333332</v>
      </c>
      <c r="Q54" s="699"/>
      <c r="R54" s="366">
        <f ca="1">+'Parcel Breakdown'!$AI$69</f>
        <v>364.70333333333332</v>
      </c>
      <c r="S54" s="360">
        <f ca="1">$R54-$M54</f>
        <v>0</v>
      </c>
      <c r="T54" s="699"/>
      <c r="U54" s="699"/>
      <c r="V54" s="5"/>
      <c r="W54" s="689"/>
      <c r="X54" s="689"/>
      <c r="Y54" s="689"/>
      <c r="Z54" s="689"/>
      <c r="AA54" s="727" t="s">
        <v>523</v>
      </c>
      <c r="AB54" s="151"/>
      <c r="AC54" s="151"/>
      <c r="AD54" s="717"/>
      <c r="AE54" s="729">
        <f>+'Parcel Breakdown'!BO176</f>
        <v>0</v>
      </c>
      <c r="AF54" s="729">
        <f>+'Parcel Breakdown'!BO177</f>
        <v>0</v>
      </c>
      <c r="AG54" s="729">
        <f>+'Parcel Breakdown'!BO178</f>
        <v>0</v>
      </c>
      <c r="AH54" s="151"/>
      <c r="AI54" s="151"/>
      <c r="AJ54" s="151"/>
      <c r="AK54" s="151"/>
      <c r="AL54" s="685" t="s">
        <v>333</v>
      </c>
      <c r="AM54" s="151"/>
      <c r="AN54" s="151"/>
      <c r="AO54" s="853">
        <f ca="1">+SUM(AP54:AR54)</f>
        <v>0</v>
      </c>
      <c r="AP54" s="853">
        <f ca="1">+OFFSET('Parcel Breakdown'!$O$44,0,$AJ24)</f>
        <v>0</v>
      </c>
      <c r="AQ54" s="853">
        <f ca="1">+OFFSET('Parcel Breakdown'!$O$44,1,$AJ24)</f>
        <v>0</v>
      </c>
      <c r="AR54" s="853">
        <f ca="1">+OFFSET('Parcel Breakdown'!$O$44,2,$AJ24)</f>
        <v>0</v>
      </c>
      <c r="AS54" s="151"/>
      <c r="AT54" s="151"/>
      <c r="AU54" s="151"/>
      <c r="AV54" s="151"/>
      <c r="AW54" s="151"/>
      <c r="AX54" s="151"/>
      <c r="AY54" s="151"/>
      <c r="AZ54" s="151"/>
      <c r="BA54" s="151"/>
      <c r="BB54" s="151"/>
      <c r="BC54" s="151"/>
      <c r="BD54" s="151"/>
      <c r="BE54" s="151"/>
      <c r="BF54" s="151"/>
      <c r="BG54" s="151"/>
      <c r="BH54" s="151"/>
      <c r="BI54" s="151"/>
      <c r="BJ54" s="151"/>
      <c r="BK54" s="151"/>
      <c r="BL54" s="151"/>
      <c r="BM54" s="151"/>
      <c r="BN54" s="151"/>
      <c r="BO54" s="151"/>
      <c r="BP54" s="151"/>
      <c r="BQ54" s="151"/>
      <c r="BR54" s="151"/>
      <c r="BS54" s="151"/>
      <c r="BT54" s="151"/>
      <c r="BU54" s="151"/>
      <c r="BV54" s="151"/>
      <c r="BW54" s="151"/>
      <c r="BX54" s="151"/>
      <c r="BY54" s="151"/>
      <c r="BZ54" s="151"/>
      <c r="CA54" s="151"/>
    </row>
    <row r="55" spans="1:79" ht="15.75">
      <c r="A55" s="1047"/>
      <c r="B55" s="758" t="s">
        <v>547</v>
      </c>
      <c r="C55" s="78">
        <v>2.5000000000000001E-2</v>
      </c>
      <c r="D55" s="250"/>
      <c r="E55" s="699"/>
      <c r="F55" s="699"/>
      <c r="G55" s="699"/>
      <c r="H55" s="699"/>
      <c r="I55" s="699"/>
      <c r="J55" s="758" t="s">
        <v>350</v>
      </c>
      <c r="K55" s="699"/>
      <c r="L55" s="699"/>
      <c r="M55" s="364">
        <f t="shared" si="23"/>
        <v>1184.954</v>
      </c>
      <c r="N55" s="1055">
        <f>+F$193</f>
        <v>443.0770769230769</v>
      </c>
      <c r="O55" s="1055">
        <f>+G$193</f>
        <v>505.10769230769233</v>
      </c>
      <c r="P55" s="1055">
        <f>+H$193</f>
        <v>236.76923076923077</v>
      </c>
      <c r="Q55" s="699"/>
      <c r="R55" s="366">
        <f>+'Parcel Breakdown'!$AI$76</f>
        <v>1184.954</v>
      </c>
      <c r="S55" s="360">
        <f>M55-R55</f>
        <v>0</v>
      </c>
      <c r="T55" s="699"/>
      <c r="U55" s="699"/>
      <c r="V55" s="5"/>
      <c r="W55" s="689"/>
      <c r="X55" s="689"/>
      <c r="Y55" s="689"/>
      <c r="Z55" s="689"/>
      <c r="AA55" s="685" t="s">
        <v>515</v>
      </c>
      <c r="AB55" s="151"/>
      <c r="AC55" s="151"/>
      <c r="AD55" s="730">
        <v>1400</v>
      </c>
      <c r="AE55" s="731">
        <f>+$AD55</f>
        <v>1400</v>
      </c>
      <c r="AF55" s="731">
        <f>+$AD55</f>
        <v>1400</v>
      </c>
      <c r="AG55" s="731">
        <f>+$AD55</f>
        <v>1400</v>
      </c>
      <c r="AH55" s="151"/>
      <c r="AI55" s="151"/>
      <c r="AJ55" s="151"/>
      <c r="AK55" s="151"/>
      <c r="AL55" s="685" t="s">
        <v>335</v>
      </c>
      <c r="AM55" s="151"/>
      <c r="AN55" s="151"/>
      <c r="AO55" s="853">
        <f ca="1">+SUM(AP55:AR55)</f>
        <v>0</v>
      </c>
      <c r="AP55" s="853">
        <f ca="1">+OFFSET('Parcel Breakdown'!$O$44,0,$AJ25)</f>
        <v>0</v>
      </c>
      <c r="AQ55" s="853">
        <f ca="1">+OFFSET('Parcel Breakdown'!$O$44,1,$AJ25)</f>
        <v>0</v>
      </c>
      <c r="AR55" s="853">
        <f ca="1">+OFFSET('Parcel Breakdown'!$O$44,2,$AJ25)</f>
        <v>0</v>
      </c>
      <c r="AS55" s="151"/>
      <c r="AT55" s="151"/>
      <c r="AU55" s="151"/>
      <c r="AV55" s="151"/>
      <c r="AW55" s="151"/>
      <c r="AX55" s="151"/>
      <c r="AY55" s="151"/>
      <c r="AZ55" s="151"/>
      <c r="BA55" s="151"/>
      <c r="BB55" s="151"/>
      <c r="BC55" s="151"/>
      <c r="BD55" s="151"/>
      <c r="BE55" s="151"/>
      <c r="BF55" s="151"/>
      <c r="BG55" s="151"/>
      <c r="BH55" s="151"/>
      <c r="BI55" s="151"/>
      <c r="BJ55" s="151"/>
      <c r="BK55" s="151"/>
      <c r="BL55" s="151"/>
      <c r="BM55" s="151"/>
      <c r="BN55" s="151"/>
      <c r="BO55" s="151"/>
      <c r="BP55" s="151"/>
      <c r="BQ55" s="151"/>
      <c r="BR55" s="151"/>
      <c r="BS55" s="151"/>
      <c r="BT55" s="151"/>
      <c r="BU55" s="151"/>
      <c r="BV55" s="151"/>
      <c r="BW55" s="151"/>
      <c r="BX55" s="151"/>
      <c r="BY55" s="151"/>
      <c r="BZ55" s="151"/>
      <c r="CA55" s="151"/>
    </row>
    <row r="56" spans="1:79">
      <c r="A56" s="1047"/>
      <c r="B56" s="758" t="s">
        <v>548</v>
      </c>
      <c r="C56" s="78">
        <v>1.4999999999999999E-2</v>
      </c>
      <c r="D56" s="250"/>
      <c r="E56" s="699"/>
      <c r="F56" s="699"/>
      <c r="G56" s="699"/>
      <c r="H56" s="699"/>
      <c r="I56" s="699"/>
      <c r="J56" s="699"/>
      <c r="K56" s="699"/>
      <c r="L56" s="699"/>
      <c r="M56" s="699"/>
      <c r="N56" s="699"/>
      <c r="O56" s="699"/>
      <c r="P56" s="699"/>
      <c r="Q56" s="139"/>
      <c r="R56" s="699"/>
      <c r="S56" s="699"/>
      <c r="T56" s="699"/>
      <c r="U56" s="699"/>
      <c r="V56" s="699"/>
      <c r="W56" s="151"/>
      <c r="X56" s="749"/>
      <c r="Y56" s="855"/>
      <c r="Z56" s="855"/>
      <c r="AA56" s="685" t="s">
        <v>268</v>
      </c>
      <c r="AB56" s="151"/>
      <c r="AC56" s="151"/>
      <c r="AD56" s="717"/>
      <c r="AE56" s="686">
        <f>(AE57*12)/AE55</f>
        <v>9.951428571428572</v>
      </c>
      <c r="AF56" s="686">
        <f t="shared" ref="AF56:AG56" si="25">(AF57*12)/AF55</f>
        <v>10.560535611428572</v>
      </c>
      <c r="AG56" s="686">
        <f t="shared" si="25"/>
        <v>10.987181250130286</v>
      </c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  <c r="AU56" s="151"/>
      <c r="AV56" s="151"/>
      <c r="AW56" s="151"/>
      <c r="AX56" s="151"/>
      <c r="AY56" s="151"/>
      <c r="AZ56" s="151"/>
      <c r="BA56" s="151"/>
      <c r="BB56" s="151"/>
      <c r="BC56" s="151"/>
      <c r="BD56" s="151"/>
      <c r="BE56" s="151"/>
      <c r="BF56" s="151"/>
      <c r="BG56" s="151"/>
      <c r="BH56" s="151"/>
      <c r="BI56" s="151"/>
      <c r="BJ56" s="151"/>
      <c r="BK56" s="151"/>
      <c r="BL56" s="151"/>
      <c r="BM56" s="151"/>
      <c r="BN56" s="151"/>
      <c r="BO56" s="151"/>
      <c r="BP56" s="151"/>
      <c r="BQ56" s="151"/>
      <c r="BR56" s="151"/>
      <c r="BS56" s="151"/>
      <c r="BT56" s="151"/>
      <c r="BU56" s="151"/>
      <c r="BV56" s="151"/>
      <c r="BW56" s="151"/>
      <c r="BX56" s="151"/>
      <c r="BY56" s="151"/>
      <c r="BZ56" s="151"/>
      <c r="CA56" s="151"/>
    </row>
    <row r="57" spans="1:79" ht="16.5" thickBot="1">
      <c r="A57" s="1047"/>
      <c r="B57" s="758" t="s">
        <v>549</v>
      </c>
      <c r="C57" s="78">
        <v>0.04</v>
      </c>
      <c r="D57" s="250"/>
      <c r="E57" s="699"/>
      <c r="F57" s="699"/>
      <c r="G57" s="699"/>
      <c r="H57" s="699"/>
      <c r="I57" s="699"/>
      <c r="J57" s="1124" t="s">
        <v>550</v>
      </c>
      <c r="K57" s="1124"/>
      <c r="L57" s="1124"/>
      <c r="M57" s="779" t="s">
        <v>319</v>
      </c>
      <c r="N57" s="779" t="str">
        <f>F$26</f>
        <v>I</v>
      </c>
      <c r="O57" s="779" t="str">
        <f>+G$26</f>
        <v>II</v>
      </c>
      <c r="P57" s="779" t="str">
        <f>+H$26</f>
        <v>III</v>
      </c>
      <c r="Q57" s="699"/>
      <c r="R57" s="699"/>
      <c r="S57" s="699"/>
      <c r="T57" s="699"/>
      <c r="U57" s="699"/>
      <c r="V57" s="699"/>
      <c r="W57" s="151"/>
      <c r="X57" s="749"/>
      <c r="Y57" s="855"/>
      <c r="Z57" s="855"/>
      <c r="AA57" s="685" t="s">
        <v>516</v>
      </c>
      <c r="AB57" s="151"/>
      <c r="AC57" s="151"/>
      <c r="AD57" s="732">
        <f>+AD32</f>
        <v>1161</v>
      </c>
      <c r="AE57" s="731">
        <f>$AD57</f>
        <v>1161</v>
      </c>
      <c r="AF57" s="731">
        <f>+$AE57*(1+0.02)^G$36</f>
        <v>1232.062488</v>
      </c>
      <c r="AG57" s="731">
        <f>+$AE57*(1+0.02)^H$36</f>
        <v>1281.8378125152001</v>
      </c>
      <c r="AH57" s="151"/>
      <c r="AI57" s="151"/>
      <c r="AJ57" s="151"/>
      <c r="AK57" s="151"/>
      <c r="AL57" s="685" t="s">
        <v>340</v>
      </c>
      <c r="AM57" s="151"/>
      <c r="AN57" s="151"/>
      <c r="AO57" s="853">
        <f ca="1">+SUM(AP57:AR57)</f>
        <v>0</v>
      </c>
      <c r="AP57" s="853">
        <f ca="1">+OFFSET('Parcel Breakdown'!$O$44,0,$AJ28)</f>
        <v>0</v>
      </c>
      <c r="AQ57" s="853">
        <f ca="1">+OFFSET('Parcel Breakdown'!$O$44,1,$AJ28)</f>
        <v>0</v>
      </c>
      <c r="AR57" s="853">
        <f ca="1">+OFFSET('Parcel Breakdown'!$O$44,2,$AJ28)</f>
        <v>0</v>
      </c>
      <c r="AS57" s="151"/>
      <c r="AT57" s="151"/>
      <c r="AU57" s="151"/>
      <c r="AV57" s="151"/>
      <c r="AW57" s="151"/>
      <c r="AX57" s="151"/>
      <c r="AY57" s="151"/>
      <c r="AZ57" s="151"/>
      <c r="BA57" s="151"/>
      <c r="BB57" s="151"/>
      <c r="BC57" s="151"/>
      <c r="BD57" s="151"/>
      <c r="BE57" s="151"/>
      <c r="BF57" s="151"/>
      <c r="BG57" s="151"/>
      <c r="BH57" s="151"/>
      <c r="BI57" s="151"/>
      <c r="BJ57" s="151"/>
      <c r="BK57" s="151"/>
      <c r="BL57" s="151"/>
      <c r="BM57" s="151"/>
      <c r="BN57" s="151"/>
      <c r="BO57" s="151"/>
      <c r="BP57" s="151"/>
      <c r="BQ57" s="151"/>
      <c r="BR57" s="151"/>
      <c r="BS57" s="151"/>
      <c r="BT57" s="151"/>
      <c r="BU57" s="151"/>
      <c r="BV57" s="151"/>
      <c r="BW57" s="151"/>
      <c r="BX57" s="151"/>
      <c r="BY57" s="151"/>
      <c r="BZ57" s="151"/>
      <c r="CA57" s="151"/>
    </row>
    <row r="58" spans="1:79" ht="16.5" thickBot="1">
      <c r="A58" s="1047"/>
      <c r="B58" s="1056" t="s">
        <v>168</v>
      </c>
      <c r="C58" s="889">
        <f>0.25-SUM(C54:C57)</f>
        <v>1.4999999999999986E-2</v>
      </c>
      <c r="D58" s="367"/>
      <c r="E58" s="699"/>
      <c r="F58" s="699"/>
      <c r="G58" s="699"/>
      <c r="H58" s="699"/>
      <c r="I58" s="699"/>
      <c r="J58" s="118" t="s">
        <v>551</v>
      </c>
      <c r="K58" s="120"/>
      <c r="L58" s="120"/>
      <c r="M58" s="699"/>
      <c r="N58" s="120"/>
      <c r="O58" s="120"/>
      <c r="P58" s="120"/>
      <c r="Q58" s="699"/>
      <c r="R58" s="699"/>
      <c r="S58" s="699"/>
      <c r="T58" s="699"/>
      <c r="U58" s="699"/>
      <c r="V58" s="699"/>
      <c r="W58" s="151"/>
      <c r="X58" s="749"/>
      <c r="Y58" s="855"/>
      <c r="Z58" s="855"/>
      <c r="AA58" s="718" t="s">
        <v>552</v>
      </c>
      <c r="AB58" s="718"/>
      <c r="AC58" s="718"/>
      <c r="AD58" s="733">
        <f>+SUM(AE58:AG58)</f>
        <v>0</v>
      </c>
      <c r="AE58" s="732">
        <f>+AE40*AE39*AE38+AE44*AE43*AE42+AE48*AE47*AE46+AE52*AE51*AE50+AE56*AE55*AE54</f>
        <v>0</v>
      </c>
      <c r="AF58" s="732">
        <f>+AF40*AF39*AF38+AF44*AF43*AF42+AF48*AF47*AF46+AF52*AF51*AF50+AF56*AF55*AF54</f>
        <v>0</v>
      </c>
      <c r="AG58" s="732">
        <f t="shared" ref="AG58" si="26">+AG40*AG39*AG38+AG44*AG43*AG42+AG48*AG47*AG46+AG52*AG51*AG50+AG56*AG55*AG54</f>
        <v>0</v>
      </c>
      <c r="AH58" s="151"/>
      <c r="AI58" s="151"/>
      <c r="AJ58" s="151"/>
      <c r="AK58" s="151"/>
      <c r="AL58" s="685" t="s">
        <v>342</v>
      </c>
      <c r="AM58" s="151"/>
      <c r="AN58" s="151"/>
      <c r="AO58" s="853">
        <f ca="1">+SUM(AP58:AR58)</f>
        <v>0</v>
      </c>
      <c r="AP58" s="853">
        <f ca="1">+OFFSET('Parcel Breakdown'!$O$44,0,$AJ29)</f>
        <v>0</v>
      </c>
      <c r="AQ58" s="853">
        <f ca="1">+OFFSET('Parcel Breakdown'!$O$44,1,$AJ29)</f>
        <v>0</v>
      </c>
      <c r="AR58" s="853">
        <f ca="1">+OFFSET('Parcel Breakdown'!$O$44,2,$AJ29)</f>
        <v>0</v>
      </c>
      <c r="AS58" s="151"/>
      <c r="AT58" s="151"/>
      <c r="AU58" s="151"/>
      <c r="AV58" s="151"/>
      <c r="AW58" s="151"/>
      <c r="AX58" s="151"/>
      <c r="AY58" s="151"/>
      <c r="AZ58" s="151"/>
      <c r="BA58" s="151"/>
      <c r="BB58" s="151"/>
      <c r="BC58" s="151"/>
      <c r="BD58" s="151"/>
      <c r="BE58" s="151"/>
      <c r="BF58" s="151"/>
      <c r="BG58" s="151"/>
      <c r="BH58" s="151"/>
      <c r="BI58" s="151"/>
      <c r="BJ58" s="151"/>
      <c r="BK58" s="151"/>
      <c r="BL58" s="151"/>
      <c r="BM58" s="151"/>
      <c r="BN58" s="151"/>
      <c r="BO58" s="151"/>
      <c r="BP58" s="151"/>
      <c r="BQ58" s="151"/>
      <c r="BR58" s="151"/>
      <c r="BS58" s="151"/>
      <c r="BT58" s="151"/>
      <c r="BU58" s="151"/>
      <c r="BV58" s="151"/>
      <c r="BW58" s="151"/>
      <c r="BX58" s="151"/>
      <c r="BY58" s="151"/>
      <c r="BZ58" s="151"/>
      <c r="CA58" s="151"/>
    </row>
    <row r="59" spans="1:79" ht="15.75">
      <c r="A59" s="1047" t="s">
        <v>511</v>
      </c>
      <c r="B59" s="699"/>
      <c r="C59" s="699"/>
      <c r="D59" s="250"/>
      <c r="E59" s="699"/>
      <c r="F59" s="699"/>
      <c r="G59" s="699"/>
      <c r="H59" s="699"/>
      <c r="I59" s="699"/>
      <c r="J59" s="115" t="s">
        <v>553</v>
      </c>
      <c r="K59" s="242"/>
      <c r="L59" s="242"/>
      <c r="M59" s="130">
        <v>0.04</v>
      </c>
      <c r="N59" s="128">
        <f t="shared" ref="N59:P60" si="27">$M59</f>
        <v>0.04</v>
      </c>
      <c r="O59" s="128">
        <f t="shared" si="27"/>
        <v>0.04</v>
      </c>
      <c r="P59" s="128">
        <f t="shared" si="27"/>
        <v>0.04</v>
      </c>
      <c r="Q59" s="699"/>
      <c r="R59" s="699"/>
      <c r="S59" s="699"/>
      <c r="T59" s="699"/>
      <c r="U59" s="699"/>
      <c r="V59" s="699"/>
      <c r="W59" s="151"/>
      <c r="X59" s="151"/>
      <c r="Y59" s="151"/>
      <c r="Z59" s="151"/>
      <c r="AA59" s="685" t="s">
        <v>353</v>
      </c>
      <c r="AB59" s="151"/>
      <c r="AC59" s="151"/>
      <c r="AD59" s="734">
        <f>+SUM(AE59:AG59)</f>
        <v>0</v>
      </c>
      <c r="AE59" s="731">
        <f>+AE38*AE39+AE42*AE43+AE46*AE47+AE50*AE51+AE54*AE55</f>
        <v>0</v>
      </c>
      <c r="AF59" s="731">
        <f t="shared" ref="AF59:AG59" si="28">+AF38*AF39+AF42*AF43+AF46*AF47+AF50*AF51+AF54*AF55</f>
        <v>0</v>
      </c>
      <c r="AG59" s="731">
        <f t="shared" si="28"/>
        <v>0</v>
      </c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  <c r="AU59" s="151"/>
      <c r="AV59" s="151"/>
      <c r="AW59" s="151"/>
      <c r="AX59" s="151"/>
      <c r="AY59" s="151"/>
      <c r="AZ59" s="151"/>
      <c r="BA59" s="151"/>
      <c r="BB59" s="151"/>
      <c r="BC59" s="151"/>
      <c r="BD59" s="151"/>
      <c r="BE59" s="151"/>
      <c r="BF59" s="151"/>
      <c r="BG59" s="151"/>
      <c r="BH59" s="151"/>
      <c r="BI59" s="151"/>
      <c r="BJ59" s="151"/>
      <c r="BK59" s="151"/>
      <c r="BL59" s="151"/>
      <c r="BM59" s="151"/>
      <c r="BN59" s="151"/>
      <c r="BO59" s="151"/>
      <c r="BP59" s="151"/>
      <c r="BQ59" s="151"/>
      <c r="BR59" s="151"/>
      <c r="BS59" s="151"/>
      <c r="BT59" s="151"/>
      <c r="BU59" s="151"/>
      <c r="BV59" s="151"/>
      <c r="BW59" s="151"/>
      <c r="BX59" s="151"/>
      <c r="BY59" s="151"/>
      <c r="BZ59" s="151"/>
      <c r="CA59" s="151"/>
    </row>
    <row r="60" spans="1:79" ht="16.5" thickBot="1">
      <c r="A60" s="1047"/>
      <c r="B60" s="1125" t="s">
        <v>554</v>
      </c>
      <c r="C60" s="1125"/>
      <c r="D60" s="699"/>
      <c r="E60" s="349" t="s">
        <v>319</v>
      </c>
      <c r="F60" s="779" t="str">
        <f>+F$26</f>
        <v>I</v>
      </c>
      <c r="G60" s="779" t="str">
        <f>+G$26</f>
        <v>II</v>
      </c>
      <c r="H60" s="779" t="str">
        <f>+H$26</f>
        <v>III</v>
      </c>
      <c r="I60" s="699"/>
      <c r="J60" s="115" t="s">
        <v>555</v>
      </c>
      <c r="K60" s="242"/>
      <c r="L60" s="242"/>
      <c r="M60" s="130">
        <v>7.0000000000000007E-2</v>
      </c>
      <c r="N60" s="128">
        <f t="shared" si="27"/>
        <v>7.0000000000000007E-2</v>
      </c>
      <c r="O60" s="128">
        <f t="shared" si="27"/>
        <v>7.0000000000000007E-2</v>
      </c>
      <c r="P60" s="128">
        <f t="shared" si="27"/>
        <v>7.0000000000000007E-2</v>
      </c>
      <c r="Q60" s="699"/>
      <c r="R60" s="699"/>
      <c r="S60" s="699"/>
      <c r="T60" s="699"/>
      <c r="U60" s="699"/>
      <c r="V60" s="699"/>
      <c r="W60" s="151"/>
      <c r="X60" s="151"/>
      <c r="Y60" s="151"/>
      <c r="Z60" s="151"/>
      <c r="AA60" s="685" t="s">
        <v>556</v>
      </c>
      <c r="AB60" s="151"/>
      <c r="AC60" s="151"/>
      <c r="AD60" s="734">
        <f>+SUM(AE60:AG60)</f>
        <v>0</v>
      </c>
      <c r="AE60" s="729">
        <f>+AE38+AE42+AE46+AE50+AE54</f>
        <v>0</v>
      </c>
      <c r="AF60" s="729">
        <f t="shared" ref="AF60:AG60" si="29">+AF38+AF42+AF46+AF50+AF54</f>
        <v>0</v>
      </c>
      <c r="AG60" s="729">
        <f t="shared" si="29"/>
        <v>0</v>
      </c>
      <c r="AH60" s="151"/>
      <c r="AI60" s="151"/>
      <c r="AJ60" s="151"/>
      <c r="AK60" s="151"/>
      <c r="AL60" s="685" t="s">
        <v>180</v>
      </c>
      <c r="AM60" s="151"/>
      <c r="AN60" s="151"/>
      <c r="AO60" s="853">
        <f ca="1">+SUM(AP60:AR60)</f>
        <v>0</v>
      </c>
      <c r="AP60" s="853">
        <f ca="1">+OFFSET('Parcel Breakdown'!$O$44,0,$AJ33)</f>
        <v>0</v>
      </c>
      <c r="AQ60" s="853">
        <f ca="1">+OFFSET('Parcel Breakdown'!$O$44,1,$AJ33)</f>
        <v>0</v>
      </c>
      <c r="AR60" s="853">
        <f ca="1">+OFFSET('Parcel Breakdown'!$O$44,2,$AJ33)</f>
        <v>0</v>
      </c>
      <c r="AS60" s="151"/>
      <c r="AT60" s="151"/>
      <c r="AU60" s="151"/>
      <c r="AV60" s="151"/>
      <c r="AW60" s="151"/>
      <c r="AX60" s="151"/>
      <c r="AY60" s="151"/>
      <c r="AZ60" s="151"/>
      <c r="BA60" s="151"/>
      <c r="BB60" s="151"/>
      <c r="BC60" s="151"/>
      <c r="BD60" s="151"/>
      <c r="BE60" s="151"/>
      <c r="BF60" s="151"/>
      <c r="BG60" s="151"/>
      <c r="BH60" s="151"/>
      <c r="BI60" s="151"/>
      <c r="BJ60" s="151"/>
      <c r="BK60" s="151"/>
      <c r="BL60" s="151"/>
      <c r="BM60" s="151"/>
      <c r="BN60" s="151"/>
      <c r="BO60" s="151"/>
      <c r="BP60" s="151"/>
      <c r="BQ60" s="151"/>
      <c r="BR60" s="151"/>
      <c r="BS60" s="151"/>
      <c r="BT60" s="151"/>
      <c r="BU60" s="151"/>
      <c r="BV60" s="151"/>
      <c r="BW60" s="151"/>
      <c r="BX60" s="151"/>
      <c r="BY60" s="151"/>
      <c r="BZ60" s="151"/>
      <c r="CA60" s="151"/>
    </row>
    <row r="61" spans="1:79" ht="15.75">
      <c r="A61" s="1047"/>
      <c r="B61" s="249" t="s">
        <v>273</v>
      </c>
      <c r="C61" s="699"/>
      <c r="D61" s="699"/>
      <c r="E61" s="1057"/>
      <c r="F61" s="369">
        <f>+'Parcel Breakdown'!AN59</f>
        <v>123.33821538461537</v>
      </c>
      <c r="G61" s="369">
        <f>+'Parcel Breakdown'!AN60</f>
        <v>89.541230769230779</v>
      </c>
      <c r="H61" s="369">
        <f>+'Parcel Breakdown'!AN61</f>
        <v>49.09883076923078</v>
      </c>
      <c r="I61" s="699"/>
      <c r="J61" s="758" t="s">
        <v>557</v>
      </c>
      <c r="K61" s="242"/>
      <c r="L61" s="242"/>
      <c r="M61" s="130">
        <v>0.04</v>
      </c>
      <c r="N61" s="128">
        <f t="shared" ref="N61:P71" si="30">$M61</f>
        <v>0.04</v>
      </c>
      <c r="O61" s="128">
        <f t="shared" si="30"/>
        <v>0.04</v>
      </c>
      <c r="P61" s="128">
        <f t="shared" si="30"/>
        <v>0.04</v>
      </c>
      <c r="Q61" s="699"/>
      <c r="R61" s="699"/>
      <c r="S61" s="699"/>
      <c r="T61" s="699"/>
      <c r="U61" s="699"/>
      <c r="V61" s="699"/>
      <c r="W61" s="151"/>
      <c r="X61" s="151"/>
      <c r="Y61" s="151"/>
      <c r="Z61" s="151"/>
      <c r="AA61" s="685" t="s">
        <v>558</v>
      </c>
      <c r="AB61" s="151"/>
      <c r="AC61" s="151"/>
      <c r="AD61" s="735" t="str">
        <f>+IFERROR(AD58/AD59,"")</f>
        <v/>
      </c>
      <c r="AE61" s="736" t="str">
        <f>+IFERROR(AE58/AE59,"")</f>
        <v/>
      </c>
      <c r="AF61" s="736" t="str">
        <f t="shared" ref="AF61:AG61" si="31">+IFERROR(AF58/AF59,"")</f>
        <v/>
      </c>
      <c r="AG61" s="736" t="str">
        <f t="shared" si="31"/>
        <v/>
      </c>
      <c r="AH61" s="151"/>
      <c r="AI61" s="151"/>
      <c r="AJ61" s="151"/>
      <c r="AK61" s="151"/>
      <c r="AL61" s="685" t="s">
        <v>161</v>
      </c>
      <c r="AM61" s="151"/>
      <c r="AN61" s="151"/>
      <c r="AO61" s="853">
        <f ca="1">+SUM(AP61:AR61)</f>
        <v>0</v>
      </c>
      <c r="AP61" s="853">
        <f ca="1">+OFFSET('Parcel Breakdown'!$O$44,0,$AJ34)</f>
        <v>0</v>
      </c>
      <c r="AQ61" s="853">
        <f ca="1">+OFFSET('Parcel Breakdown'!$O$44,1,$AJ34)</f>
        <v>0</v>
      </c>
      <c r="AR61" s="853">
        <f ca="1">+OFFSET('Parcel Breakdown'!$O$44,2,$AJ34)</f>
        <v>0</v>
      </c>
      <c r="AS61" s="151"/>
      <c r="AT61" s="151"/>
      <c r="AU61" s="151"/>
      <c r="AV61" s="151"/>
      <c r="AW61" s="151"/>
      <c r="AX61" s="151"/>
      <c r="AY61" s="151"/>
      <c r="AZ61" s="151"/>
      <c r="BA61" s="151"/>
      <c r="BB61" s="151"/>
      <c r="BC61" s="151"/>
      <c r="BD61" s="151"/>
      <c r="BE61" s="151"/>
      <c r="BF61" s="151"/>
      <c r="BG61" s="151"/>
      <c r="BH61" s="151"/>
      <c r="BI61" s="151"/>
      <c r="BJ61" s="151"/>
      <c r="BK61" s="151"/>
      <c r="BL61" s="151"/>
      <c r="BM61" s="151"/>
      <c r="BN61" s="151"/>
      <c r="BO61" s="151"/>
      <c r="BP61" s="151"/>
      <c r="BQ61" s="151"/>
      <c r="BR61" s="151"/>
      <c r="BS61" s="151"/>
      <c r="BT61" s="151"/>
      <c r="BU61" s="151"/>
      <c r="BV61" s="151"/>
      <c r="BW61" s="151"/>
      <c r="BX61" s="151"/>
      <c r="BY61" s="151"/>
      <c r="BZ61" s="151"/>
      <c r="CA61" s="151"/>
    </row>
    <row r="62" spans="1:79" ht="15.75">
      <c r="A62" s="1047"/>
      <c r="B62" s="758" t="s">
        <v>515</v>
      </c>
      <c r="C62" s="699"/>
      <c r="D62" s="699"/>
      <c r="E62" s="370"/>
      <c r="F62" s="1058">
        <f>+$E85</f>
        <v>1092</v>
      </c>
      <c r="G62" s="1058">
        <f>+$E85</f>
        <v>1092</v>
      </c>
      <c r="H62" s="1058">
        <f>+$E85</f>
        <v>1092</v>
      </c>
      <c r="I62" s="699"/>
      <c r="J62" s="758" t="s">
        <v>559</v>
      </c>
      <c r="K62" s="242"/>
      <c r="L62" s="242"/>
      <c r="M62" s="130">
        <v>7.0000000000000007E-2</v>
      </c>
      <c r="N62" s="128">
        <f t="shared" si="30"/>
        <v>7.0000000000000007E-2</v>
      </c>
      <c r="O62" s="128">
        <f t="shared" si="30"/>
        <v>7.0000000000000007E-2</v>
      </c>
      <c r="P62" s="128">
        <f t="shared" si="30"/>
        <v>7.0000000000000007E-2</v>
      </c>
      <c r="Q62" s="699"/>
      <c r="R62" s="699"/>
      <c r="S62" s="699"/>
      <c r="T62" s="699"/>
      <c r="U62" s="699"/>
      <c r="V62" s="699"/>
      <c r="W62" s="151"/>
      <c r="X62" s="151"/>
      <c r="Y62" s="151"/>
      <c r="Z62" s="151"/>
      <c r="AA62" s="685" t="s">
        <v>560</v>
      </c>
      <c r="AB62" s="151"/>
      <c r="AC62" s="151"/>
      <c r="AD62" s="733" t="str">
        <f>+IFERROR(AD58/AD60/12,"")</f>
        <v/>
      </c>
      <c r="AE62" s="732" t="str">
        <f>+IFERROR(AE58/AE60/12,"")</f>
        <v/>
      </c>
      <c r="AF62" s="732" t="str">
        <f t="shared" ref="AF62:AG62" si="32">+IFERROR(AF58/AF60/12,"")</f>
        <v/>
      </c>
      <c r="AG62" s="732" t="str">
        <f t="shared" si="32"/>
        <v/>
      </c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  <c r="AU62" s="151"/>
      <c r="AV62" s="151"/>
      <c r="AW62" s="151"/>
      <c r="AX62" s="151"/>
      <c r="AY62" s="151"/>
      <c r="AZ62" s="151"/>
      <c r="BA62" s="151"/>
      <c r="BB62" s="151"/>
      <c r="BC62" s="151"/>
      <c r="BD62" s="151"/>
      <c r="BE62" s="151"/>
      <c r="BF62" s="151"/>
      <c r="BG62" s="151"/>
      <c r="BH62" s="151"/>
      <c r="BI62" s="151"/>
      <c r="BJ62" s="151"/>
      <c r="BK62" s="151"/>
      <c r="BL62" s="151"/>
      <c r="BM62" s="151"/>
      <c r="BN62" s="151"/>
      <c r="BO62" s="151"/>
      <c r="BP62" s="151"/>
      <c r="BQ62" s="151"/>
      <c r="BR62" s="151"/>
      <c r="BS62" s="151"/>
      <c r="BT62" s="151"/>
      <c r="BU62" s="151"/>
      <c r="BV62" s="151"/>
      <c r="BW62" s="151"/>
      <c r="BX62" s="151"/>
      <c r="BY62" s="151"/>
      <c r="BZ62" s="151"/>
      <c r="CA62" s="151"/>
    </row>
    <row r="63" spans="1:79" ht="15.75">
      <c r="A63" s="1047"/>
      <c r="B63" s="758" t="s">
        <v>268</v>
      </c>
      <c r="C63" s="699"/>
      <c r="D63" s="699"/>
      <c r="E63" s="1057"/>
      <c r="F63" s="1059">
        <f>(F64*12)/F62</f>
        <v>18.908014937343832</v>
      </c>
      <c r="G63" s="1059">
        <f>(G64*12)/G62</f>
        <v>20.661298438438916</v>
      </c>
      <c r="H63" s="1059">
        <f>(H64*12)/H62</f>
        <v>21.919571513339843</v>
      </c>
      <c r="I63" s="699"/>
      <c r="J63" s="115" t="s">
        <v>561</v>
      </c>
      <c r="K63" s="242"/>
      <c r="L63" s="242"/>
      <c r="M63" s="130">
        <v>7.0000000000000007E-2</v>
      </c>
      <c r="N63" s="128">
        <f t="shared" si="30"/>
        <v>7.0000000000000007E-2</v>
      </c>
      <c r="O63" s="128">
        <f t="shared" si="30"/>
        <v>7.0000000000000007E-2</v>
      </c>
      <c r="P63" s="128">
        <f t="shared" si="30"/>
        <v>7.0000000000000007E-2</v>
      </c>
      <c r="Q63" s="699"/>
      <c r="R63" s="699"/>
      <c r="S63" s="699"/>
      <c r="T63" s="699"/>
      <c r="U63" s="699"/>
      <c r="V63" s="699"/>
      <c r="W63" s="151"/>
      <c r="X63" s="151"/>
      <c r="Y63" s="151"/>
      <c r="Z63" s="151"/>
      <c r="AA63" s="151"/>
      <c r="AB63" s="151"/>
      <c r="AC63" s="151"/>
      <c r="AD63" s="717"/>
      <c r="AE63" s="717"/>
      <c r="AF63" s="717"/>
      <c r="AG63" s="717"/>
      <c r="AH63" s="151"/>
      <c r="AI63" s="151"/>
      <c r="AJ63" s="151"/>
      <c r="AK63" s="151"/>
      <c r="AL63" s="685" t="s">
        <v>182</v>
      </c>
      <c r="AM63" s="151"/>
      <c r="AN63" s="151"/>
      <c r="AO63" s="853">
        <f ca="1">+SUM(AP63:AR63)</f>
        <v>0</v>
      </c>
      <c r="AP63" s="853">
        <f ca="1">+OFFSET('Parcel Breakdown'!$O$44,0,$AJ36)</f>
        <v>0</v>
      </c>
      <c r="AQ63" s="853">
        <f ca="1">+OFFSET('Parcel Breakdown'!$O$44,1,$AJ36)</f>
        <v>0</v>
      </c>
      <c r="AR63" s="853">
        <f ca="1">+OFFSET('Parcel Breakdown'!$O$44,2,$AJ36)</f>
        <v>0</v>
      </c>
      <c r="AS63" s="151"/>
      <c r="AT63" s="151"/>
      <c r="AU63" s="151"/>
      <c r="AV63" s="151"/>
      <c r="AW63" s="151"/>
      <c r="AX63" s="151"/>
      <c r="AY63" s="151"/>
      <c r="AZ63" s="151"/>
      <c r="BA63" s="151"/>
      <c r="BB63" s="151"/>
      <c r="BC63" s="151"/>
      <c r="BD63" s="151"/>
      <c r="BE63" s="151"/>
      <c r="BF63" s="151"/>
      <c r="BG63" s="151"/>
      <c r="BH63" s="151"/>
      <c r="BI63" s="151"/>
      <c r="BJ63" s="151"/>
      <c r="BK63" s="151"/>
      <c r="BL63" s="151"/>
      <c r="BM63" s="151"/>
      <c r="BN63" s="151"/>
      <c r="BO63" s="151"/>
      <c r="BP63" s="151"/>
      <c r="BQ63" s="151"/>
      <c r="BR63" s="151"/>
      <c r="BS63" s="151"/>
      <c r="BT63" s="151"/>
      <c r="BU63" s="151"/>
      <c r="BV63" s="151"/>
      <c r="BW63" s="151"/>
      <c r="BX63" s="151"/>
      <c r="BY63" s="151"/>
      <c r="BZ63" s="151"/>
      <c r="CA63" s="151"/>
    </row>
    <row r="64" spans="1:79" ht="15.75">
      <c r="A64" s="1047"/>
      <c r="B64" s="758" t="s">
        <v>516</v>
      </c>
      <c r="C64" s="699"/>
      <c r="D64" s="699"/>
      <c r="E64" s="371">
        <v>1441</v>
      </c>
      <c r="F64" s="839">
        <f>+$E64*(1+0.03)^6</f>
        <v>1720.6293592982888</v>
      </c>
      <c r="G64" s="839">
        <f>+$F64*(1+0.03)^G$36</f>
        <v>1880.1781578979412</v>
      </c>
      <c r="H64" s="839">
        <f>+$F64*(1+0.03)^H$36</f>
        <v>1994.6810077139255</v>
      </c>
      <c r="I64" s="699"/>
      <c r="J64" s="115" t="s">
        <v>562</v>
      </c>
      <c r="K64" s="242"/>
      <c r="L64" s="242"/>
      <c r="M64" s="130">
        <v>0.1</v>
      </c>
      <c r="N64" s="128">
        <f t="shared" si="30"/>
        <v>0.1</v>
      </c>
      <c r="O64" s="128">
        <f t="shared" si="30"/>
        <v>0.1</v>
      </c>
      <c r="P64" s="128">
        <f t="shared" si="30"/>
        <v>0.1</v>
      </c>
      <c r="Q64" s="699"/>
      <c r="R64" s="699"/>
      <c r="S64" s="699"/>
      <c r="T64" s="699"/>
      <c r="U64" s="699"/>
      <c r="V64" s="699"/>
      <c r="W64" s="151"/>
      <c r="X64" s="151"/>
      <c r="Y64" s="151"/>
      <c r="Z64" s="151"/>
      <c r="AA64" s="1123" t="s">
        <v>538</v>
      </c>
      <c r="AB64" s="1123"/>
      <c r="AC64" s="151"/>
      <c r="AD64" s="752" t="s">
        <v>319</v>
      </c>
      <c r="AE64" s="778" t="str">
        <f>+F$26</f>
        <v>I</v>
      </c>
      <c r="AF64" s="778" t="str">
        <f>+G$26</f>
        <v>II</v>
      </c>
      <c r="AG64" s="778" t="str">
        <f>+H$26</f>
        <v>III</v>
      </c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  <c r="AU64" s="151"/>
      <c r="AV64" s="151"/>
      <c r="AW64" s="151"/>
      <c r="AX64" s="151"/>
      <c r="AY64" s="151"/>
      <c r="AZ64" s="151"/>
      <c r="BA64" s="151"/>
      <c r="BB64" s="151"/>
      <c r="BC64" s="151"/>
      <c r="BD64" s="151"/>
      <c r="BE64" s="151"/>
      <c r="BF64" s="151"/>
      <c r="BG64" s="151"/>
      <c r="BH64" s="151"/>
      <c r="BI64" s="151"/>
      <c r="BJ64" s="151"/>
      <c r="BK64" s="151"/>
      <c r="BL64" s="151"/>
      <c r="BM64" s="151"/>
      <c r="BN64" s="151"/>
      <c r="BO64" s="151"/>
      <c r="BP64" s="151"/>
      <c r="BQ64" s="151"/>
      <c r="BR64" s="151"/>
      <c r="BS64" s="151"/>
      <c r="BT64" s="151"/>
      <c r="BU64" s="151"/>
      <c r="BV64" s="151"/>
      <c r="BW64" s="151"/>
      <c r="BX64" s="151"/>
      <c r="BY64" s="151"/>
      <c r="BZ64" s="151"/>
      <c r="CA64" s="151"/>
    </row>
    <row r="65" spans="2:79" ht="15.75">
      <c r="B65" s="249" t="s">
        <v>274</v>
      </c>
      <c r="C65" s="699"/>
      <c r="D65" s="699"/>
      <c r="E65" s="1057"/>
      <c r="F65" s="369">
        <f>+'Parcel Breakdown'!AP59</f>
        <v>28.082846371976643</v>
      </c>
      <c r="G65" s="369">
        <f>+'Parcel Breakdown'!AP60</f>
        <v>20.387619683069225</v>
      </c>
      <c r="H65" s="369">
        <f>+'Parcel Breakdown'!AP61</f>
        <v>11.179300083402838</v>
      </c>
      <c r="I65" s="699"/>
      <c r="J65" s="115" t="s">
        <v>563</v>
      </c>
      <c r="K65" s="242"/>
      <c r="L65" s="242"/>
      <c r="M65" s="130">
        <v>0.1</v>
      </c>
      <c r="N65" s="128">
        <f t="shared" si="30"/>
        <v>0.1</v>
      </c>
      <c r="O65" s="128">
        <f t="shared" si="30"/>
        <v>0.1</v>
      </c>
      <c r="P65" s="128">
        <f t="shared" si="30"/>
        <v>0.1</v>
      </c>
      <c r="Q65" s="699"/>
      <c r="R65" s="699"/>
      <c r="S65" s="699"/>
      <c r="T65" s="699"/>
      <c r="U65" s="699"/>
      <c r="V65" s="699"/>
      <c r="W65" s="151"/>
      <c r="X65" s="151"/>
      <c r="Y65" s="151"/>
      <c r="Z65" s="151"/>
      <c r="AA65" s="727" t="s">
        <v>270</v>
      </c>
      <c r="AB65" s="151"/>
      <c r="AC65" s="151"/>
      <c r="AD65" s="151"/>
      <c r="AE65" s="729">
        <f>+'Parcel Breakdown'!BG169</f>
        <v>0</v>
      </c>
      <c r="AF65" s="729">
        <f>+'Parcel Breakdown'!BG170</f>
        <v>0</v>
      </c>
      <c r="AG65" s="729">
        <f>+'Parcel Breakdown'!BG171</f>
        <v>0</v>
      </c>
      <c r="AH65" s="151"/>
      <c r="AI65" s="151"/>
      <c r="AJ65" s="151"/>
      <c r="AK65" s="151"/>
      <c r="AL65" s="685" t="s">
        <v>533</v>
      </c>
      <c r="AM65" s="151"/>
      <c r="AN65" s="151"/>
      <c r="AO65" s="853">
        <f>+SUM(AP65:AR65)</f>
        <v>0</v>
      </c>
      <c r="AP65" s="856">
        <f>+AE$60</f>
        <v>0</v>
      </c>
      <c r="AQ65" s="856">
        <f>+AF$60</f>
        <v>0</v>
      </c>
      <c r="AR65" s="856">
        <f>+AG$60</f>
        <v>0</v>
      </c>
      <c r="AS65" s="151"/>
      <c r="AT65" s="151"/>
      <c r="AU65" s="151"/>
      <c r="AV65" s="151"/>
      <c r="AW65" s="151"/>
      <c r="AX65" s="151"/>
      <c r="AY65" s="151"/>
      <c r="AZ65" s="151"/>
      <c r="BA65" s="151"/>
      <c r="BB65" s="151"/>
      <c r="BC65" s="151"/>
      <c r="BD65" s="151"/>
      <c r="BE65" s="151"/>
      <c r="BF65" s="151"/>
      <c r="BG65" s="151"/>
      <c r="BH65" s="151"/>
      <c r="BI65" s="151"/>
      <c r="BJ65" s="151"/>
      <c r="BK65" s="151"/>
      <c r="BL65" s="151"/>
      <c r="BM65" s="151"/>
      <c r="BN65" s="151"/>
      <c r="BO65" s="151"/>
      <c r="BP65" s="151"/>
      <c r="BQ65" s="151"/>
      <c r="BR65" s="151"/>
      <c r="BS65" s="151"/>
      <c r="BT65" s="151"/>
      <c r="BU65" s="151"/>
      <c r="BV65" s="151"/>
      <c r="BW65" s="151"/>
      <c r="BX65" s="151"/>
      <c r="BY65" s="151"/>
      <c r="BZ65" s="151"/>
      <c r="CA65" s="151"/>
    </row>
    <row r="66" spans="2:79" ht="15.75">
      <c r="B66" s="758" t="s">
        <v>515</v>
      </c>
      <c r="C66" s="699"/>
      <c r="D66" s="699"/>
      <c r="E66" s="370"/>
      <c r="F66" s="1058">
        <f>+$E89</f>
        <v>1199</v>
      </c>
      <c r="G66" s="1058">
        <f>+$E89</f>
        <v>1199</v>
      </c>
      <c r="H66" s="1058">
        <f>+$E89</f>
        <v>1199</v>
      </c>
      <c r="I66" s="699"/>
      <c r="J66" s="120"/>
      <c r="K66" s="120"/>
      <c r="L66" s="120"/>
      <c r="M66" s="120"/>
      <c r="N66" s="128"/>
      <c r="O66" s="128"/>
      <c r="P66" s="128"/>
      <c r="Q66" s="699"/>
      <c r="R66" s="699"/>
      <c r="S66" s="699"/>
      <c r="T66" s="699"/>
      <c r="U66" s="699"/>
      <c r="V66" s="699"/>
      <c r="W66" s="151"/>
      <c r="X66" s="151"/>
      <c r="Y66" s="151"/>
      <c r="Z66" s="151"/>
      <c r="AA66" s="685" t="s">
        <v>515</v>
      </c>
      <c r="AB66" s="151"/>
      <c r="AC66" s="151"/>
      <c r="AD66" s="730">
        <v>550</v>
      </c>
      <c r="AE66" s="731">
        <f>+$AD66</f>
        <v>550</v>
      </c>
      <c r="AF66" s="731">
        <f>+$AD66</f>
        <v>550</v>
      </c>
      <c r="AG66" s="731">
        <f>+$AD66</f>
        <v>550</v>
      </c>
      <c r="AH66" s="151"/>
      <c r="AI66" s="151"/>
      <c r="AJ66" s="151"/>
      <c r="AK66" s="151"/>
      <c r="AL66" s="685" t="s">
        <v>538</v>
      </c>
      <c r="AM66" s="151"/>
      <c r="AN66" s="151"/>
      <c r="AO66" s="853">
        <f>+SUM(AP66:AR66)</f>
        <v>0</v>
      </c>
      <c r="AP66" s="856">
        <f>+AE$87</f>
        <v>0</v>
      </c>
      <c r="AQ66" s="856">
        <f>+AF$87</f>
        <v>0</v>
      </c>
      <c r="AR66" s="856">
        <f>+AG$87</f>
        <v>0</v>
      </c>
      <c r="AS66" s="151"/>
      <c r="AT66" s="151"/>
      <c r="AU66" s="151"/>
      <c r="AV66" s="151"/>
      <c r="AW66" s="151"/>
      <c r="AX66" s="151"/>
      <c r="AY66" s="151"/>
      <c r="AZ66" s="151"/>
      <c r="BA66" s="151"/>
      <c r="BB66" s="151"/>
      <c r="BC66" s="151"/>
      <c r="BD66" s="151"/>
      <c r="BE66" s="151"/>
      <c r="BF66" s="151"/>
      <c r="BG66" s="151"/>
      <c r="BH66" s="151"/>
      <c r="BI66" s="151"/>
      <c r="BJ66" s="151"/>
      <c r="BK66" s="151"/>
      <c r="BL66" s="151"/>
      <c r="BM66" s="151"/>
      <c r="BN66" s="151"/>
      <c r="BO66" s="151"/>
      <c r="BP66" s="151"/>
      <c r="BQ66" s="151"/>
      <c r="BR66" s="151"/>
      <c r="BS66" s="151"/>
      <c r="BT66" s="151"/>
      <c r="BU66" s="151"/>
      <c r="BV66" s="151"/>
      <c r="BW66" s="151"/>
      <c r="BX66" s="151"/>
      <c r="BY66" s="151"/>
      <c r="BZ66" s="151"/>
      <c r="CA66" s="151"/>
    </row>
    <row r="67" spans="2:79" ht="15.75">
      <c r="B67" s="758" t="s">
        <v>268</v>
      </c>
      <c r="C67" s="699"/>
      <c r="D67" s="699"/>
      <c r="E67" s="1057"/>
      <c r="F67" s="1059">
        <f>(F68*12)/F66</f>
        <v>19.276126982164573</v>
      </c>
      <c r="G67" s="1059">
        <f>(G68*12)/G66</f>
        <v>21.063544408839746</v>
      </c>
      <c r="H67" s="1059">
        <f>(H68*12)/H66</f>
        <v>22.346314263338083</v>
      </c>
      <c r="I67" s="699"/>
      <c r="J67" s="118" t="s">
        <v>564</v>
      </c>
      <c r="K67" s="120"/>
      <c r="L67" s="120"/>
      <c r="M67" s="230"/>
      <c r="N67" s="128"/>
      <c r="O67" s="128"/>
      <c r="P67" s="128"/>
      <c r="Q67" s="699"/>
      <c r="R67" s="699"/>
      <c r="S67" s="699"/>
      <c r="T67" s="699"/>
      <c r="U67" s="132"/>
      <c r="V67" s="699"/>
      <c r="W67" s="151"/>
      <c r="X67" s="151"/>
      <c r="Y67" s="151"/>
      <c r="Z67" s="151"/>
      <c r="AA67" s="685" t="s">
        <v>268</v>
      </c>
      <c r="AB67" s="151"/>
      <c r="AC67" s="151"/>
      <c r="AD67" s="717"/>
      <c r="AE67" s="686">
        <f>(AE68*12)/AE66</f>
        <v>27.272727272727273</v>
      </c>
      <c r="AF67" s="686">
        <f t="shared" ref="AF67:AG67" si="33">(AF68*12)/AF66</f>
        <v>28.942036363636362</v>
      </c>
      <c r="AG67" s="686">
        <f t="shared" si="33"/>
        <v>30.111294632727276</v>
      </c>
      <c r="AH67" s="151"/>
      <c r="AI67" s="151"/>
      <c r="AJ67" s="151"/>
      <c r="AK67" s="151"/>
      <c r="AL67" s="685" t="s">
        <v>333</v>
      </c>
      <c r="AM67" s="151"/>
      <c r="AN67" s="151"/>
      <c r="AO67" s="853">
        <f>+SUM(AP67:AR67)</f>
        <v>0</v>
      </c>
      <c r="AP67" s="856">
        <f>+AE$117</f>
        <v>0</v>
      </c>
      <c r="AQ67" s="856">
        <f>+AF$117</f>
        <v>0</v>
      </c>
      <c r="AR67" s="856">
        <f>+AG$117</f>
        <v>0</v>
      </c>
      <c r="AS67" s="151"/>
      <c r="AT67" s="151"/>
      <c r="AU67" s="151"/>
      <c r="AV67" s="151"/>
      <c r="AW67" s="151"/>
      <c r="AX67" s="151"/>
      <c r="AY67" s="151"/>
      <c r="AZ67" s="151"/>
      <c r="BA67" s="151"/>
      <c r="BB67" s="151"/>
      <c r="BC67" s="151"/>
      <c r="BD67" s="151"/>
      <c r="BE67" s="151"/>
      <c r="BF67" s="151"/>
      <c r="BG67" s="151"/>
      <c r="BH67" s="151"/>
      <c r="BI67" s="151"/>
      <c r="BJ67" s="151"/>
      <c r="BK67" s="151"/>
      <c r="BL67" s="151"/>
      <c r="BM67" s="151"/>
      <c r="BN67" s="151"/>
      <c r="BO67" s="151"/>
      <c r="BP67" s="151"/>
      <c r="BQ67" s="151"/>
      <c r="BR67" s="151"/>
      <c r="BS67" s="151"/>
      <c r="BT67" s="151"/>
      <c r="BU67" s="151"/>
      <c r="BV67" s="151"/>
      <c r="BW67" s="151"/>
      <c r="BX67" s="151"/>
      <c r="BY67" s="151"/>
      <c r="BZ67" s="151"/>
      <c r="CA67" s="151"/>
    </row>
    <row r="68" spans="2:79" ht="15.75">
      <c r="B68" s="758" t="s">
        <v>516</v>
      </c>
      <c r="C68" s="699"/>
      <c r="D68" s="699"/>
      <c r="E68" s="371">
        <v>1613</v>
      </c>
      <c r="F68" s="839">
        <f>+$E68*(1+0.03)^6</f>
        <v>1926.0063543012768</v>
      </c>
      <c r="G68" s="839">
        <f>+$F68*(1+0.03)^G$36</f>
        <v>2104.5991455165713</v>
      </c>
      <c r="H68" s="839">
        <f>+$F68*(1+0.03)^H$36</f>
        <v>2232.7692334785302</v>
      </c>
      <c r="I68" s="699"/>
      <c r="J68" s="115" t="s">
        <v>565</v>
      </c>
      <c r="K68" s="120"/>
      <c r="L68" s="120"/>
      <c r="M68" s="130">
        <v>0.03</v>
      </c>
      <c r="N68" s="128">
        <f t="shared" si="30"/>
        <v>0.03</v>
      </c>
      <c r="O68" s="128">
        <f t="shared" si="30"/>
        <v>0.03</v>
      </c>
      <c r="P68" s="128">
        <f t="shared" si="30"/>
        <v>0.03</v>
      </c>
      <c r="Q68" s="699"/>
      <c r="R68" s="699"/>
      <c r="S68" s="699"/>
      <c r="T68" s="699"/>
      <c r="U68" s="699"/>
      <c r="V68" s="699"/>
      <c r="W68" s="151"/>
      <c r="X68" s="151"/>
      <c r="Y68" s="151"/>
      <c r="Z68" s="151"/>
      <c r="AA68" s="685" t="s">
        <v>516</v>
      </c>
      <c r="AB68" s="151"/>
      <c r="AC68" s="151"/>
      <c r="AD68" s="717"/>
      <c r="AE68" s="731">
        <v>1250</v>
      </c>
      <c r="AF68" s="731">
        <f>+$AE68*(1+0.02)^G$36</f>
        <v>1326.51</v>
      </c>
      <c r="AG68" s="731">
        <f>+$AE68*(1+0.02)^H$36</f>
        <v>1380.1010040000001</v>
      </c>
      <c r="AH68" s="151"/>
      <c r="AI68" s="151"/>
      <c r="AJ68" s="151"/>
      <c r="AK68" s="151"/>
      <c r="AL68" s="685" t="s">
        <v>335</v>
      </c>
      <c r="AM68" s="151"/>
      <c r="AN68" s="151"/>
      <c r="AO68" s="853">
        <f>+SUM(AP68:AR68)</f>
        <v>0</v>
      </c>
      <c r="AP68" s="856">
        <f>+AE$147</f>
        <v>0</v>
      </c>
      <c r="AQ68" s="856">
        <f>+AF$147</f>
        <v>0</v>
      </c>
      <c r="AR68" s="856">
        <f>+AG$147</f>
        <v>0</v>
      </c>
      <c r="AS68" s="151"/>
      <c r="AT68" s="151"/>
      <c r="AU68" s="151"/>
      <c r="AV68" s="151"/>
      <c r="AW68" s="151"/>
      <c r="AX68" s="151"/>
      <c r="AY68" s="151"/>
      <c r="AZ68" s="151"/>
      <c r="BA68" s="151"/>
      <c r="BB68" s="151"/>
      <c r="BC68" s="151"/>
      <c r="BD68" s="151"/>
      <c r="BE68" s="151"/>
      <c r="BF68" s="151"/>
      <c r="BG68" s="151"/>
      <c r="BH68" s="151"/>
      <c r="BI68" s="151"/>
      <c r="BJ68" s="151"/>
      <c r="BK68" s="151"/>
      <c r="BL68" s="151"/>
      <c r="BM68" s="151"/>
      <c r="BN68" s="151"/>
      <c r="BO68" s="151"/>
      <c r="BP68" s="151"/>
      <c r="BQ68" s="151"/>
      <c r="BR68" s="151"/>
      <c r="BS68" s="151"/>
      <c r="BT68" s="151"/>
      <c r="BU68" s="151"/>
      <c r="BV68" s="151"/>
      <c r="BW68" s="151"/>
      <c r="BX68" s="151"/>
      <c r="BY68" s="151"/>
      <c r="BZ68" s="151"/>
      <c r="CA68" s="151"/>
    </row>
    <row r="69" spans="2:79" ht="15.75">
      <c r="B69" s="133" t="s">
        <v>566</v>
      </c>
      <c r="C69" s="133"/>
      <c r="D69" s="133"/>
      <c r="E69" s="375">
        <f>+SUM(F69:H69)</f>
        <v>7205587.5705074444</v>
      </c>
      <c r="F69" s="1060">
        <f>+AE22*AE21*AE20+AE26*AE25*AE24+F63*F62*F61+F67*F66*F65+AE31*AE30*AE29</f>
        <v>3195685.1408822238</v>
      </c>
      <c r="G69" s="1060">
        <f>+AF22*AF21*AF20+AF26*AF25*AF24+G63*G62*G61+G67*G66*G65+AF31*AF30*AF29</f>
        <v>2535134.7994525335</v>
      </c>
      <c r="H69" s="1060">
        <f>+AG22*AG21*AG20+AG26*AG25*AG24+H63*H62*H61+H67*H66*H65+AG31*AG30*AG29</f>
        <v>1474767.6301726867</v>
      </c>
      <c r="I69" s="699"/>
      <c r="J69" s="115" t="s">
        <v>567</v>
      </c>
      <c r="K69" s="120"/>
      <c r="L69" s="120"/>
      <c r="M69" s="130">
        <v>0.03</v>
      </c>
      <c r="N69" s="128">
        <f t="shared" si="30"/>
        <v>0.03</v>
      </c>
      <c r="O69" s="128">
        <f t="shared" si="30"/>
        <v>0.03</v>
      </c>
      <c r="P69" s="128">
        <f t="shared" si="30"/>
        <v>0.03</v>
      </c>
      <c r="Q69" s="699"/>
      <c r="R69" s="699"/>
      <c r="S69" s="699"/>
      <c r="T69" s="699"/>
      <c r="U69" s="699"/>
      <c r="V69" s="699"/>
      <c r="W69" s="151"/>
      <c r="X69" s="151"/>
      <c r="Y69" s="151"/>
      <c r="Z69" s="151"/>
      <c r="AA69" s="727" t="s">
        <v>272</v>
      </c>
      <c r="AB69" s="151"/>
      <c r="AC69" s="151"/>
      <c r="AD69" s="717"/>
      <c r="AE69" s="717">
        <f>+'Parcel Breakdown'!BI169</f>
        <v>0</v>
      </c>
      <c r="AF69" s="717">
        <f>+'Parcel Breakdown'!BI170</f>
        <v>0</v>
      </c>
      <c r="AG69" s="717">
        <f>+'Parcel Breakdown'!BI171</f>
        <v>0</v>
      </c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  <c r="AU69" s="151"/>
      <c r="AV69" s="151"/>
      <c r="AW69" s="151"/>
      <c r="AX69" s="151"/>
      <c r="AY69" s="151"/>
      <c r="AZ69" s="151"/>
      <c r="BA69" s="151"/>
      <c r="BB69" s="151"/>
      <c r="BC69" s="151"/>
      <c r="BD69" s="151"/>
      <c r="BE69" s="151"/>
      <c r="BF69" s="151"/>
      <c r="BG69" s="151"/>
      <c r="BH69" s="151"/>
      <c r="BI69" s="151"/>
      <c r="BJ69" s="151"/>
      <c r="BK69" s="151"/>
      <c r="BL69" s="151"/>
      <c r="BM69" s="151"/>
      <c r="BN69" s="151"/>
      <c r="BO69" s="151"/>
      <c r="BP69" s="151"/>
      <c r="BQ69" s="151"/>
      <c r="BR69" s="151"/>
      <c r="BS69" s="151"/>
      <c r="BT69" s="151"/>
      <c r="BU69" s="151"/>
      <c r="BV69" s="151"/>
      <c r="BW69" s="151"/>
      <c r="BX69" s="151"/>
      <c r="BY69" s="151"/>
      <c r="BZ69" s="151"/>
      <c r="CA69" s="151"/>
    </row>
    <row r="70" spans="2:79" ht="15.75">
      <c r="B70" s="758" t="s">
        <v>353</v>
      </c>
      <c r="C70" s="699"/>
      <c r="D70" s="699"/>
      <c r="E70" s="18">
        <f>+SUM(F70:H70)</f>
        <v>357600.348</v>
      </c>
      <c r="F70" s="1058">
        <f>+AE20*AE21+AE24*AE25+F61*F62+F65*F66+AE29*AE30</f>
        <v>168356.66399999999</v>
      </c>
      <c r="G70" s="1058">
        <f>+AF20*AF21+AF24*AF25+G61*G62+G65*G66+AF29*AF30</f>
        <v>122223.78</v>
      </c>
      <c r="H70" s="1058">
        <f>+AG20*AG21+AG24*AG25+H61*H62+H65*H66+AG29*AG30</f>
        <v>67019.90400000001</v>
      </c>
      <c r="I70" s="1050"/>
      <c r="J70" s="758" t="s">
        <v>568</v>
      </c>
      <c r="K70" s="699"/>
      <c r="L70" s="699"/>
      <c r="M70" s="130">
        <v>0.04</v>
      </c>
      <c r="N70" s="128">
        <f t="shared" si="30"/>
        <v>0.04</v>
      </c>
      <c r="O70" s="128">
        <f t="shared" si="30"/>
        <v>0.04</v>
      </c>
      <c r="P70" s="128">
        <f t="shared" si="30"/>
        <v>0.04</v>
      </c>
      <c r="Q70" s="699"/>
      <c r="R70" s="699"/>
      <c r="S70" s="699"/>
      <c r="T70" s="699"/>
      <c r="U70" s="151" t="s">
        <v>569</v>
      </c>
      <c r="V70" s="699"/>
      <c r="W70" s="151"/>
      <c r="X70" s="151"/>
      <c r="Y70" s="151"/>
      <c r="Z70" s="151"/>
      <c r="AA70" s="685" t="s">
        <v>515</v>
      </c>
      <c r="AB70" s="151"/>
      <c r="AC70" s="151"/>
      <c r="AD70" s="730">
        <v>750</v>
      </c>
      <c r="AE70" s="731">
        <f>+$AD70</f>
        <v>750</v>
      </c>
      <c r="AF70" s="731">
        <f>+$AD70</f>
        <v>750</v>
      </c>
      <c r="AG70" s="731">
        <f>+$AD70</f>
        <v>750</v>
      </c>
      <c r="AH70" s="151"/>
      <c r="AI70" s="151"/>
      <c r="AJ70" s="151"/>
      <c r="AK70" s="151"/>
      <c r="AL70" s="685" t="s">
        <v>340</v>
      </c>
      <c r="AM70" s="151"/>
      <c r="AN70" s="151"/>
      <c r="AO70" s="853">
        <f>+SUM(AP70:AR70)</f>
        <v>0</v>
      </c>
      <c r="AP70" s="856">
        <f>+F$229</f>
        <v>0</v>
      </c>
      <c r="AQ70" s="856">
        <f>+G$229</f>
        <v>0</v>
      </c>
      <c r="AR70" s="856">
        <f>+H$229</f>
        <v>0</v>
      </c>
      <c r="AS70" s="151"/>
      <c r="AT70" s="151"/>
      <c r="AU70" s="151"/>
      <c r="AV70" s="151"/>
      <c r="AW70" s="151"/>
      <c r="AX70" s="151"/>
      <c r="AY70" s="151"/>
      <c r="AZ70" s="151"/>
      <c r="BA70" s="151"/>
      <c r="BB70" s="151"/>
      <c r="BC70" s="151"/>
      <c r="BD70" s="151"/>
      <c r="BE70" s="151"/>
      <c r="BF70" s="151"/>
      <c r="BG70" s="151"/>
      <c r="BH70" s="151"/>
      <c r="BI70" s="151"/>
      <c r="BJ70" s="151"/>
      <c r="BK70" s="151"/>
      <c r="BL70" s="151"/>
      <c r="BM70" s="151"/>
      <c r="BN70" s="151"/>
      <c r="BO70" s="151"/>
      <c r="BP70" s="151"/>
      <c r="BQ70" s="151"/>
      <c r="BR70" s="151"/>
      <c r="BS70" s="151"/>
      <c r="BT70" s="151"/>
      <c r="BU70" s="151"/>
      <c r="BV70" s="151"/>
      <c r="BW70" s="151"/>
      <c r="BX70" s="151"/>
      <c r="BY70" s="151"/>
      <c r="BZ70" s="151"/>
      <c r="CA70" s="151"/>
    </row>
    <row r="71" spans="2:79" ht="15.75">
      <c r="B71" s="758" t="s">
        <v>556</v>
      </c>
      <c r="C71" s="699"/>
      <c r="D71" s="699"/>
      <c r="E71" s="18">
        <f>+SUM(F71:H71)</f>
        <v>321.6280430615256</v>
      </c>
      <c r="F71" s="983">
        <f>+AE20+AE24+F61+F65+AE29</f>
        <v>151.421061756592</v>
      </c>
      <c r="G71" s="983">
        <f>+AF20+AF24+G61+G65+AF29</f>
        <v>109.9288504523</v>
      </c>
      <c r="H71" s="983">
        <f>+AG20+AG24+H61+H65+AG29</f>
        <v>60.278130852633616</v>
      </c>
      <c r="I71" s="1050"/>
      <c r="J71" s="758" t="s">
        <v>570</v>
      </c>
      <c r="K71" s="699"/>
      <c r="L71" s="699"/>
      <c r="M71" s="130">
        <v>0.04</v>
      </c>
      <c r="N71" s="128">
        <f t="shared" si="30"/>
        <v>0.04</v>
      </c>
      <c r="O71" s="128">
        <f t="shared" si="30"/>
        <v>0.04</v>
      </c>
      <c r="P71" s="128">
        <f t="shared" si="30"/>
        <v>0.04</v>
      </c>
      <c r="Q71" s="699"/>
      <c r="R71" s="699"/>
      <c r="S71" s="699"/>
      <c r="T71" s="699"/>
      <c r="U71" s="151" t="s">
        <v>571</v>
      </c>
      <c r="V71" s="699"/>
      <c r="W71" s="151"/>
      <c r="X71" s="151"/>
      <c r="Y71" s="151"/>
      <c r="Z71" s="151"/>
      <c r="AA71" s="685" t="s">
        <v>268</v>
      </c>
      <c r="AB71" s="151"/>
      <c r="AC71" s="151"/>
      <c r="AD71" s="717"/>
      <c r="AE71" s="686">
        <f>(AE72*12)/AE70</f>
        <v>28.8</v>
      </c>
      <c r="AF71" s="686">
        <f t="shared" ref="AF71:AG71" si="34">(AF72*12)/AF70</f>
        <v>30.562790399999997</v>
      </c>
      <c r="AG71" s="686">
        <f t="shared" si="34"/>
        <v>31.797527132160003</v>
      </c>
      <c r="AH71" s="151"/>
      <c r="AI71" s="151"/>
      <c r="AJ71" s="151"/>
      <c r="AK71" s="151"/>
      <c r="AL71" s="685" t="s">
        <v>342</v>
      </c>
      <c r="AM71" s="151"/>
      <c r="AN71" s="151"/>
      <c r="AO71" s="853">
        <f>+SUM(AP71:AR71)</f>
        <v>0</v>
      </c>
      <c r="AP71" s="856">
        <f>+F$256</f>
        <v>0</v>
      </c>
      <c r="AQ71" s="856">
        <f>+G$256</f>
        <v>0</v>
      </c>
      <c r="AR71" s="856">
        <f>+H$256</f>
        <v>0</v>
      </c>
      <c r="AS71" s="151"/>
      <c r="AT71" s="151"/>
      <c r="AU71" s="151"/>
      <c r="AV71" s="151"/>
      <c r="AW71" s="151"/>
      <c r="AX71" s="151"/>
      <c r="AY71" s="151"/>
      <c r="AZ71" s="151"/>
      <c r="BA71" s="151"/>
      <c r="BB71" s="151"/>
      <c r="BC71" s="151"/>
      <c r="BD71" s="151"/>
      <c r="BE71" s="151"/>
      <c r="BF71" s="151"/>
      <c r="BG71" s="151"/>
      <c r="BH71" s="151"/>
      <c r="BI71" s="151"/>
      <c r="BJ71" s="151"/>
      <c r="BK71" s="151"/>
      <c r="BL71" s="151"/>
      <c r="BM71" s="151"/>
      <c r="BN71" s="151"/>
      <c r="BO71" s="151"/>
      <c r="BP71" s="151"/>
      <c r="BQ71" s="151"/>
      <c r="BR71" s="151"/>
      <c r="BS71" s="151"/>
      <c r="BT71" s="151"/>
      <c r="BU71" s="151"/>
      <c r="BV71" s="151"/>
      <c r="BW71" s="151"/>
      <c r="BX71" s="151"/>
      <c r="BY71" s="151"/>
      <c r="BZ71" s="151"/>
      <c r="CA71" s="151"/>
    </row>
    <row r="72" spans="2:79" ht="15.75">
      <c r="B72" s="758" t="s">
        <v>558</v>
      </c>
      <c r="C72" s="699"/>
      <c r="D72" s="699"/>
      <c r="E72" s="376">
        <f>+IFERROR(E69/E70,"")</f>
        <v>20.14983377618929</v>
      </c>
      <c r="F72" s="1061">
        <f>+IFERROR(F69/F70,"")</f>
        <v>18.981637346307981</v>
      </c>
      <c r="G72" s="1061">
        <f>+IFERROR(G69/G70,"")</f>
        <v>20.741747632519086</v>
      </c>
      <c r="H72" s="1061">
        <f>+IFERROR(H69/H70,"")</f>
        <v>22.004920063339487</v>
      </c>
      <c r="I72" s="18"/>
      <c r="J72" s="115" t="s">
        <v>572</v>
      </c>
      <c r="K72" s="120"/>
      <c r="L72" s="120"/>
      <c r="M72" s="130">
        <v>0.15</v>
      </c>
      <c r="N72" s="128">
        <f t="shared" ref="N72:P77" si="35">$M72</f>
        <v>0.15</v>
      </c>
      <c r="O72" s="128">
        <f t="shared" si="35"/>
        <v>0.15</v>
      </c>
      <c r="P72" s="128">
        <f t="shared" si="35"/>
        <v>0.15</v>
      </c>
      <c r="Q72" s="699"/>
      <c r="R72" s="699"/>
      <c r="S72" s="699"/>
      <c r="T72" s="699"/>
      <c r="U72" s="151" t="s">
        <v>573</v>
      </c>
      <c r="V72" s="699"/>
      <c r="W72" s="151"/>
      <c r="X72" s="151"/>
      <c r="Y72" s="151"/>
      <c r="Z72" s="151"/>
      <c r="AA72" s="685" t="s">
        <v>516</v>
      </c>
      <c r="AB72" s="151"/>
      <c r="AC72" s="151"/>
      <c r="AD72" s="717"/>
      <c r="AE72" s="731">
        <v>1800</v>
      </c>
      <c r="AF72" s="731">
        <f>+$AE72*(1+0.02)^G$36</f>
        <v>1910.1743999999999</v>
      </c>
      <c r="AG72" s="731">
        <f>+$AE72*(1+0.02)^H$36</f>
        <v>1987.3454457600001</v>
      </c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  <c r="AU72" s="151"/>
      <c r="AV72" s="151"/>
      <c r="AW72" s="151"/>
      <c r="AX72" s="151"/>
      <c r="AY72" s="151"/>
      <c r="AZ72" s="151"/>
      <c r="BA72" s="151"/>
      <c r="BB72" s="151"/>
      <c r="BC72" s="151"/>
      <c r="BD72" s="151"/>
      <c r="BE72" s="151"/>
      <c r="BF72" s="151"/>
      <c r="BG72" s="151"/>
      <c r="BH72" s="151"/>
      <c r="BI72" s="151"/>
      <c r="BJ72" s="151"/>
      <c r="BK72" s="151"/>
      <c r="BL72" s="151"/>
      <c r="BM72" s="151"/>
      <c r="BN72" s="151"/>
      <c r="BO72" s="151"/>
      <c r="BP72" s="151"/>
      <c r="BQ72" s="151"/>
      <c r="BR72" s="151"/>
      <c r="BS72" s="151"/>
      <c r="BT72" s="151"/>
      <c r="BU72" s="151"/>
      <c r="BV72" s="151"/>
      <c r="BW72" s="151"/>
      <c r="BX72" s="151"/>
      <c r="BY72" s="151"/>
      <c r="BZ72" s="151"/>
      <c r="CA72" s="151"/>
    </row>
    <row r="73" spans="2:79" ht="15.75">
      <c r="B73" s="1062" t="s">
        <v>560</v>
      </c>
      <c r="C73" s="1029"/>
      <c r="D73" s="1029"/>
      <c r="E73" s="377">
        <f>+IFERROR(E69/E71/12,"")</f>
        <v>1866.9567030283945</v>
      </c>
      <c r="F73" s="1063">
        <f>+IFERROR(F69/F71/12,"")</f>
        <v>1758.7189786160986</v>
      </c>
      <c r="G73" s="1063">
        <f>+IFERROR(G69/G71/12,"")</f>
        <v>1921.7997133462338</v>
      </c>
      <c r="H73" s="1063">
        <f>+IFERROR(H69/H71/12,"")</f>
        <v>2038.8373158890183</v>
      </c>
      <c r="I73" s="1050"/>
      <c r="J73" s="372" t="s">
        <v>574</v>
      </c>
      <c r="K73" s="120"/>
      <c r="L73" s="120"/>
      <c r="M73" s="373">
        <v>5</v>
      </c>
      <c r="N73" s="374">
        <f t="shared" si="35"/>
        <v>5</v>
      </c>
      <c r="O73" s="374">
        <f t="shared" si="35"/>
        <v>5</v>
      </c>
      <c r="P73" s="374">
        <f t="shared" si="35"/>
        <v>5</v>
      </c>
      <c r="Q73" s="699"/>
      <c r="R73" s="699"/>
      <c r="S73" s="360"/>
      <c r="T73" s="699"/>
      <c r="U73" s="151" t="s">
        <v>575</v>
      </c>
      <c r="V73" s="699"/>
      <c r="W73" s="151"/>
      <c r="X73" s="151"/>
      <c r="Y73" s="151"/>
      <c r="Z73" s="151"/>
      <c r="AA73" s="727" t="s">
        <v>273</v>
      </c>
      <c r="AB73" s="151"/>
      <c r="AC73" s="151"/>
      <c r="AD73" s="717"/>
      <c r="AE73" s="729">
        <f>+'Parcel Breakdown'!BK169</f>
        <v>0</v>
      </c>
      <c r="AF73" s="729">
        <f>+'Parcel Breakdown'!BK170</f>
        <v>0</v>
      </c>
      <c r="AG73" s="729">
        <f>+'Parcel Breakdown'!BK171</f>
        <v>0</v>
      </c>
      <c r="AH73" s="151"/>
      <c r="AI73" s="151"/>
      <c r="AJ73" s="151"/>
      <c r="AK73" s="151"/>
      <c r="AL73" s="685" t="s">
        <v>182</v>
      </c>
      <c r="AM73" s="151"/>
      <c r="AN73" s="151"/>
      <c r="AO73" s="853">
        <f>+SUM(AP73:AR73)</f>
        <v>0</v>
      </c>
      <c r="AP73" s="729">
        <f>+AE$198</f>
        <v>0</v>
      </c>
      <c r="AQ73" s="729">
        <f>+AF$198</f>
        <v>0</v>
      </c>
      <c r="AR73" s="729">
        <f>+AG$198</f>
        <v>0</v>
      </c>
      <c r="AS73" s="151"/>
      <c r="AT73" s="151"/>
      <c r="AU73" s="151"/>
      <c r="AV73" s="151"/>
      <c r="AW73" s="151"/>
      <c r="AX73" s="151"/>
      <c r="AY73" s="151"/>
      <c r="AZ73" s="151"/>
      <c r="BA73" s="151"/>
      <c r="BB73" s="151"/>
      <c r="BC73" s="151"/>
      <c r="BD73" s="151"/>
      <c r="BE73" s="151"/>
      <c r="BF73" s="151"/>
      <c r="BG73" s="151"/>
      <c r="BH73" s="151"/>
      <c r="BI73" s="151"/>
      <c r="BJ73" s="151"/>
      <c r="BK73" s="151"/>
      <c r="BL73" s="151"/>
      <c r="BM73" s="151"/>
      <c r="BN73" s="151"/>
      <c r="BO73" s="151"/>
      <c r="BP73" s="151"/>
      <c r="BQ73" s="151"/>
      <c r="BR73" s="151"/>
      <c r="BS73" s="151"/>
      <c r="BT73" s="151"/>
      <c r="BU73" s="151"/>
      <c r="BV73" s="151"/>
      <c r="BW73" s="151"/>
      <c r="BX73" s="151"/>
      <c r="BY73" s="151"/>
      <c r="BZ73" s="151"/>
      <c r="CA73" s="151"/>
    </row>
    <row r="74" spans="2:79" ht="15.75">
      <c r="B74" s="699"/>
      <c r="C74" s="699"/>
      <c r="D74" s="699"/>
      <c r="E74" s="699"/>
      <c r="F74" s="1057"/>
      <c r="G74" s="1057"/>
      <c r="H74" s="1057"/>
      <c r="I74" s="18"/>
      <c r="J74" s="115" t="s">
        <v>576</v>
      </c>
      <c r="K74" s="120"/>
      <c r="L74" s="120"/>
      <c r="M74" s="130">
        <v>0.03</v>
      </c>
      <c r="N74" s="128">
        <f t="shared" si="35"/>
        <v>0.03</v>
      </c>
      <c r="O74" s="128">
        <f t="shared" si="35"/>
        <v>0.03</v>
      </c>
      <c r="P74" s="128">
        <f t="shared" si="35"/>
        <v>0.03</v>
      </c>
      <c r="Q74" s="699"/>
      <c r="R74" s="366"/>
      <c r="S74" s="360"/>
      <c r="T74" s="699"/>
      <c r="U74" s="151" t="s">
        <v>577</v>
      </c>
      <c r="V74" s="699"/>
      <c r="W74" s="151"/>
      <c r="X74" s="151"/>
      <c r="Y74" s="151"/>
      <c r="Z74" s="151"/>
      <c r="AA74" s="685" t="s">
        <v>515</v>
      </c>
      <c r="AB74" s="151"/>
      <c r="AC74" s="151"/>
      <c r="AD74" s="730">
        <v>1200</v>
      </c>
      <c r="AE74" s="731">
        <f>+$AD74</f>
        <v>1200</v>
      </c>
      <c r="AF74" s="731">
        <f>+$AD74</f>
        <v>1200</v>
      </c>
      <c r="AG74" s="731">
        <f>+$AD74</f>
        <v>1200</v>
      </c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  <c r="AU74" s="151"/>
      <c r="AV74" s="151"/>
      <c r="AW74" s="151"/>
      <c r="AX74" s="151"/>
      <c r="AY74" s="151"/>
      <c r="AZ74" s="151"/>
      <c r="BA74" s="151"/>
      <c r="BB74" s="151"/>
      <c r="BC74" s="151"/>
      <c r="BD74" s="151"/>
      <c r="BE74" s="151"/>
      <c r="BF74" s="151"/>
      <c r="BG74" s="151"/>
      <c r="BH74" s="151"/>
      <c r="BI74" s="151"/>
      <c r="BJ74" s="151"/>
      <c r="BK74" s="151"/>
      <c r="BL74" s="151"/>
      <c r="BM74" s="151"/>
      <c r="BN74" s="151"/>
      <c r="BO74" s="151"/>
      <c r="BP74" s="151"/>
      <c r="BQ74" s="151"/>
      <c r="BR74" s="151"/>
      <c r="BS74" s="151"/>
      <c r="BT74" s="151"/>
      <c r="BU74" s="151"/>
      <c r="BV74" s="151"/>
      <c r="BW74" s="151"/>
      <c r="BX74" s="151"/>
      <c r="BY74" s="151"/>
      <c r="BZ74" s="151"/>
      <c r="CA74" s="151"/>
    </row>
    <row r="75" spans="2:79" ht="16.5" thickBot="1">
      <c r="B75" s="1121" t="s">
        <v>578</v>
      </c>
      <c r="C75" s="1121"/>
      <c r="D75" s="699"/>
      <c r="E75" s="349" t="s">
        <v>319</v>
      </c>
      <c r="F75" s="779" t="str">
        <f>+F$26</f>
        <v>I</v>
      </c>
      <c r="G75" s="779" t="str">
        <f>+G$26</f>
        <v>II</v>
      </c>
      <c r="H75" s="779" t="str">
        <f>+H$26</f>
        <v>III</v>
      </c>
      <c r="I75" s="699"/>
      <c r="J75" s="115" t="s">
        <v>579</v>
      </c>
      <c r="K75" s="120"/>
      <c r="L75" s="120"/>
      <c r="M75" s="130">
        <v>0.15</v>
      </c>
      <c r="N75" s="128">
        <f t="shared" si="35"/>
        <v>0.15</v>
      </c>
      <c r="O75" s="128">
        <f t="shared" si="35"/>
        <v>0.15</v>
      </c>
      <c r="P75" s="128">
        <f t="shared" si="35"/>
        <v>0.15</v>
      </c>
      <c r="Q75" s="699"/>
      <c r="R75" s="699"/>
      <c r="S75" s="699"/>
      <c r="T75" s="699"/>
      <c r="U75" s="699"/>
      <c r="V75" s="699"/>
      <c r="W75" s="151"/>
      <c r="X75" s="151"/>
      <c r="Y75" s="151"/>
      <c r="Z75" s="151"/>
      <c r="AA75" s="685" t="s">
        <v>268</v>
      </c>
      <c r="AB75" s="151"/>
      <c r="AC75" s="151"/>
      <c r="AD75" s="717"/>
      <c r="AE75" s="686">
        <f>(AE76*12)/AE74</f>
        <v>25</v>
      </c>
      <c r="AF75" s="686">
        <f t="shared" ref="AF75:AG75" si="36">(AF76*12)/AF74</f>
        <v>26.530199999999997</v>
      </c>
      <c r="AG75" s="686">
        <f t="shared" si="36"/>
        <v>27.602020080000003</v>
      </c>
      <c r="AH75" s="151"/>
      <c r="AI75" s="151"/>
      <c r="AJ75" s="151"/>
      <c r="AK75" s="151"/>
      <c r="AL75" s="685" t="s">
        <v>580</v>
      </c>
      <c r="AM75" s="778"/>
      <c r="AN75" s="778"/>
      <c r="AO75" s="857">
        <v>0.03</v>
      </c>
      <c r="AP75" s="858">
        <f t="shared" ref="AP75:AR78" si="37">$AO75</f>
        <v>0.03</v>
      </c>
      <c r="AQ75" s="858">
        <f t="shared" si="37"/>
        <v>0.03</v>
      </c>
      <c r="AR75" s="858">
        <f t="shared" si="37"/>
        <v>0.03</v>
      </c>
      <c r="AS75" s="151"/>
      <c r="AT75" s="151"/>
      <c r="AU75" s="151"/>
      <c r="AV75" s="151"/>
      <c r="AW75" s="151"/>
      <c r="AX75" s="151"/>
      <c r="AY75" s="151"/>
      <c r="AZ75" s="151"/>
      <c r="BA75" s="151"/>
      <c r="BB75" s="151"/>
      <c r="BC75" s="151"/>
      <c r="BD75" s="151"/>
      <c r="BE75" s="151"/>
      <c r="BF75" s="151"/>
      <c r="BG75" s="151"/>
      <c r="BH75" s="151"/>
      <c r="BI75" s="151"/>
      <c r="BJ75" s="151"/>
      <c r="BK75" s="151"/>
      <c r="BL75" s="151"/>
      <c r="BM75" s="151"/>
      <c r="BN75" s="151"/>
      <c r="BO75" s="151"/>
      <c r="BP75" s="151"/>
      <c r="BQ75" s="151"/>
      <c r="BR75" s="151"/>
      <c r="BS75" s="151"/>
      <c r="BT75" s="151"/>
      <c r="BU75" s="151"/>
      <c r="BV75" s="151"/>
      <c r="BW75" s="151"/>
      <c r="BX75" s="151"/>
      <c r="BY75" s="151"/>
      <c r="BZ75" s="151"/>
      <c r="CA75" s="151"/>
    </row>
    <row r="76" spans="2:79" ht="15.75">
      <c r="B76" s="412" t="s">
        <v>270</v>
      </c>
      <c r="C76" s="699"/>
      <c r="D76" s="699"/>
      <c r="E76" s="699"/>
      <c r="F76" s="411">
        <f>+'Parcel Breakdown'!$AJ52</f>
        <v>101.21643126252505</v>
      </c>
      <c r="G76" s="369">
        <f>+'Parcel Breakdown'!$AJ53</f>
        <v>73.481230460921836</v>
      </c>
      <c r="H76" s="369">
        <f>+'Parcel Breakdown'!$AJ54</f>
        <v>40.292527454909816</v>
      </c>
      <c r="I76" s="18"/>
      <c r="J76" s="372" t="s">
        <v>574</v>
      </c>
      <c r="K76" s="120"/>
      <c r="L76" s="120"/>
      <c r="M76" s="373">
        <v>5</v>
      </c>
      <c r="N76" s="374">
        <f t="shared" si="35"/>
        <v>5</v>
      </c>
      <c r="O76" s="374">
        <f t="shared" si="35"/>
        <v>5</v>
      </c>
      <c r="P76" s="374">
        <f t="shared" si="35"/>
        <v>5</v>
      </c>
      <c r="Q76" s="699"/>
      <c r="R76" s="699"/>
      <c r="S76" s="699"/>
      <c r="T76" s="699"/>
      <c r="U76" s="699"/>
      <c r="V76" s="699"/>
      <c r="W76" s="151"/>
      <c r="X76" s="151"/>
      <c r="Y76" s="151"/>
      <c r="Z76" s="151"/>
      <c r="AA76" s="685" t="s">
        <v>516</v>
      </c>
      <c r="AB76" s="151"/>
      <c r="AC76" s="151"/>
      <c r="AD76" s="717"/>
      <c r="AE76" s="731">
        <v>2500</v>
      </c>
      <c r="AF76" s="731">
        <f>+$AE76*(1+0.02)^G$36</f>
        <v>2653.02</v>
      </c>
      <c r="AG76" s="731">
        <f>+$AE76*(1+0.02)^H$36</f>
        <v>2760.2020080000002</v>
      </c>
      <c r="AH76" s="151"/>
      <c r="AI76" s="151"/>
      <c r="AJ76" s="151"/>
      <c r="AK76" s="151"/>
      <c r="AL76" s="685" t="s">
        <v>581</v>
      </c>
      <c r="AM76" s="778"/>
      <c r="AN76" s="778"/>
      <c r="AO76" s="857">
        <v>0.05</v>
      </c>
      <c r="AP76" s="858">
        <f t="shared" si="37"/>
        <v>0.05</v>
      </c>
      <c r="AQ76" s="858">
        <f t="shared" si="37"/>
        <v>0.05</v>
      </c>
      <c r="AR76" s="858">
        <f t="shared" si="37"/>
        <v>0.05</v>
      </c>
      <c r="AS76" s="151"/>
      <c r="AT76" s="151"/>
      <c r="AU76" s="151"/>
      <c r="AV76" s="151"/>
      <c r="AW76" s="151"/>
      <c r="AX76" s="151"/>
      <c r="AY76" s="151"/>
      <c r="AZ76" s="151"/>
      <c r="BA76" s="151"/>
      <c r="BB76" s="151"/>
      <c r="BC76" s="151"/>
      <c r="BD76" s="151"/>
      <c r="BE76" s="151"/>
      <c r="BF76" s="151"/>
      <c r="BG76" s="151"/>
      <c r="BH76" s="151"/>
      <c r="BI76" s="151"/>
      <c r="BJ76" s="151"/>
      <c r="BK76" s="151"/>
      <c r="BL76" s="151"/>
      <c r="BM76" s="151"/>
      <c r="BN76" s="151"/>
      <c r="BO76" s="151"/>
      <c r="BP76" s="151"/>
      <c r="BQ76" s="151"/>
      <c r="BR76" s="151"/>
      <c r="BS76" s="151"/>
      <c r="BT76" s="151"/>
      <c r="BU76" s="151"/>
      <c r="BV76" s="151"/>
      <c r="BW76" s="151"/>
      <c r="BX76" s="151"/>
      <c r="BY76" s="151"/>
      <c r="BZ76" s="151"/>
      <c r="CA76" s="151"/>
    </row>
    <row r="77" spans="2:79" ht="15.6" customHeight="1">
      <c r="B77" s="758" t="s">
        <v>515</v>
      </c>
      <c r="C77" s="699"/>
      <c r="D77" s="699"/>
      <c r="E77" s="370">
        <v>499</v>
      </c>
      <c r="F77" s="1058">
        <f>+$E77</f>
        <v>499</v>
      </c>
      <c r="G77" s="1058">
        <f>+$E77</f>
        <v>499</v>
      </c>
      <c r="H77" s="1058">
        <f>+$E77</f>
        <v>499</v>
      </c>
      <c r="I77" s="699"/>
      <c r="J77" s="115" t="s">
        <v>582</v>
      </c>
      <c r="K77" s="120"/>
      <c r="L77" s="120"/>
      <c r="M77" s="130">
        <v>0.03</v>
      </c>
      <c r="N77" s="128">
        <f t="shared" si="35"/>
        <v>0.03</v>
      </c>
      <c r="O77" s="128">
        <f t="shared" si="35"/>
        <v>0.03</v>
      </c>
      <c r="P77" s="128">
        <f t="shared" si="35"/>
        <v>0.03</v>
      </c>
      <c r="Q77" s="699"/>
      <c r="R77" s="699"/>
      <c r="S77" s="699"/>
      <c r="T77" s="699"/>
      <c r="U77" s="699"/>
      <c r="V77" s="699"/>
      <c r="W77" s="151"/>
      <c r="X77" s="151"/>
      <c r="Y77" s="151"/>
      <c r="Z77" s="151"/>
      <c r="AA77" s="727" t="s">
        <v>274</v>
      </c>
      <c r="AB77" s="151"/>
      <c r="AC77" s="151"/>
      <c r="AD77" s="717"/>
      <c r="AE77" s="729">
        <f>+'Parcel Breakdown'!BM169</f>
        <v>0</v>
      </c>
      <c r="AF77" s="729">
        <f>+'Parcel Breakdown'!BM170</f>
        <v>0</v>
      </c>
      <c r="AG77" s="729">
        <f>+'Parcel Breakdown'!BM171</f>
        <v>0</v>
      </c>
      <c r="AH77" s="151"/>
      <c r="AI77" s="151"/>
      <c r="AJ77" s="151"/>
      <c r="AK77" s="151"/>
      <c r="AL77" s="685" t="s">
        <v>583</v>
      </c>
      <c r="AM77" s="778"/>
      <c r="AN77" s="778"/>
      <c r="AO77" s="857">
        <v>0.05</v>
      </c>
      <c r="AP77" s="858">
        <f t="shared" si="37"/>
        <v>0.05</v>
      </c>
      <c r="AQ77" s="858">
        <f t="shared" si="37"/>
        <v>0.05</v>
      </c>
      <c r="AR77" s="858">
        <f t="shared" si="37"/>
        <v>0.05</v>
      </c>
      <c r="AS77" s="151"/>
      <c r="AT77" s="151"/>
      <c r="AU77" s="151"/>
      <c r="AV77" s="151"/>
      <c r="AW77" s="151"/>
      <c r="AX77" s="151"/>
      <c r="AY77" s="151"/>
      <c r="AZ77" s="151"/>
      <c r="BA77" s="151"/>
      <c r="BB77" s="151"/>
      <c r="BC77" s="151"/>
      <c r="BD77" s="151"/>
      <c r="BE77" s="151"/>
      <c r="BF77" s="151"/>
      <c r="BG77" s="151"/>
      <c r="BH77" s="151"/>
      <c r="BI77" s="151"/>
      <c r="BJ77" s="151"/>
      <c r="BK77" s="151"/>
      <c r="BL77" s="151"/>
      <c r="BM77" s="151"/>
      <c r="BN77" s="151"/>
      <c r="BO77" s="151"/>
      <c r="BP77" s="151"/>
      <c r="BQ77" s="151"/>
      <c r="BR77" s="151"/>
      <c r="BS77" s="151"/>
      <c r="BT77" s="151"/>
      <c r="BU77" s="151"/>
      <c r="BV77" s="151"/>
      <c r="BW77" s="151"/>
      <c r="BX77" s="151"/>
      <c r="BY77" s="151"/>
      <c r="BZ77" s="151"/>
      <c r="CA77" s="151"/>
    </row>
    <row r="78" spans="2:79" ht="15.75">
      <c r="B78" s="758" t="s">
        <v>268</v>
      </c>
      <c r="C78" s="699"/>
      <c r="D78" s="699"/>
      <c r="E78" s="1057"/>
      <c r="F78" s="1059">
        <f>(F79*12)/F77</f>
        <v>71.729281845196994</v>
      </c>
      <c r="G78" s="1059">
        <f>(G79*12)/G77</f>
        <v>78.380522962856588</v>
      </c>
      <c r="H78" s="1059">
        <f>(H79*12)/H77</f>
        <v>83.153896811294544</v>
      </c>
      <c r="I78" s="18"/>
      <c r="J78" s="118" t="s">
        <v>584</v>
      </c>
      <c r="K78" s="120"/>
      <c r="L78" s="120"/>
      <c r="M78" s="230"/>
      <c r="N78" s="128"/>
      <c r="O78" s="128"/>
      <c r="P78" s="128"/>
      <c r="Q78" s="699"/>
      <c r="R78" s="699"/>
      <c r="S78" s="699"/>
      <c r="T78" s="699"/>
      <c r="U78" s="699"/>
      <c r="V78" s="699"/>
      <c r="W78" s="151"/>
      <c r="X78" s="151"/>
      <c r="Y78" s="151"/>
      <c r="Z78" s="151"/>
      <c r="AA78" s="685" t="s">
        <v>515</v>
      </c>
      <c r="AB78" s="151"/>
      <c r="AC78" s="151"/>
      <c r="AD78" s="730">
        <v>1400</v>
      </c>
      <c r="AE78" s="731">
        <f>+$AD78</f>
        <v>1400</v>
      </c>
      <c r="AF78" s="731">
        <f>+$AD78</f>
        <v>1400</v>
      </c>
      <c r="AG78" s="731">
        <f>+$AD78</f>
        <v>1400</v>
      </c>
      <c r="AH78" s="151"/>
      <c r="AI78" s="151"/>
      <c r="AJ78" s="151"/>
      <c r="AK78" s="151"/>
      <c r="AL78" s="685" t="s">
        <v>585</v>
      </c>
      <c r="AM78" s="778"/>
      <c r="AN78" s="778"/>
      <c r="AO78" s="857">
        <v>0.05</v>
      </c>
      <c r="AP78" s="858">
        <f t="shared" si="37"/>
        <v>0.05</v>
      </c>
      <c r="AQ78" s="858">
        <f t="shared" si="37"/>
        <v>0.05</v>
      </c>
      <c r="AR78" s="858">
        <f t="shared" si="37"/>
        <v>0.05</v>
      </c>
      <c r="AS78" s="151"/>
      <c r="AT78" s="151"/>
      <c r="AU78" s="151"/>
      <c r="AV78" s="151"/>
      <c r="AW78" s="151"/>
      <c r="AX78" s="151"/>
      <c r="AY78" s="151"/>
      <c r="AZ78" s="151"/>
      <c r="BA78" s="151"/>
      <c r="BB78" s="151"/>
      <c r="BC78" s="151"/>
      <c r="BD78" s="151"/>
      <c r="BE78" s="151"/>
      <c r="BF78" s="151"/>
      <c r="BG78" s="151"/>
      <c r="BH78" s="151"/>
      <c r="BI78" s="151"/>
      <c r="BJ78" s="151"/>
      <c r="BK78" s="151"/>
      <c r="BL78" s="151"/>
      <c r="BM78" s="151"/>
      <c r="BN78" s="151"/>
      <c r="BO78" s="151"/>
      <c r="BP78" s="151"/>
      <c r="BQ78" s="151"/>
      <c r="BR78" s="151"/>
      <c r="BS78" s="151"/>
      <c r="BT78" s="151"/>
      <c r="BU78" s="151"/>
      <c r="BV78" s="151"/>
      <c r="BW78" s="151"/>
      <c r="BX78" s="151"/>
      <c r="BY78" s="151"/>
      <c r="BZ78" s="151"/>
      <c r="CA78" s="151"/>
    </row>
    <row r="79" spans="2:79" ht="15.75">
      <c r="B79" s="758" t="s">
        <v>516</v>
      </c>
      <c r="C79" s="699"/>
      <c r="D79" s="699"/>
      <c r="E79" s="1057"/>
      <c r="F79" s="839">
        <f>2498*(1+0.03)^6</f>
        <v>2982.742636729442</v>
      </c>
      <c r="G79" s="839">
        <f>+$F79*(1+0.03)^G$36</f>
        <v>3259.3234132054531</v>
      </c>
      <c r="H79" s="839">
        <f>+$F79*(1+0.03)^H$36</f>
        <v>3457.8162090696646</v>
      </c>
      <c r="I79" s="699"/>
      <c r="J79" s="115" t="s">
        <v>586</v>
      </c>
      <c r="K79" s="120"/>
      <c r="L79" s="120"/>
      <c r="M79" s="130">
        <v>0.03</v>
      </c>
      <c r="N79" s="128">
        <f t="shared" ref="N79:P82" si="38">$M79</f>
        <v>0.03</v>
      </c>
      <c r="O79" s="128">
        <f t="shared" si="38"/>
        <v>0.03</v>
      </c>
      <c r="P79" s="128">
        <f t="shared" si="38"/>
        <v>0.03</v>
      </c>
      <c r="Q79" s="699"/>
      <c r="R79" s="699"/>
      <c r="S79" s="699"/>
      <c r="T79" s="699"/>
      <c r="U79" s="699"/>
      <c r="V79" s="699"/>
      <c r="W79" s="151"/>
      <c r="X79" s="151"/>
      <c r="Y79" s="151"/>
      <c r="Z79" s="151"/>
      <c r="AA79" s="685" t="s">
        <v>268</v>
      </c>
      <c r="AB79" s="151"/>
      <c r="AC79" s="151"/>
      <c r="AD79" s="717"/>
      <c r="AE79" s="686">
        <f>(AE80*12)/AE78</f>
        <v>25.714285714285715</v>
      </c>
      <c r="AF79" s="686">
        <f t="shared" ref="AF79:AG79" si="39">(AF80*12)/AF78</f>
        <v>27.288205714285713</v>
      </c>
      <c r="AG79" s="686">
        <f t="shared" si="39"/>
        <v>28.390649225142859</v>
      </c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  <c r="AU79" s="151"/>
      <c r="AV79" s="151"/>
      <c r="AW79" s="151"/>
      <c r="AX79" s="151"/>
      <c r="AY79" s="151"/>
      <c r="AZ79" s="151"/>
      <c r="BA79" s="151"/>
      <c r="BB79" s="151"/>
      <c r="BC79" s="151"/>
      <c r="BD79" s="151"/>
      <c r="BE79" s="151"/>
      <c r="BF79" s="151"/>
      <c r="BG79" s="151"/>
      <c r="BH79" s="151"/>
      <c r="BI79" s="151"/>
      <c r="BJ79" s="151"/>
      <c r="BK79" s="151"/>
      <c r="BL79" s="151"/>
      <c r="BM79" s="151"/>
      <c r="BN79" s="151"/>
      <c r="BO79" s="151"/>
      <c r="BP79" s="151"/>
      <c r="BQ79" s="151"/>
      <c r="BR79" s="151"/>
      <c r="BS79" s="151"/>
      <c r="BT79" s="151"/>
      <c r="BU79" s="151"/>
      <c r="BV79" s="151"/>
      <c r="BW79" s="151"/>
      <c r="BX79" s="151"/>
      <c r="BY79" s="151"/>
      <c r="BZ79" s="151"/>
      <c r="CA79" s="151"/>
    </row>
    <row r="80" spans="2:79" ht="15.75">
      <c r="B80" s="413" t="s">
        <v>272</v>
      </c>
      <c r="C80" s="699"/>
      <c r="D80" s="699"/>
      <c r="E80" s="1057"/>
      <c r="F80" s="369">
        <f>+'Parcel Breakdown'!AL52</f>
        <v>181.94163976945245</v>
      </c>
      <c r="G80" s="369">
        <f>+'Parcel Breakdown'!AL53</f>
        <v>132.0862175792507</v>
      </c>
      <c r="H80" s="369">
        <f>+'Parcel Breakdown'!AL54</f>
        <v>72.427850144092218</v>
      </c>
      <c r="I80" s="699"/>
      <c r="J80" s="115" t="s">
        <v>587</v>
      </c>
      <c r="K80" s="120"/>
      <c r="L80" s="120"/>
      <c r="M80" s="130">
        <v>0.03</v>
      </c>
      <c r="N80" s="128">
        <f t="shared" si="38"/>
        <v>0.03</v>
      </c>
      <c r="O80" s="128">
        <f t="shared" si="38"/>
        <v>0.03</v>
      </c>
      <c r="P80" s="128">
        <f t="shared" si="38"/>
        <v>0.03</v>
      </c>
      <c r="Q80" s="699"/>
      <c r="R80" s="699"/>
      <c r="S80" s="699"/>
      <c r="T80" s="699"/>
      <c r="U80" s="699"/>
      <c r="V80" s="699"/>
      <c r="W80" s="151"/>
      <c r="X80" s="151"/>
      <c r="Y80" s="151"/>
      <c r="Z80" s="151"/>
      <c r="AA80" s="685" t="s">
        <v>516</v>
      </c>
      <c r="AB80" s="151"/>
      <c r="AC80" s="151"/>
      <c r="AD80" s="717"/>
      <c r="AE80" s="731">
        <v>3000</v>
      </c>
      <c r="AF80" s="731">
        <f>+$AE80*(1+0.02)^G$36</f>
        <v>3183.6239999999998</v>
      </c>
      <c r="AG80" s="731">
        <f>+$AE80*(1+0.02)^H$36</f>
        <v>3312.2424096</v>
      </c>
      <c r="AH80" s="151"/>
      <c r="AI80" s="151"/>
      <c r="AJ80" s="151"/>
      <c r="AK80" s="151"/>
      <c r="AL80" s="859" t="s">
        <v>588</v>
      </c>
      <c r="AM80" s="778"/>
      <c r="AN80" s="778"/>
      <c r="AO80" s="857">
        <v>0.05</v>
      </c>
      <c r="AP80" s="858">
        <f>$AO80</f>
        <v>0.05</v>
      </c>
      <c r="AQ80" s="858">
        <f>$AO80</f>
        <v>0.05</v>
      </c>
      <c r="AR80" s="858">
        <f>$AO80</f>
        <v>0.05</v>
      </c>
      <c r="AS80" s="151"/>
      <c r="AT80" s="151"/>
      <c r="AU80" s="151"/>
      <c r="AV80" s="151"/>
      <c r="AW80" s="151"/>
      <c r="AX80" s="151"/>
      <c r="AY80" s="151"/>
      <c r="AZ80" s="151"/>
      <c r="BA80" s="151"/>
      <c r="BB80" s="151"/>
      <c r="BC80" s="151"/>
      <c r="BD80" s="151"/>
      <c r="BE80" s="151"/>
      <c r="BF80" s="151"/>
      <c r="BG80" s="151"/>
      <c r="BH80" s="151"/>
      <c r="BI80" s="151"/>
      <c r="BJ80" s="151"/>
      <c r="BK80" s="151"/>
      <c r="BL80" s="151"/>
      <c r="BM80" s="151"/>
      <c r="BN80" s="151"/>
      <c r="BO80" s="151"/>
      <c r="BP80" s="151"/>
      <c r="BQ80" s="151"/>
      <c r="BR80" s="151"/>
      <c r="BS80" s="151"/>
      <c r="BT80" s="151"/>
      <c r="BU80" s="151"/>
      <c r="BV80" s="151"/>
      <c r="BW80" s="151"/>
      <c r="BX80" s="151"/>
      <c r="BY80" s="151"/>
      <c r="BZ80" s="151"/>
      <c r="CA80" s="151"/>
    </row>
    <row r="81" spans="1:79" ht="15.75">
      <c r="A81" s="1047"/>
      <c r="B81" s="758" t="s">
        <v>515</v>
      </c>
      <c r="C81" s="699"/>
      <c r="D81" s="699"/>
      <c r="E81" s="370">
        <v>694</v>
      </c>
      <c r="F81" s="1058">
        <f>+$E81</f>
        <v>694</v>
      </c>
      <c r="G81" s="1058">
        <f>+$E81</f>
        <v>694</v>
      </c>
      <c r="H81" s="1058">
        <f>+$E81</f>
        <v>694</v>
      </c>
      <c r="I81" s="699"/>
      <c r="J81" s="758" t="str">
        <f>J70</f>
        <v xml:space="preserve">Affordable For-Sale Housing Growth </v>
      </c>
      <c r="K81" s="699"/>
      <c r="L81" s="699"/>
      <c r="M81" s="130">
        <v>0.03</v>
      </c>
      <c r="N81" s="128">
        <f t="shared" si="38"/>
        <v>0.03</v>
      </c>
      <c r="O81" s="128">
        <f t="shared" si="38"/>
        <v>0.03</v>
      </c>
      <c r="P81" s="128">
        <f t="shared" si="38"/>
        <v>0.03</v>
      </c>
      <c r="Q81" s="699"/>
      <c r="R81" s="699"/>
      <c r="S81" s="699"/>
      <c r="T81" s="699"/>
      <c r="U81" s="699"/>
      <c r="V81" s="151"/>
      <c r="W81" s="151"/>
      <c r="X81" s="687">
        <f>+SUM(M50:M51)</f>
        <v>1068.2449193422883</v>
      </c>
      <c r="Y81" s="151"/>
      <c r="Z81" s="151"/>
      <c r="AA81" s="727" t="s">
        <v>523</v>
      </c>
      <c r="AB81" s="151"/>
      <c r="AC81" s="151"/>
      <c r="AD81" s="717"/>
      <c r="AE81" s="729">
        <f>+'Parcel Breakdown'!BO169</f>
        <v>0</v>
      </c>
      <c r="AF81" s="729">
        <f>+'Parcel Breakdown'!BO170</f>
        <v>0</v>
      </c>
      <c r="AG81" s="729">
        <f>+'Parcel Breakdown'!BO171</f>
        <v>0</v>
      </c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  <c r="AU81" s="151"/>
      <c r="AV81" s="151"/>
      <c r="AW81" s="151"/>
      <c r="AX81" s="151"/>
      <c r="AY81" s="151"/>
      <c r="AZ81" s="151"/>
      <c r="BA81" s="151"/>
      <c r="BB81" s="151"/>
      <c r="BC81" s="151"/>
      <c r="BD81" s="151"/>
      <c r="BE81" s="151"/>
      <c r="BF81" s="151"/>
      <c r="BG81" s="151"/>
      <c r="BH81" s="151"/>
      <c r="BI81" s="151"/>
      <c r="BJ81" s="151"/>
      <c r="BK81" s="151"/>
      <c r="BL81" s="151"/>
      <c r="BM81" s="151"/>
      <c r="BN81" s="151"/>
      <c r="BO81" s="151"/>
      <c r="BP81" s="151"/>
      <c r="BQ81" s="151"/>
      <c r="BR81" s="151"/>
      <c r="BS81" s="151"/>
      <c r="BT81" s="151"/>
      <c r="BU81" s="151"/>
      <c r="BV81" s="151"/>
      <c r="BW81" s="151"/>
      <c r="BX81" s="151"/>
      <c r="BY81" s="151"/>
      <c r="BZ81" s="151"/>
      <c r="CA81" s="151"/>
    </row>
    <row r="82" spans="1:79" ht="16.7" customHeight="1">
      <c r="A82" s="1047"/>
      <c r="B82" s="758" t="s">
        <v>268</v>
      </c>
      <c r="C82" s="699"/>
      <c r="D82" s="699"/>
      <c r="E82" s="1057"/>
      <c r="F82" s="1059">
        <f>(F83*12)/F81</f>
        <v>67.328032374312428</v>
      </c>
      <c r="G82" s="1059">
        <f>(G83*12)/G81</f>
        <v>73.571158832285292</v>
      </c>
      <c r="H82" s="1059">
        <f>(H83*12)/H81</f>
        <v>78.051642405171449</v>
      </c>
      <c r="I82" s="699"/>
      <c r="J82" s="758" t="str">
        <f>J71</f>
        <v>Market-Rate For-Sale Housing Growth</v>
      </c>
      <c r="K82" s="699"/>
      <c r="L82" s="699"/>
      <c r="M82" s="130">
        <v>0.03</v>
      </c>
      <c r="N82" s="128">
        <f t="shared" si="38"/>
        <v>0.03</v>
      </c>
      <c r="O82" s="128">
        <f t="shared" si="38"/>
        <v>0.03</v>
      </c>
      <c r="P82" s="128">
        <f t="shared" si="38"/>
        <v>0.03</v>
      </c>
      <c r="Q82" s="699"/>
      <c r="R82" s="699"/>
      <c r="S82" s="699"/>
      <c r="T82" s="699"/>
      <c r="U82" s="699"/>
      <c r="V82" s="151"/>
      <c r="W82" s="151"/>
      <c r="X82" s="687">
        <f>+SUM(AO65:AO66)</f>
        <v>0</v>
      </c>
      <c r="Y82" s="151"/>
      <c r="Z82" s="151"/>
      <c r="AA82" s="685" t="s">
        <v>515</v>
      </c>
      <c r="AB82" s="151"/>
      <c r="AC82" s="151"/>
      <c r="AD82" s="730">
        <v>1800</v>
      </c>
      <c r="AE82" s="731">
        <f>+$AD82</f>
        <v>1800</v>
      </c>
      <c r="AF82" s="731">
        <f>+$AD82</f>
        <v>1800</v>
      </c>
      <c r="AG82" s="731">
        <f>+$AD82</f>
        <v>1800</v>
      </c>
      <c r="AH82" s="151"/>
      <c r="AI82" s="151"/>
      <c r="AJ82" s="151"/>
      <c r="AK82" s="151"/>
      <c r="AL82" s="859" t="s">
        <v>589</v>
      </c>
      <c r="AM82" s="778"/>
      <c r="AN82" s="778"/>
      <c r="AO82" s="857">
        <v>0.05</v>
      </c>
      <c r="AP82" s="858">
        <f>$AO82</f>
        <v>0.05</v>
      </c>
      <c r="AQ82" s="858">
        <f>$AO82</f>
        <v>0.05</v>
      </c>
      <c r="AR82" s="858">
        <f>$AO82</f>
        <v>0.05</v>
      </c>
      <c r="AS82" s="151"/>
      <c r="AT82" s="151"/>
      <c r="AU82" s="151"/>
      <c r="AV82" s="151"/>
      <c r="AW82" s="151"/>
      <c r="AX82" s="151"/>
      <c r="AY82" s="151"/>
      <c r="AZ82" s="151"/>
      <c r="BA82" s="151"/>
      <c r="BB82" s="151"/>
      <c r="BC82" s="151"/>
      <c r="BD82" s="151"/>
      <c r="BE82" s="151"/>
      <c r="BF82" s="151"/>
      <c r="BG82" s="151"/>
      <c r="BH82" s="151"/>
      <c r="BI82" s="151"/>
      <c r="BJ82" s="151"/>
      <c r="BK82" s="151"/>
      <c r="BL82" s="151"/>
      <c r="BM82" s="151"/>
      <c r="BN82" s="151"/>
      <c r="BO82" s="151"/>
      <c r="BP82" s="151"/>
      <c r="BQ82" s="151"/>
      <c r="BR82" s="151"/>
      <c r="BS82" s="151"/>
      <c r="BT82" s="151"/>
      <c r="BU82" s="151"/>
      <c r="BV82" s="151"/>
      <c r="BW82" s="151"/>
      <c r="BX82" s="151"/>
      <c r="BY82" s="151"/>
      <c r="BZ82" s="151"/>
      <c r="CA82" s="151"/>
    </row>
    <row r="83" spans="1:79" ht="15.75">
      <c r="A83" s="1047"/>
      <c r="B83" s="758" t="s">
        <v>516</v>
      </c>
      <c r="C83" s="699"/>
      <c r="D83" s="699"/>
      <c r="E83" s="1057"/>
      <c r="F83" s="839">
        <f>3261*(1+0.03)^6</f>
        <v>3893.8045389810686</v>
      </c>
      <c r="G83" s="839">
        <f>+$F83*(1+0.03)^G$36</f>
        <v>4254.8653524671663</v>
      </c>
      <c r="H83" s="839">
        <f>+$F83*(1+0.03)^H$36</f>
        <v>4513.9866524324161</v>
      </c>
      <c r="I83" s="699"/>
      <c r="J83" s="115" t="s">
        <v>572</v>
      </c>
      <c r="K83" s="120"/>
      <c r="L83" s="120"/>
      <c r="M83" s="130">
        <v>0.03</v>
      </c>
      <c r="N83" s="128">
        <f t="shared" ref="N83:P88" si="40">$M83</f>
        <v>0.03</v>
      </c>
      <c r="O83" s="128">
        <f t="shared" si="40"/>
        <v>0.03</v>
      </c>
      <c r="P83" s="128">
        <f t="shared" si="40"/>
        <v>0.03</v>
      </c>
      <c r="Q83" s="699"/>
      <c r="R83" s="699"/>
      <c r="S83" s="699"/>
      <c r="T83" s="699"/>
      <c r="U83" s="699"/>
      <c r="V83" s="151"/>
      <c r="W83" s="151"/>
      <c r="X83" s="687">
        <f>+SUM(AO67:AO68)</f>
        <v>0</v>
      </c>
      <c r="Y83" s="151"/>
      <c r="Z83" s="151"/>
      <c r="AA83" s="685" t="s">
        <v>268</v>
      </c>
      <c r="AB83" s="151"/>
      <c r="AC83" s="151"/>
      <c r="AD83" s="717"/>
      <c r="AE83" s="686">
        <f>(AE84*12)/AE82</f>
        <v>22</v>
      </c>
      <c r="AF83" s="686">
        <f t="shared" ref="AF83:AG83" si="41">(AF84*12)/AF82</f>
        <v>23.346575999999999</v>
      </c>
      <c r="AG83" s="686">
        <f t="shared" si="41"/>
        <v>24.289777670399999</v>
      </c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  <c r="AU83" s="151"/>
      <c r="AV83" s="151"/>
      <c r="AW83" s="151"/>
      <c r="AX83" s="151"/>
      <c r="AY83" s="151"/>
      <c r="AZ83" s="151"/>
      <c r="BA83" s="151"/>
      <c r="BB83" s="151"/>
      <c r="BC83" s="151"/>
      <c r="BD83" s="151"/>
      <c r="BE83" s="151"/>
      <c r="BF83" s="151"/>
      <c r="BG83" s="151"/>
      <c r="BH83" s="151"/>
      <c r="BI83" s="151"/>
      <c r="BJ83" s="151"/>
      <c r="BK83" s="151"/>
      <c r="BL83" s="151"/>
      <c r="BM83" s="151"/>
      <c r="BN83" s="151"/>
      <c r="BO83" s="151"/>
      <c r="BP83" s="151"/>
      <c r="BQ83" s="151"/>
      <c r="BR83" s="151"/>
      <c r="BS83" s="151"/>
      <c r="BT83" s="151"/>
      <c r="BU83" s="151"/>
      <c r="BV83" s="151"/>
      <c r="BW83" s="151"/>
      <c r="BX83" s="151"/>
      <c r="BY83" s="151"/>
      <c r="BZ83" s="151"/>
      <c r="CA83" s="151"/>
    </row>
    <row r="84" spans="1:79" ht="15.75">
      <c r="A84" s="1047"/>
      <c r="B84" s="413" t="s">
        <v>273</v>
      </c>
      <c r="C84" s="699"/>
      <c r="D84" s="699"/>
      <c r="E84" s="1057"/>
      <c r="F84" s="369">
        <f>+'Parcel Breakdown'!AN52</f>
        <v>57.814788461538456</v>
      </c>
      <c r="G84" s="369">
        <f>+'Parcel Breakdown'!AN53</f>
        <v>41.972451923076918</v>
      </c>
      <c r="H84" s="369">
        <f>+'Parcel Breakdown'!AN54</f>
        <v>23.015076923076922</v>
      </c>
      <c r="I84" s="699"/>
      <c r="J84" s="115" t="s">
        <v>579</v>
      </c>
      <c r="K84" s="120"/>
      <c r="L84" s="120"/>
      <c r="M84" s="130">
        <v>0.03</v>
      </c>
      <c r="N84" s="128">
        <f t="shared" si="40"/>
        <v>0.03</v>
      </c>
      <c r="O84" s="128">
        <f t="shared" si="40"/>
        <v>0.03</v>
      </c>
      <c r="P84" s="128">
        <f t="shared" si="40"/>
        <v>0.03</v>
      </c>
      <c r="Q84" s="699"/>
      <c r="R84" s="699"/>
      <c r="S84" s="699"/>
      <c r="T84" s="699"/>
      <c r="U84" s="699"/>
      <c r="V84" s="151"/>
      <c r="W84" s="151"/>
      <c r="X84" s="687">
        <f>+SUM(M52:M53)</f>
        <v>185.52216696875001</v>
      </c>
      <c r="Y84" s="151"/>
      <c r="Z84" s="151"/>
      <c r="AA84" s="685" t="s">
        <v>516</v>
      </c>
      <c r="AB84" s="151"/>
      <c r="AC84" s="151"/>
      <c r="AD84" s="717"/>
      <c r="AE84" s="731">
        <v>3300</v>
      </c>
      <c r="AF84" s="731">
        <f>+$AE84*(1+0.02)^G$36</f>
        <v>3501.9863999999998</v>
      </c>
      <c r="AG84" s="731">
        <f>+$AE84*(1+0.02)^H$36</f>
        <v>3643.4666505599998</v>
      </c>
      <c r="AH84" s="151"/>
      <c r="AI84" s="151"/>
      <c r="AJ84" s="151"/>
      <c r="AK84" s="151"/>
      <c r="AL84" s="685" t="s">
        <v>590</v>
      </c>
      <c r="AM84" s="151"/>
      <c r="AN84" s="151"/>
      <c r="AO84" s="857">
        <v>0.03</v>
      </c>
      <c r="AP84" s="858">
        <f t="shared" ref="AP84:AR87" si="42">$AO84</f>
        <v>0.03</v>
      </c>
      <c r="AQ84" s="858">
        <f t="shared" si="42"/>
        <v>0.03</v>
      </c>
      <c r="AR84" s="858">
        <f t="shared" si="42"/>
        <v>0.03</v>
      </c>
      <c r="AS84" s="151"/>
      <c r="AT84" s="151"/>
      <c r="AU84" s="151"/>
      <c r="AV84" s="151"/>
      <c r="AW84" s="151"/>
      <c r="AX84" s="151"/>
      <c r="AY84" s="151"/>
      <c r="AZ84" s="151"/>
      <c r="BA84" s="151"/>
      <c r="BB84" s="151"/>
      <c r="BC84" s="151"/>
      <c r="BD84" s="151"/>
      <c r="BE84" s="151"/>
      <c r="BF84" s="151"/>
      <c r="BG84" s="151"/>
      <c r="BH84" s="151"/>
      <c r="BI84" s="151"/>
      <c r="BJ84" s="151"/>
      <c r="BK84" s="151"/>
      <c r="BL84" s="151"/>
      <c r="BM84" s="151"/>
      <c r="BN84" s="151"/>
      <c r="BO84" s="151"/>
      <c r="BP84" s="151"/>
      <c r="BQ84" s="151"/>
      <c r="BR84" s="151"/>
      <c r="BS84" s="151"/>
      <c r="BT84" s="151"/>
      <c r="BU84" s="151"/>
      <c r="BV84" s="151"/>
      <c r="BW84" s="151"/>
      <c r="BX84" s="151"/>
      <c r="BY84" s="151"/>
      <c r="BZ84" s="151"/>
      <c r="CA84" s="151"/>
    </row>
    <row r="85" spans="1:79" ht="15.75">
      <c r="A85" s="1047" t="s">
        <v>511</v>
      </c>
      <c r="B85" s="758" t="s">
        <v>515</v>
      </c>
      <c r="C85" s="699"/>
      <c r="D85" s="699"/>
      <c r="E85" s="370">
        <v>1092</v>
      </c>
      <c r="F85" s="1058">
        <f>+$E85</f>
        <v>1092</v>
      </c>
      <c r="G85" s="1058">
        <f>+$E85</f>
        <v>1092</v>
      </c>
      <c r="H85" s="1058">
        <f>+$E85</f>
        <v>1092</v>
      </c>
      <c r="I85" s="699"/>
      <c r="J85" s="115" t="s">
        <v>582</v>
      </c>
      <c r="K85" s="120"/>
      <c r="L85" s="120"/>
      <c r="M85" s="130">
        <v>0.03</v>
      </c>
      <c r="N85" s="128">
        <f t="shared" si="40"/>
        <v>0.03</v>
      </c>
      <c r="O85" s="128">
        <f t="shared" si="40"/>
        <v>0.03</v>
      </c>
      <c r="P85" s="128">
        <f t="shared" si="40"/>
        <v>0.03</v>
      </c>
      <c r="Q85" s="699"/>
      <c r="R85" s="699"/>
      <c r="S85" s="699"/>
      <c r="T85" s="699"/>
      <c r="U85" s="699"/>
      <c r="V85" s="151"/>
      <c r="W85" s="151"/>
      <c r="X85" s="151" t="s">
        <v>146</v>
      </c>
      <c r="Y85" s="151"/>
      <c r="Z85" s="151"/>
      <c r="AA85" s="718" t="s">
        <v>591</v>
      </c>
      <c r="AB85" s="718"/>
      <c r="AC85" s="718"/>
      <c r="AD85" s="733">
        <f>+SUM(AE85:AG85)</f>
        <v>0</v>
      </c>
      <c r="AE85" s="732">
        <f>+AE67*AE66*AE65+AE71*AE70*AE69+AE75*AE74*AE73+AE79*AE78*AE77+AE83*AE82*AE81</f>
        <v>0</v>
      </c>
      <c r="AF85" s="732">
        <f>+AF67*AF66*AF65+AF71*AF70*AF69+AF75*AF74*AF73+AF79*AF78*AF77+AF83*AF82*AF81</f>
        <v>0</v>
      </c>
      <c r="AG85" s="732">
        <f t="shared" ref="AG85" si="43">+AG67*AG66*AG65+AG71*AG70*AG69+AG75*AG74*AG73+AG79*AG78*AG77+AG83*AG82*AG81</f>
        <v>0</v>
      </c>
      <c r="AH85" s="151"/>
      <c r="AI85" s="151"/>
      <c r="AJ85" s="151"/>
      <c r="AK85" s="151"/>
      <c r="AL85" s="685" t="s">
        <v>592</v>
      </c>
      <c r="AM85" s="151"/>
      <c r="AN85" s="151"/>
      <c r="AO85" s="857">
        <v>0.03</v>
      </c>
      <c r="AP85" s="858">
        <f t="shared" si="42"/>
        <v>0.03</v>
      </c>
      <c r="AQ85" s="858">
        <f t="shared" si="42"/>
        <v>0.03</v>
      </c>
      <c r="AR85" s="858">
        <f t="shared" si="42"/>
        <v>0.03</v>
      </c>
      <c r="AS85" s="151"/>
      <c r="AT85" s="151"/>
      <c r="AU85" s="151"/>
      <c r="AV85" s="151"/>
      <c r="AW85" s="151"/>
      <c r="AX85" s="151"/>
      <c r="AY85" s="151"/>
      <c r="AZ85" s="151"/>
      <c r="BA85" s="151"/>
      <c r="BB85" s="151"/>
      <c r="BC85" s="151"/>
      <c r="BD85" s="151"/>
      <c r="BE85" s="151"/>
      <c r="BF85" s="151"/>
      <c r="BG85" s="151"/>
      <c r="BH85" s="151"/>
      <c r="BI85" s="151"/>
      <c r="BJ85" s="151"/>
      <c r="BK85" s="151"/>
      <c r="BL85" s="151"/>
      <c r="BM85" s="151"/>
      <c r="BN85" s="151"/>
      <c r="BO85" s="151"/>
      <c r="BP85" s="151"/>
      <c r="BQ85" s="151"/>
      <c r="BR85" s="151"/>
      <c r="BS85" s="151"/>
      <c r="BT85" s="151"/>
      <c r="BU85" s="151"/>
      <c r="BV85" s="151"/>
      <c r="BW85" s="151"/>
      <c r="BX85" s="151"/>
      <c r="BY85" s="151"/>
      <c r="BZ85" s="151"/>
      <c r="CA85" s="151"/>
    </row>
    <row r="86" spans="1:79" ht="15.75">
      <c r="A86" s="1047"/>
      <c r="B86" s="758" t="s">
        <v>268</v>
      </c>
      <c r="C86" s="699"/>
      <c r="D86" s="699"/>
      <c r="E86" s="1057"/>
      <c r="F86" s="1059">
        <f>(F87*12)/F85</f>
        <v>55.320049254574329</v>
      </c>
      <c r="G86" s="1059">
        <f>(G87*12)/G85</f>
        <v>60.44971146180324</v>
      </c>
      <c r="H86" s="1059">
        <f>(H87*12)/H85</f>
        <v>64.131098889827058</v>
      </c>
      <c r="I86" s="699"/>
      <c r="J86" s="115"/>
      <c r="K86" s="120"/>
      <c r="L86" s="120"/>
      <c r="M86" s="130"/>
      <c r="N86" s="128"/>
      <c r="O86" s="128"/>
      <c r="P86" s="128"/>
      <c r="Q86" s="699"/>
      <c r="R86" s="699"/>
      <c r="S86" s="699"/>
      <c r="T86" s="699"/>
      <c r="U86" s="699"/>
      <c r="V86" s="699"/>
      <c r="W86" s="151"/>
      <c r="X86" s="151"/>
      <c r="Y86" s="151"/>
      <c r="Z86" s="151"/>
      <c r="AA86" s="685" t="s">
        <v>353</v>
      </c>
      <c r="AB86" s="151"/>
      <c r="AC86" s="151"/>
      <c r="AD86" s="734">
        <f>+SUM(AE86:AG86)</f>
        <v>0</v>
      </c>
      <c r="AE86" s="731">
        <f>+AE65*AE66+AE69*AE70+AE73*AE74+AE77*AE78+AE81*AE82</f>
        <v>0</v>
      </c>
      <c r="AF86" s="731">
        <f t="shared" ref="AF86:AG86" si="44">+AF65*AF66+AF69*AF70+AF73*AF74+AF77*AF78+AF81*AF82</f>
        <v>0</v>
      </c>
      <c r="AG86" s="731">
        <f t="shared" si="44"/>
        <v>0</v>
      </c>
      <c r="AH86" s="151"/>
      <c r="AI86" s="151"/>
      <c r="AJ86" s="151"/>
      <c r="AK86" s="151"/>
      <c r="AL86" s="685" t="s">
        <v>593</v>
      </c>
      <c r="AM86" s="151"/>
      <c r="AN86" s="151"/>
      <c r="AO86" s="857">
        <v>0.03</v>
      </c>
      <c r="AP86" s="858">
        <f t="shared" si="42"/>
        <v>0.03</v>
      </c>
      <c r="AQ86" s="858">
        <f t="shared" si="42"/>
        <v>0.03</v>
      </c>
      <c r="AR86" s="858">
        <f t="shared" si="42"/>
        <v>0.03</v>
      </c>
      <c r="AS86" s="151"/>
      <c r="AT86" s="151"/>
      <c r="AU86" s="151"/>
      <c r="AV86" s="151"/>
      <c r="AW86" s="151"/>
      <c r="AX86" s="151"/>
      <c r="AY86" s="151"/>
      <c r="AZ86" s="151"/>
      <c r="BA86" s="151"/>
      <c r="BB86" s="151"/>
      <c r="BC86" s="151"/>
      <c r="BD86" s="151"/>
      <c r="BE86" s="151"/>
      <c r="BF86" s="151"/>
      <c r="BG86" s="151"/>
      <c r="BH86" s="151"/>
      <c r="BI86" s="151"/>
      <c r="BJ86" s="151"/>
      <c r="BK86" s="151"/>
      <c r="BL86" s="151"/>
      <c r="BM86" s="151"/>
      <c r="BN86" s="151"/>
      <c r="BO86" s="151"/>
      <c r="BP86" s="151"/>
      <c r="BQ86" s="151"/>
      <c r="BR86" s="151"/>
      <c r="BS86" s="151"/>
      <c r="BT86" s="151"/>
      <c r="BU86" s="151"/>
      <c r="BV86" s="151"/>
      <c r="BW86" s="151"/>
      <c r="BX86" s="151"/>
      <c r="BY86" s="151"/>
      <c r="BZ86" s="151"/>
      <c r="CA86" s="151"/>
    </row>
    <row r="87" spans="1:79" ht="15.75">
      <c r="A87" s="1047"/>
      <c r="B87" s="758" t="s">
        <v>516</v>
      </c>
      <c r="C87" s="699"/>
      <c r="D87" s="699"/>
      <c r="E87" s="1057"/>
      <c r="F87" s="839">
        <f>4216*(1+0.03)^6</f>
        <v>5034.124482166264</v>
      </c>
      <c r="G87" s="839">
        <f>+$F87*(1+0.03)^G$36</f>
        <v>5500.9237430240955</v>
      </c>
      <c r="H87" s="839">
        <f>+$F87*(1+0.03)^H$36</f>
        <v>5835.9299989742622</v>
      </c>
      <c r="I87" s="699"/>
      <c r="J87" s="118" t="s">
        <v>594</v>
      </c>
      <c r="K87" s="120"/>
      <c r="L87" s="120"/>
      <c r="M87" s="120"/>
      <c r="N87" s="128">
        <f t="shared" si="40"/>
        <v>0</v>
      </c>
      <c r="O87" s="128">
        <f t="shared" si="40"/>
        <v>0</v>
      </c>
      <c r="P87" s="128">
        <f t="shared" si="40"/>
        <v>0</v>
      </c>
      <c r="Q87" s="699"/>
      <c r="R87" s="699"/>
      <c r="S87" s="699"/>
      <c r="T87" s="699"/>
      <c r="U87" s="1064"/>
      <c r="V87" s="699"/>
      <c r="W87" s="151"/>
      <c r="X87" s="151"/>
      <c r="Y87" s="151"/>
      <c r="Z87" s="151"/>
      <c r="AA87" s="685" t="s">
        <v>556</v>
      </c>
      <c r="AB87" s="151"/>
      <c r="AC87" s="151"/>
      <c r="AD87" s="734">
        <f>+SUM(AE87:AG87)</f>
        <v>0</v>
      </c>
      <c r="AE87" s="729">
        <f>+AE65+AE69+AE73+AE77+AE81</f>
        <v>0</v>
      </c>
      <c r="AF87" s="729">
        <f t="shared" ref="AF87:AG87" si="45">+AF65+AF69+AF73+AF77+AF81</f>
        <v>0</v>
      </c>
      <c r="AG87" s="729">
        <f t="shared" si="45"/>
        <v>0</v>
      </c>
      <c r="AH87" s="151"/>
      <c r="AI87" s="151"/>
      <c r="AJ87" s="151"/>
      <c r="AK87" s="151"/>
      <c r="AL87" s="685" t="s">
        <v>595</v>
      </c>
      <c r="AM87" s="151"/>
      <c r="AN87" s="151"/>
      <c r="AO87" s="857">
        <v>0.03</v>
      </c>
      <c r="AP87" s="858">
        <f t="shared" si="42"/>
        <v>0.03</v>
      </c>
      <c r="AQ87" s="858">
        <f t="shared" si="42"/>
        <v>0.03</v>
      </c>
      <c r="AR87" s="858">
        <f t="shared" si="42"/>
        <v>0.03</v>
      </c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51"/>
      <c r="BE87" s="151"/>
      <c r="BF87" s="151"/>
      <c r="BG87" s="151"/>
      <c r="BH87" s="151"/>
      <c r="BI87" s="151"/>
      <c r="BJ87" s="151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</row>
    <row r="88" spans="1:79" ht="15.75">
      <c r="A88" s="1047"/>
      <c r="B88" s="413" t="s">
        <v>274</v>
      </c>
      <c r="C88" s="699"/>
      <c r="D88" s="699"/>
      <c r="E88" s="1057"/>
      <c r="F88" s="369">
        <f>+'Parcel Breakdown'!AP52</f>
        <v>10.531067389491243</v>
      </c>
      <c r="G88" s="369">
        <f>+'Parcel Breakdown'!AP53</f>
        <v>7.6453573811509585</v>
      </c>
      <c r="H88" s="369">
        <f>+'Parcel Breakdown'!AP54</f>
        <v>4.1922375312760636</v>
      </c>
      <c r="I88" s="1065"/>
      <c r="J88" s="115" t="s">
        <v>596</v>
      </c>
      <c r="K88" s="120"/>
      <c r="L88" s="120"/>
      <c r="M88" s="130">
        <v>0.03</v>
      </c>
      <c r="N88" s="128">
        <f t="shared" si="40"/>
        <v>0.03</v>
      </c>
      <c r="O88" s="128">
        <f t="shared" si="40"/>
        <v>0.03</v>
      </c>
      <c r="P88" s="128">
        <f t="shared" si="40"/>
        <v>0.03</v>
      </c>
      <c r="Q88" s="699"/>
      <c r="R88" s="699"/>
      <c r="S88" s="699"/>
      <c r="T88" s="699"/>
      <c r="U88" s="699"/>
      <c r="V88" s="699"/>
      <c r="W88" s="151"/>
      <c r="X88" s="151"/>
      <c r="Y88" s="151"/>
      <c r="Z88" s="151"/>
      <c r="AA88" s="685" t="s">
        <v>558</v>
      </c>
      <c r="AB88" s="151"/>
      <c r="AC88" s="151"/>
      <c r="AD88" s="735" t="str">
        <f>+IFERROR(AD85/AD86,"")</f>
        <v/>
      </c>
      <c r="AE88" s="736" t="str">
        <f>+IFERROR(AE85/AE86,"")</f>
        <v/>
      </c>
      <c r="AF88" s="736" t="str">
        <f t="shared" ref="AF88:AG88" si="46">+IFERROR(AF85/AF86,"")</f>
        <v/>
      </c>
      <c r="AG88" s="736" t="str">
        <f t="shared" si="46"/>
        <v/>
      </c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  <c r="AU88" s="151"/>
      <c r="AV88" s="151"/>
      <c r="AW88" s="151"/>
      <c r="AX88" s="151"/>
      <c r="AY88" s="151"/>
      <c r="AZ88" s="151"/>
      <c r="BA88" s="151"/>
      <c r="BB88" s="151"/>
      <c r="BC88" s="151"/>
      <c r="BD88" s="151"/>
      <c r="BE88" s="151"/>
      <c r="BF88" s="151"/>
      <c r="BG88" s="151"/>
      <c r="BH88" s="151"/>
      <c r="BI88" s="151"/>
      <c r="BJ88" s="151"/>
      <c r="BK88" s="151"/>
      <c r="BL88" s="151"/>
      <c r="BM88" s="151"/>
      <c r="BN88" s="151"/>
      <c r="BO88" s="151"/>
      <c r="BP88" s="151"/>
      <c r="BQ88" s="151"/>
      <c r="BR88" s="151"/>
      <c r="BS88" s="151"/>
      <c r="BT88" s="151"/>
      <c r="BU88" s="151"/>
      <c r="BV88" s="151"/>
      <c r="BW88" s="151"/>
      <c r="BX88" s="151"/>
      <c r="BY88" s="151"/>
      <c r="BZ88" s="151"/>
      <c r="CA88" s="151"/>
    </row>
    <row r="89" spans="1:79" ht="15.75">
      <c r="A89" s="1047"/>
      <c r="B89" s="758" t="s">
        <v>515</v>
      </c>
      <c r="C89" s="699"/>
      <c r="D89" s="699"/>
      <c r="E89" s="370">
        <v>1199</v>
      </c>
      <c r="F89" s="1058">
        <f>+$E89</f>
        <v>1199</v>
      </c>
      <c r="G89" s="1058">
        <f>+$E89</f>
        <v>1199</v>
      </c>
      <c r="H89" s="1058">
        <f>+$E89</f>
        <v>1199</v>
      </c>
      <c r="I89" s="699"/>
      <c r="J89" s="115" t="s">
        <v>597</v>
      </c>
      <c r="K89" s="120"/>
      <c r="L89" s="120"/>
      <c r="M89" s="373"/>
      <c r="N89" s="374">
        <v>0</v>
      </c>
      <c r="O89" s="374">
        <f>+YEAR(G27)-YEAR(F27)</f>
        <v>3</v>
      </c>
      <c r="P89" s="374">
        <f>+YEAR(H27)-YEAR(F27)</f>
        <v>5</v>
      </c>
      <c r="Q89" s="699"/>
      <c r="R89" s="699"/>
      <c r="S89" s="699"/>
      <c r="T89" s="699"/>
      <c r="U89" s="699"/>
      <c r="V89" s="699"/>
      <c r="W89" s="151"/>
      <c r="X89" s="151"/>
      <c r="Y89" s="151"/>
      <c r="Z89" s="151"/>
      <c r="AA89" s="685" t="s">
        <v>560</v>
      </c>
      <c r="AB89" s="151"/>
      <c r="AC89" s="151"/>
      <c r="AD89" s="733" t="str">
        <f>+IFERROR(AD85/AD87/12,"")</f>
        <v/>
      </c>
      <c r="AE89" s="732" t="str">
        <f>+IFERROR(AE85/AE87/12,"")</f>
        <v/>
      </c>
      <c r="AF89" s="732" t="str">
        <f t="shared" ref="AF89:AG89" si="47">+IFERROR(AF85/AF87/12,"")</f>
        <v/>
      </c>
      <c r="AG89" s="732" t="str">
        <f t="shared" si="47"/>
        <v/>
      </c>
      <c r="AH89" s="151"/>
      <c r="AI89" s="151"/>
      <c r="AJ89" s="151"/>
      <c r="AK89" s="151"/>
      <c r="AL89" s="859" t="s">
        <v>598</v>
      </c>
      <c r="AM89" s="737"/>
      <c r="AN89" s="737"/>
      <c r="AO89" s="857">
        <v>0.1</v>
      </c>
      <c r="AP89" s="858">
        <f t="shared" ref="AP89:AR90" si="48">$AO89</f>
        <v>0.1</v>
      </c>
      <c r="AQ89" s="858">
        <f t="shared" si="48"/>
        <v>0.1</v>
      </c>
      <c r="AR89" s="858">
        <f t="shared" si="48"/>
        <v>0.1</v>
      </c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</row>
    <row r="90" spans="1:79" ht="15.75">
      <c r="A90" s="1047"/>
      <c r="B90" s="758" t="s">
        <v>268</v>
      </c>
      <c r="C90" s="699"/>
      <c r="D90" s="699"/>
      <c r="E90" s="1057"/>
      <c r="F90" s="1059">
        <f>(F91*12)/F89</f>
        <v>53.454504644279062</v>
      </c>
      <c r="G90" s="1059">
        <f>(G91*12)/G89</f>
        <v>58.411180496429125</v>
      </c>
      <c r="H90" s="1059">
        <f>(H91*12)/H89</f>
        <v>61.968421388661646</v>
      </c>
      <c r="I90" s="699"/>
      <c r="J90" s="699"/>
      <c r="K90" s="699"/>
      <c r="L90" s="699"/>
      <c r="M90" s="699"/>
      <c r="N90" s="699"/>
      <c r="O90" s="699"/>
      <c r="P90" s="699"/>
      <c r="Q90" s="699"/>
      <c r="R90" s="699"/>
      <c r="S90" s="699"/>
      <c r="T90" s="699"/>
      <c r="U90" s="699"/>
      <c r="V90" s="699"/>
      <c r="W90" s="151"/>
      <c r="X90" s="151"/>
      <c r="Y90" s="151"/>
      <c r="Z90" s="151"/>
      <c r="AA90" s="151"/>
      <c r="AB90" s="151"/>
      <c r="AC90" s="151"/>
      <c r="AD90" s="717"/>
      <c r="AE90" s="717"/>
      <c r="AF90" s="717"/>
      <c r="AG90" s="717"/>
      <c r="AH90" s="151"/>
      <c r="AI90" s="151"/>
      <c r="AJ90" s="151"/>
      <c r="AK90" s="151"/>
      <c r="AL90" s="860" t="s">
        <v>574</v>
      </c>
      <c r="AM90" s="737"/>
      <c r="AN90" s="737"/>
      <c r="AO90" s="861">
        <v>5</v>
      </c>
      <c r="AP90" s="862">
        <f t="shared" si="48"/>
        <v>5</v>
      </c>
      <c r="AQ90" s="862">
        <f t="shared" si="48"/>
        <v>5</v>
      </c>
      <c r="AR90" s="862">
        <f t="shared" si="48"/>
        <v>5</v>
      </c>
      <c r="AS90" s="151"/>
      <c r="AT90" s="151"/>
      <c r="AU90" s="151"/>
      <c r="AV90" s="151"/>
      <c r="AW90" s="151"/>
      <c r="AX90" s="151"/>
      <c r="AY90" s="151"/>
      <c r="AZ90" s="151"/>
      <c r="BA90" s="151"/>
      <c r="BB90" s="151"/>
      <c r="BC90" s="151"/>
      <c r="BD90" s="151"/>
      <c r="BE90" s="151"/>
      <c r="BF90" s="151"/>
      <c r="BG90" s="151"/>
      <c r="BH90" s="151"/>
      <c r="BI90" s="151"/>
      <c r="BJ90" s="151"/>
      <c r="BK90" s="151"/>
      <c r="BL90" s="151"/>
      <c r="BM90" s="151"/>
      <c r="BN90" s="151"/>
      <c r="BO90" s="151"/>
      <c r="BP90" s="151"/>
      <c r="BQ90" s="151"/>
      <c r="BR90" s="151"/>
      <c r="BS90" s="151"/>
      <c r="BT90" s="151"/>
      <c r="BU90" s="151"/>
      <c r="BV90" s="151"/>
      <c r="BW90" s="151"/>
      <c r="BX90" s="151"/>
      <c r="BY90" s="151"/>
      <c r="BZ90" s="151"/>
      <c r="CA90" s="151"/>
    </row>
    <row r="91" spans="1:79" ht="15.75">
      <c r="A91" s="1047"/>
      <c r="B91" s="758" t="s">
        <v>516</v>
      </c>
      <c r="C91" s="699"/>
      <c r="D91" s="699"/>
      <c r="E91" s="1057"/>
      <c r="F91" s="839">
        <f>4473*(1+0.03)^6</f>
        <v>5340.9959223742162</v>
      </c>
      <c r="G91" s="839">
        <f>+$F91*(1+0.03)^G$36</f>
        <v>5836.2504512682099</v>
      </c>
      <c r="H91" s="839">
        <f>+$F91*(1+0.03)^H$36</f>
        <v>6191.6781037504434</v>
      </c>
      <c r="I91" s="699"/>
      <c r="J91" s="118" t="s">
        <v>599</v>
      </c>
      <c r="K91" s="120"/>
      <c r="L91" s="120"/>
      <c r="M91" s="230"/>
      <c r="N91" s="120"/>
      <c r="O91" s="120"/>
      <c r="P91" s="120"/>
      <c r="Q91" s="699"/>
      <c r="R91" s="699"/>
      <c r="S91" s="699"/>
      <c r="T91" s="699"/>
      <c r="U91" s="699"/>
      <c r="V91" s="699"/>
      <c r="W91" s="151"/>
      <c r="X91" s="151"/>
      <c r="Y91" s="151"/>
      <c r="Z91" s="151"/>
      <c r="AA91" s="1123" t="s">
        <v>600</v>
      </c>
      <c r="AB91" s="1123"/>
      <c r="AC91" s="151"/>
      <c r="AD91" s="778" t="s">
        <v>319</v>
      </c>
      <c r="AE91" s="778" t="str">
        <f>+F$26</f>
        <v>I</v>
      </c>
      <c r="AF91" s="778" t="str">
        <f>+G$26</f>
        <v>II</v>
      </c>
      <c r="AG91" s="778" t="str">
        <f>+H$26</f>
        <v>III</v>
      </c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  <c r="AU91" s="151"/>
      <c r="AV91" s="151"/>
      <c r="AW91" s="151"/>
      <c r="AX91" s="151"/>
      <c r="AY91" s="151"/>
      <c r="AZ91" s="151"/>
      <c r="BA91" s="151"/>
      <c r="BB91" s="151"/>
      <c r="BC91" s="151"/>
      <c r="BD91" s="151"/>
      <c r="BE91" s="151"/>
      <c r="BF91" s="151"/>
      <c r="BG91" s="151"/>
      <c r="BH91" s="151"/>
      <c r="BI91" s="151"/>
      <c r="BJ91" s="151"/>
      <c r="BK91" s="151"/>
      <c r="BL91" s="151"/>
      <c r="BM91" s="151"/>
      <c r="BN91" s="151"/>
      <c r="BO91" s="151"/>
      <c r="BP91" s="151"/>
      <c r="BQ91" s="151"/>
      <c r="BR91" s="151"/>
      <c r="BS91" s="151"/>
      <c r="BT91" s="151"/>
      <c r="BU91" s="151"/>
      <c r="BV91" s="151"/>
      <c r="BW91" s="151"/>
      <c r="BX91" s="151"/>
      <c r="BY91" s="151"/>
      <c r="BZ91" s="151"/>
      <c r="CA91" s="151"/>
    </row>
    <row r="92" spans="1:79" ht="15.75">
      <c r="A92" s="1047"/>
      <c r="B92" s="133" t="s">
        <v>601</v>
      </c>
      <c r="C92" s="133"/>
      <c r="D92" s="133"/>
      <c r="E92" s="375">
        <f>+SUM(F92:H92)</f>
        <v>36734285.853066534</v>
      </c>
      <c r="F92" s="1060">
        <f>+F78*F77*F76+F82*F81*F80+F86*F85*F84+F90*F89*F88+AE152*AE151*AE150</f>
        <v>16291691.734071551</v>
      </c>
      <c r="G92" s="1060">
        <f>+G78*G77*G76+G82*G81*G80+G86*G85*G84+G90*G89*G88+AF152*AF151*AF150</f>
        <v>12924187.72069514</v>
      </c>
      <c r="H92" s="1060">
        <f>+H78*H77*H76+H82*H81*H80+H86*H85*H84+H90*H89*H88+AG152*AG151*AG150</f>
        <v>7518406.3982998412</v>
      </c>
      <c r="I92" s="699"/>
      <c r="J92" s="115" t="s">
        <v>602</v>
      </c>
      <c r="K92" s="242"/>
      <c r="L92" s="242"/>
      <c r="M92" s="130">
        <v>0.9</v>
      </c>
      <c r="N92" s="121">
        <v>0.9</v>
      </c>
      <c r="O92" s="121">
        <v>0.9</v>
      </c>
      <c r="P92" s="121">
        <v>0.9</v>
      </c>
      <c r="Q92" s="699"/>
      <c r="R92" s="699"/>
      <c r="S92" s="699"/>
      <c r="T92" s="699"/>
      <c r="U92" s="699"/>
      <c r="V92" s="699"/>
      <c r="W92" s="151"/>
      <c r="X92" s="151"/>
      <c r="Y92" s="151"/>
      <c r="Z92" s="151"/>
      <c r="AA92" s="718" t="s">
        <v>603</v>
      </c>
      <c r="AB92" s="752"/>
      <c r="AC92" s="151"/>
      <c r="AD92" s="778"/>
      <c r="AE92" s="778"/>
      <c r="AF92" s="778"/>
      <c r="AG92" s="778"/>
      <c r="AH92" s="151"/>
      <c r="AI92" s="151"/>
      <c r="AJ92" s="151"/>
      <c r="AK92" s="151"/>
      <c r="AL92" s="859" t="s">
        <v>604</v>
      </c>
      <c r="AM92" s="737"/>
      <c r="AN92" s="737"/>
      <c r="AO92" s="857">
        <v>0.03</v>
      </c>
      <c r="AP92" s="858">
        <f t="shared" ref="AP92:AR93" si="49">$AO92</f>
        <v>0.03</v>
      </c>
      <c r="AQ92" s="858">
        <f t="shared" si="49"/>
        <v>0.03</v>
      </c>
      <c r="AR92" s="858">
        <f t="shared" si="49"/>
        <v>0.03</v>
      </c>
      <c r="AS92" s="151"/>
      <c r="AT92" s="151"/>
      <c r="AU92" s="151"/>
      <c r="AV92" s="151"/>
      <c r="AW92" s="151"/>
      <c r="AX92" s="151"/>
      <c r="AY92" s="151"/>
      <c r="AZ92" s="151"/>
      <c r="BA92" s="151"/>
      <c r="BB92" s="151"/>
      <c r="BC92" s="151"/>
      <c r="BD92" s="151"/>
      <c r="BE92" s="151"/>
      <c r="BF92" s="151"/>
      <c r="BG92" s="151"/>
      <c r="BH92" s="151"/>
      <c r="BI92" s="151"/>
      <c r="BJ92" s="151"/>
      <c r="BK92" s="151"/>
      <c r="BL92" s="151"/>
      <c r="BM92" s="151"/>
      <c r="BN92" s="151"/>
      <c r="BO92" s="151"/>
      <c r="BP92" s="151"/>
      <c r="BQ92" s="151"/>
      <c r="BR92" s="151"/>
      <c r="BS92" s="151"/>
      <c r="BT92" s="151"/>
      <c r="BU92" s="151"/>
      <c r="BV92" s="151"/>
      <c r="BW92" s="151"/>
      <c r="BX92" s="151"/>
      <c r="BY92" s="151"/>
      <c r="BZ92" s="151"/>
      <c r="CA92" s="151"/>
    </row>
    <row r="93" spans="1:79" ht="15.75">
      <c r="A93" s="1047"/>
      <c r="B93" s="758" t="s">
        <v>353</v>
      </c>
      <c r="C93" s="699"/>
      <c r="D93" s="699"/>
      <c r="E93" s="18">
        <f>+SUM(F93:H93)</f>
        <v>536400.522</v>
      </c>
      <c r="F93" s="1058">
        <f>+F76*F77+F80*F81+F84*F85+F88*F89+AE150*AE151</f>
        <v>252534.99599999998</v>
      </c>
      <c r="G93" s="1058">
        <f>+G76*G77+G80*G81+G84*G85+G88*G89+AF150*AF151</f>
        <v>183335.66999999995</v>
      </c>
      <c r="H93" s="1058">
        <f>+H76*H77+H80*H81+H84*H85+H88*H89+AG150*AG151</f>
        <v>100529.856</v>
      </c>
      <c r="I93" s="699"/>
      <c r="J93" s="115" t="s">
        <v>605</v>
      </c>
      <c r="K93" s="242"/>
      <c r="L93" s="242"/>
      <c r="M93" s="130">
        <v>0.9</v>
      </c>
      <c r="N93" s="128">
        <f t="shared" ref="N93:P93" si="50">$M93</f>
        <v>0.9</v>
      </c>
      <c r="O93" s="128">
        <f t="shared" si="50"/>
        <v>0.9</v>
      </c>
      <c r="P93" s="128">
        <f t="shared" si="50"/>
        <v>0.9</v>
      </c>
      <c r="Q93" s="699"/>
      <c r="R93" s="699"/>
      <c r="S93" s="699"/>
      <c r="T93" s="699"/>
      <c r="U93" s="699"/>
      <c r="V93" s="699"/>
      <c r="W93" s="151"/>
      <c r="X93" s="151"/>
      <c r="Y93" s="151"/>
      <c r="Z93" s="151"/>
      <c r="AA93" s="685" t="s">
        <v>606</v>
      </c>
      <c r="AB93" s="151"/>
      <c r="AC93" s="151"/>
      <c r="AD93" s="717"/>
      <c r="AE93" s="729">
        <f>+'Parcel Breakdown'!BG190</f>
        <v>0</v>
      </c>
      <c r="AF93" s="729">
        <f>+'Parcel Breakdown'!BG191</f>
        <v>0</v>
      </c>
      <c r="AG93" s="729">
        <f>+'Parcel Breakdown'!BG192</f>
        <v>0</v>
      </c>
      <c r="AH93" s="151"/>
      <c r="AI93" s="151"/>
      <c r="AJ93" s="151"/>
      <c r="AK93" s="151"/>
      <c r="AL93" s="860" t="s">
        <v>574</v>
      </c>
      <c r="AM93" s="737"/>
      <c r="AN93" s="737"/>
      <c r="AO93" s="861">
        <v>3</v>
      </c>
      <c r="AP93" s="862">
        <f t="shared" si="49"/>
        <v>3</v>
      </c>
      <c r="AQ93" s="862">
        <f t="shared" si="49"/>
        <v>3</v>
      </c>
      <c r="AR93" s="862">
        <f t="shared" si="49"/>
        <v>3</v>
      </c>
      <c r="AS93" s="151"/>
      <c r="AT93" s="151"/>
      <c r="AU93" s="151"/>
      <c r="AV93" s="151"/>
      <c r="AW93" s="151"/>
      <c r="AX93" s="151"/>
      <c r="AY93" s="151"/>
      <c r="AZ93" s="151"/>
      <c r="BA93" s="151"/>
      <c r="BB93" s="151"/>
      <c r="BC93" s="151"/>
      <c r="BD93" s="151"/>
      <c r="BE93" s="151"/>
      <c r="BF93" s="151"/>
      <c r="BG93" s="151"/>
      <c r="BH93" s="151"/>
      <c r="BI93" s="151"/>
      <c r="BJ93" s="151"/>
      <c r="BK93" s="151"/>
      <c r="BL93" s="151"/>
      <c r="BM93" s="151"/>
      <c r="BN93" s="151"/>
      <c r="BO93" s="151"/>
      <c r="BP93" s="151"/>
      <c r="BQ93" s="151"/>
      <c r="BR93" s="151"/>
      <c r="BS93" s="151"/>
      <c r="BT93" s="151"/>
      <c r="BU93" s="151"/>
      <c r="BV93" s="151"/>
      <c r="BW93" s="151"/>
      <c r="BX93" s="151"/>
      <c r="BY93" s="151"/>
      <c r="BZ93" s="151"/>
      <c r="CA93" s="151"/>
    </row>
    <row r="94" spans="1:79" ht="15.75">
      <c r="A94" s="1047"/>
      <c r="B94" s="758" t="s">
        <v>556</v>
      </c>
      <c r="C94" s="699"/>
      <c r="D94" s="699"/>
      <c r="E94" s="18">
        <f>+SUM(F94:H94)</f>
        <v>746.61687628076265</v>
      </c>
      <c r="F94" s="983">
        <f>+F76+F80+F84+F88+AE150</f>
        <v>351.50392688300718</v>
      </c>
      <c r="G94" s="983">
        <f>+G76+G80+G84+G88+AF150</f>
        <v>255.18525734440044</v>
      </c>
      <c r="H94" s="983">
        <f>+H76+H80+H84+H88+AG150</f>
        <v>139.92769205335503</v>
      </c>
      <c r="I94" s="699"/>
      <c r="J94" s="49"/>
      <c r="K94" s="49"/>
      <c r="L94" s="49"/>
      <c r="M94" s="49"/>
      <c r="N94" s="49"/>
      <c r="O94" s="49"/>
      <c r="P94" s="49"/>
      <c r="Q94" s="699"/>
      <c r="R94" s="699"/>
      <c r="S94" s="699"/>
      <c r="T94" s="699"/>
      <c r="U94" s="699"/>
      <c r="V94" s="699"/>
      <c r="W94" s="151"/>
      <c r="X94" s="151"/>
      <c r="Y94" s="151"/>
      <c r="Z94" s="151"/>
      <c r="AA94" s="848" t="s">
        <v>515</v>
      </c>
      <c r="AB94" s="151"/>
      <c r="AC94" s="151"/>
      <c r="AD94" s="730">
        <f>+AD124</f>
        <v>650</v>
      </c>
      <c r="AE94" s="731">
        <f>+$AD94</f>
        <v>650</v>
      </c>
      <c r="AF94" s="731">
        <f>+$AD94</f>
        <v>650</v>
      </c>
      <c r="AG94" s="731">
        <f>+$AD94</f>
        <v>650</v>
      </c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  <c r="AU94" s="151"/>
      <c r="AV94" s="151"/>
      <c r="AW94" s="151"/>
      <c r="AX94" s="151"/>
      <c r="AY94" s="151"/>
      <c r="AZ94" s="151"/>
      <c r="BA94" s="151"/>
      <c r="BB94" s="151"/>
      <c r="BC94" s="151"/>
      <c r="BD94" s="151"/>
      <c r="BE94" s="151"/>
      <c r="BF94" s="151"/>
      <c r="BG94" s="151"/>
      <c r="BH94" s="151"/>
      <c r="BI94" s="151"/>
      <c r="BJ94" s="151"/>
      <c r="BK94" s="151"/>
      <c r="BL94" s="151"/>
      <c r="BM94" s="151"/>
      <c r="BN94" s="151"/>
      <c r="BO94" s="151"/>
      <c r="BP94" s="151"/>
      <c r="BQ94" s="151"/>
      <c r="BR94" s="151"/>
      <c r="BS94" s="151"/>
      <c r="BT94" s="151"/>
      <c r="BU94" s="151"/>
      <c r="BV94" s="151"/>
      <c r="BW94" s="151"/>
      <c r="BX94" s="151"/>
      <c r="BY94" s="151"/>
      <c r="BZ94" s="151"/>
      <c r="CA94" s="151"/>
    </row>
    <row r="95" spans="1:79" ht="15.75">
      <c r="A95" s="1047"/>
      <c r="B95" s="758" t="s">
        <v>558</v>
      </c>
      <c r="C95" s="699"/>
      <c r="D95" s="699"/>
      <c r="E95" s="376">
        <f>+IFERROR(E92/E93,"")</f>
        <v>68.482942030146901</v>
      </c>
      <c r="F95" s="1061">
        <f>+IFERROR(F92/F93,"")</f>
        <v>64.512610102053145</v>
      </c>
      <c r="G95" s="1061">
        <f>+IFERROR(G92/G93,"")</f>
        <v>70.494670898986229</v>
      </c>
      <c r="H95" s="1061">
        <f>+IFERROR(H92/H93,"")</f>
        <v>74.787796356734475</v>
      </c>
      <c r="I95" s="699"/>
      <c r="J95" s="118" t="s">
        <v>607</v>
      </c>
      <c r="K95" s="120"/>
      <c r="L95" s="120"/>
      <c r="M95" s="120"/>
      <c r="N95" s="120"/>
      <c r="O95" s="120"/>
      <c r="P95" s="699"/>
      <c r="Q95" s="699"/>
      <c r="R95" s="699"/>
      <c r="S95" s="699"/>
      <c r="T95" s="699"/>
      <c r="U95" s="699"/>
      <c r="V95" s="699"/>
      <c r="W95" s="151"/>
      <c r="X95" s="151"/>
      <c r="Y95" s="151"/>
      <c r="Z95" s="151"/>
      <c r="AA95" s="848" t="s">
        <v>268</v>
      </c>
      <c r="AB95" s="151"/>
      <c r="AC95" s="151"/>
      <c r="AD95" s="717"/>
      <c r="AE95" s="686">
        <f>(AE96*12)/AE94</f>
        <v>13.883076923076922</v>
      </c>
      <c r="AF95" s="686">
        <f t="shared" ref="AF95:AG95" si="51">(AF96*12)/AF94</f>
        <v>14.732832295384615</v>
      </c>
      <c r="AG95" s="686">
        <f t="shared" si="51"/>
        <v>15.328038720118155</v>
      </c>
      <c r="AH95" s="151"/>
      <c r="AI95" s="151"/>
      <c r="AJ95" s="151"/>
      <c r="AK95" s="151"/>
      <c r="AL95" s="685" t="str">
        <f>AL84</f>
        <v xml:space="preserve">Affordable Senior Living Residential Growth </v>
      </c>
      <c r="AM95" s="151"/>
      <c r="AN95" s="151"/>
      <c r="AO95" s="857">
        <v>0.03</v>
      </c>
      <c r="AP95" s="858">
        <f t="shared" ref="AP95:AR98" si="52">$AO95</f>
        <v>0.03</v>
      </c>
      <c r="AQ95" s="858">
        <f t="shared" si="52"/>
        <v>0.03</v>
      </c>
      <c r="AR95" s="858">
        <f t="shared" si="52"/>
        <v>0.03</v>
      </c>
      <c r="AS95" s="151"/>
      <c r="AT95" s="151"/>
      <c r="AU95" s="151"/>
      <c r="AV95" s="151"/>
      <c r="AW95" s="151"/>
      <c r="AX95" s="151"/>
      <c r="AY95" s="151"/>
      <c r="AZ95" s="151"/>
      <c r="BA95" s="151"/>
      <c r="BB95" s="151"/>
      <c r="BC95" s="151"/>
      <c r="BD95" s="151"/>
      <c r="BE95" s="151"/>
      <c r="BF95" s="151"/>
      <c r="BG95" s="151"/>
      <c r="BH95" s="151"/>
      <c r="BI95" s="151"/>
      <c r="BJ95" s="151"/>
      <c r="BK95" s="151"/>
      <c r="BL95" s="151"/>
      <c r="BM95" s="151"/>
      <c r="BN95" s="151"/>
      <c r="BO95" s="151"/>
      <c r="BP95" s="151"/>
      <c r="BQ95" s="151"/>
      <c r="BR95" s="151"/>
      <c r="BS95" s="151"/>
      <c r="BT95" s="151"/>
      <c r="BU95" s="151"/>
      <c r="BV95" s="151"/>
      <c r="BW95" s="151"/>
      <c r="BX95" s="151"/>
      <c r="BY95" s="151"/>
      <c r="BZ95" s="151"/>
      <c r="CA95" s="151"/>
    </row>
    <row r="96" spans="1:79" ht="15.75">
      <c r="A96" s="1047"/>
      <c r="B96" s="1062" t="s">
        <v>560</v>
      </c>
      <c r="C96" s="1029"/>
      <c r="D96" s="1029"/>
      <c r="E96" s="377">
        <f>+IFERROR(E92/E94/12,"")</f>
        <v>4100.0820969982933</v>
      </c>
      <c r="F96" s="1063">
        <f>+IFERROR(F92/F94/12,"")</f>
        <v>3862.3778399242929</v>
      </c>
      <c r="G96" s="1063">
        <f>+IFERROR(G92/G94/12,"")</f>
        <v>4220.5245498869517</v>
      </c>
      <c r="H96" s="1063">
        <f>+IFERROR(H92/H94/12,"")</f>
        <v>4477.5544949750665</v>
      </c>
      <c r="I96" s="699"/>
      <c r="J96" s="115" t="s">
        <v>608</v>
      </c>
      <c r="K96" s="242"/>
      <c r="L96" s="242"/>
      <c r="M96" s="699"/>
      <c r="N96" s="894">
        <v>10000</v>
      </c>
      <c r="O96" s="379">
        <f>+N96*(1+0.03)^2</f>
        <v>10609</v>
      </c>
      <c r="P96" s="379">
        <f>+O96*(1+0.03)^2</f>
        <v>11255.088099999999</v>
      </c>
      <c r="Q96" s="699"/>
      <c r="R96" s="1066"/>
      <c r="S96" s="699"/>
      <c r="T96" s="699"/>
      <c r="U96" s="699"/>
      <c r="V96" s="699"/>
      <c r="W96" s="151"/>
      <c r="X96" s="151"/>
      <c r="Y96" s="151"/>
      <c r="Z96" s="151"/>
      <c r="AA96" s="848" t="s">
        <v>516</v>
      </c>
      <c r="AB96" s="151"/>
      <c r="AC96" s="151"/>
      <c r="AD96" s="732">
        <f>+AD41</f>
        <v>752</v>
      </c>
      <c r="AE96" s="731">
        <f>+$AD96</f>
        <v>752</v>
      </c>
      <c r="AF96" s="731">
        <f>+$AE96*(1+0.02)^G$36</f>
        <v>798.02841599999999</v>
      </c>
      <c r="AG96" s="731">
        <f>+$AE96*(1+0.02)^H$36</f>
        <v>830.26876400640003</v>
      </c>
      <c r="AH96" s="151"/>
      <c r="AI96" s="151"/>
      <c r="AJ96" s="151"/>
      <c r="AK96" s="151"/>
      <c r="AL96" s="685" t="str">
        <f>AL85</f>
        <v xml:space="preserve">Market-Rate Senior Living Residential Growth </v>
      </c>
      <c r="AM96" s="151"/>
      <c r="AN96" s="151"/>
      <c r="AO96" s="857">
        <v>0.03</v>
      </c>
      <c r="AP96" s="858">
        <f t="shared" si="52"/>
        <v>0.03</v>
      </c>
      <c r="AQ96" s="858">
        <f t="shared" si="52"/>
        <v>0.03</v>
      </c>
      <c r="AR96" s="858">
        <f t="shared" si="52"/>
        <v>0.03</v>
      </c>
      <c r="AS96" s="151"/>
      <c r="AT96" s="151"/>
      <c r="AU96" s="151"/>
      <c r="AV96" s="151"/>
      <c r="AW96" s="151"/>
      <c r="AX96" s="151"/>
      <c r="AY96" s="151"/>
      <c r="AZ96" s="151"/>
      <c r="BA96" s="151"/>
      <c r="BB96" s="151"/>
      <c r="BC96" s="151"/>
      <c r="BD96" s="151"/>
      <c r="BE96" s="151"/>
      <c r="BF96" s="151"/>
      <c r="BG96" s="151"/>
      <c r="BH96" s="151"/>
      <c r="BI96" s="151"/>
      <c r="BJ96" s="151"/>
      <c r="BK96" s="151"/>
      <c r="BL96" s="151"/>
      <c r="BM96" s="151"/>
      <c r="BN96" s="151"/>
      <c r="BO96" s="151"/>
      <c r="BP96" s="151"/>
      <c r="BQ96" s="151"/>
      <c r="BR96" s="151"/>
      <c r="BS96" s="151"/>
      <c r="BT96" s="151"/>
      <c r="BU96" s="151"/>
      <c r="BV96" s="151"/>
      <c r="BW96" s="151"/>
      <c r="BX96" s="151"/>
      <c r="BY96" s="151"/>
      <c r="BZ96" s="151"/>
      <c r="CA96" s="151"/>
    </row>
    <row r="97" spans="1:79" ht="15.75">
      <c r="A97" s="1047"/>
      <c r="B97" s="1067"/>
      <c r="C97" s="699"/>
      <c r="D97" s="699"/>
      <c r="E97" s="380"/>
      <c r="F97" s="381"/>
      <c r="G97" s="381"/>
      <c r="H97" s="381"/>
      <c r="I97" s="699"/>
      <c r="J97" s="115" t="s">
        <v>609</v>
      </c>
      <c r="K97" s="242"/>
      <c r="L97" s="242"/>
      <c r="M97" s="699"/>
      <c r="N97" s="894">
        <v>10000</v>
      </c>
      <c r="O97" s="379">
        <f t="shared" ref="O97:P100" si="53">+N97*(1+0.03)^2</f>
        <v>10609</v>
      </c>
      <c r="P97" s="379">
        <f t="shared" si="53"/>
        <v>11255.088099999999</v>
      </c>
      <c r="Q97" s="699"/>
      <c r="R97" s="699"/>
      <c r="S97" s="699"/>
      <c r="T97" s="699"/>
      <c r="U97" s="699"/>
      <c r="V97" s="699"/>
      <c r="W97" s="151"/>
      <c r="X97" s="151"/>
      <c r="Y97" s="151"/>
      <c r="Z97" s="151"/>
      <c r="AA97" s="685" t="s">
        <v>610</v>
      </c>
      <c r="AB97" s="151"/>
      <c r="AC97" s="151"/>
      <c r="AD97" s="717"/>
      <c r="AE97" s="729">
        <f>+'Parcel Breakdown'!BI190</f>
        <v>0</v>
      </c>
      <c r="AF97" s="729">
        <f>+'Parcel Breakdown'!BI191</f>
        <v>0</v>
      </c>
      <c r="AG97" s="729">
        <f>+'Parcel Breakdown'!BI192</f>
        <v>0</v>
      </c>
      <c r="AH97" s="151"/>
      <c r="AI97" s="151"/>
      <c r="AJ97" s="151"/>
      <c r="AK97" s="151"/>
      <c r="AL97" s="685" t="s">
        <v>593</v>
      </c>
      <c r="AM97" s="151"/>
      <c r="AN97" s="151"/>
      <c r="AO97" s="857">
        <v>0.03</v>
      </c>
      <c r="AP97" s="858">
        <f t="shared" si="52"/>
        <v>0.03</v>
      </c>
      <c r="AQ97" s="858">
        <f t="shared" si="52"/>
        <v>0.03</v>
      </c>
      <c r="AR97" s="858">
        <f t="shared" si="52"/>
        <v>0.03</v>
      </c>
      <c r="AS97" s="151"/>
      <c r="AT97" s="151"/>
      <c r="AU97" s="151"/>
      <c r="AV97" s="151"/>
      <c r="AW97" s="151"/>
      <c r="AX97" s="151"/>
      <c r="AY97" s="151"/>
      <c r="AZ97" s="151"/>
      <c r="BA97" s="151"/>
      <c r="BB97" s="151"/>
      <c r="BC97" s="151"/>
      <c r="BD97" s="151"/>
      <c r="BE97" s="151"/>
      <c r="BF97" s="151"/>
      <c r="BG97" s="151"/>
      <c r="BH97" s="151"/>
      <c r="BI97" s="151"/>
      <c r="BJ97" s="151"/>
      <c r="BK97" s="151"/>
      <c r="BL97" s="151"/>
      <c r="BM97" s="151"/>
      <c r="BN97" s="151"/>
      <c r="BO97" s="151"/>
      <c r="BP97" s="151"/>
      <c r="BQ97" s="151"/>
      <c r="BR97" s="151"/>
      <c r="BS97" s="151"/>
      <c r="BT97" s="151"/>
      <c r="BU97" s="151"/>
      <c r="BV97" s="151"/>
      <c r="BW97" s="151"/>
      <c r="BX97" s="151"/>
      <c r="BY97" s="151"/>
      <c r="BZ97" s="151"/>
      <c r="CA97" s="151"/>
    </row>
    <row r="98" spans="1:79" ht="16.5" thickBot="1">
      <c r="A98" s="1047"/>
      <c r="B98" s="1121" t="s">
        <v>611</v>
      </c>
      <c r="C98" s="1121"/>
      <c r="D98" s="699"/>
      <c r="E98" s="349" t="s">
        <v>319</v>
      </c>
      <c r="F98" s="779" t="str">
        <f>+F$26</f>
        <v>I</v>
      </c>
      <c r="G98" s="779" t="str">
        <f>+G$26</f>
        <v>II</v>
      </c>
      <c r="H98" s="779" t="str">
        <f>+H$26</f>
        <v>III</v>
      </c>
      <c r="I98" s="699"/>
      <c r="J98" s="758" t="s">
        <v>179</v>
      </c>
      <c r="K98" s="699"/>
      <c r="L98" s="699"/>
      <c r="M98" s="699"/>
      <c r="N98" s="894">
        <v>0</v>
      </c>
      <c r="O98" s="379">
        <f t="shared" si="53"/>
        <v>0</v>
      </c>
      <c r="P98" s="379">
        <f t="shared" si="53"/>
        <v>0</v>
      </c>
      <c r="Q98" s="699"/>
      <c r="R98" s="699"/>
      <c r="S98" s="699"/>
      <c r="T98" s="699"/>
      <c r="U98" s="699"/>
      <c r="V98" s="699"/>
      <c r="W98" s="151"/>
      <c r="X98" s="151"/>
      <c r="Y98" s="151"/>
      <c r="Z98" s="151"/>
      <c r="AA98" s="848" t="s">
        <v>515</v>
      </c>
      <c r="AB98" s="151"/>
      <c r="AC98" s="151"/>
      <c r="AD98" s="730">
        <f>+AD128</f>
        <v>1000</v>
      </c>
      <c r="AE98" s="731">
        <f>+$AD98</f>
        <v>1000</v>
      </c>
      <c r="AF98" s="731">
        <f>+$AD98</f>
        <v>1000</v>
      </c>
      <c r="AG98" s="731">
        <f>+$AD98</f>
        <v>1000</v>
      </c>
      <c r="AH98" s="151"/>
      <c r="AI98" s="151"/>
      <c r="AJ98" s="151"/>
      <c r="AK98" s="151"/>
      <c r="AL98" s="685" t="s">
        <v>595</v>
      </c>
      <c r="AM98" s="151"/>
      <c r="AN98" s="151"/>
      <c r="AO98" s="857">
        <v>0.03</v>
      </c>
      <c r="AP98" s="858">
        <f t="shared" si="52"/>
        <v>0.03</v>
      </c>
      <c r="AQ98" s="858">
        <f t="shared" si="52"/>
        <v>0.03</v>
      </c>
      <c r="AR98" s="858">
        <f t="shared" si="52"/>
        <v>0.03</v>
      </c>
      <c r="AS98" s="151"/>
      <c r="AT98" s="151"/>
      <c r="AU98" s="151"/>
      <c r="AV98" s="151"/>
      <c r="AW98" s="151"/>
      <c r="AX98" s="151"/>
      <c r="AY98" s="151"/>
      <c r="AZ98" s="151"/>
      <c r="BA98" s="151"/>
      <c r="BB98" s="151"/>
      <c r="BC98" s="151"/>
      <c r="BD98" s="151"/>
      <c r="BE98" s="151"/>
      <c r="BF98" s="151"/>
      <c r="BG98" s="151"/>
      <c r="BH98" s="151"/>
      <c r="BI98" s="151"/>
      <c r="BJ98" s="151"/>
      <c r="BK98" s="151"/>
      <c r="BL98" s="151"/>
      <c r="BM98" s="151"/>
      <c r="BN98" s="151"/>
      <c r="BO98" s="151"/>
      <c r="BP98" s="151"/>
      <c r="BQ98" s="151"/>
      <c r="BR98" s="151"/>
      <c r="BS98" s="151"/>
      <c r="BT98" s="151"/>
      <c r="BU98" s="151"/>
      <c r="BV98" s="151"/>
      <c r="BW98" s="151"/>
      <c r="BX98" s="151"/>
      <c r="BY98" s="151"/>
      <c r="BZ98" s="151"/>
      <c r="CA98" s="151"/>
    </row>
    <row r="99" spans="1:79" ht="15.75">
      <c r="A99" s="1047"/>
      <c r="B99" s="1067" t="s">
        <v>612</v>
      </c>
      <c r="C99" s="699"/>
      <c r="D99" s="699"/>
      <c r="E99" s="380">
        <v>0.01</v>
      </c>
      <c r="F99" s="381">
        <v>0.01</v>
      </c>
      <c r="G99" s="381">
        <v>0.01</v>
      </c>
      <c r="H99" s="381">
        <v>0.01</v>
      </c>
      <c r="I99" s="699"/>
      <c r="J99" s="758" t="s">
        <v>178</v>
      </c>
      <c r="K99" s="699"/>
      <c r="L99" s="699"/>
      <c r="M99" s="699"/>
      <c r="N99" s="894">
        <v>0</v>
      </c>
      <c r="O99" s="379">
        <f t="shared" si="53"/>
        <v>0</v>
      </c>
      <c r="P99" s="379">
        <f t="shared" si="53"/>
        <v>0</v>
      </c>
      <c r="Q99" s="699"/>
      <c r="R99" s="699"/>
      <c r="S99" s="699"/>
      <c r="T99" s="699"/>
      <c r="U99" s="699"/>
      <c r="V99" s="699"/>
      <c r="W99" s="151"/>
      <c r="X99" s="151"/>
      <c r="Y99" s="151"/>
      <c r="Z99" s="151"/>
      <c r="AA99" s="848" t="s">
        <v>268</v>
      </c>
      <c r="AB99" s="151"/>
      <c r="AC99" s="151"/>
      <c r="AD99" s="717"/>
      <c r="AE99" s="686">
        <f>(AE100*12)/AE98</f>
        <v>10.32</v>
      </c>
      <c r="AF99" s="686">
        <f t="shared" ref="AF99:AG99" si="54">(AF100*12)/AF98</f>
        <v>10.95166656</v>
      </c>
      <c r="AG99" s="686">
        <f t="shared" si="54"/>
        <v>11.394113889024</v>
      </c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  <c r="AU99" s="151"/>
      <c r="AV99" s="151"/>
      <c r="AW99" s="151"/>
      <c r="AX99" s="151"/>
      <c r="AY99" s="151"/>
      <c r="AZ99" s="151"/>
      <c r="BA99" s="151"/>
      <c r="BB99" s="151"/>
      <c r="BC99" s="151"/>
      <c r="BD99" s="151"/>
      <c r="BE99" s="151"/>
      <c r="BF99" s="151"/>
      <c r="BG99" s="151"/>
      <c r="BH99" s="151"/>
      <c r="BI99" s="151"/>
      <c r="BJ99" s="151"/>
      <c r="BK99" s="151"/>
      <c r="BL99" s="151"/>
      <c r="BM99" s="151"/>
      <c r="BN99" s="151"/>
      <c r="BO99" s="151"/>
      <c r="BP99" s="151"/>
      <c r="BQ99" s="151"/>
      <c r="BR99" s="151"/>
      <c r="BS99" s="151"/>
      <c r="BT99" s="151"/>
      <c r="BU99" s="151"/>
      <c r="BV99" s="151"/>
      <c r="BW99" s="151"/>
      <c r="BX99" s="151"/>
      <c r="BY99" s="151"/>
      <c r="BZ99" s="151"/>
      <c r="CA99" s="151"/>
    </row>
    <row r="100" spans="1:79" ht="15.75">
      <c r="A100" s="1047" t="s">
        <v>511</v>
      </c>
      <c r="B100" s="699"/>
      <c r="C100" s="699"/>
      <c r="D100" s="699"/>
      <c r="E100" s="699"/>
      <c r="F100" s="699"/>
      <c r="G100" s="699"/>
      <c r="H100" s="699"/>
      <c r="I100" s="699"/>
      <c r="J100" s="115" t="s">
        <v>613</v>
      </c>
      <c r="K100" s="242"/>
      <c r="L100" s="242"/>
      <c r="M100" s="699"/>
      <c r="N100" s="894">
        <v>500</v>
      </c>
      <c r="O100" s="379">
        <f t="shared" si="53"/>
        <v>530.44999999999993</v>
      </c>
      <c r="P100" s="379">
        <f t="shared" si="53"/>
        <v>562.75440499999991</v>
      </c>
      <c r="Q100" s="151"/>
      <c r="R100" s="151"/>
      <c r="S100" s="151"/>
      <c r="T100" s="699"/>
      <c r="U100" s="699"/>
      <c r="V100" s="699"/>
      <c r="W100" s="151"/>
      <c r="X100" s="151"/>
      <c r="Y100" s="151"/>
      <c r="Z100" s="151"/>
      <c r="AA100" s="848" t="s">
        <v>516</v>
      </c>
      <c r="AB100" s="151"/>
      <c r="AC100" s="151"/>
      <c r="AD100" s="732">
        <f>+AD45</f>
        <v>860</v>
      </c>
      <c r="AE100" s="731">
        <f>+$AD100</f>
        <v>860</v>
      </c>
      <c r="AF100" s="731">
        <f>+$AE100*(1+0.02)^G$36</f>
        <v>912.63887999999997</v>
      </c>
      <c r="AG100" s="731">
        <f>+$AE100*(1+0.02)^H$36</f>
        <v>949.50949075200003</v>
      </c>
      <c r="AH100" s="151"/>
      <c r="AI100" s="151"/>
      <c r="AJ100" s="151"/>
      <c r="AK100" s="151"/>
      <c r="AL100" s="859" t="s">
        <v>598</v>
      </c>
      <c r="AM100" s="737"/>
      <c r="AN100" s="737"/>
      <c r="AO100" s="857">
        <v>0.03</v>
      </c>
      <c r="AP100" s="858">
        <f>$AO100</f>
        <v>0.03</v>
      </c>
      <c r="AQ100" s="858">
        <f>$AO100</f>
        <v>0.03</v>
      </c>
      <c r="AR100" s="858">
        <f>$AO100</f>
        <v>0.03</v>
      </c>
      <c r="AS100" s="151"/>
      <c r="AT100" s="151"/>
      <c r="AU100" s="151"/>
      <c r="AV100" s="151"/>
      <c r="AW100" s="151"/>
      <c r="AX100" s="151"/>
      <c r="AY100" s="151"/>
      <c r="AZ100" s="151"/>
      <c r="BA100" s="151"/>
      <c r="BB100" s="151"/>
      <c r="BC100" s="151"/>
      <c r="BD100" s="151"/>
      <c r="BE100" s="151"/>
      <c r="BF100" s="151"/>
      <c r="BG100" s="151"/>
      <c r="BH100" s="151"/>
      <c r="BI100" s="151"/>
      <c r="BJ100" s="151"/>
      <c r="BK100" s="151"/>
      <c r="BL100" s="151"/>
      <c r="BM100" s="151"/>
      <c r="BN100" s="151"/>
      <c r="BO100" s="151"/>
      <c r="BP100" s="151"/>
      <c r="BQ100" s="151"/>
      <c r="BR100" s="151"/>
      <c r="BS100" s="151"/>
      <c r="BT100" s="151"/>
      <c r="BU100" s="151"/>
      <c r="BV100" s="151"/>
      <c r="BW100" s="151"/>
      <c r="BX100" s="151"/>
      <c r="BY100" s="151"/>
      <c r="BZ100" s="151"/>
      <c r="CA100" s="151"/>
    </row>
    <row r="101" spans="1:79" ht="16.5" thickBot="1">
      <c r="A101" s="1047"/>
      <c r="B101" s="349" t="s">
        <v>614</v>
      </c>
      <c r="C101" s="349"/>
      <c r="D101" s="699"/>
      <c r="E101" s="199" t="s">
        <v>319</v>
      </c>
      <c r="F101" s="779" t="str">
        <f>+F$26</f>
        <v>I</v>
      </c>
      <c r="G101" s="779" t="str">
        <f>+G$26</f>
        <v>II</v>
      </c>
      <c r="H101" s="779" t="str">
        <f>+H$26</f>
        <v>III</v>
      </c>
      <c r="I101" s="699"/>
      <c r="J101" s="699"/>
      <c r="K101" s="699"/>
      <c r="L101" s="699"/>
      <c r="M101" s="699"/>
      <c r="N101" s="699"/>
      <c r="O101" s="699"/>
      <c r="P101" s="699"/>
      <c r="Q101" s="151"/>
      <c r="R101" s="151"/>
      <c r="S101" s="151"/>
      <c r="T101" s="699"/>
      <c r="U101" s="699"/>
      <c r="V101" s="699"/>
      <c r="W101" s="151"/>
      <c r="X101" s="151"/>
      <c r="Y101" s="151"/>
      <c r="Z101" s="151"/>
      <c r="AA101" s="847" t="s">
        <v>615</v>
      </c>
      <c r="AB101" s="151"/>
      <c r="AC101" s="151"/>
      <c r="AD101" s="717"/>
      <c r="AE101" s="731"/>
      <c r="AF101" s="731"/>
      <c r="AG101" s="73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  <c r="AU101" s="151"/>
      <c r="AV101" s="151"/>
      <c r="AW101" s="151"/>
      <c r="AX101" s="151"/>
      <c r="AY101" s="151"/>
      <c r="AZ101" s="151"/>
      <c r="BA101" s="151"/>
      <c r="BB101" s="151"/>
      <c r="BC101" s="151"/>
      <c r="BD101" s="151"/>
      <c r="BE101" s="151"/>
      <c r="BF101" s="151"/>
      <c r="BG101" s="151"/>
      <c r="BH101" s="151"/>
      <c r="BI101" s="151"/>
      <c r="BJ101" s="151"/>
      <c r="BK101" s="151"/>
      <c r="BL101" s="151"/>
      <c r="BM101" s="151"/>
      <c r="BN101" s="151"/>
      <c r="BO101" s="151"/>
      <c r="BP101" s="151"/>
      <c r="BQ101" s="151"/>
      <c r="BR101" s="151"/>
      <c r="BS101" s="151"/>
      <c r="BT101" s="151"/>
      <c r="BU101" s="151"/>
      <c r="BV101" s="151"/>
      <c r="BW101" s="151"/>
      <c r="BX101" s="151"/>
      <c r="BY101" s="151"/>
      <c r="BZ101" s="151"/>
      <c r="CA101" s="151"/>
    </row>
    <row r="102" spans="1:79" ht="15.75">
      <c r="A102" s="1047"/>
      <c r="B102" s="132" t="s">
        <v>616</v>
      </c>
      <c r="C102" s="699"/>
      <c r="D102" s="699"/>
      <c r="E102" s="1057"/>
      <c r="F102" s="1057"/>
      <c r="G102" s="1057"/>
      <c r="H102" s="1057"/>
      <c r="I102" s="699"/>
      <c r="J102" s="118" t="s">
        <v>617</v>
      </c>
      <c r="K102" s="120"/>
      <c r="L102" s="120"/>
      <c r="M102" s="120"/>
      <c r="N102" s="120"/>
      <c r="O102" s="120"/>
      <c r="P102" s="699"/>
      <c r="Q102" s="151"/>
      <c r="R102" s="151"/>
      <c r="S102" s="151"/>
      <c r="T102" s="699"/>
      <c r="U102" s="699"/>
      <c r="V102" s="699"/>
      <c r="W102" s="151"/>
      <c r="X102" s="151"/>
      <c r="Y102" s="151"/>
      <c r="Z102" s="151"/>
      <c r="AA102" s="685" t="s">
        <v>618</v>
      </c>
      <c r="AB102" s="151"/>
      <c r="AC102" s="151"/>
      <c r="AD102" s="717"/>
      <c r="AE102" s="729">
        <f>+'Parcel Breakdown'!BK190</f>
        <v>0</v>
      </c>
      <c r="AF102" s="729">
        <f>+'Parcel Breakdown'!BK191</f>
        <v>0</v>
      </c>
      <c r="AG102" s="729">
        <f>+'Parcel Breakdown'!BK192</f>
        <v>0</v>
      </c>
      <c r="AH102" s="151"/>
      <c r="AI102" s="151"/>
      <c r="AJ102" s="151"/>
      <c r="AK102" s="151"/>
      <c r="AL102" s="859" t="s">
        <v>604</v>
      </c>
      <c r="AM102" s="737"/>
      <c r="AN102" s="737"/>
      <c r="AO102" s="857">
        <v>0.03</v>
      </c>
      <c r="AP102" s="858">
        <f>$AO102</f>
        <v>0.03</v>
      </c>
      <c r="AQ102" s="858">
        <f>$AO102</f>
        <v>0.03</v>
      </c>
      <c r="AR102" s="858">
        <f>$AO102</f>
        <v>0.03</v>
      </c>
      <c r="AS102" s="151"/>
      <c r="AT102" s="151"/>
      <c r="AU102" s="151"/>
      <c r="AV102" s="151"/>
      <c r="AW102" s="151"/>
      <c r="AX102" s="151"/>
      <c r="AY102" s="151"/>
      <c r="AZ102" s="151"/>
      <c r="BA102" s="151"/>
      <c r="BB102" s="151"/>
      <c r="BC102" s="151"/>
      <c r="BD102" s="151"/>
      <c r="BE102" s="151"/>
      <c r="BF102" s="151"/>
      <c r="BG102" s="151"/>
      <c r="BH102" s="151"/>
      <c r="BI102" s="151"/>
      <c r="BJ102" s="151"/>
      <c r="BK102" s="151"/>
      <c r="BL102" s="151"/>
      <c r="BM102" s="151"/>
      <c r="BN102" s="151"/>
      <c r="BO102" s="151"/>
      <c r="BP102" s="151"/>
      <c r="BQ102" s="151"/>
      <c r="BR102" s="151"/>
      <c r="BS102" s="151"/>
      <c r="BT102" s="151"/>
      <c r="BU102" s="151"/>
      <c r="BV102" s="151"/>
      <c r="BW102" s="151"/>
      <c r="BX102" s="151"/>
      <c r="BY102" s="151"/>
      <c r="BZ102" s="151"/>
      <c r="CA102" s="151"/>
    </row>
    <row r="103" spans="1:79" ht="15.75">
      <c r="A103" s="1047"/>
      <c r="B103" s="758" t="s">
        <v>619</v>
      </c>
      <c r="C103" s="699"/>
      <c r="D103" s="699"/>
      <c r="E103" s="389">
        <f>+SUM(F103:H103)</f>
        <v>100931.25</v>
      </c>
      <c r="F103" s="390">
        <f>+('Parcel Breakdown'!$AN$44-$F$107-$AE$168)</f>
        <v>32323.5</v>
      </c>
      <c r="G103" s="390">
        <f>'Parcel Breakdown'!$AN$45-$G$107-$AF$168</f>
        <v>59765.25</v>
      </c>
      <c r="H103" s="390">
        <f>+('Parcel Breakdown'!$AN$46-$H$107-$AG$168)</f>
        <v>8842.5</v>
      </c>
      <c r="I103" s="699"/>
      <c r="J103" s="115" t="s">
        <v>608</v>
      </c>
      <c r="K103" s="120"/>
      <c r="L103" s="120"/>
      <c r="M103" s="699"/>
      <c r="N103" s="382">
        <f>+N96*$E$71/$E$70</f>
        <v>8.9940640399355996</v>
      </c>
      <c r="O103" s="382">
        <f>+O96*$E$71/$E$70</f>
        <v>9.5418025399676765</v>
      </c>
      <c r="P103" s="382">
        <f>+P96*$E$71/$E$70</f>
        <v>10.122898314651707</v>
      </c>
      <c r="Q103" s="151"/>
      <c r="R103" s="151"/>
      <c r="S103" s="151"/>
      <c r="T103" s="699"/>
      <c r="U103" s="699"/>
      <c r="V103" s="699"/>
      <c r="W103" s="151"/>
      <c r="X103" s="151"/>
      <c r="Y103" s="151"/>
      <c r="Z103" s="151"/>
      <c r="AA103" s="848" t="s">
        <v>515</v>
      </c>
      <c r="AB103" s="151"/>
      <c r="AC103" s="151"/>
      <c r="AD103" s="730">
        <f>+AD133</f>
        <v>650</v>
      </c>
      <c r="AE103" s="731">
        <f>+$AD103</f>
        <v>650</v>
      </c>
      <c r="AF103" s="731">
        <f>+$AD103</f>
        <v>650</v>
      </c>
      <c r="AG103" s="731">
        <f>+$AD103</f>
        <v>650</v>
      </c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  <c r="AU103" s="151"/>
      <c r="AV103" s="151"/>
      <c r="AW103" s="151"/>
      <c r="AX103" s="151"/>
      <c r="AY103" s="151"/>
      <c r="AZ103" s="151"/>
      <c r="BA103" s="151"/>
      <c r="BB103" s="151"/>
      <c r="BC103" s="151"/>
      <c r="BD103" s="151"/>
      <c r="BE103" s="151"/>
      <c r="BF103" s="151"/>
      <c r="BG103" s="151"/>
      <c r="BH103" s="151"/>
      <c r="BI103" s="151"/>
      <c r="BJ103" s="151"/>
      <c r="BK103" s="151"/>
      <c r="BL103" s="151"/>
      <c r="BM103" s="151"/>
      <c r="BN103" s="151"/>
      <c r="BO103" s="151"/>
      <c r="BP103" s="151"/>
      <c r="BQ103" s="151"/>
      <c r="BR103" s="151"/>
      <c r="BS103" s="151"/>
      <c r="BT103" s="151"/>
      <c r="BU103" s="151"/>
      <c r="BV103" s="151"/>
      <c r="BW103" s="151"/>
      <c r="BX103" s="151"/>
      <c r="BY103" s="151"/>
      <c r="BZ103" s="151"/>
      <c r="CA103" s="151"/>
    </row>
    <row r="104" spans="1:79" ht="15.75">
      <c r="A104" s="1047"/>
      <c r="B104" s="758" t="s">
        <v>620</v>
      </c>
      <c r="C104" s="699"/>
      <c r="D104" s="699"/>
      <c r="E104" s="890">
        <f>5.26*12</f>
        <v>63.12</v>
      </c>
      <c r="F104" s="891">
        <f>$E104*(1+0.03)^6</f>
        <v>75.368580956910478</v>
      </c>
      <c r="G104" s="891">
        <f>+$F104*(1+0.03)^G$36</f>
        <v>82.357283363301917</v>
      </c>
      <c r="H104" s="891">
        <f>+$F104*(1+0.03)^H$36</f>
        <v>87.372841920126987</v>
      </c>
      <c r="I104" s="699"/>
      <c r="J104" s="115" t="s">
        <v>609</v>
      </c>
      <c r="K104" s="120"/>
      <c r="L104" s="120"/>
      <c r="M104" s="699"/>
      <c r="N104" s="382">
        <f>+N97*$E$94/$E$93</f>
        <v>13.91901845093213</v>
      </c>
      <c r="O104" s="382">
        <f>+O97*$E$94/$E$93</f>
        <v>14.766686674593897</v>
      </c>
      <c r="P104" s="382">
        <f>+P97*$E$94/$E$93</f>
        <v>15.665977893076667</v>
      </c>
      <c r="Q104" s="151">
        <v>7</v>
      </c>
      <c r="R104" s="151"/>
      <c r="S104" s="151"/>
      <c r="T104" s="699"/>
      <c r="U104" s="699"/>
      <c r="V104" s="699"/>
      <c r="W104" s="151"/>
      <c r="X104" s="151"/>
      <c r="Y104" s="151"/>
      <c r="Z104" s="151"/>
      <c r="AA104" s="848" t="s">
        <v>268</v>
      </c>
      <c r="AB104" s="151"/>
      <c r="AC104" s="151"/>
      <c r="AD104" s="717"/>
      <c r="AE104" s="686">
        <f>(AE105*12)/AE103</f>
        <v>13.883076923076922</v>
      </c>
      <c r="AF104" s="686">
        <f t="shared" ref="AF104:AG104" si="55">(AF105*12)/AF103</f>
        <v>14.732832295384615</v>
      </c>
      <c r="AG104" s="686">
        <f t="shared" si="55"/>
        <v>15.328038720118155</v>
      </c>
      <c r="AH104" s="151"/>
      <c r="AI104" s="151"/>
      <c r="AJ104" s="151"/>
      <c r="AK104" s="151"/>
      <c r="AL104" s="859" t="s">
        <v>621</v>
      </c>
      <c r="AM104" s="737"/>
      <c r="AN104" s="737"/>
      <c r="AO104" s="151"/>
      <c r="AP104" s="863">
        <v>2</v>
      </c>
      <c r="AQ104" s="863">
        <f>+AP104*(1+0.02)^2</f>
        <v>2.0808</v>
      </c>
      <c r="AR104" s="863">
        <f>+AQ104*(1+0.02)^2</f>
        <v>2.16486432</v>
      </c>
      <c r="AS104" s="151"/>
      <c r="AT104" s="151"/>
      <c r="AU104" s="151"/>
      <c r="AV104" s="151"/>
      <c r="AW104" s="151"/>
      <c r="AX104" s="151"/>
      <c r="AY104" s="151"/>
      <c r="AZ104" s="151"/>
      <c r="BA104" s="151"/>
      <c r="BB104" s="151"/>
      <c r="BC104" s="151"/>
      <c r="BD104" s="151"/>
      <c r="BE104" s="151"/>
      <c r="BF104" s="151"/>
      <c r="BG104" s="151"/>
      <c r="BH104" s="151"/>
      <c r="BI104" s="151"/>
      <c r="BJ104" s="151"/>
      <c r="BK104" s="151"/>
      <c r="BL104" s="151"/>
      <c r="BM104" s="151"/>
      <c r="BN104" s="151"/>
      <c r="BO104" s="151"/>
      <c r="BP104" s="151"/>
      <c r="BQ104" s="151"/>
      <c r="BR104" s="151"/>
      <c r="BS104" s="151"/>
      <c r="BT104" s="151"/>
      <c r="BU104" s="151"/>
      <c r="BV104" s="151"/>
      <c r="BW104" s="151"/>
      <c r="BX104" s="151"/>
      <c r="BY104" s="151"/>
      <c r="BZ104" s="151"/>
      <c r="CA104" s="151"/>
    </row>
    <row r="105" spans="1:79">
      <c r="A105" s="1047"/>
      <c r="B105" s="758" t="s">
        <v>622</v>
      </c>
      <c r="C105" s="699"/>
      <c r="D105" s="699"/>
      <c r="E105" s="1057"/>
      <c r="F105" s="1068">
        <f>+F103*F104</f>
        <v>2436176.3265606957</v>
      </c>
      <c r="G105" s="1068">
        <f>+G103*G104</f>
        <v>4922103.6295285802</v>
      </c>
      <c r="H105" s="1068">
        <f>+H103*H104</f>
        <v>772594.35467872291</v>
      </c>
      <c r="I105" s="699"/>
      <c r="J105" s="115" t="s">
        <v>623</v>
      </c>
      <c r="K105" s="120"/>
      <c r="L105" s="120"/>
      <c r="M105" s="699"/>
      <c r="N105" s="383">
        <v>15</v>
      </c>
      <c r="O105" s="383">
        <f t="shared" ref="O105:P106" si="56">+N105*(1+0.02)^2</f>
        <v>15.606</v>
      </c>
      <c r="P105" s="383">
        <f t="shared" si="56"/>
        <v>16.2364824</v>
      </c>
      <c r="Q105" s="151"/>
      <c r="R105" s="151"/>
      <c r="S105" s="151"/>
      <c r="T105" s="699"/>
      <c r="U105" s="699"/>
      <c r="V105" s="699"/>
      <c r="W105" s="151"/>
      <c r="X105" s="151"/>
      <c r="Y105" s="151"/>
      <c r="Z105" s="151"/>
      <c r="AA105" s="848" t="s">
        <v>516</v>
      </c>
      <c r="AB105" s="151"/>
      <c r="AC105" s="151"/>
      <c r="AD105" s="732">
        <f>+AD96</f>
        <v>752</v>
      </c>
      <c r="AE105" s="731">
        <f>+$AD105</f>
        <v>752</v>
      </c>
      <c r="AF105" s="731">
        <f>+$AE105*(1+0.02)^G$36</f>
        <v>798.02841599999999</v>
      </c>
      <c r="AG105" s="731">
        <f>+$AE105*(1+0.02)^H$36</f>
        <v>830.26876400640003</v>
      </c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  <c r="AU105" s="151"/>
      <c r="AV105" s="151"/>
      <c r="AW105" s="151"/>
      <c r="AX105" s="151"/>
      <c r="AY105" s="151"/>
      <c r="AZ105" s="151"/>
      <c r="BA105" s="151"/>
      <c r="BB105" s="151"/>
      <c r="BC105" s="151"/>
      <c r="BD105" s="151"/>
      <c r="BE105" s="151"/>
      <c r="BF105" s="151"/>
      <c r="BG105" s="151"/>
      <c r="BH105" s="151"/>
      <c r="BI105" s="151"/>
      <c r="BJ105" s="151"/>
      <c r="BK105" s="151"/>
      <c r="BL105" s="151"/>
      <c r="BM105" s="151"/>
      <c r="BN105" s="151"/>
      <c r="BO105" s="151"/>
      <c r="BP105" s="151"/>
      <c r="BQ105" s="151"/>
      <c r="BR105" s="151"/>
      <c r="BS105" s="151"/>
      <c r="BT105" s="151"/>
      <c r="BU105" s="151"/>
      <c r="BV105" s="151"/>
      <c r="BW105" s="151"/>
      <c r="BX105" s="151"/>
      <c r="BY105" s="151"/>
      <c r="BZ105" s="151"/>
      <c r="CA105" s="151"/>
    </row>
    <row r="106" spans="1:79" ht="15.75">
      <c r="A106" s="1047"/>
      <c r="B106" s="132" t="s">
        <v>301</v>
      </c>
      <c r="C106" s="699"/>
      <c r="D106" s="699"/>
      <c r="E106" s="1057"/>
      <c r="F106" s="1057"/>
      <c r="G106" s="1057"/>
      <c r="H106" s="1057"/>
      <c r="I106" s="699"/>
      <c r="J106" s="115" t="s">
        <v>159</v>
      </c>
      <c r="K106" s="120"/>
      <c r="L106" s="120"/>
      <c r="M106" s="699"/>
      <c r="N106" s="383">
        <v>15</v>
      </c>
      <c r="O106" s="383">
        <f t="shared" si="56"/>
        <v>15.606</v>
      </c>
      <c r="P106" s="383">
        <f t="shared" si="56"/>
        <v>16.2364824</v>
      </c>
      <c r="Q106" s="151"/>
      <c r="R106" s="151"/>
      <c r="S106" s="151"/>
      <c r="T106" s="699"/>
      <c r="U106" s="699"/>
      <c r="V106" s="699"/>
      <c r="W106" s="151"/>
      <c r="X106" s="151"/>
      <c r="Y106" s="151"/>
      <c r="Z106" s="151"/>
      <c r="AA106" s="685" t="s">
        <v>624</v>
      </c>
      <c r="AB106" s="151"/>
      <c r="AC106" s="151"/>
      <c r="AD106" s="717"/>
      <c r="AE106" s="729">
        <f>+'Parcel Breakdown'!BM190</f>
        <v>0</v>
      </c>
      <c r="AF106" s="729">
        <f>+'Parcel Breakdown'!BM191</f>
        <v>0</v>
      </c>
      <c r="AG106" s="729">
        <f>+'Parcel Breakdown'!BM192</f>
        <v>0</v>
      </c>
      <c r="AH106" s="151"/>
      <c r="AI106" s="151"/>
      <c r="AJ106" s="151"/>
      <c r="AK106" s="151"/>
      <c r="AL106" s="859" t="s">
        <v>625</v>
      </c>
      <c r="AM106" s="737"/>
      <c r="AN106" s="737"/>
      <c r="AO106" s="151"/>
      <c r="AP106" s="863">
        <v>7</v>
      </c>
      <c r="AQ106" s="863">
        <f>+AP106*(1+0.02)^2</f>
        <v>7.2827999999999999</v>
      </c>
      <c r="AR106" s="863">
        <f>+AQ106*(1+0.02)^2</f>
        <v>7.5770251200000001</v>
      </c>
      <c r="AS106" s="151"/>
      <c r="AT106" s="151"/>
      <c r="AU106" s="151"/>
      <c r="AV106" s="151"/>
      <c r="AW106" s="151"/>
      <c r="AX106" s="151"/>
      <c r="AY106" s="151"/>
      <c r="AZ106" s="151"/>
      <c r="BA106" s="151"/>
      <c r="BB106" s="151"/>
      <c r="BC106" s="151"/>
      <c r="BD106" s="151"/>
      <c r="BE106" s="151"/>
      <c r="BF106" s="151"/>
      <c r="BG106" s="151"/>
      <c r="BH106" s="151"/>
      <c r="BI106" s="151"/>
      <c r="BJ106" s="151"/>
      <c r="BK106" s="151"/>
      <c r="BL106" s="151"/>
      <c r="BM106" s="151"/>
      <c r="BN106" s="151"/>
      <c r="BO106" s="151"/>
      <c r="BP106" s="151"/>
      <c r="BQ106" s="151"/>
      <c r="BR106" s="151"/>
      <c r="BS106" s="151"/>
      <c r="BT106" s="151"/>
      <c r="BU106" s="151"/>
      <c r="BV106" s="151"/>
      <c r="BW106" s="151"/>
      <c r="BX106" s="151"/>
      <c r="BY106" s="151"/>
      <c r="BZ106" s="151"/>
      <c r="CA106" s="151"/>
    </row>
    <row r="107" spans="1:79" ht="15.75">
      <c r="A107" s="1047"/>
      <c r="B107" s="758" t="s">
        <v>619</v>
      </c>
      <c r="C107" s="130">
        <v>0.2</v>
      </c>
      <c r="D107" s="699"/>
      <c r="E107" s="389">
        <f>+SUM(F107:H107)</f>
        <v>0</v>
      </c>
      <c r="F107" s="390">
        <v>0</v>
      </c>
      <c r="G107" s="390">
        <v>0</v>
      </c>
      <c r="H107" s="390">
        <v>0</v>
      </c>
      <c r="I107" s="699"/>
      <c r="J107" s="115"/>
      <c r="K107" s="120"/>
      <c r="L107" s="120"/>
      <c r="M107" s="699"/>
      <c r="N107" s="383"/>
      <c r="O107" s="383"/>
      <c r="P107" s="383"/>
      <c r="Q107" s="151"/>
      <c r="R107" s="151"/>
      <c r="S107" s="151"/>
      <c r="T107" s="699"/>
      <c r="U107" s="699"/>
      <c r="V107" s="699"/>
      <c r="W107" s="151"/>
      <c r="X107" s="151"/>
      <c r="Y107" s="151"/>
      <c r="Z107" s="151"/>
      <c r="AA107" s="848" t="s">
        <v>515</v>
      </c>
      <c r="AB107" s="151"/>
      <c r="AC107" s="151"/>
      <c r="AD107" s="730">
        <f>+AD137</f>
        <v>1000</v>
      </c>
      <c r="AE107" s="731">
        <f>+$AD107</f>
        <v>1000</v>
      </c>
      <c r="AF107" s="731">
        <f>+$AD107</f>
        <v>1000</v>
      </c>
      <c r="AG107" s="731">
        <f>+$AD107</f>
        <v>1000</v>
      </c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  <c r="AU107" s="151"/>
      <c r="AV107" s="151"/>
      <c r="AW107" s="151"/>
      <c r="AX107" s="151"/>
      <c r="AY107" s="151"/>
      <c r="AZ107" s="151"/>
      <c r="BA107" s="151"/>
      <c r="BB107" s="151"/>
      <c r="BC107" s="151"/>
      <c r="BD107" s="151"/>
      <c r="BE107" s="151"/>
      <c r="BF107" s="151"/>
      <c r="BG107" s="151"/>
      <c r="BH107" s="151"/>
      <c r="BI107" s="151"/>
      <c r="BJ107" s="151"/>
      <c r="BK107" s="151"/>
      <c r="BL107" s="151"/>
      <c r="BM107" s="151"/>
      <c r="BN107" s="151"/>
      <c r="BO107" s="151"/>
      <c r="BP107" s="151"/>
      <c r="BQ107" s="151"/>
      <c r="BR107" s="151"/>
      <c r="BS107" s="151"/>
      <c r="BT107" s="151"/>
      <c r="BU107" s="151"/>
      <c r="BV107" s="151"/>
      <c r="BW107" s="151"/>
      <c r="BX107" s="151"/>
      <c r="BY107" s="151"/>
      <c r="BZ107" s="151"/>
      <c r="CA107" s="151"/>
    </row>
    <row r="108" spans="1:79" ht="15.75">
      <c r="A108" s="1047"/>
      <c r="B108" s="758" t="s">
        <v>620</v>
      </c>
      <c r="C108" s="699"/>
      <c r="D108" s="699"/>
      <c r="E108" s="890">
        <f>E104*(1-C107)</f>
        <v>50.496000000000002</v>
      </c>
      <c r="F108" s="891">
        <f>$E108*(1+0.03)^6</f>
        <v>60.294864765528381</v>
      </c>
      <c r="G108" s="891">
        <f>+$F108*(1+0.03)^G$36</f>
        <v>65.885826690641537</v>
      </c>
      <c r="H108" s="891">
        <f>+$F108*(1+0.03)^H$36</f>
        <v>69.898273536101584</v>
      </c>
      <c r="I108" s="699"/>
      <c r="J108" s="118" t="s">
        <v>626</v>
      </c>
      <c r="K108" s="120"/>
      <c r="L108" s="120"/>
      <c r="M108" s="120"/>
      <c r="N108" s="120"/>
      <c r="O108" s="118"/>
      <c r="P108" s="120"/>
      <c r="Q108" s="151"/>
      <c r="R108" s="151"/>
      <c r="S108" s="151"/>
      <c r="T108" s="699"/>
      <c r="U108" s="699"/>
      <c r="V108" s="699"/>
      <c r="W108" s="151"/>
      <c r="X108" s="151"/>
      <c r="Y108" s="151"/>
      <c r="Z108" s="151"/>
      <c r="AA108" s="848" t="s">
        <v>268</v>
      </c>
      <c r="AB108" s="151"/>
      <c r="AC108" s="151"/>
      <c r="AD108" s="717"/>
      <c r="AE108" s="686">
        <f>(AE109*12)/AE107</f>
        <v>10.32</v>
      </c>
      <c r="AF108" s="686">
        <f t="shared" ref="AF108:AG108" si="57">(AF109*12)/AF107</f>
        <v>10.95166656</v>
      </c>
      <c r="AG108" s="686">
        <f t="shared" si="57"/>
        <v>11.394113889024</v>
      </c>
      <c r="AH108" s="151"/>
      <c r="AI108" s="151"/>
      <c r="AJ108" s="151"/>
      <c r="AK108" s="151"/>
      <c r="AL108" s="859" t="s">
        <v>627</v>
      </c>
      <c r="AM108" s="778"/>
      <c r="AN108" s="778"/>
      <c r="AO108" s="857">
        <v>1</v>
      </c>
      <c r="AP108" s="858">
        <f>$AO108</f>
        <v>1</v>
      </c>
      <c r="AQ108" s="858">
        <f>$AO108</f>
        <v>1</v>
      </c>
      <c r="AR108" s="858">
        <f>$AO108</f>
        <v>1</v>
      </c>
      <c r="AS108" s="151"/>
      <c r="AT108" s="151"/>
      <c r="AU108" s="151"/>
      <c r="AV108" s="151"/>
      <c r="AW108" s="151"/>
      <c r="AX108" s="151"/>
      <c r="AY108" s="151"/>
      <c r="AZ108" s="151"/>
      <c r="BA108" s="151"/>
      <c r="BB108" s="151"/>
      <c r="BC108" s="151"/>
      <c r="BD108" s="151"/>
      <c r="BE108" s="151"/>
      <c r="BF108" s="151"/>
      <c r="BG108" s="151"/>
      <c r="BH108" s="151"/>
      <c r="BI108" s="151"/>
      <c r="BJ108" s="151"/>
      <c r="BK108" s="151"/>
      <c r="BL108" s="151"/>
      <c r="BM108" s="151"/>
      <c r="BN108" s="151"/>
      <c r="BO108" s="151"/>
      <c r="BP108" s="151"/>
      <c r="BQ108" s="151"/>
      <c r="BR108" s="151"/>
      <c r="BS108" s="151"/>
      <c r="BT108" s="151"/>
      <c r="BU108" s="151"/>
      <c r="BV108" s="151"/>
      <c r="BW108" s="151"/>
      <c r="BX108" s="151"/>
      <c r="BY108" s="151"/>
      <c r="BZ108" s="151"/>
      <c r="CA108" s="151"/>
    </row>
    <row r="109" spans="1:79">
      <c r="A109" s="1047"/>
      <c r="B109" s="758" t="s">
        <v>622</v>
      </c>
      <c r="C109" s="699"/>
      <c r="D109" s="699"/>
      <c r="E109" s="1057"/>
      <c r="F109" s="1068">
        <f>+F107*F108</f>
        <v>0</v>
      </c>
      <c r="G109" s="1068">
        <f>+G107*G108</f>
        <v>0</v>
      </c>
      <c r="H109" s="1068">
        <f>+H107*H108</f>
        <v>0</v>
      </c>
      <c r="I109" s="699"/>
      <c r="J109" s="115" t="s">
        <v>628</v>
      </c>
      <c r="K109" s="120"/>
      <c r="L109" s="120"/>
      <c r="M109" s="1042">
        <f>2*E104</f>
        <v>126.24</v>
      </c>
      <c r="N109" s="1042">
        <f t="shared" ref="N109:P109" si="58">2*F104</f>
        <v>150.73716191382096</v>
      </c>
      <c r="O109" s="1042">
        <f t="shared" si="58"/>
        <v>164.71456672660383</v>
      </c>
      <c r="P109" s="1042">
        <f t="shared" si="58"/>
        <v>174.74568384025397</v>
      </c>
      <c r="Q109" s="151"/>
      <c r="R109" s="151"/>
      <c r="S109" s="151"/>
      <c r="T109" s="151"/>
      <c r="U109" s="151"/>
      <c r="V109" s="699"/>
      <c r="W109" s="151"/>
      <c r="X109" s="151"/>
      <c r="Y109" s="151"/>
      <c r="Z109" s="151"/>
      <c r="AA109" s="848" t="s">
        <v>516</v>
      </c>
      <c r="AB109" s="151"/>
      <c r="AC109" s="151"/>
      <c r="AD109" s="732">
        <f>+AD100</f>
        <v>860</v>
      </c>
      <c r="AE109" s="731">
        <f>+$AD109</f>
        <v>860</v>
      </c>
      <c r="AF109" s="731">
        <f>+$AE109*(1+0.02)^G$36</f>
        <v>912.63887999999997</v>
      </c>
      <c r="AG109" s="731">
        <f>+$AE109*(1+0.02)^H$36</f>
        <v>949.50949075200003</v>
      </c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  <c r="AU109" s="151"/>
      <c r="AV109" s="151"/>
      <c r="AW109" s="151"/>
      <c r="AX109" s="151"/>
      <c r="AY109" s="151"/>
      <c r="AZ109" s="151"/>
      <c r="BA109" s="151"/>
      <c r="BB109" s="151"/>
      <c r="BC109" s="151"/>
      <c r="BD109" s="151"/>
      <c r="BE109" s="151"/>
      <c r="BF109" s="151"/>
      <c r="BG109" s="151"/>
      <c r="BH109" s="151"/>
      <c r="BI109" s="151"/>
      <c r="BJ109" s="151"/>
      <c r="BK109" s="151"/>
      <c r="BL109" s="151"/>
      <c r="BM109" s="151"/>
      <c r="BN109" s="151"/>
      <c r="BO109" s="151"/>
      <c r="BP109" s="151"/>
      <c r="BQ109" s="151"/>
      <c r="BR109" s="151"/>
      <c r="BS109" s="151"/>
      <c r="BT109" s="151"/>
      <c r="BU109" s="151"/>
      <c r="BV109" s="151"/>
      <c r="BW109" s="151"/>
      <c r="BX109" s="151"/>
      <c r="BY109" s="151"/>
      <c r="BZ109" s="151"/>
      <c r="CA109" s="151"/>
    </row>
    <row r="110" spans="1:79" ht="15.75">
      <c r="A110" s="1047"/>
      <c r="B110" s="133" t="s">
        <v>629</v>
      </c>
      <c r="C110" s="133"/>
      <c r="D110" s="133"/>
      <c r="E110" s="391">
        <f>+SUM(F110:H110)</f>
        <v>8130874.3107679989</v>
      </c>
      <c r="F110" s="1060">
        <f>+F105+F109+AE170</f>
        <v>2436176.3265606957</v>
      </c>
      <c r="G110" s="1060">
        <f>+G105+G109+AF170</f>
        <v>4922103.6295285802</v>
      </c>
      <c r="H110" s="1060">
        <f>+H105+H109+AG170</f>
        <v>772594.35467872291</v>
      </c>
      <c r="I110" s="699"/>
      <c r="J110" s="115" t="s">
        <v>630</v>
      </c>
      <c r="K110" s="120"/>
      <c r="L110" s="120"/>
      <c r="M110" s="1042">
        <f>2*E117</f>
        <v>105</v>
      </c>
      <c r="N110" s="1042">
        <f>2*F117</f>
        <v>125.37549113554499</v>
      </c>
      <c r="O110" s="1042">
        <f t="shared" ref="O110:P110" si="59">2*G117</f>
        <v>137.00118430207067</v>
      </c>
      <c r="P110" s="1042">
        <f t="shared" si="59"/>
        <v>145.34455642606676</v>
      </c>
      <c r="Q110" s="151"/>
      <c r="R110" s="151"/>
      <c r="S110" s="151"/>
      <c r="T110" s="151"/>
      <c r="U110" s="151"/>
      <c r="V110" s="699"/>
      <c r="W110" s="151"/>
      <c r="X110" s="151"/>
      <c r="Y110" s="151"/>
      <c r="Z110" s="151"/>
      <c r="AA110" s="847" t="s">
        <v>631</v>
      </c>
      <c r="AB110" s="151"/>
      <c r="AC110" s="151"/>
      <c r="AD110" s="717"/>
      <c r="AE110" s="731"/>
      <c r="AF110" s="731"/>
      <c r="AG110" s="73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  <c r="AU110" s="151"/>
      <c r="AV110" s="151"/>
      <c r="AW110" s="151"/>
      <c r="AX110" s="151"/>
      <c r="AY110" s="151"/>
      <c r="AZ110" s="151"/>
      <c r="BA110" s="151"/>
      <c r="BB110" s="151"/>
      <c r="BC110" s="151"/>
      <c r="BD110" s="151"/>
      <c r="BE110" s="151"/>
      <c r="BF110" s="151"/>
      <c r="BG110" s="151"/>
      <c r="BH110" s="151"/>
      <c r="BI110" s="151"/>
      <c r="BJ110" s="151"/>
      <c r="BK110" s="151"/>
      <c r="BL110" s="151"/>
      <c r="BM110" s="151"/>
      <c r="BN110" s="151"/>
      <c r="BO110" s="151"/>
      <c r="BP110" s="151"/>
      <c r="BQ110" s="151"/>
      <c r="BR110" s="151"/>
      <c r="BS110" s="151"/>
      <c r="BT110" s="151"/>
      <c r="BU110" s="151"/>
      <c r="BV110" s="151"/>
      <c r="BW110" s="151"/>
      <c r="BX110" s="151"/>
      <c r="BY110" s="151"/>
      <c r="BZ110" s="151"/>
      <c r="CA110" s="151"/>
    </row>
    <row r="111" spans="1:79" ht="15.75">
      <c r="A111" s="1047"/>
      <c r="B111" s="758" t="s">
        <v>528</v>
      </c>
      <c r="C111" s="699"/>
      <c r="D111" s="699"/>
      <c r="E111" s="392">
        <f>+SUM(F111:H111)</f>
        <v>100931.25</v>
      </c>
      <c r="F111" s="1058">
        <f>+F103+F107+AE168</f>
        <v>32323.5</v>
      </c>
      <c r="G111" s="1058">
        <f>+G103+G107+AF168</f>
        <v>59765.25</v>
      </c>
      <c r="H111" s="1058">
        <f>+H103+H107+AG168</f>
        <v>8842.5</v>
      </c>
      <c r="I111" s="699"/>
      <c r="J111" s="115" t="s">
        <v>632</v>
      </c>
      <c r="K111" s="120"/>
      <c r="L111" s="120"/>
      <c r="M111" s="78">
        <v>0.06</v>
      </c>
      <c r="N111" s="1069">
        <f>M111</f>
        <v>0.06</v>
      </c>
      <c r="O111" s="1069">
        <f t="shared" ref="O111:P112" si="60">N111</f>
        <v>0.06</v>
      </c>
      <c r="P111" s="1069">
        <f t="shared" si="60"/>
        <v>0.06</v>
      </c>
      <c r="Q111" s="699"/>
      <c r="R111" s="699"/>
      <c r="S111" s="699"/>
      <c r="T111" s="151"/>
      <c r="U111" s="151"/>
      <c r="V111" s="699"/>
      <c r="W111" s="151"/>
      <c r="X111" s="151"/>
      <c r="Y111" s="151"/>
      <c r="Z111" s="151"/>
      <c r="AA111" s="727" t="s">
        <v>633</v>
      </c>
      <c r="AB111" s="151"/>
      <c r="AC111" s="151"/>
      <c r="AD111" s="717"/>
      <c r="AE111" s="729">
        <f>+'Parcel Breakdown'!BO190</f>
        <v>0</v>
      </c>
      <c r="AF111" s="729">
        <f>+'Parcel Breakdown'!BO191</f>
        <v>0</v>
      </c>
      <c r="AG111" s="729">
        <f>+'Parcel Breakdown'!BO192</f>
        <v>0</v>
      </c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  <c r="AU111" s="151"/>
      <c r="AV111" s="151"/>
      <c r="AW111" s="151"/>
      <c r="AX111" s="151"/>
      <c r="AY111" s="151"/>
      <c r="AZ111" s="151"/>
      <c r="BA111" s="151"/>
      <c r="BB111" s="151"/>
      <c r="BC111" s="151"/>
      <c r="BD111" s="151"/>
      <c r="BE111" s="151"/>
      <c r="BF111" s="151"/>
      <c r="BG111" s="151"/>
      <c r="BH111" s="151"/>
      <c r="BI111" s="151"/>
      <c r="BJ111" s="151"/>
      <c r="BK111" s="151"/>
      <c r="BL111" s="151"/>
      <c r="BM111" s="151"/>
      <c r="BN111" s="151"/>
      <c r="BO111" s="151"/>
      <c r="BP111" s="151"/>
      <c r="BQ111" s="151"/>
      <c r="BR111" s="151"/>
      <c r="BS111" s="151"/>
      <c r="BT111" s="151"/>
      <c r="BU111" s="151"/>
      <c r="BV111" s="151"/>
      <c r="BW111" s="151"/>
      <c r="BX111" s="151"/>
      <c r="BY111" s="151"/>
      <c r="BZ111" s="151"/>
      <c r="CA111" s="151"/>
    </row>
    <row r="112" spans="1:79" ht="15.75">
      <c r="A112" s="1047"/>
      <c r="B112" s="1062" t="s">
        <v>634</v>
      </c>
      <c r="C112" s="1029"/>
      <c r="D112" s="1029"/>
      <c r="E112" s="1070">
        <f>+IFERROR(E110/E111,"")</f>
        <v>80.55854168820855</v>
      </c>
      <c r="F112" s="1070">
        <f>+IFERROR(F110/F111,"")</f>
        <v>75.368580956910478</v>
      </c>
      <c r="G112" s="1070">
        <f>+IFERROR(G110/G111,"")</f>
        <v>82.357283363301917</v>
      </c>
      <c r="H112" s="1070">
        <f>+IFERROR(H110/H111,"")</f>
        <v>87.372841920126987</v>
      </c>
      <c r="I112" s="699"/>
      <c r="J112" s="115" t="s">
        <v>635</v>
      </c>
      <c r="K112" s="120"/>
      <c r="L112" s="120"/>
      <c r="M112" s="78">
        <v>0.06</v>
      </c>
      <c r="N112" s="1069">
        <f>M112</f>
        <v>0.06</v>
      </c>
      <c r="O112" s="1069">
        <f t="shared" si="60"/>
        <v>0.06</v>
      </c>
      <c r="P112" s="1069">
        <f t="shared" si="60"/>
        <v>0.06</v>
      </c>
      <c r="Q112" s="699"/>
      <c r="R112" s="699"/>
      <c r="S112" s="699"/>
      <c r="T112" s="151"/>
      <c r="U112" s="151"/>
      <c r="V112" s="699"/>
      <c r="W112" s="151"/>
      <c r="X112" s="151"/>
      <c r="Y112" s="151"/>
      <c r="Z112" s="151"/>
      <c r="AA112" s="848" t="s">
        <v>515</v>
      </c>
      <c r="AB112" s="151"/>
      <c r="AC112" s="151"/>
      <c r="AD112" s="730">
        <f>+AD142</f>
        <v>330</v>
      </c>
      <c r="AE112" s="731">
        <f>+$AD112</f>
        <v>330</v>
      </c>
      <c r="AF112" s="731">
        <f>+$AD112</f>
        <v>330</v>
      </c>
      <c r="AG112" s="731">
        <f>+$AD112</f>
        <v>330</v>
      </c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  <c r="AU112" s="151"/>
      <c r="AV112" s="151"/>
      <c r="AW112" s="151"/>
      <c r="AX112" s="151"/>
      <c r="AY112" s="151"/>
      <c r="AZ112" s="151"/>
      <c r="BA112" s="151"/>
      <c r="BB112" s="151"/>
      <c r="BC112" s="151"/>
      <c r="BD112" s="151"/>
      <c r="BE112" s="151"/>
      <c r="BF112" s="151"/>
      <c r="BG112" s="151"/>
      <c r="BH112" s="151"/>
      <c r="BI112" s="151"/>
      <c r="BJ112" s="151"/>
      <c r="BK112" s="151"/>
      <c r="BL112" s="151"/>
      <c r="BM112" s="151"/>
      <c r="BN112" s="151"/>
      <c r="BO112" s="151"/>
      <c r="BP112" s="151"/>
      <c r="BQ112" s="151"/>
      <c r="BR112" s="151"/>
      <c r="BS112" s="151"/>
      <c r="BT112" s="151"/>
      <c r="BU112" s="151"/>
      <c r="BV112" s="151"/>
      <c r="BW112" s="151"/>
      <c r="BX112" s="151"/>
      <c r="BY112" s="151"/>
      <c r="BZ112" s="151"/>
      <c r="CA112" s="151"/>
    </row>
    <row r="113" spans="2:79">
      <c r="B113" s="699"/>
      <c r="C113" s="699"/>
      <c r="D113" s="699"/>
      <c r="E113" s="1057"/>
      <c r="F113" s="1057"/>
      <c r="G113" s="1057"/>
      <c r="H113" s="1057"/>
      <c r="I113" s="699"/>
      <c r="J113" s="699"/>
      <c r="K113" s="120"/>
      <c r="L113" s="120"/>
      <c r="M113" s="699"/>
      <c r="N113" s="383"/>
      <c r="O113" s="383"/>
      <c r="P113" s="383"/>
      <c r="Q113" s="699"/>
      <c r="R113" s="699"/>
      <c r="S113" s="699"/>
      <c r="T113" s="151"/>
      <c r="U113" s="151">
        <f>30100/0.5</f>
        <v>60200</v>
      </c>
      <c r="V113" s="699"/>
      <c r="W113" s="151"/>
      <c r="X113" s="151"/>
      <c r="Y113" s="151"/>
      <c r="Z113" s="151"/>
      <c r="AA113" s="848" t="s">
        <v>268</v>
      </c>
      <c r="AB113" s="151"/>
      <c r="AC113" s="151"/>
      <c r="AD113" s="717"/>
      <c r="AE113" s="686">
        <f>(AE114*12)/AE112</f>
        <v>27.345454545454544</v>
      </c>
      <c r="AF113" s="686">
        <f t="shared" ref="AF113:AG113" si="61">(AF114*12)/AF112</f>
        <v>29.019215127272727</v>
      </c>
      <c r="AG113" s="686">
        <f t="shared" si="61"/>
        <v>30.191591418414546</v>
      </c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  <c r="AU113" s="151"/>
      <c r="AV113" s="151"/>
      <c r="AW113" s="151"/>
      <c r="AX113" s="151"/>
      <c r="AY113" s="151"/>
      <c r="AZ113" s="151"/>
      <c r="BA113" s="151"/>
      <c r="BB113" s="151"/>
      <c r="BC113" s="151"/>
      <c r="BD113" s="151"/>
      <c r="BE113" s="151"/>
      <c r="BF113" s="151"/>
      <c r="BG113" s="151"/>
      <c r="BH113" s="151"/>
      <c r="BI113" s="151"/>
      <c r="BJ113" s="151"/>
      <c r="BK113" s="151"/>
      <c r="BL113" s="151"/>
      <c r="BM113" s="151"/>
      <c r="BN113" s="151"/>
      <c r="BO113" s="151"/>
      <c r="BP113" s="151"/>
      <c r="BQ113" s="151"/>
      <c r="BR113" s="151"/>
      <c r="BS113" s="151"/>
      <c r="BT113" s="151"/>
      <c r="BU113" s="151"/>
      <c r="BV113" s="151"/>
      <c r="BW113" s="151"/>
      <c r="BX113" s="151"/>
      <c r="BY113" s="151"/>
      <c r="BZ113" s="151"/>
      <c r="CA113" s="151"/>
    </row>
    <row r="114" spans="2:79" ht="16.5" thickBot="1">
      <c r="B114" s="1121" t="s">
        <v>636</v>
      </c>
      <c r="C114" s="1121"/>
      <c r="D114" s="699"/>
      <c r="E114" s="199" t="s">
        <v>319</v>
      </c>
      <c r="F114" s="779" t="str">
        <f>+F$26</f>
        <v>I</v>
      </c>
      <c r="G114" s="779" t="str">
        <f>+G$26</f>
        <v>II</v>
      </c>
      <c r="H114" s="779" t="str">
        <f>+H$26</f>
        <v>III</v>
      </c>
      <c r="I114" s="699"/>
      <c r="J114" s="118" t="s">
        <v>637</v>
      </c>
      <c r="K114" s="699"/>
      <c r="L114" s="699"/>
      <c r="M114" s="699"/>
      <c r="N114" s="699"/>
      <c r="O114" s="699"/>
      <c r="P114" s="699"/>
      <c r="Q114" s="699"/>
      <c r="R114" s="699"/>
      <c r="S114" s="699"/>
      <c r="T114" s="151"/>
      <c r="U114" s="151"/>
      <c r="V114" s="699"/>
      <c r="W114" s="151"/>
      <c r="X114" s="151"/>
      <c r="Y114" s="151"/>
      <c r="Z114" s="151"/>
      <c r="AA114" s="848" t="s">
        <v>516</v>
      </c>
      <c r="AB114" s="151"/>
      <c r="AC114" s="151"/>
      <c r="AD114" s="732">
        <f>+AD96</f>
        <v>752</v>
      </c>
      <c r="AE114" s="731">
        <f>+$AD114</f>
        <v>752</v>
      </c>
      <c r="AF114" s="731">
        <f>+$AE114*(1+0.02)^G$36</f>
        <v>798.02841599999999</v>
      </c>
      <c r="AG114" s="731">
        <f>+$AE114*(1+0.02)^H$36</f>
        <v>830.26876400640003</v>
      </c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  <c r="AU114" s="151"/>
      <c r="AV114" s="151"/>
      <c r="AW114" s="151"/>
      <c r="AX114" s="151"/>
      <c r="AY114" s="151"/>
      <c r="AZ114" s="151"/>
      <c r="BA114" s="151"/>
      <c r="BB114" s="151"/>
      <c r="BC114" s="151"/>
      <c r="BD114" s="151"/>
      <c r="BE114" s="151"/>
      <c r="BF114" s="151"/>
      <c r="BG114" s="151"/>
      <c r="BH114" s="151"/>
      <c r="BI114" s="151"/>
      <c r="BJ114" s="151"/>
      <c r="BK114" s="151"/>
      <c r="BL114" s="151"/>
      <c r="BM114" s="151"/>
      <c r="BN114" s="151"/>
      <c r="BO114" s="151"/>
      <c r="BP114" s="151"/>
      <c r="BQ114" s="151"/>
      <c r="BR114" s="151"/>
      <c r="BS114" s="151"/>
      <c r="BT114" s="151"/>
      <c r="BU114" s="151"/>
      <c r="BV114" s="151"/>
      <c r="BW114" s="151"/>
      <c r="BX114" s="151"/>
      <c r="BY114" s="151"/>
      <c r="BZ114" s="151"/>
      <c r="CA114" s="151"/>
    </row>
    <row r="115" spans="2:79" ht="15.75">
      <c r="B115" s="132" t="s">
        <v>638</v>
      </c>
      <c r="C115" s="699"/>
      <c r="D115" s="699"/>
      <c r="E115" s="1057"/>
      <c r="F115" s="1057"/>
      <c r="G115" s="1057"/>
      <c r="H115" s="1057"/>
      <c r="I115" s="699"/>
      <c r="J115" s="114" t="s">
        <v>639</v>
      </c>
      <c r="K115" s="699"/>
      <c r="L115" s="699"/>
      <c r="M115" s="699"/>
      <c r="N115" s="699"/>
      <c r="O115" s="699"/>
      <c r="P115" s="699"/>
      <c r="Q115" s="699"/>
      <c r="R115" s="699"/>
      <c r="S115" s="699"/>
      <c r="T115" s="151"/>
      <c r="U115" s="151"/>
      <c r="V115" s="699"/>
      <c r="W115" s="151"/>
      <c r="X115" s="151"/>
      <c r="Y115" s="151"/>
      <c r="Z115" s="151"/>
      <c r="AA115" s="718" t="s">
        <v>640</v>
      </c>
      <c r="AB115" s="718"/>
      <c r="AC115" s="718"/>
      <c r="AD115" s="733">
        <f>+SUM(AE115:AG115)</f>
        <v>0</v>
      </c>
      <c r="AE115" s="732">
        <f>+AE95*AE94*AE93+AE99*AE98*AE97+AE104*AE103*AE102+AE108*AE107*AE106+AE113*AE112*AE111</f>
        <v>0</v>
      </c>
      <c r="AF115" s="732">
        <f>+AF95*AF94*AF93+AF99*AF98*AF97+AF104*AF103*AF102+AF108*AF107*AF106+AF113*AF112*AF111</f>
        <v>0</v>
      </c>
      <c r="AG115" s="732">
        <f>+AG95*AG94*AG93+AG99*AG98*AG97+AG104*AG103*AG102+AG108*AG107*AG106+AG113*AG112*AG111</f>
        <v>0</v>
      </c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  <c r="AU115" s="151"/>
      <c r="AV115" s="151"/>
      <c r="AW115" s="151"/>
      <c r="AX115" s="151"/>
      <c r="AY115" s="151"/>
      <c r="AZ115" s="151"/>
      <c r="BA115" s="151"/>
      <c r="BB115" s="151"/>
      <c r="BC115" s="151"/>
      <c r="BD115" s="151"/>
      <c r="BE115" s="151"/>
      <c r="BF115" s="151"/>
      <c r="BG115" s="151"/>
      <c r="BH115" s="151"/>
      <c r="BI115" s="151"/>
      <c r="BJ115" s="151"/>
      <c r="BK115" s="151"/>
      <c r="BL115" s="151"/>
      <c r="BM115" s="151"/>
      <c r="BN115" s="151"/>
      <c r="BO115" s="151"/>
      <c r="BP115" s="151"/>
      <c r="BQ115" s="151"/>
      <c r="BR115" s="151"/>
      <c r="BS115" s="151"/>
      <c r="BT115" s="151"/>
      <c r="BU115" s="151"/>
      <c r="BV115" s="151"/>
      <c r="BW115" s="151"/>
      <c r="BX115" s="151"/>
      <c r="BY115" s="151"/>
      <c r="BZ115" s="151"/>
      <c r="CA115" s="151"/>
    </row>
    <row r="116" spans="2:79" ht="15.75">
      <c r="B116" s="758" t="s">
        <v>619</v>
      </c>
      <c r="C116" s="699"/>
      <c r="D116" s="699"/>
      <c r="E116" s="1057"/>
      <c r="F116" s="390">
        <f>+'Parcel Breakdown'!AO$44-$F$120</f>
        <v>50671.35</v>
      </c>
      <c r="G116" s="390">
        <f>+'Parcel Breakdown'!AO45-G120</f>
        <v>29090.7</v>
      </c>
      <c r="H116" s="390">
        <f>+'Parcel Breakdown'!AO46-H120</f>
        <v>17661.150000000001</v>
      </c>
      <c r="I116" s="699"/>
      <c r="J116" s="115" t="s">
        <v>641</v>
      </c>
      <c r="K116" s="699"/>
      <c r="L116" s="699"/>
      <c r="M116" s="896">
        <v>0.223</v>
      </c>
      <c r="N116" s="119">
        <f>+$M116</f>
        <v>0.223</v>
      </c>
      <c r="O116" s="119">
        <v>0.216</v>
      </c>
      <c r="P116" s="119">
        <v>0.21</v>
      </c>
      <c r="Q116" s="699"/>
      <c r="R116" s="699"/>
      <c r="S116" s="699"/>
      <c r="T116" s="151"/>
      <c r="U116" s="151"/>
      <c r="V116" s="699"/>
      <c r="W116" s="151"/>
      <c r="X116" s="151"/>
      <c r="Y116" s="151"/>
      <c r="Z116" s="151"/>
      <c r="AA116" s="685" t="s">
        <v>353</v>
      </c>
      <c r="AB116" s="151"/>
      <c r="AC116" s="151"/>
      <c r="AD116" s="734">
        <f>+SUM(AE116:AG116)</f>
        <v>0</v>
      </c>
      <c r="AE116" s="731">
        <f>+AE93*AE94+AE97*AE98+AE102*AE103+AE106*AE107+AE111*AE112</f>
        <v>0</v>
      </c>
      <c r="AF116" s="731">
        <f>+AF93*AF94+AF97*AF98+AF102*AF103+AF106*AF107+AF111*AF112</f>
        <v>0</v>
      </c>
      <c r="AG116" s="731">
        <f>+AG93*AG94+AG97*AG98+AG102*AG103+AG106*AG107+AG111*AG112</f>
        <v>0</v>
      </c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  <c r="AU116" s="151"/>
      <c r="AV116" s="151"/>
      <c r="AW116" s="151"/>
      <c r="AX116" s="151"/>
      <c r="AY116" s="151"/>
      <c r="AZ116" s="151"/>
      <c r="BA116" s="151"/>
      <c r="BB116" s="151"/>
      <c r="BC116" s="151"/>
      <c r="BD116" s="151"/>
      <c r="BE116" s="151"/>
      <c r="BF116" s="151"/>
      <c r="BG116" s="151"/>
      <c r="BH116" s="151"/>
      <c r="BI116" s="151"/>
      <c r="BJ116" s="151"/>
      <c r="BK116" s="151"/>
      <c r="BL116" s="151"/>
      <c r="BM116" s="151"/>
      <c r="BN116" s="151"/>
      <c r="BO116" s="151"/>
      <c r="BP116" s="151"/>
      <c r="BQ116" s="151"/>
      <c r="BR116" s="151"/>
      <c r="BS116" s="151"/>
      <c r="BT116" s="151"/>
      <c r="BU116" s="151"/>
      <c r="BV116" s="151"/>
      <c r="BW116" s="151"/>
      <c r="BX116" s="151"/>
      <c r="BY116" s="151"/>
      <c r="BZ116" s="151"/>
      <c r="CA116" s="151"/>
    </row>
    <row r="117" spans="2:79" ht="15.75">
      <c r="B117" s="758" t="s">
        <v>620</v>
      </c>
      <c r="C117" s="699"/>
      <c r="D117" s="699"/>
      <c r="E117" s="890">
        <v>52.5</v>
      </c>
      <c r="F117" s="891">
        <f>$E117*(1+0.03)^6</f>
        <v>62.687745567772495</v>
      </c>
      <c r="G117" s="891">
        <f>+$F117*(1+0.03)^G$36</f>
        <v>68.500592151035335</v>
      </c>
      <c r="H117" s="891">
        <f>+$F117*(1+0.03)^H$36</f>
        <v>72.67227821303338</v>
      </c>
      <c r="I117" s="699"/>
      <c r="J117" s="115" t="s">
        <v>642</v>
      </c>
      <c r="K117" s="699"/>
      <c r="L117" s="699"/>
      <c r="M117" s="896">
        <v>0.90200000000000002</v>
      </c>
      <c r="N117" s="119">
        <v>0.90200000000000002</v>
      </c>
      <c r="O117" s="119">
        <v>0.76400000000000001</v>
      </c>
      <c r="P117" s="119">
        <v>0.7</v>
      </c>
      <c r="Q117" s="699"/>
      <c r="R117" s="699"/>
      <c r="S117" s="699"/>
      <c r="T117" s="151"/>
      <c r="U117" s="151"/>
      <c r="V117" s="699"/>
      <c r="W117" s="151"/>
      <c r="X117" s="151"/>
      <c r="Y117" s="151"/>
      <c r="Z117" s="151"/>
      <c r="AA117" s="685" t="s">
        <v>556</v>
      </c>
      <c r="AB117" s="151"/>
      <c r="AC117" s="151"/>
      <c r="AD117" s="734">
        <f>+SUM(AE117:AG117)</f>
        <v>0</v>
      </c>
      <c r="AE117" s="729">
        <f>+AE93+AE97+AE102+AE106+AE111</f>
        <v>0</v>
      </c>
      <c r="AF117" s="729">
        <f>+AF93+AF97+AF102+AF106+AF111</f>
        <v>0</v>
      </c>
      <c r="AG117" s="729">
        <f>+AG93+AG97+AG102+AG106+AG111</f>
        <v>0</v>
      </c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  <c r="AU117" s="151"/>
      <c r="AV117" s="151"/>
      <c r="AW117" s="151"/>
      <c r="AX117" s="151"/>
      <c r="AY117" s="151"/>
      <c r="AZ117" s="151"/>
      <c r="BA117" s="151"/>
      <c r="BB117" s="151"/>
      <c r="BC117" s="151"/>
      <c r="BD117" s="151"/>
      <c r="BE117" s="151"/>
      <c r="BF117" s="151"/>
      <c r="BG117" s="151"/>
      <c r="BH117" s="151"/>
      <c r="BI117" s="151"/>
      <c r="BJ117" s="151"/>
      <c r="BK117" s="151"/>
      <c r="BL117" s="151"/>
      <c r="BM117" s="151"/>
      <c r="BN117" s="151"/>
      <c r="BO117" s="151"/>
      <c r="BP117" s="151"/>
      <c r="BQ117" s="151"/>
      <c r="BR117" s="151"/>
      <c r="BS117" s="151"/>
      <c r="BT117" s="151"/>
      <c r="BU117" s="151"/>
      <c r="BV117" s="151"/>
      <c r="BW117" s="151"/>
      <c r="BX117" s="151"/>
      <c r="BY117" s="151"/>
      <c r="BZ117" s="151"/>
      <c r="CA117" s="151"/>
    </row>
    <row r="118" spans="2:79" ht="15.75">
      <c r="B118" s="758" t="s">
        <v>622</v>
      </c>
      <c r="C118" s="699"/>
      <c r="D118" s="699"/>
      <c r="E118" s="1057"/>
      <c r="F118" s="1068">
        <f>+F116*F117</f>
        <v>3176472.6963755488</v>
      </c>
      <c r="G118" s="1068">
        <f>+G116*G117</f>
        <v>1992730.1760881236</v>
      </c>
      <c r="H118" s="1068">
        <f>+H116*H117</f>
        <v>1283476.0063621146</v>
      </c>
      <c r="I118" s="699"/>
      <c r="J118" s="114" t="s">
        <v>643</v>
      </c>
      <c r="K118" s="699"/>
      <c r="L118" s="699"/>
      <c r="M118" s="120"/>
      <c r="N118" s="120"/>
      <c r="O118" s="120"/>
      <c r="P118" s="120"/>
      <c r="Q118" s="699"/>
      <c r="R118" s="699"/>
      <c r="S118" s="699"/>
      <c r="T118" s="151"/>
      <c r="U118" s="151"/>
      <c r="V118" s="699"/>
      <c r="W118" s="151"/>
      <c r="X118" s="151"/>
      <c r="Y118" s="151"/>
      <c r="Z118" s="151"/>
      <c r="AA118" s="685" t="s">
        <v>558</v>
      </c>
      <c r="AB118" s="151"/>
      <c r="AC118" s="151"/>
      <c r="AD118" s="735" t="str">
        <f>+IFERROR(AD115/AD116,"")</f>
        <v/>
      </c>
      <c r="AE118" s="736" t="str">
        <f>+IFERROR(AE115/AE116,"")</f>
        <v/>
      </c>
      <c r="AF118" s="736" t="str">
        <f t="shared" ref="AF118:AG118" si="62">+IFERROR(AF115/AF116,"")</f>
        <v/>
      </c>
      <c r="AG118" s="736" t="str">
        <f t="shared" si="62"/>
        <v/>
      </c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  <c r="AU118" s="151"/>
      <c r="AV118" s="151"/>
      <c r="AW118" s="151"/>
      <c r="AX118" s="151"/>
      <c r="AY118" s="151"/>
      <c r="AZ118" s="151"/>
      <c r="BA118" s="151"/>
      <c r="BB118" s="151"/>
      <c r="BC118" s="151"/>
      <c r="BD118" s="151"/>
      <c r="BE118" s="151"/>
      <c r="BF118" s="151"/>
      <c r="BG118" s="151"/>
      <c r="BH118" s="151"/>
      <c r="BI118" s="151"/>
      <c r="BJ118" s="151"/>
      <c r="BK118" s="151"/>
      <c r="BL118" s="151"/>
      <c r="BM118" s="151"/>
      <c r="BN118" s="151"/>
      <c r="BO118" s="151"/>
      <c r="BP118" s="151"/>
      <c r="BQ118" s="151"/>
      <c r="BR118" s="151"/>
      <c r="BS118" s="151"/>
      <c r="BT118" s="151"/>
      <c r="BU118" s="151"/>
      <c r="BV118" s="151"/>
      <c r="BW118" s="151"/>
      <c r="BX118" s="151"/>
      <c r="BY118" s="151"/>
      <c r="BZ118" s="151"/>
      <c r="CA118" s="151"/>
    </row>
    <row r="119" spans="2:79" ht="15.75">
      <c r="B119" s="132" t="s">
        <v>297</v>
      </c>
      <c r="C119" s="699"/>
      <c r="D119" s="699"/>
      <c r="E119" s="644"/>
      <c r="F119" s="644"/>
      <c r="G119" s="644"/>
      <c r="H119" s="644"/>
      <c r="I119" s="699"/>
      <c r="J119" s="115" t="s">
        <v>644</v>
      </c>
      <c r="K119" s="699"/>
      <c r="L119" s="699"/>
      <c r="M119" s="896">
        <v>8.7999999999999995E-2</v>
      </c>
      <c r="N119" s="119">
        <f t="shared" ref="N119:P126" si="63">+$M119</f>
        <v>8.7999999999999995E-2</v>
      </c>
      <c r="O119" s="119">
        <v>7.8E-2</v>
      </c>
      <c r="P119" s="119">
        <v>7.2999999999999995E-2</v>
      </c>
      <c r="Q119" s="699"/>
      <c r="R119" s="699"/>
      <c r="S119" s="699"/>
      <c r="T119" s="151"/>
      <c r="U119" s="151"/>
      <c r="V119" s="699"/>
      <c r="W119" s="151"/>
      <c r="X119" s="151"/>
      <c r="Y119" s="151"/>
      <c r="Z119" s="151"/>
      <c r="AA119" s="685" t="s">
        <v>560</v>
      </c>
      <c r="AB119" s="151"/>
      <c r="AC119" s="151"/>
      <c r="AD119" s="733" t="str">
        <f>+IFERROR(AD115/AD117/12,"")</f>
        <v/>
      </c>
      <c r="AE119" s="732" t="str">
        <f>+IFERROR(AE115/AE117/12,"")</f>
        <v/>
      </c>
      <c r="AF119" s="732" t="str">
        <f t="shared" ref="AF119:AG119" si="64">+IFERROR(AF115/AF117/12,"")</f>
        <v/>
      </c>
      <c r="AG119" s="732" t="str">
        <f t="shared" si="64"/>
        <v/>
      </c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  <c r="AU119" s="151"/>
      <c r="AV119" s="151"/>
      <c r="AW119" s="151"/>
      <c r="AX119" s="151"/>
      <c r="AY119" s="151"/>
      <c r="AZ119" s="151"/>
      <c r="BA119" s="151"/>
      <c r="BB119" s="151"/>
      <c r="BC119" s="151"/>
      <c r="BD119" s="151"/>
      <c r="BE119" s="151"/>
      <c r="BF119" s="151"/>
      <c r="BG119" s="151"/>
      <c r="BH119" s="151"/>
      <c r="BI119" s="151"/>
      <c r="BJ119" s="151"/>
      <c r="BK119" s="151"/>
      <c r="BL119" s="151"/>
      <c r="BM119" s="151"/>
      <c r="BN119" s="151"/>
      <c r="BO119" s="151"/>
      <c r="BP119" s="151"/>
      <c r="BQ119" s="151"/>
      <c r="BR119" s="151"/>
      <c r="BS119" s="151"/>
      <c r="BT119" s="151"/>
      <c r="BU119" s="151"/>
      <c r="BV119" s="151"/>
      <c r="BW119" s="151"/>
      <c r="BX119" s="151"/>
      <c r="BY119" s="151"/>
      <c r="BZ119" s="151"/>
      <c r="CA119" s="151"/>
    </row>
    <row r="120" spans="2:79" ht="15.75">
      <c r="B120" s="758" t="s">
        <v>619</v>
      </c>
      <c r="C120" s="699"/>
      <c r="D120" s="699"/>
      <c r="E120" s="644"/>
      <c r="F120" s="390">
        <f>'Parcel Breakdown'!AO44*0.4</f>
        <v>33780.9</v>
      </c>
      <c r="G120" s="390">
        <f>'Parcel Breakdown'!AO45*0.4</f>
        <v>19393.8</v>
      </c>
      <c r="H120" s="390">
        <f>'Parcel Breakdown'!AO46*0.4</f>
        <v>11774.1</v>
      </c>
      <c r="I120" s="699"/>
      <c r="J120" s="115" t="s">
        <v>645</v>
      </c>
      <c r="K120" s="699"/>
      <c r="L120" s="699"/>
      <c r="M120" s="896">
        <v>1.4999999999999999E-2</v>
      </c>
      <c r="N120" s="119">
        <f t="shared" si="63"/>
        <v>1.4999999999999999E-2</v>
      </c>
      <c r="O120" s="119">
        <v>1.2999999999999999E-2</v>
      </c>
      <c r="P120" s="119">
        <v>1.2E-2</v>
      </c>
      <c r="Q120" s="699"/>
      <c r="R120" s="699"/>
      <c r="S120" s="699"/>
      <c r="T120" s="699"/>
      <c r="U120" s="699"/>
      <c r="V120" s="151"/>
      <c r="W120" s="151"/>
      <c r="X120" s="151"/>
      <c r="Y120" s="151"/>
      <c r="Z120" s="151"/>
      <c r="AA120" s="151"/>
      <c r="AB120" s="151"/>
      <c r="AC120" s="151"/>
      <c r="AD120" s="717"/>
      <c r="AE120" s="717"/>
      <c r="AF120" s="717"/>
      <c r="AG120" s="717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  <c r="AU120" s="151"/>
      <c r="AV120" s="151"/>
      <c r="AW120" s="151"/>
      <c r="AX120" s="151"/>
      <c r="AY120" s="151"/>
      <c r="AZ120" s="151"/>
      <c r="BA120" s="151"/>
      <c r="BB120" s="151"/>
      <c r="BC120" s="151"/>
      <c r="BD120" s="151"/>
      <c r="BE120" s="151"/>
      <c r="BF120" s="151"/>
      <c r="BG120" s="151"/>
      <c r="BH120" s="151"/>
      <c r="BI120" s="151"/>
      <c r="BJ120" s="151"/>
      <c r="BK120" s="151"/>
      <c r="BL120" s="151"/>
      <c r="BM120" s="151"/>
      <c r="BN120" s="151"/>
      <c r="BO120" s="151"/>
      <c r="BP120" s="151"/>
      <c r="BQ120" s="151"/>
      <c r="BR120" s="151"/>
      <c r="BS120" s="151"/>
      <c r="BT120" s="151"/>
      <c r="BU120" s="151"/>
      <c r="BV120" s="151"/>
      <c r="BW120" s="151"/>
      <c r="BX120" s="151"/>
      <c r="BY120" s="151"/>
      <c r="BZ120" s="151"/>
      <c r="CA120" s="151"/>
    </row>
    <row r="121" spans="2:79" ht="15.75">
      <c r="B121" s="758" t="s">
        <v>620</v>
      </c>
      <c r="C121" s="699"/>
      <c r="D121" s="699"/>
      <c r="E121" s="890">
        <v>62.5</v>
      </c>
      <c r="F121" s="891">
        <f>$E121*(1+0.03)^6</f>
        <v>74.628268533062496</v>
      </c>
      <c r="G121" s="891">
        <f>+$F121*(1+0.03)^G$36</f>
        <v>81.548323989327784</v>
      </c>
      <c r="H121" s="891">
        <f>+$F121*(1+0.03)^H$36</f>
        <v>86.514616920277831</v>
      </c>
      <c r="I121" s="699"/>
      <c r="J121" s="115" t="s">
        <v>646</v>
      </c>
      <c r="K121" s="699"/>
      <c r="L121" s="699"/>
      <c r="M121" s="896">
        <v>5.2999999999999999E-2</v>
      </c>
      <c r="N121" s="119">
        <f t="shared" si="63"/>
        <v>5.2999999999999999E-2</v>
      </c>
      <c r="O121" s="119">
        <v>4.2999999999999997E-2</v>
      </c>
      <c r="P121" s="119">
        <v>3.5999999999999997E-2</v>
      </c>
      <c r="Q121" s="699"/>
      <c r="R121" s="699"/>
      <c r="S121" s="699"/>
      <c r="T121" s="699"/>
      <c r="U121" s="699"/>
      <c r="V121" s="151"/>
      <c r="W121" s="151"/>
      <c r="X121" s="151"/>
      <c r="Y121" s="151"/>
      <c r="Z121" s="151"/>
      <c r="AA121" s="1123" t="s">
        <v>647</v>
      </c>
      <c r="AB121" s="1123"/>
      <c r="AC121" s="151"/>
      <c r="AD121" s="778" t="s">
        <v>319</v>
      </c>
      <c r="AE121" s="778" t="str">
        <f>+F$26</f>
        <v>I</v>
      </c>
      <c r="AF121" s="778" t="str">
        <f>+G$26</f>
        <v>II</v>
      </c>
      <c r="AG121" s="778" t="str">
        <f>+H$26</f>
        <v>III</v>
      </c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  <c r="AU121" s="151"/>
      <c r="AV121" s="151"/>
      <c r="AW121" s="151"/>
      <c r="AX121" s="151"/>
      <c r="AY121" s="151"/>
      <c r="AZ121" s="151"/>
      <c r="BA121" s="151"/>
      <c r="BB121" s="151"/>
      <c r="BC121" s="151"/>
      <c r="BD121" s="151"/>
      <c r="BE121" s="151"/>
      <c r="BF121" s="151"/>
      <c r="BG121" s="151"/>
      <c r="BH121" s="151"/>
      <c r="BI121" s="151"/>
      <c r="BJ121" s="151"/>
      <c r="BK121" s="151"/>
      <c r="BL121" s="151"/>
      <c r="BM121" s="151"/>
      <c r="BN121" s="151"/>
      <c r="BO121" s="151"/>
      <c r="BP121" s="151"/>
      <c r="BQ121" s="151"/>
      <c r="BR121" s="151"/>
      <c r="BS121" s="151"/>
      <c r="BT121" s="151"/>
      <c r="BU121" s="151"/>
      <c r="BV121" s="151"/>
      <c r="BW121" s="151"/>
      <c r="BX121" s="151"/>
      <c r="BY121" s="151"/>
      <c r="BZ121" s="151"/>
      <c r="CA121" s="151"/>
    </row>
    <row r="122" spans="2:79" ht="15.75">
      <c r="B122" s="758" t="s">
        <v>622</v>
      </c>
      <c r="C122" s="699"/>
      <c r="D122" s="699"/>
      <c r="E122" s="644"/>
      <c r="F122" s="766">
        <f>+F120*F121</f>
        <v>2521010.0764885312</v>
      </c>
      <c r="G122" s="766">
        <f>+G120*G121</f>
        <v>1581531.8857842251</v>
      </c>
      <c r="H122" s="766">
        <f>+H120*H121</f>
        <v>1018631.7510810433</v>
      </c>
      <c r="I122" s="699"/>
      <c r="J122" s="115" t="s">
        <v>648</v>
      </c>
      <c r="K122" s="699"/>
      <c r="L122" s="699"/>
      <c r="M122" s="896">
        <v>4.8000000000000001E-2</v>
      </c>
      <c r="N122" s="119">
        <f t="shared" si="63"/>
        <v>4.8000000000000001E-2</v>
      </c>
      <c r="O122" s="119">
        <v>4.3999999999999997E-2</v>
      </c>
      <c r="P122" s="119">
        <v>4.2000000000000003E-2</v>
      </c>
      <c r="Q122" s="699"/>
      <c r="R122" s="699"/>
      <c r="S122" s="699"/>
      <c r="T122" s="699"/>
      <c r="U122" s="699"/>
      <c r="V122" s="151"/>
      <c r="W122" s="151"/>
      <c r="X122" s="151"/>
      <c r="Y122" s="151"/>
      <c r="Z122" s="151"/>
      <c r="AA122" s="718" t="s">
        <v>603</v>
      </c>
      <c r="AB122" s="752"/>
      <c r="AC122" s="151"/>
      <c r="AD122" s="778"/>
      <c r="AE122" s="778"/>
      <c r="AF122" s="778"/>
      <c r="AG122" s="778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  <c r="AU122" s="151"/>
      <c r="AV122" s="151"/>
      <c r="AW122" s="151"/>
      <c r="AX122" s="151"/>
      <c r="AY122" s="151"/>
      <c r="AZ122" s="151"/>
      <c r="BA122" s="151"/>
      <c r="BB122" s="151"/>
      <c r="BC122" s="151"/>
      <c r="BD122" s="151"/>
      <c r="BE122" s="151"/>
      <c r="BF122" s="151"/>
      <c r="BG122" s="151"/>
      <c r="BH122" s="151"/>
      <c r="BI122" s="151"/>
      <c r="BJ122" s="151"/>
      <c r="BK122" s="151"/>
      <c r="BL122" s="151"/>
      <c r="BM122" s="151"/>
      <c r="BN122" s="151"/>
      <c r="BO122" s="151"/>
      <c r="BP122" s="151"/>
      <c r="BQ122" s="151"/>
      <c r="BR122" s="151"/>
      <c r="BS122" s="151"/>
      <c r="BT122" s="151"/>
      <c r="BU122" s="151"/>
      <c r="BV122" s="151"/>
      <c r="BW122" s="151"/>
      <c r="BX122" s="151"/>
      <c r="BY122" s="151"/>
      <c r="BZ122" s="151"/>
      <c r="CA122" s="151"/>
    </row>
    <row r="123" spans="2:79" ht="15.75">
      <c r="B123" s="133" t="s">
        <v>649</v>
      </c>
      <c r="C123" s="133"/>
      <c r="D123" s="133"/>
      <c r="E123" s="391">
        <f>+SUM(F123:H123)</f>
        <v>11573852.592179587</v>
      </c>
      <c r="F123" s="1060">
        <f>+F118+F122+AE176</f>
        <v>5697482.77286408</v>
      </c>
      <c r="G123" s="1060">
        <f>+G118+G122+AF176</f>
        <v>3574262.0618723487</v>
      </c>
      <c r="H123" s="1060">
        <f>+H118+H122+AG176</f>
        <v>2302107.757443158</v>
      </c>
      <c r="I123" s="699"/>
      <c r="J123" s="115" t="s">
        <v>650</v>
      </c>
      <c r="K123" s="699"/>
      <c r="L123" s="699"/>
      <c r="M123" s="896">
        <v>2.5999999999999999E-2</v>
      </c>
      <c r="N123" s="119">
        <f t="shared" si="63"/>
        <v>2.5999999999999999E-2</v>
      </c>
      <c r="O123" s="119">
        <v>2.3E-2</v>
      </c>
      <c r="P123" s="119">
        <v>2.1999999999999999E-2</v>
      </c>
      <c r="Q123" s="699"/>
      <c r="R123" s="699"/>
      <c r="S123" s="699"/>
      <c r="T123" s="699"/>
      <c r="U123" s="699"/>
      <c r="V123" s="151"/>
      <c r="W123" s="151"/>
      <c r="X123" s="151"/>
      <c r="Y123" s="151"/>
      <c r="Z123" s="151"/>
      <c r="AA123" s="685" t="s">
        <v>606</v>
      </c>
      <c r="AB123" s="151"/>
      <c r="AC123" s="151"/>
      <c r="AD123" s="717"/>
      <c r="AE123" s="729">
        <f>+'Parcel Breakdown'!BG183</f>
        <v>0</v>
      </c>
      <c r="AF123" s="729">
        <f>+'Parcel Breakdown'!BG184</f>
        <v>0</v>
      </c>
      <c r="AG123" s="729">
        <f>+'Parcel Breakdown'!BG185</f>
        <v>0</v>
      </c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  <c r="AU123" s="151"/>
      <c r="AV123" s="151"/>
      <c r="AW123" s="151"/>
      <c r="AX123" s="151"/>
      <c r="AY123" s="151"/>
      <c r="AZ123" s="151"/>
      <c r="BA123" s="151"/>
      <c r="BB123" s="151"/>
      <c r="BC123" s="151"/>
      <c r="BD123" s="151"/>
      <c r="BE123" s="151"/>
      <c r="BF123" s="151"/>
      <c r="BG123" s="151"/>
      <c r="BH123" s="151"/>
      <c r="BI123" s="151"/>
      <c r="BJ123" s="151"/>
      <c r="BK123" s="151"/>
      <c r="BL123" s="151"/>
      <c r="BM123" s="151"/>
      <c r="BN123" s="151"/>
      <c r="BO123" s="151"/>
      <c r="BP123" s="151"/>
      <c r="BQ123" s="151"/>
      <c r="BR123" s="151"/>
      <c r="BS123" s="151"/>
      <c r="BT123" s="151"/>
      <c r="BU123" s="151"/>
      <c r="BV123" s="151"/>
      <c r="BW123" s="151"/>
      <c r="BX123" s="151"/>
      <c r="BY123" s="151"/>
      <c r="BZ123" s="151"/>
      <c r="CA123" s="151"/>
    </row>
    <row r="124" spans="2:79" ht="15.75">
      <c r="B124" s="758" t="s">
        <v>528</v>
      </c>
      <c r="C124" s="699"/>
      <c r="D124" s="699"/>
      <c r="E124" s="392">
        <f>+SUM(F124:H124)</f>
        <v>162372</v>
      </c>
      <c r="F124" s="1058">
        <f>+F116+F120</f>
        <v>84452.25</v>
      </c>
      <c r="G124" s="1058">
        <f>+G116+G120</f>
        <v>48484.5</v>
      </c>
      <c r="H124" s="1058">
        <f>+H116+H120</f>
        <v>29435.25</v>
      </c>
      <c r="I124" s="699"/>
      <c r="J124" s="115" t="s">
        <v>651</v>
      </c>
      <c r="K124" s="699"/>
      <c r="L124" s="699"/>
      <c r="M124" s="896">
        <v>2.4E-2</v>
      </c>
      <c r="N124" s="119">
        <f t="shared" si="63"/>
        <v>2.4E-2</v>
      </c>
      <c r="O124" s="119">
        <f t="shared" si="63"/>
        <v>2.4E-2</v>
      </c>
      <c r="P124" s="119">
        <v>2.5000000000000001E-2</v>
      </c>
      <c r="Q124" s="699"/>
      <c r="R124" s="699"/>
      <c r="S124" s="699"/>
      <c r="T124" s="699"/>
      <c r="U124" s="699"/>
      <c r="V124" s="151"/>
      <c r="W124" s="151"/>
      <c r="X124" s="151"/>
      <c r="Y124" s="151"/>
      <c r="Z124" s="151"/>
      <c r="AA124" s="848" t="s">
        <v>515</v>
      </c>
      <c r="AB124" s="151"/>
      <c r="AC124" s="151"/>
      <c r="AD124" s="730">
        <v>650</v>
      </c>
      <c r="AE124" s="731">
        <f>+$AD124</f>
        <v>650</v>
      </c>
      <c r="AF124" s="731">
        <f>+$AD124</f>
        <v>650</v>
      </c>
      <c r="AG124" s="731">
        <f>+$AD124</f>
        <v>650</v>
      </c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  <c r="AU124" s="151"/>
      <c r="AV124" s="151"/>
      <c r="AW124" s="151"/>
      <c r="AX124" s="151"/>
      <c r="AY124" s="151"/>
      <c r="AZ124" s="151"/>
      <c r="BA124" s="151"/>
      <c r="BB124" s="151"/>
      <c r="BC124" s="151"/>
      <c r="BD124" s="151"/>
      <c r="BE124" s="151"/>
      <c r="BF124" s="151"/>
      <c r="BG124" s="151"/>
      <c r="BH124" s="151"/>
      <c r="BI124" s="151"/>
      <c r="BJ124" s="151"/>
      <c r="BK124" s="151"/>
      <c r="BL124" s="151"/>
      <c r="BM124" s="151"/>
      <c r="BN124" s="151"/>
      <c r="BO124" s="151"/>
      <c r="BP124" s="151"/>
      <c r="BQ124" s="151"/>
      <c r="BR124" s="151"/>
      <c r="BS124" s="151"/>
      <c r="BT124" s="151"/>
      <c r="BU124" s="151"/>
      <c r="BV124" s="151"/>
      <c r="BW124" s="151"/>
      <c r="BX124" s="151"/>
      <c r="BY124" s="151"/>
      <c r="BZ124" s="151"/>
      <c r="CA124" s="151"/>
    </row>
    <row r="125" spans="2:79" ht="15.75">
      <c r="B125" s="1062" t="s">
        <v>634</v>
      </c>
      <c r="C125" s="1029"/>
      <c r="D125" s="1029"/>
      <c r="E125" s="1070">
        <f>+IFERROR(E123/E124,"")</f>
        <v>71.27985485292777</v>
      </c>
      <c r="F125" s="1070">
        <f>+IFERROR(F123/F124,"")</f>
        <v>67.463954753888501</v>
      </c>
      <c r="G125" s="1070">
        <f>+IFERROR(G123/G124,"")</f>
        <v>73.719684886352312</v>
      </c>
      <c r="H125" s="1070">
        <f>+IFERROR(H123/H124,"")</f>
        <v>78.209213695931169</v>
      </c>
      <c r="I125" s="699"/>
      <c r="J125" s="115" t="s">
        <v>652</v>
      </c>
      <c r="K125" s="699"/>
      <c r="L125" s="699"/>
      <c r="M125" s="896">
        <v>5.0000000000000001E-3</v>
      </c>
      <c r="N125" s="119">
        <f t="shared" si="63"/>
        <v>5.0000000000000001E-3</v>
      </c>
      <c r="O125" s="119">
        <f t="shared" si="63"/>
        <v>5.0000000000000001E-3</v>
      </c>
      <c r="P125" s="119">
        <v>0.4</v>
      </c>
      <c r="Q125" s="699"/>
      <c r="R125" s="699"/>
      <c r="S125" s="699"/>
      <c r="T125" s="699"/>
      <c r="U125" s="699"/>
      <c r="V125" s="151"/>
      <c r="W125" s="151"/>
      <c r="X125" s="151"/>
      <c r="Y125" s="151"/>
      <c r="Z125" s="151"/>
      <c r="AA125" s="848" t="s">
        <v>268</v>
      </c>
      <c r="AB125" s="151"/>
      <c r="AC125" s="151"/>
      <c r="AD125" s="717"/>
      <c r="AE125" s="686">
        <f>(AE126*12)/AE124</f>
        <v>84.92307692307692</v>
      </c>
      <c r="AF125" s="686">
        <f t="shared" ref="AF125:AG125" si="65">(AF126*12)/AF124</f>
        <v>90.121048615384609</v>
      </c>
      <c r="AG125" s="686">
        <f t="shared" si="65"/>
        <v>93.761938979446157</v>
      </c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  <c r="AU125" s="151"/>
      <c r="AV125" s="151"/>
      <c r="AW125" s="151"/>
      <c r="AX125" s="151"/>
      <c r="AY125" s="151"/>
      <c r="AZ125" s="151"/>
      <c r="BA125" s="151"/>
      <c r="BB125" s="151"/>
      <c r="BC125" s="151"/>
      <c r="BD125" s="151"/>
      <c r="BE125" s="151"/>
      <c r="BF125" s="151"/>
      <c r="BG125" s="151"/>
      <c r="BH125" s="151"/>
      <c r="BI125" s="151"/>
      <c r="BJ125" s="151"/>
      <c r="BK125" s="151"/>
      <c r="BL125" s="151"/>
      <c r="BM125" s="151"/>
      <c r="BN125" s="151"/>
      <c r="BO125" s="151"/>
      <c r="BP125" s="151"/>
      <c r="BQ125" s="151"/>
      <c r="BR125" s="151"/>
      <c r="BS125" s="151"/>
      <c r="BT125" s="151"/>
      <c r="BU125" s="151"/>
      <c r="BV125" s="151"/>
      <c r="BW125" s="151"/>
      <c r="BX125" s="151"/>
      <c r="BY125" s="151"/>
      <c r="BZ125" s="151"/>
      <c r="CA125" s="151"/>
    </row>
    <row r="126" spans="2:79" ht="15.75">
      <c r="B126" s="699"/>
      <c r="C126" s="699"/>
      <c r="D126" s="699"/>
      <c r="E126" s="1057"/>
      <c r="F126" s="699"/>
      <c r="G126" s="699"/>
      <c r="H126" s="699"/>
      <c r="I126" s="699"/>
      <c r="J126" s="115" t="s">
        <v>653</v>
      </c>
      <c r="K126" s="699"/>
      <c r="L126" s="699"/>
      <c r="M126" s="896">
        <v>0.03</v>
      </c>
      <c r="N126" s="119">
        <f t="shared" si="63"/>
        <v>0.03</v>
      </c>
      <c r="O126" s="119">
        <f t="shared" si="63"/>
        <v>0.03</v>
      </c>
      <c r="P126" s="119">
        <f t="shared" si="63"/>
        <v>0.03</v>
      </c>
      <c r="Q126" s="699"/>
      <c r="R126" s="699"/>
      <c r="S126" s="699"/>
      <c r="T126" s="699"/>
      <c r="U126" s="699"/>
      <c r="V126" s="151"/>
      <c r="W126" s="151"/>
      <c r="X126" s="151"/>
      <c r="Y126" s="151"/>
      <c r="Z126" s="151"/>
      <c r="AA126" s="848" t="s">
        <v>516</v>
      </c>
      <c r="AB126" s="151"/>
      <c r="AC126" s="151"/>
      <c r="AD126" s="717"/>
      <c r="AE126" s="731">
        <v>4600</v>
      </c>
      <c r="AF126" s="731">
        <f>+$AE126*(1+0.02)^G$36</f>
        <v>4881.5567999999994</v>
      </c>
      <c r="AG126" s="731">
        <f>+$AE126*(1+0.02)^H$36</f>
        <v>5078.7716947199997</v>
      </c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  <c r="AU126" s="151"/>
      <c r="AV126" s="151"/>
      <c r="AW126" s="151"/>
      <c r="AX126" s="151"/>
      <c r="AY126" s="151"/>
      <c r="AZ126" s="151"/>
      <c r="BA126" s="151"/>
      <c r="BB126" s="151"/>
      <c r="BC126" s="151"/>
      <c r="BD126" s="151"/>
      <c r="BE126" s="151"/>
      <c r="BF126" s="151"/>
      <c r="BG126" s="151"/>
      <c r="BH126" s="151"/>
      <c r="BI126" s="151"/>
      <c r="BJ126" s="151"/>
      <c r="BK126" s="151"/>
      <c r="BL126" s="151"/>
      <c r="BM126" s="151"/>
      <c r="BN126" s="151"/>
      <c r="BO126" s="151"/>
      <c r="BP126" s="151"/>
      <c r="BQ126" s="151"/>
      <c r="BR126" s="151"/>
      <c r="BS126" s="151"/>
      <c r="BT126" s="151"/>
      <c r="BU126" s="151"/>
      <c r="BV126" s="151"/>
      <c r="BW126" s="151"/>
      <c r="BX126" s="151"/>
      <c r="BY126" s="151"/>
      <c r="BZ126" s="151"/>
      <c r="CA126" s="151"/>
    </row>
    <row r="127" spans="2:79" ht="16.5" thickBot="1">
      <c r="B127" s="1121" t="s">
        <v>288</v>
      </c>
      <c r="C127" s="1121"/>
      <c r="D127" s="699"/>
      <c r="E127" s="199"/>
      <c r="F127" s="779"/>
      <c r="G127" s="779"/>
      <c r="H127" s="779"/>
      <c r="I127" s="699"/>
      <c r="J127" s="116" t="s">
        <v>654</v>
      </c>
      <c r="K127" s="699"/>
      <c r="L127" s="699"/>
      <c r="M127" s="120"/>
      <c r="N127" s="120"/>
      <c r="O127" s="120"/>
      <c r="P127" s="120"/>
      <c r="Q127" s="699"/>
      <c r="R127" s="699"/>
      <c r="S127" s="699"/>
      <c r="T127" s="699"/>
      <c r="U127" s="699"/>
      <c r="V127" s="151"/>
      <c r="W127" s="151"/>
      <c r="X127" s="151"/>
      <c r="Y127" s="151"/>
      <c r="Z127" s="151"/>
      <c r="AA127" s="685" t="s">
        <v>610</v>
      </c>
      <c r="AB127" s="151"/>
      <c r="AC127" s="151"/>
      <c r="AD127" s="717"/>
      <c r="AE127" s="729">
        <f>+'Parcel Breakdown'!BI183</f>
        <v>0</v>
      </c>
      <c r="AF127" s="729">
        <f>+'Parcel Breakdown'!BI184</f>
        <v>0</v>
      </c>
      <c r="AG127" s="729">
        <f>+'Parcel Breakdown'!BI185</f>
        <v>0</v>
      </c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  <c r="AU127" s="151"/>
      <c r="AV127" s="151"/>
      <c r="AW127" s="151"/>
      <c r="AX127" s="151"/>
      <c r="AY127" s="151"/>
      <c r="AZ127" s="151"/>
      <c r="BA127" s="151"/>
      <c r="BB127" s="151"/>
      <c r="BC127" s="151"/>
      <c r="BD127" s="151"/>
      <c r="BE127" s="151"/>
      <c r="BF127" s="151"/>
      <c r="BG127" s="151"/>
      <c r="BH127" s="151"/>
      <c r="BI127" s="151"/>
      <c r="BJ127" s="151"/>
      <c r="BK127" s="151"/>
      <c r="BL127" s="151"/>
      <c r="BM127" s="151"/>
      <c r="BN127" s="151"/>
      <c r="BO127" s="151"/>
      <c r="BP127" s="151"/>
      <c r="BQ127" s="151"/>
      <c r="BR127" s="151"/>
      <c r="BS127" s="151"/>
      <c r="BT127" s="151"/>
      <c r="BU127" s="151"/>
      <c r="BV127" s="151"/>
      <c r="BW127" s="151"/>
      <c r="BX127" s="151"/>
      <c r="BY127" s="151"/>
      <c r="BZ127" s="151"/>
      <c r="CA127" s="151"/>
    </row>
    <row r="128" spans="2:79" ht="15.75">
      <c r="B128" s="413" t="s">
        <v>273</v>
      </c>
      <c r="C128" s="699"/>
      <c r="D128" s="699"/>
      <c r="E128" s="1057"/>
      <c r="F128" s="369">
        <f>+'Parcel Breakdown'!$AN$80</f>
        <v>13.570415625000004</v>
      </c>
      <c r="G128" s="369">
        <f>+'Parcel Breakdown'!$AN$81</f>
        <v>9.8518671874999999</v>
      </c>
      <c r="H128" s="369">
        <f>+'Parcel Breakdown'!$AN$82</f>
        <v>0</v>
      </c>
      <c r="I128" s="699"/>
      <c r="J128" s="115" t="s">
        <v>655</v>
      </c>
      <c r="K128" s="699"/>
      <c r="L128" s="699"/>
      <c r="M128" s="896">
        <v>2.5000000000000001E-2</v>
      </c>
      <c r="N128" s="119">
        <f>+$M128</f>
        <v>2.5000000000000001E-2</v>
      </c>
      <c r="O128" s="119">
        <f t="shared" ref="O128:P128" si="66">+$M128</f>
        <v>2.5000000000000001E-2</v>
      </c>
      <c r="P128" s="119">
        <f t="shared" si="66"/>
        <v>2.5000000000000001E-2</v>
      </c>
      <c r="Q128" s="699"/>
      <c r="R128" s="699"/>
      <c r="S128" s="699"/>
      <c r="T128" s="699"/>
      <c r="U128" s="699"/>
      <c r="V128" s="151"/>
      <c r="W128" s="151"/>
      <c r="X128" s="151"/>
      <c r="Y128" s="151"/>
      <c r="Z128" s="151"/>
      <c r="AA128" s="848" t="s">
        <v>515</v>
      </c>
      <c r="AB128" s="151"/>
      <c r="AC128" s="151"/>
      <c r="AD128" s="730">
        <v>1000</v>
      </c>
      <c r="AE128" s="731">
        <f>+$AD128</f>
        <v>1000</v>
      </c>
      <c r="AF128" s="731">
        <f>+$AD128</f>
        <v>1000</v>
      </c>
      <c r="AG128" s="731">
        <f>+$AD128</f>
        <v>1000</v>
      </c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  <c r="AU128" s="151"/>
      <c r="AV128" s="151"/>
      <c r="AW128" s="151"/>
      <c r="AX128" s="151"/>
      <c r="AY128" s="151"/>
      <c r="AZ128" s="151"/>
      <c r="BA128" s="151"/>
      <c r="BB128" s="151"/>
      <c r="BC128" s="151"/>
      <c r="BD128" s="151"/>
      <c r="BE128" s="151"/>
      <c r="BF128" s="151"/>
      <c r="BG128" s="151"/>
      <c r="BH128" s="151"/>
      <c r="BI128" s="151"/>
      <c r="BJ128" s="151"/>
      <c r="BK128" s="151"/>
      <c r="BL128" s="151"/>
      <c r="BM128" s="151"/>
      <c r="BN128" s="151"/>
      <c r="BO128" s="151"/>
      <c r="BP128" s="151"/>
      <c r="BQ128" s="151"/>
      <c r="BR128" s="151"/>
      <c r="BS128" s="151"/>
      <c r="BT128" s="151"/>
      <c r="BU128" s="151"/>
      <c r="BV128" s="151"/>
      <c r="BW128" s="151"/>
      <c r="BX128" s="151"/>
      <c r="BY128" s="151"/>
      <c r="BZ128" s="151"/>
      <c r="CA128" s="151"/>
    </row>
    <row r="129" spans="1:79" ht="15.75">
      <c r="A129" s="1047"/>
      <c r="B129" s="758" t="s">
        <v>515</v>
      </c>
      <c r="C129" s="699"/>
      <c r="D129" s="699"/>
      <c r="E129" s="385">
        <f>+E148</f>
        <v>1200</v>
      </c>
      <c r="F129" s="1058">
        <f>+$E129</f>
        <v>1200</v>
      </c>
      <c r="G129" s="1058">
        <f>+$E129</f>
        <v>1200</v>
      </c>
      <c r="H129" s="1058">
        <f>+$E129</f>
        <v>1200</v>
      </c>
      <c r="I129" s="699"/>
      <c r="J129" s="116" t="s">
        <v>656</v>
      </c>
      <c r="K129" s="699"/>
      <c r="L129" s="699"/>
      <c r="M129" s="120"/>
      <c r="N129" s="120"/>
      <c r="O129" s="120"/>
      <c r="P129" s="120"/>
      <c r="Q129" s="699"/>
      <c r="R129" s="699"/>
      <c r="S129" s="699"/>
      <c r="T129" s="699"/>
      <c r="U129" s="699"/>
      <c r="V129" s="151"/>
      <c r="W129" s="151"/>
      <c r="X129" s="151"/>
      <c r="Y129" s="151"/>
      <c r="Z129" s="151"/>
      <c r="AA129" s="848" t="s">
        <v>268</v>
      </c>
      <c r="AB129" s="151"/>
      <c r="AC129" s="151"/>
      <c r="AD129" s="717"/>
      <c r="AE129" s="686">
        <f>(AE130*12)/AE128</f>
        <v>67.5</v>
      </c>
      <c r="AF129" s="686">
        <f t="shared" ref="AF129:AG129" si="67">(AF130*12)/AF128</f>
        <v>71.631539999999987</v>
      </c>
      <c r="AG129" s="686">
        <f t="shared" si="67"/>
        <v>74.525454216000014</v>
      </c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  <c r="AU129" s="151"/>
      <c r="AV129" s="151"/>
      <c r="AW129" s="151"/>
      <c r="AX129" s="151"/>
      <c r="AY129" s="151"/>
      <c r="AZ129" s="151"/>
      <c r="BA129" s="151"/>
      <c r="BB129" s="151"/>
      <c r="BC129" s="151"/>
      <c r="BD129" s="151"/>
      <c r="BE129" s="151"/>
      <c r="BF129" s="151"/>
      <c r="BG129" s="151"/>
      <c r="BH129" s="151"/>
      <c r="BI129" s="151"/>
      <c r="BJ129" s="151"/>
      <c r="BK129" s="151"/>
      <c r="BL129" s="151"/>
      <c r="BM129" s="151"/>
      <c r="BN129" s="151"/>
      <c r="BO129" s="151"/>
      <c r="BP129" s="151"/>
      <c r="BQ129" s="151"/>
      <c r="BR129" s="151"/>
      <c r="BS129" s="151"/>
      <c r="BT129" s="151"/>
      <c r="BU129" s="151"/>
      <c r="BV129" s="151"/>
      <c r="BW129" s="151"/>
      <c r="BX129" s="151"/>
      <c r="BY129" s="151"/>
      <c r="BZ129" s="151"/>
      <c r="CA129" s="151"/>
    </row>
    <row r="130" spans="1:79" ht="15.75">
      <c r="A130" s="1047" t="s">
        <v>511</v>
      </c>
      <c r="B130" s="758" t="s">
        <v>281</v>
      </c>
      <c r="C130" s="699"/>
      <c r="D130" s="699"/>
      <c r="E130" s="1057"/>
      <c r="F130" s="1068">
        <f>(F131*F129)</f>
        <v>252973.11359493044</v>
      </c>
      <c r="G130" s="1068">
        <f>(G131*G129)</f>
        <v>276430.55149924755</v>
      </c>
      <c r="H130" s="1068">
        <f>(H131*H129)</f>
        <v>293265.17208555166</v>
      </c>
      <c r="I130" s="699"/>
      <c r="J130" s="115" t="s">
        <v>657</v>
      </c>
      <c r="K130" s="699"/>
      <c r="L130" s="699"/>
      <c r="M130" s="896">
        <v>0.35</v>
      </c>
      <c r="N130" s="119">
        <f>+$M130</f>
        <v>0.35</v>
      </c>
      <c r="O130" s="119">
        <f t="shared" ref="O130:P130" si="68">+$M130</f>
        <v>0.35</v>
      </c>
      <c r="P130" s="119">
        <f t="shared" si="68"/>
        <v>0.35</v>
      </c>
      <c r="Q130" s="699"/>
      <c r="R130" s="699"/>
      <c r="S130" s="699"/>
      <c r="T130" s="699"/>
      <c r="U130" s="699"/>
      <c r="V130" s="151"/>
      <c r="W130" s="151"/>
      <c r="X130" s="151"/>
      <c r="Y130" s="151"/>
      <c r="Z130" s="151"/>
      <c r="AA130" s="848" t="s">
        <v>516</v>
      </c>
      <c r="AB130" s="151"/>
      <c r="AC130" s="151"/>
      <c r="AD130" s="717"/>
      <c r="AE130" s="731">
        <v>5625</v>
      </c>
      <c r="AF130" s="731">
        <f>+$AE130*(1+0.02)^G$36</f>
        <v>5969.2949999999992</v>
      </c>
      <c r="AG130" s="731">
        <f>+$AE130*(1+0.02)^H$36</f>
        <v>6210.4545180000005</v>
      </c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  <c r="AU130" s="151"/>
      <c r="AV130" s="151"/>
      <c r="AW130" s="151"/>
      <c r="AX130" s="151"/>
      <c r="AY130" s="151"/>
      <c r="AZ130" s="151"/>
      <c r="BA130" s="151"/>
      <c r="BB130" s="151"/>
      <c r="BC130" s="151"/>
      <c r="BD130" s="151"/>
      <c r="BE130" s="151"/>
      <c r="BF130" s="151"/>
      <c r="BG130" s="151"/>
      <c r="BH130" s="151"/>
      <c r="BI130" s="151"/>
      <c r="BJ130" s="151"/>
      <c r="BK130" s="151"/>
      <c r="BL130" s="151"/>
      <c r="BM130" s="151"/>
      <c r="BN130" s="151"/>
      <c r="BO130" s="151"/>
      <c r="BP130" s="151"/>
      <c r="BQ130" s="151"/>
      <c r="BR130" s="151"/>
      <c r="BS130" s="151"/>
      <c r="BT130" s="151"/>
      <c r="BU130" s="151"/>
      <c r="BV130" s="151"/>
      <c r="BW130" s="151"/>
      <c r="BX130" s="151"/>
      <c r="BY130" s="151"/>
      <c r="BZ130" s="151"/>
      <c r="CA130" s="151"/>
    </row>
    <row r="131" spans="1:79" ht="15.75">
      <c r="A131" s="1047"/>
      <c r="B131" s="758" t="s">
        <v>658</v>
      </c>
      <c r="C131" s="699"/>
      <c r="D131" s="699"/>
      <c r="E131" s="1057"/>
      <c r="F131" s="371">
        <f>211861*(1+0.03)^6/F129</f>
        <v>210.81092799577536</v>
      </c>
      <c r="G131" s="371">
        <f>+$F131*(1+0.03)^G$36</f>
        <v>230.35879291603962</v>
      </c>
      <c r="H131" s="371">
        <f>+$F131*(1+0.03)^H$36</f>
        <v>244.3876434046264</v>
      </c>
      <c r="I131" s="699"/>
      <c r="J131" s="699"/>
      <c r="K131" s="699"/>
      <c r="L131" s="699"/>
      <c r="M131" s="699"/>
      <c r="N131" s="699"/>
      <c r="O131" s="699"/>
      <c r="P131" s="699"/>
      <c r="Q131" s="699"/>
      <c r="R131" s="699"/>
      <c r="S131" s="699"/>
      <c r="T131" s="699"/>
      <c r="U131" s="699"/>
      <c r="V131" s="699"/>
      <c r="W131" s="151"/>
      <c r="X131" s="151"/>
      <c r="Y131" s="151"/>
      <c r="Z131" s="151"/>
      <c r="AA131" s="847" t="s">
        <v>615</v>
      </c>
      <c r="AB131" s="151"/>
      <c r="AC131" s="151"/>
      <c r="AD131" s="717"/>
      <c r="AE131" s="731"/>
      <c r="AF131" s="731"/>
      <c r="AG131" s="73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  <c r="AU131" s="151"/>
      <c r="AV131" s="151"/>
      <c r="AW131" s="151"/>
      <c r="AX131" s="151"/>
      <c r="AY131" s="151"/>
      <c r="AZ131" s="151"/>
      <c r="BA131" s="151"/>
      <c r="BB131" s="151"/>
      <c r="BC131" s="151"/>
      <c r="BD131" s="151"/>
      <c r="BE131" s="151"/>
      <c r="BF131" s="151"/>
      <c r="BG131" s="151"/>
      <c r="BH131" s="151"/>
      <c r="BI131" s="151"/>
      <c r="BJ131" s="151"/>
      <c r="BK131" s="151"/>
      <c r="BL131" s="151"/>
      <c r="BM131" s="151"/>
      <c r="BN131" s="151"/>
      <c r="BO131" s="151"/>
      <c r="BP131" s="151"/>
      <c r="BQ131" s="151"/>
      <c r="BR131" s="151"/>
      <c r="BS131" s="151"/>
      <c r="BT131" s="151"/>
      <c r="BU131" s="151"/>
      <c r="BV131" s="151"/>
      <c r="BW131" s="151"/>
      <c r="BX131" s="151"/>
      <c r="BY131" s="151"/>
      <c r="BZ131" s="151"/>
      <c r="CA131" s="151"/>
    </row>
    <row r="132" spans="1:79" ht="16.5" thickBot="1">
      <c r="A132" s="1047"/>
      <c r="B132" s="413" t="s">
        <v>274</v>
      </c>
      <c r="C132" s="699"/>
      <c r="D132" s="699"/>
      <c r="E132" s="1057"/>
      <c r="F132" s="369">
        <f>+'Parcel Breakdown'!$AP$80</f>
        <v>5.8457175000000001</v>
      </c>
      <c r="G132" s="369">
        <f>+'Parcel Breakdown'!$AP$81</f>
        <v>4.2438812499999994</v>
      </c>
      <c r="H132" s="369">
        <f>+'Parcel Breakdown'!$AP$82</f>
        <v>18.648800000000001</v>
      </c>
      <c r="I132" s="699"/>
      <c r="J132" s="1125" t="s">
        <v>275</v>
      </c>
      <c r="K132" s="1125"/>
      <c r="L132" s="1125"/>
      <c r="M132" s="349" t="str">
        <f>+M25</f>
        <v xml:space="preserve">Global </v>
      </c>
      <c r="N132" s="349" t="str">
        <f>+F$26</f>
        <v>I</v>
      </c>
      <c r="O132" s="349" t="str">
        <f>+G$26</f>
        <v>II</v>
      </c>
      <c r="P132" s="349" t="str">
        <f>+H$26</f>
        <v>III</v>
      </c>
      <c r="Q132" s="699"/>
      <c r="R132" s="699"/>
      <c r="S132" s="699"/>
      <c r="T132" s="699"/>
      <c r="U132" s="699"/>
      <c r="V132" s="699"/>
      <c r="W132" s="151"/>
      <c r="X132" s="151"/>
      <c r="Y132" s="151"/>
      <c r="Z132" s="151"/>
      <c r="AA132" s="685" t="s">
        <v>618</v>
      </c>
      <c r="AB132" s="151"/>
      <c r="AC132" s="151"/>
      <c r="AD132" s="717"/>
      <c r="AE132" s="729">
        <f>+'Parcel Breakdown'!BK183</f>
        <v>0</v>
      </c>
      <c r="AF132" s="729">
        <f>+'Parcel Breakdown'!BK184</f>
        <v>0</v>
      </c>
      <c r="AG132" s="729">
        <f>+'Parcel Breakdown'!BK185</f>
        <v>0</v>
      </c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  <c r="AU132" s="151"/>
      <c r="AV132" s="151"/>
      <c r="AW132" s="151"/>
      <c r="AX132" s="151"/>
      <c r="AY132" s="151"/>
      <c r="AZ132" s="151"/>
      <c r="BA132" s="151"/>
      <c r="BB132" s="151"/>
      <c r="BC132" s="151"/>
      <c r="BD132" s="151"/>
      <c r="BE132" s="151"/>
      <c r="BF132" s="151"/>
      <c r="BG132" s="151"/>
      <c r="BH132" s="151"/>
      <c r="BI132" s="151"/>
      <c r="BJ132" s="151"/>
      <c r="BK132" s="151"/>
      <c r="BL132" s="151"/>
      <c r="BM132" s="151"/>
      <c r="BN132" s="151"/>
      <c r="BO132" s="151"/>
      <c r="BP132" s="151"/>
      <c r="BQ132" s="151"/>
      <c r="BR132" s="151"/>
      <c r="BS132" s="151"/>
      <c r="BT132" s="151"/>
      <c r="BU132" s="151"/>
      <c r="BV132" s="151"/>
      <c r="BW132" s="151"/>
      <c r="BX132" s="151"/>
      <c r="BY132" s="151"/>
      <c r="BZ132" s="151"/>
      <c r="CA132" s="151"/>
    </row>
    <row r="133" spans="1:79" ht="15.75">
      <c r="A133" s="1047"/>
      <c r="B133" s="758" t="s">
        <v>515</v>
      </c>
      <c r="C133" s="699"/>
      <c r="D133" s="699"/>
      <c r="E133" s="385">
        <f>+E152</f>
        <v>1500</v>
      </c>
      <c r="F133" s="1058">
        <f>+$E133</f>
        <v>1500</v>
      </c>
      <c r="G133" s="1058">
        <f>+$E133</f>
        <v>1500</v>
      </c>
      <c r="H133" s="1058">
        <f>+$E133</f>
        <v>1500</v>
      </c>
      <c r="I133" s="699"/>
      <c r="J133" s="699" t="s">
        <v>659</v>
      </c>
      <c r="K133" s="699"/>
      <c r="L133" s="699"/>
      <c r="M133" s="699"/>
      <c r="N133" s="127">
        <v>0.02</v>
      </c>
      <c r="O133" s="127">
        <v>0.02</v>
      </c>
      <c r="P133" s="127">
        <v>0.02</v>
      </c>
      <c r="Q133" s="699"/>
      <c r="R133" s="699"/>
      <c r="S133" s="699"/>
      <c r="T133" s="699"/>
      <c r="U133" s="699"/>
      <c r="V133" s="699"/>
      <c r="W133" s="151"/>
      <c r="X133" s="151"/>
      <c r="Y133" s="151"/>
      <c r="Z133" s="151"/>
      <c r="AA133" s="848" t="s">
        <v>515</v>
      </c>
      <c r="AB133" s="151"/>
      <c r="AC133" s="151"/>
      <c r="AD133" s="730">
        <v>650</v>
      </c>
      <c r="AE133" s="731">
        <f>+$AD133</f>
        <v>650</v>
      </c>
      <c r="AF133" s="731">
        <f>+$AD133</f>
        <v>650</v>
      </c>
      <c r="AG133" s="731">
        <f>+$AD133</f>
        <v>650</v>
      </c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  <c r="AU133" s="151"/>
      <c r="AV133" s="151"/>
      <c r="AW133" s="151"/>
      <c r="AX133" s="151"/>
      <c r="AY133" s="151"/>
      <c r="AZ133" s="151"/>
      <c r="BA133" s="151"/>
      <c r="BB133" s="151"/>
      <c r="BC133" s="151"/>
      <c r="BD133" s="151"/>
      <c r="BE133" s="151"/>
      <c r="BF133" s="151"/>
      <c r="BG133" s="151"/>
      <c r="BH133" s="151"/>
      <c r="BI133" s="151"/>
      <c r="BJ133" s="151"/>
      <c r="BK133" s="151"/>
      <c r="BL133" s="151"/>
      <c r="BM133" s="151"/>
      <c r="BN133" s="151"/>
      <c r="BO133" s="151"/>
      <c r="BP133" s="151"/>
      <c r="BQ133" s="151"/>
      <c r="BR133" s="151"/>
      <c r="BS133" s="151"/>
      <c r="BT133" s="151"/>
      <c r="BU133" s="151"/>
      <c r="BV133" s="151"/>
      <c r="BW133" s="151"/>
      <c r="BX133" s="151"/>
      <c r="BY133" s="151"/>
      <c r="BZ133" s="151"/>
      <c r="CA133" s="151"/>
    </row>
    <row r="134" spans="1:79" ht="15.75">
      <c r="A134" s="1047"/>
      <c r="B134" s="758" t="s">
        <v>281</v>
      </c>
      <c r="C134" s="699"/>
      <c r="D134" s="699"/>
      <c r="E134" s="1057"/>
      <c r="F134" s="1068">
        <f>(F135*F133)</f>
        <v>269816.41528976854</v>
      </c>
      <c r="G134" s="1068">
        <f>(G135*G133)</f>
        <v>294835.68203034293</v>
      </c>
      <c r="H134" s="1068">
        <f>(H135*H133)</f>
        <v>312791.17506599077</v>
      </c>
      <c r="I134" s="699"/>
      <c r="J134" s="758"/>
      <c r="K134" s="699"/>
      <c r="L134" s="699"/>
      <c r="M134" s="18"/>
      <c r="N134" s="1058"/>
      <c r="O134" s="1058"/>
      <c r="P134" s="1058"/>
      <c r="Q134" s="699"/>
      <c r="R134" s="699"/>
      <c r="S134" s="699"/>
      <c r="T134" s="699"/>
      <c r="U134" s="699"/>
      <c r="V134" s="699"/>
      <c r="W134" s="151"/>
      <c r="X134" s="151"/>
      <c r="Y134" s="151"/>
      <c r="Z134" s="151"/>
      <c r="AA134" s="848" t="s">
        <v>268</v>
      </c>
      <c r="AB134" s="151"/>
      <c r="AC134" s="151"/>
      <c r="AD134" s="717"/>
      <c r="AE134" s="686">
        <f>(AE135*12)/AE133</f>
        <v>82.15384615384616</v>
      </c>
      <c r="AF134" s="686">
        <f t="shared" ref="AF134:AG134" si="69">(AF135*12)/AF133</f>
        <v>87.182318769230761</v>
      </c>
      <c r="AG134" s="686">
        <f t="shared" si="69"/>
        <v>90.704484447507696</v>
      </c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  <c r="AU134" s="151"/>
      <c r="AV134" s="151"/>
      <c r="AW134" s="151"/>
      <c r="AX134" s="151"/>
      <c r="AY134" s="151"/>
      <c r="AZ134" s="151"/>
      <c r="BA134" s="151"/>
      <c r="BB134" s="151"/>
      <c r="BC134" s="151"/>
      <c r="BD134" s="151"/>
      <c r="BE134" s="151"/>
      <c r="BF134" s="151"/>
      <c r="BG134" s="151"/>
      <c r="BH134" s="151"/>
      <c r="BI134" s="151"/>
      <c r="BJ134" s="151"/>
      <c r="BK134" s="151"/>
      <c r="BL134" s="151"/>
      <c r="BM134" s="151"/>
      <c r="BN134" s="151"/>
      <c r="BO134" s="151"/>
      <c r="BP134" s="151"/>
      <c r="BQ134" s="151"/>
      <c r="BR134" s="151"/>
      <c r="BS134" s="151"/>
      <c r="BT134" s="151"/>
      <c r="BU134" s="151"/>
      <c r="BV134" s="151"/>
      <c r="BW134" s="151"/>
      <c r="BX134" s="151"/>
      <c r="BY134" s="151"/>
      <c r="BZ134" s="151"/>
      <c r="CA134" s="151"/>
    </row>
    <row r="135" spans="1:79" ht="15.75">
      <c r="A135" s="1047"/>
      <c r="B135" s="758" t="s">
        <v>658</v>
      </c>
      <c r="C135" s="699"/>
      <c r="D135" s="699"/>
      <c r="E135" s="1057"/>
      <c r="F135" s="371">
        <f>225967*(1+0.03)^6/F133</f>
        <v>179.87761019317904</v>
      </c>
      <c r="G135" s="371">
        <f>+$F135*(1+0.03)^G$36</f>
        <v>196.55712135356194</v>
      </c>
      <c r="H135" s="371">
        <f>+$F135*(1+0.03)^H$36</f>
        <v>208.52745004399384</v>
      </c>
      <c r="I135" s="699"/>
      <c r="J135" s="249" t="s">
        <v>660</v>
      </c>
      <c r="K135" s="699"/>
      <c r="L135" s="699"/>
      <c r="M135" s="18"/>
      <c r="N135" s="1058"/>
      <c r="O135" s="1058"/>
      <c r="P135" s="1058"/>
      <c r="Q135" s="699"/>
      <c r="R135" s="699"/>
      <c r="S135" s="699"/>
      <c r="T135" s="699"/>
      <c r="U135" s="699"/>
      <c r="V135" s="699"/>
      <c r="W135" s="151"/>
      <c r="X135" s="151"/>
      <c r="Y135" s="151"/>
      <c r="Z135" s="151"/>
      <c r="AA135" s="848" t="s">
        <v>516</v>
      </c>
      <c r="AB135" s="151"/>
      <c r="AC135" s="151"/>
      <c r="AD135" s="717"/>
      <c r="AE135" s="731">
        <v>4450</v>
      </c>
      <c r="AF135" s="731">
        <f>+$AE135*(1+0.02)^G$36</f>
        <v>4722.3755999999994</v>
      </c>
      <c r="AG135" s="731">
        <f>+$AE135*(1+0.02)^H$36</f>
        <v>4913.1595742400004</v>
      </c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  <c r="AU135" s="151"/>
      <c r="AV135" s="151"/>
      <c r="AW135" s="151"/>
      <c r="AX135" s="151"/>
      <c r="AY135" s="151"/>
      <c r="AZ135" s="151"/>
      <c r="BA135" s="151"/>
      <c r="BB135" s="151"/>
      <c r="BC135" s="151"/>
      <c r="BD135" s="151"/>
      <c r="BE135" s="151"/>
      <c r="BF135" s="151"/>
      <c r="BG135" s="151"/>
      <c r="BH135" s="151"/>
      <c r="BI135" s="151"/>
      <c r="BJ135" s="151"/>
      <c r="BK135" s="151"/>
      <c r="BL135" s="151"/>
      <c r="BM135" s="151"/>
      <c r="BN135" s="151"/>
      <c r="BO135" s="151"/>
      <c r="BP135" s="151"/>
      <c r="BQ135" s="151"/>
      <c r="BR135" s="151"/>
      <c r="BS135" s="151"/>
      <c r="BT135" s="151"/>
      <c r="BU135" s="151"/>
      <c r="BV135" s="151"/>
      <c r="BW135" s="151"/>
      <c r="BX135" s="151"/>
      <c r="BY135" s="151"/>
      <c r="BZ135" s="151"/>
      <c r="CA135" s="151"/>
    </row>
    <row r="136" spans="1:79" ht="15.75">
      <c r="A136" s="1047"/>
      <c r="B136" s="133" t="s">
        <v>591</v>
      </c>
      <c r="C136" s="133"/>
      <c r="D136" s="133"/>
      <c r="E136" s="391">
        <f>+SUM(F136:H136)</f>
        <v>14818005.602388361</v>
      </c>
      <c r="F136" s="1060">
        <f>F130*F128+F132*F134+AE244*AE246</f>
        <v>5010220.8340802127</v>
      </c>
      <c r="G136" s="1060">
        <f>G130*G128+G132*G134+AF244*AF246</f>
        <v>3974604.7027375</v>
      </c>
      <c r="H136" s="1060">
        <f>H130*H128+H132*H134+AG244*AG246</f>
        <v>5833180.0655706488</v>
      </c>
      <c r="I136" s="699"/>
      <c r="J136" s="758" t="s">
        <v>661</v>
      </c>
      <c r="K136" s="699"/>
      <c r="L136" s="699"/>
      <c r="M136" s="18"/>
      <c r="N136" s="121">
        <v>0.7</v>
      </c>
      <c r="O136" s="121">
        <v>0.7</v>
      </c>
      <c r="P136" s="121">
        <v>0.7</v>
      </c>
      <c r="Q136" s="699"/>
      <c r="R136" s="699"/>
      <c r="S136" s="699"/>
      <c r="T136" s="699"/>
      <c r="U136" s="699"/>
      <c r="V136" s="699"/>
      <c r="W136" s="151"/>
      <c r="X136" s="151"/>
      <c r="Y136" s="151"/>
      <c r="Z136" s="151"/>
      <c r="AA136" s="685" t="s">
        <v>624</v>
      </c>
      <c r="AB136" s="151"/>
      <c r="AC136" s="151"/>
      <c r="AD136" s="717"/>
      <c r="AE136" s="729">
        <f>+'Parcel Breakdown'!BM183</f>
        <v>0</v>
      </c>
      <c r="AF136" s="729">
        <f>+'Parcel Breakdown'!BM184</f>
        <v>0</v>
      </c>
      <c r="AG136" s="729">
        <f>+'Parcel Breakdown'!BM185</f>
        <v>0</v>
      </c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  <c r="AU136" s="151"/>
      <c r="AV136" s="151"/>
      <c r="AW136" s="151"/>
      <c r="AX136" s="151"/>
      <c r="AY136" s="151"/>
      <c r="AZ136" s="151"/>
      <c r="BA136" s="151"/>
      <c r="BB136" s="151"/>
      <c r="BC136" s="151"/>
      <c r="BD136" s="151"/>
      <c r="BE136" s="151"/>
      <c r="BF136" s="151"/>
      <c r="BG136" s="151"/>
      <c r="BH136" s="151"/>
      <c r="BI136" s="151"/>
      <c r="BJ136" s="151"/>
      <c r="BK136" s="151"/>
      <c r="BL136" s="151"/>
      <c r="BM136" s="151"/>
      <c r="BN136" s="151"/>
      <c r="BO136" s="151"/>
      <c r="BP136" s="151"/>
      <c r="BQ136" s="151"/>
      <c r="BR136" s="151"/>
      <c r="BS136" s="151"/>
      <c r="BT136" s="151"/>
      <c r="BU136" s="151"/>
      <c r="BV136" s="151"/>
      <c r="BW136" s="151"/>
      <c r="BX136" s="151"/>
      <c r="BY136" s="151"/>
      <c r="BZ136" s="151"/>
      <c r="CA136" s="151"/>
    </row>
    <row r="137" spans="1:79" ht="15.75">
      <c r="A137" s="1047"/>
      <c r="B137" s="758" t="s">
        <v>353</v>
      </c>
      <c r="C137" s="699"/>
      <c r="D137" s="699"/>
      <c r="E137" s="389">
        <f>+SUM(F137:H137)</f>
        <v>71214.337500000009</v>
      </c>
      <c r="F137" s="1058">
        <f>F133*F132+F129*F128</f>
        <v>25053.075000000004</v>
      </c>
      <c r="G137" s="1058">
        <f>G133*G132+G129*G128</f>
        <v>18188.0625</v>
      </c>
      <c r="H137" s="1058">
        <f>H132*H133</f>
        <v>27973.200000000001</v>
      </c>
      <c r="I137" s="699"/>
      <c r="J137" s="758" t="s">
        <v>662</v>
      </c>
      <c r="K137" s="699"/>
      <c r="L137" s="699"/>
      <c r="M137" s="18"/>
      <c r="N137" s="930">
        <v>300</v>
      </c>
      <c r="O137" s="930">
        <v>300</v>
      </c>
      <c r="P137" s="930">
        <v>300</v>
      </c>
      <c r="Q137" s="699"/>
      <c r="R137" s="699"/>
      <c r="S137" s="699"/>
      <c r="T137" s="699"/>
      <c r="U137" s="699"/>
      <c r="V137" s="699"/>
      <c r="W137" s="151"/>
      <c r="X137" s="151"/>
      <c r="Y137" s="151"/>
      <c r="Z137" s="151"/>
      <c r="AA137" s="848" t="s">
        <v>515</v>
      </c>
      <c r="AB137" s="151"/>
      <c r="AC137" s="151"/>
      <c r="AD137" s="730">
        <v>1000</v>
      </c>
      <c r="AE137" s="731">
        <f>+$AD137</f>
        <v>1000</v>
      </c>
      <c r="AF137" s="731">
        <f>+$AD137</f>
        <v>1000</v>
      </c>
      <c r="AG137" s="731">
        <f>+$AD137</f>
        <v>1000</v>
      </c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  <c r="AU137" s="151"/>
      <c r="AV137" s="151"/>
      <c r="AW137" s="151"/>
      <c r="AX137" s="151"/>
      <c r="AY137" s="151"/>
      <c r="AZ137" s="151"/>
      <c r="BA137" s="151"/>
      <c r="BB137" s="151"/>
      <c r="BC137" s="151"/>
      <c r="BD137" s="151"/>
      <c r="BE137" s="151"/>
      <c r="BF137" s="151"/>
      <c r="BG137" s="151"/>
      <c r="BH137" s="151"/>
      <c r="BI137" s="151"/>
      <c r="BJ137" s="151"/>
      <c r="BK137" s="151"/>
      <c r="BL137" s="151"/>
      <c r="BM137" s="151"/>
      <c r="BN137" s="151"/>
      <c r="BO137" s="151"/>
      <c r="BP137" s="151"/>
      <c r="BQ137" s="151"/>
      <c r="BR137" s="151"/>
      <c r="BS137" s="151"/>
      <c r="BT137" s="151"/>
      <c r="BU137" s="151"/>
      <c r="BV137" s="151"/>
      <c r="BW137" s="151"/>
      <c r="BX137" s="151"/>
      <c r="BY137" s="151"/>
      <c r="BZ137" s="151"/>
      <c r="CA137" s="151"/>
    </row>
    <row r="138" spans="1:79" ht="15.75">
      <c r="A138" s="1047"/>
      <c r="B138" s="758" t="s">
        <v>556</v>
      </c>
      <c r="C138" s="699"/>
      <c r="D138" s="699"/>
      <c r="E138" s="389">
        <f>+SUM(F138:H138)</f>
        <v>52.16068156250001</v>
      </c>
      <c r="F138" s="983">
        <f>F128+F132</f>
        <v>19.416133125000005</v>
      </c>
      <c r="G138" s="983">
        <f t="shared" ref="G138:H138" si="70">G128+G132</f>
        <v>14.095748437499999</v>
      </c>
      <c r="H138" s="983">
        <f t="shared" si="70"/>
        <v>18.648800000000001</v>
      </c>
      <c r="I138" s="699"/>
      <c r="J138" s="758" t="s">
        <v>663</v>
      </c>
      <c r="K138" s="699"/>
      <c r="L138" s="699"/>
      <c r="M138" s="18"/>
      <c r="N138" s="1018">
        <v>0.05</v>
      </c>
      <c r="O138" s="1018">
        <v>0.05</v>
      </c>
      <c r="P138" s="1018">
        <v>0.05</v>
      </c>
      <c r="Q138" s="699"/>
      <c r="R138" s="699"/>
      <c r="S138" s="699"/>
      <c r="T138" s="699"/>
      <c r="U138" s="699"/>
      <c r="V138" s="699"/>
      <c r="W138" s="151"/>
      <c r="X138" s="151"/>
      <c r="Y138" s="151"/>
      <c r="Z138" s="151"/>
      <c r="AA138" s="848" t="s">
        <v>268</v>
      </c>
      <c r="AB138" s="151"/>
      <c r="AC138" s="151"/>
      <c r="AD138" s="717"/>
      <c r="AE138" s="686">
        <f>(AE139*12)/AE137</f>
        <v>64.38</v>
      </c>
      <c r="AF138" s="686">
        <f t="shared" ref="AF138:AG138" si="71">(AF139*12)/AF137</f>
        <v>68.32057103999999</v>
      </c>
      <c r="AG138" s="686">
        <f t="shared" si="71"/>
        <v>71.080722110016012</v>
      </c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  <c r="AU138" s="151"/>
      <c r="AV138" s="151"/>
      <c r="AW138" s="151"/>
      <c r="AX138" s="151"/>
      <c r="AY138" s="151"/>
      <c r="AZ138" s="151"/>
      <c r="BA138" s="151"/>
      <c r="BB138" s="151"/>
      <c r="BC138" s="151"/>
      <c r="BD138" s="151"/>
      <c r="BE138" s="151"/>
      <c r="BF138" s="151"/>
      <c r="BG138" s="151"/>
      <c r="BH138" s="151"/>
      <c r="BI138" s="151"/>
      <c r="BJ138" s="151"/>
      <c r="BK138" s="151"/>
      <c r="BL138" s="151"/>
      <c r="BM138" s="151"/>
      <c r="BN138" s="151"/>
      <c r="BO138" s="151"/>
      <c r="BP138" s="151"/>
      <c r="BQ138" s="151"/>
      <c r="BR138" s="151"/>
      <c r="BS138" s="151"/>
      <c r="BT138" s="151"/>
      <c r="BU138" s="151"/>
      <c r="BV138" s="151"/>
      <c r="BW138" s="151"/>
      <c r="BX138" s="151"/>
      <c r="BY138" s="151"/>
      <c r="BZ138" s="151"/>
      <c r="CA138" s="151"/>
    </row>
    <row r="139" spans="1:79" ht="15.75">
      <c r="A139" s="1047"/>
      <c r="B139" s="758" t="s">
        <v>664</v>
      </c>
      <c r="C139" s="699"/>
      <c r="D139" s="699"/>
      <c r="E139" s="650">
        <f>+IFERROR(E136/E137,"")</f>
        <v>208.076156046363</v>
      </c>
      <c r="F139" s="1061">
        <f>+IFERROR(F136/F137,"")</f>
        <v>199.98426676486667</v>
      </c>
      <c r="G139" s="1061">
        <f>+IFERROR(G136/G137,"")</f>
        <v>218.52820786917243</v>
      </c>
      <c r="H139" s="1061">
        <f>+IFERROR(H136/H137,"")</f>
        <v>208.52745004399384</v>
      </c>
      <c r="I139" s="699"/>
      <c r="J139" s="758" t="s">
        <v>665</v>
      </c>
      <c r="K139" s="699"/>
      <c r="L139" s="699"/>
      <c r="M139" s="18"/>
      <c r="N139" s="123">
        <v>0.01</v>
      </c>
      <c r="O139" s="123">
        <v>0.01</v>
      </c>
      <c r="P139" s="123">
        <v>0.01</v>
      </c>
      <c r="Q139" s="699"/>
      <c r="R139" s="699"/>
      <c r="S139" s="699"/>
      <c r="T139" s="699"/>
      <c r="U139" s="699"/>
      <c r="V139" s="699"/>
      <c r="W139" s="151"/>
      <c r="X139" s="151"/>
      <c r="Y139" s="151"/>
      <c r="Z139" s="151"/>
      <c r="AA139" s="848" t="s">
        <v>516</v>
      </c>
      <c r="AB139" s="151"/>
      <c r="AC139" s="151"/>
      <c r="AD139" s="717"/>
      <c r="AE139" s="731">
        <v>5365</v>
      </c>
      <c r="AF139" s="731">
        <f>+$AE139*(1+0.02)^G$36</f>
        <v>5693.3809199999996</v>
      </c>
      <c r="AG139" s="731">
        <f>+$AE139*(1+0.02)^H$36</f>
        <v>5923.3935091680005</v>
      </c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  <c r="AU139" s="151"/>
      <c r="AV139" s="151"/>
      <c r="AW139" s="151"/>
      <c r="AX139" s="151"/>
      <c r="AY139" s="151"/>
      <c r="AZ139" s="151"/>
      <c r="BA139" s="151"/>
      <c r="BB139" s="151"/>
      <c r="BC139" s="151"/>
      <c r="BD139" s="151"/>
      <c r="BE139" s="151"/>
      <c r="BF139" s="151"/>
      <c r="BG139" s="151"/>
      <c r="BH139" s="151"/>
      <c r="BI139" s="151"/>
      <c r="BJ139" s="151"/>
      <c r="BK139" s="151"/>
      <c r="BL139" s="151"/>
      <c r="BM139" s="151"/>
      <c r="BN139" s="151"/>
      <c r="BO139" s="151"/>
      <c r="BP139" s="151"/>
      <c r="BQ139" s="151"/>
      <c r="BR139" s="151"/>
      <c r="BS139" s="151"/>
      <c r="BT139" s="151"/>
      <c r="BU139" s="151"/>
      <c r="BV139" s="151"/>
      <c r="BW139" s="151"/>
      <c r="BX139" s="151"/>
      <c r="BY139" s="151"/>
      <c r="BZ139" s="151"/>
      <c r="CA139" s="151"/>
    </row>
    <row r="140" spans="1:79" ht="15.75">
      <c r="A140" s="1047"/>
      <c r="B140" s="1062" t="s">
        <v>666</v>
      </c>
      <c r="C140" s="1029"/>
      <c r="D140" s="1029"/>
      <c r="E140" s="651">
        <f>+IFERROR(E136/E138,"")</f>
        <v>284083.81866393215</v>
      </c>
      <c r="F140" s="1063">
        <f>+IFERROR(F136/F138,"")</f>
        <v>258044.21518047308</v>
      </c>
      <c r="G140" s="1063">
        <f>+IFERROR(G136/G138,"")</f>
        <v>281971.88112151285</v>
      </c>
      <c r="H140" s="1063">
        <f>+IFERROR(H136/H138,"")</f>
        <v>312791.17506599077</v>
      </c>
      <c r="I140" s="699"/>
      <c r="J140" s="758" t="s">
        <v>667</v>
      </c>
      <c r="K140" s="699"/>
      <c r="L140" s="699"/>
      <c r="M140" s="699"/>
      <c r="N140" s="121">
        <v>0.65</v>
      </c>
      <c r="O140" s="121">
        <v>0.65</v>
      </c>
      <c r="P140" s="121">
        <v>0.65</v>
      </c>
      <c r="Q140" s="699"/>
      <c r="R140" s="699"/>
      <c r="S140" s="699"/>
      <c r="T140" s="699"/>
      <c r="U140" s="699"/>
      <c r="V140" s="699"/>
      <c r="W140" s="151"/>
      <c r="X140" s="151"/>
      <c r="Y140" s="151"/>
      <c r="Z140" s="151"/>
      <c r="AA140" s="847" t="s">
        <v>631</v>
      </c>
      <c r="AB140" s="151"/>
      <c r="AC140" s="151"/>
      <c r="AD140" s="717"/>
      <c r="AE140" s="731"/>
      <c r="AF140" s="731"/>
      <c r="AG140" s="73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  <c r="AU140" s="151"/>
      <c r="AV140" s="151"/>
      <c r="AW140" s="151"/>
      <c r="AX140" s="151"/>
      <c r="AY140" s="151"/>
      <c r="AZ140" s="151"/>
      <c r="BA140" s="151"/>
      <c r="BB140" s="151"/>
      <c r="BC140" s="151"/>
      <c r="BD140" s="151"/>
      <c r="BE140" s="151"/>
      <c r="BF140" s="151"/>
      <c r="BG140" s="151"/>
      <c r="BH140" s="151"/>
      <c r="BI140" s="151"/>
      <c r="BJ140" s="151"/>
      <c r="BK140" s="151"/>
      <c r="BL140" s="151"/>
      <c r="BM140" s="151"/>
      <c r="BN140" s="151"/>
      <c r="BO140" s="151"/>
      <c r="BP140" s="151"/>
      <c r="BQ140" s="151"/>
      <c r="BR140" s="151"/>
      <c r="BS140" s="151"/>
      <c r="BT140" s="151"/>
      <c r="BU140" s="151"/>
      <c r="BV140" s="151"/>
      <c r="BW140" s="151"/>
      <c r="BX140" s="151"/>
      <c r="BY140" s="151"/>
      <c r="BZ140" s="151"/>
      <c r="CA140" s="151"/>
    </row>
    <row r="141" spans="1:79" ht="15.75">
      <c r="A141" s="1047"/>
      <c r="B141" s="699"/>
      <c r="C141" s="699"/>
      <c r="D141" s="699"/>
      <c r="E141" s="1057"/>
      <c r="F141" s="699"/>
      <c r="G141" s="699"/>
      <c r="H141" s="699"/>
      <c r="I141" s="699"/>
      <c r="J141" s="132" t="s">
        <v>668</v>
      </c>
      <c r="K141" s="699"/>
      <c r="L141" s="699"/>
      <c r="M141" s="699"/>
      <c r="N141" s="1057"/>
      <c r="O141" s="1057"/>
      <c r="P141" s="1057"/>
      <c r="Q141" s="699"/>
      <c r="R141" s="699"/>
      <c r="S141" s="699"/>
      <c r="T141" s="699"/>
      <c r="U141" s="699"/>
      <c r="V141" s="699"/>
      <c r="W141" s="151"/>
      <c r="X141" s="151"/>
      <c r="Y141" s="151"/>
      <c r="Z141" s="151"/>
      <c r="AA141" s="727" t="s">
        <v>633</v>
      </c>
      <c r="AB141" s="151"/>
      <c r="AC141" s="151"/>
      <c r="AD141" s="717"/>
      <c r="AE141" s="729">
        <f>+'Parcel Breakdown'!BO183</f>
        <v>0</v>
      </c>
      <c r="AF141" s="729">
        <f>+'Parcel Breakdown'!BO184</f>
        <v>0</v>
      </c>
      <c r="AG141" s="729">
        <f>+'Parcel Breakdown'!BO185</f>
        <v>0</v>
      </c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  <c r="AU141" s="151"/>
      <c r="AV141" s="151"/>
      <c r="AW141" s="151"/>
      <c r="AX141" s="151"/>
      <c r="AY141" s="151"/>
      <c r="AZ141" s="151"/>
      <c r="BA141" s="151"/>
      <c r="BB141" s="151"/>
      <c r="BC141" s="151"/>
      <c r="BD141" s="151"/>
      <c r="BE141" s="151"/>
      <c r="BF141" s="151"/>
      <c r="BG141" s="151"/>
      <c r="BH141" s="151"/>
      <c r="BI141" s="151"/>
      <c r="BJ141" s="151"/>
      <c r="BK141" s="151"/>
      <c r="BL141" s="151"/>
      <c r="BM141" s="151"/>
      <c r="BN141" s="151"/>
      <c r="BO141" s="151"/>
      <c r="BP141" s="151"/>
      <c r="BQ141" s="151"/>
      <c r="BR141" s="151"/>
      <c r="BS141" s="151"/>
      <c r="BT141" s="151"/>
      <c r="BU141" s="151"/>
      <c r="BV141" s="151"/>
      <c r="BW141" s="151"/>
      <c r="BX141" s="151"/>
      <c r="BY141" s="151"/>
      <c r="BZ141" s="151"/>
      <c r="CA141" s="151"/>
    </row>
    <row r="142" spans="1:79" ht="16.5" thickBot="1">
      <c r="A142" s="1047"/>
      <c r="B142" s="1121" t="s">
        <v>338</v>
      </c>
      <c r="C142" s="1121"/>
      <c r="D142" s="699"/>
      <c r="E142" s="199"/>
      <c r="F142" s="779"/>
      <c r="G142" s="779"/>
      <c r="H142" s="779"/>
      <c r="I142" s="699"/>
      <c r="J142" s="758" t="s">
        <v>669</v>
      </c>
      <c r="K142" s="699"/>
      <c r="L142" s="699"/>
      <c r="M142" s="699"/>
      <c r="N142" s="121">
        <v>0.7</v>
      </c>
      <c r="O142" s="121">
        <v>0.7</v>
      </c>
      <c r="P142" s="121">
        <v>0.7</v>
      </c>
      <c r="Q142" s="699"/>
      <c r="R142" s="699"/>
      <c r="S142" s="699"/>
      <c r="T142" s="699"/>
      <c r="U142" s="699"/>
      <c r="V142" s="699"/>
      <c r="W142" s="151"/>
      <c r="X142" s="151"/>
      <c r="Y142" s="151"/>
      <c r="Z142" s="151"/>
      <c r="AA142" s="848" t="s">
        <v>515</v>
      </c>
      <c r="AB142" s="151"/>
      <c r="AC142" s="151"/>
      <c r="AD142" s="730">
        <v>330</v>
      </c>
      <c r="AE142" s="731">
        <f>+$AD142</f>
        <v>330</v>
      </c>
      <c r="AF142" s="731">
        <f>+$AD142</f>
        <v>330</v>
      </c>
      <c r="AG142" s="731">
        <f>+$AD142</f>
        <v>330</v>
      </c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  <c r="AU142" s="151"/>
      <c r="AV142" s="151"/>
      <c r="AW142" s="151"/>
      <c r="AX142" s="151"/>
      <c r="AY142" s="151"/>
      <c r="AZ142" s="151"/>
      <c r="BA142" s="151"/>
      <c r="BB142" s="151"/>
      <c r="BC142" s="151"/>
      <c r="BD142" s="151"/>
      <c r="BE142" s="151"/>
      <c r="BF142" s="151"/>
      <c r="BG142" s="151"/>
      <c r="BH142" s="151"/>
      <c r="BI142" s="151"/>
      <c r="BJ142" s="151"/>
      <c r="BK142" s="151"/>
      <c r="BL142" s="151"/>
      <c r="BM142" s="151"/>
      <c r="BN142" s="151"/>
      <c r="BO142" s="151"/>
      <c r="BP142" s="151"/>
      <c r="BQ142" s="151"/>
      <c r="BR142" s="151"/>
      <c r="BS142" s="151"/>
      <c r="BT142" s="151"/>
      <c r="BU142" s="151"/>
      <c r="BV142" s="151"/>
      <c r="BW142" s="151"/>
      <c r="BX142" s="151"/>
      <c r="BY142" s="151"/>
      <c r="BZ142" s="151"/>
      <c r="CA142" s="151"/>
    </row>
    <row r="143" spans="1:79" ht="15.75">
      <c r="A143" s="1047"/>
      <c r="B143" s="413" t="s">
        <v>272</v>
      </c>
      <c r="C143" s="699"/>
      <c r="D143" s="699"/>
      <c r="E143" s="1057"/>
      <c r="F143" s="369">
        <f>+'Parcel Breakdown'!$AL$87</f>
        <v>31.0031803125</v>
      </c>
      <c r="G143" s="369">
        <f>+'Parcel Breakdown'!$AL$88</f>
        <v>22.507727343750002</v>
      </c>
      <c r="H143" s="369">
        <f>+'Parcel Breakdown'!$AL$89</f>
        <v>0</v>
      </c>
      <c r="I143" s="699"/>
      <c r="J143" s="758" t="s">
        <v>670</v>
      </c>
      <c r="K143" s="699"/>
      <c r="L143" s="699"/>
      <c r="M143" s="699"/>
      <c r="N143" s="122">
        <v>1.25</v>
      </c>
      <c r="O143" s="122">
        <v>1.25</v>
      </c>
      <c r="P143" s="122">
        <v>1.25</v>
      </c>
      <c r="Q143" s="699"/>
      <c r="R143" s="699"/>
      <c r="S143" s="699"/>
      <c r="T143" s="699"/>
      <c r="U143" s="699"/>
      <c r="V143" s="699"/>
      <c r="W143" s="151"/>
      <c r="X143" s="151"/>
      <c r="Y143" s="151"/>
      <c r="Z143" s="151"/>
      <c r="AA143" s="848" t="s">
        <v>268</v>
      </c>
      <c r="AB143" s="151"/>
      <c r="AC143" s="151"/>
      <c r="AD143" s="717"/>
      <c r="AE143" s="686">
        <f>(AE144*12)/AE142</f>
        <v>286.54545454545456</v>
      </c>
      <c r="AF143" s="686">
        <f t="shared" ref="AF143:AG143" si="72">(AF144*12)/AF142</f>
        <v>304.08432872727269</v>
      </c>
      <c r="AG143" s="686">
        <f t="shared" si="72"/>
        <v>316.36933560785457</v>
      </c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  <c r="AU143" s="151"/>
      <c r="AV143" s="151"/>
      <c r="AW143" s="151"/>
      <c r="AX143" s="151"/>
      <c r="AY143" s="151"/>
      <c r="AZ143" s="151"/>
      <c r="BA143" s="151"/>
      <c r="BB143" s="151"/>
      <c r="BC143" s="151"/>
      <c r="BD143" s="151"/>
      <c r="BE143" s="151"/>
      <c r="BF143" s="151"/>
      <c r="BG143" s="151"/>
      <c r="BH143" s="151"/>
      <c r="BI143" s="151"/>
      <c r="BJ143" s="151"/>
      <c r="BK143" s="151"/>
      <c r="BL143" s="151"/>
      <c r="BM143" s="151"/>
      <c r="BN143" s="151"/>
      <c r="BO143" s="151"/>
      <c r="BP143" s="151"/>
      <c r="BQ143" s="151"/>
      <c r="BR143" s="151"/>
      <c r="BS143" s="151"/>
      <c r="BT143" s="151"/>
      <c r="BU143" s="151"/>
      <c r="BV143" s="151"/>
      <c r="BW143" s="151"/>
      <c r="BX143" s="151"/>
      <c r="BY143" s="151"/>
      <c r="BZ143" s="151"/>
      <c r="CA143" s="151"/>
    </row>
    <row r="144" spans="1:79" ht="15.75">
      <c r="A144" s="1047"/>
      <c r="B144" s="758" t="s">
        <v>515</v>
      </c>
      <c r="C144" s="699"/>
      <c r="D144" s="699"/>
      <c r="E144" s="370">
        <v>800</v>
      </c>
      <c r="F144" s="1058">
        <f>+$E144</f>
        <v>800</v>
      </c>
      <c r="G144" s="1058">
        <f>+$E144</f>
        <v>800</v>
      </c>
      <c r="H144" s="1058">
        <f>+$E144</f>
        <v>800</v>
      </c>
      <c r="I144" s="699"/>
      <c r="J144" s="758" t="s">
        <v>662</v>
      </c>
      <c r="K144" s="699"/>
      <c r="L144" s="699"/>
      <c r="M144" s="699"/>
      <c r="N144" s="930">
        <v>250</v>
      </c>
      <c r="O144" s="930">
        <v>250</v>
      </c>
      <c r="P144" s="930">
        <v>250</v>
      </c>
      <c r="Q144" s="699"/>
      <c r="R144" s="699"/>
      <c r="S144" s="699"/>
      <c r="T144" s="699"/>
      <c r="U144" s="699"/>
      <c r="V144" s="699"/>
      <c r="W144" s="151"/>
      <c r="X144" s="151"/>
      <c r="Y144" s="151"/>
      <c r="Z144" s="151"/>
      <c r="AA144" s="848" t="s">
        <v>516</v>
      </c>
      <c r="AB144" s="151"/>
      <c r="AC144" s="151"/>
      <c r="AD144" s="717"/>
      <c r="AE144" s="731">
        <v>7880</v>
      </c>
      <c r="AF144" s="731">
        <f>+$AE144*(1+0.02)^G$36</f>
        <v>8362.3190400000003</v>
      </c>
      <c r="AG144" s="731">
        <f>+$AE144*(1+0.02)^H$36</f>
        <v>8700.1567292159998</v>
      </c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  <c r="AU144" s="151"/>
      <c r="AV144" s="151"/>
      <c r="AW144" s="151"/>
      <c r="AX144" s="151"/>
      <c r="AY144" s="151"/>
      <c r="AZ144" s="151"/>
      <c r="BA144" s="151"/>
      <c r="BB144" s="151"/>
      <c r="BC144" s="151"/>
      <c r="BD144" s="151"/>
      <c r="BE144" s="151"/>
      <c r="BF144" s="151"/>
      <c r="BG144" s="151"/>
      <c r="BH144" s="151"/>
      <c r="BI144" s="151"/>
      <c r="BJ144" s="151"/>
      <c r="BK144" s="151"/>
      <c r="BL144" s="151"/>
      <c r="BM144" s="151"/>
      <c r="BN144" s="151"/>
      <c r="BO144" s="151"/>
      <c r="BP144" s="151"/>
      <c r="BQ144" s="151"/>
      <c r="BR144" s="151"/>
      <c r="BS144" s="151"/>
      <c r="BT144" s="151"/>
      <c r="BU144" s="151"/>
      <c r="BV144" s="151"/>
      <c r="BW144" s="151"/>
      <c r="BX144" s="151"/>
      <c r="BY144" s="151"/>
      <c r="BZ144" s="151"/>
      <c r="CA144" s="151"/>
    </row>
    <row r="145" spans="2:79" ht="15.75">
      <c r="B145" s="758" t="s">
        <v>281</v>
      </c>
      <c r="C145" s="699"/>
      <c r="D145" s="699"/>
      <c r="E145" s="1057"/>
      <c r="F145" s="1068">
        <f>(F146*F144)</f>
        <v>600000</v>
      </c>
      <c r="G145" s="1068">
        <f>(G146*G144)</f>
        <v>655636.19999999995</v>
      </c>
      <c r="H145" s="1068">
        <f>(H146*H144)</f>
        <v>695564.44457999989</v>
      </c>
      <c r="I145" s="699"/>
      <c r="J145" s="758" t="s">
        <v>671</v>
      </c>
      <c r="K145" s="699"/>
      <c r="L145" s="699"/>
      <c r="M145" s="699"/>
      <c r="N145" s="384">
        <f>+N133+(N144/10000)</f>
        <v>4.4999999999999998E-2</v>
      </c>
      <c r="O145" s="384">
        <f t="shared" ref="O145:P145" si="73">+O133+(O144/10000)</f>
        <v>4.4999999999999998E-2</v>
      </c>
      <c r="P145" s="384">
        <f t="shared" si="73"/>
        <v>4.4999999999999998E-2</v>
      </c>
      <c r="Q145" s="699"/>
      <c r="R145" s="699"/>
      <c r="S145" s="699"/>
      <c r="T145" s="699"/>
      <c r="U145" s="699"/>
      <c r="V145" s="699"/>
      <c r="W145" s="151"/>
      <c r="X145" s="151"/>
      <c r="Y145" s="151"/>
      <c r="Z145" s="151"/>
      <c r="AA145" s="718" t="s">
        <v>640</v>
      </c>
      <c r="AB145" s="718"/>
      <c r="AC145" s="718"/>
      <c r="AD145" s="733">
        <f>+SUM(AE145:AG145)</f>
        <v>0</v>
      </c>
      <c r="AE145" s="732">
        <f>+AE125*AE124*AE123+AE129*AE128*AE127+AE134*AE133*AE132+AE138*AE137*AE136+AE143*AE142*AE141</f>
        <v>0</v>
      </c>
      <c r="AF145" s="732">
        <f>+AF125*AF124*AF123+AF129*AF128*AF127+AF134*AF133*AF132+AF138*AF137*AF136+AF143*AF142*AF141</f>
        <v>0</v>
      </c>
      <c r="AG145" s="732">
        <f>+AG125*AG124*AG123+AG129*AG128*AG127+AG134*AG133*AG132+AG138*AG137*AG136+AG143*AG142*AG141</f>
        <v>0</v>
      </c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  <c r="AU145" s="151"/>
      <c r="AV145" s="151"/>
      <c r="AW145" s="151"/>
      <c r="AX145" s="151"/>
      <c r="AY145" s="151"/>
      <c r="AZ145" s="151"/>
      <c r="BA145" s="151"/>
      <c r="BB145" s="151"/>
      <c r="BC145" s="151"/>
      <c r="BD145" s="151"/>
      <c r="BE145" s="151"/>
      <c r="BF145" s="151"/>
      <c r="BG145" s="151"/>
      <c r="BH145" s="151"/>
      <c r="BI145" s="151"/>
      <c r="BJ145" s="151"/>
      <c r="BK145" s="151"/>
      <c r="BL145" s="151"/>
      <c r="BM145" s="151"/>
      <c r="BN145" s="151"/>
      <c r="BO145" s="151"/>
      <c r="BP145" s="151"/>
      <c r="BQ145" s="151"/>
      <c r="BR145" s="151"/>
      <c r="BS145" s="151"/>
      <c r="BT145" s="151"/>
      <c r="BU145" s="151"/>
      <c r="BV145" s="151"/>
      <c r="BW145" s="151"/>
      <c r="BX145" s="151"/>
      <c r="BY145" s="151"/>
      <c r="BZ145" s="151"/>
      <c r="CA145" s="151"/>
    </row>
    <row r="146" spans="2:79" ht="15.75">
      <c r="B146" s="758" t="s">
        <v>658</v>
      </c>
      <c r="C146" s="699"/>
      <c r="D146" s="699"/>
      <c r="E146" s="1057"/>
      <c r="F146" s="839">
        <v>750</v>
      </c>
      <c r="G146" s="839">
        <f>+$F146*(1+0.03)^G$36</f>
        <v>819.54525000000001</v>
      </c>
      <c r="H146" s="839">
        <f>+$F146*(1+0.03)^H$36</f>
        <v>869.45555572499984</v>
      </c>
      <c r="I146" s="699"/>
      <c r="J146" s="758" t="s">
        <v>665</v>
      </c>
      <c r="K146" s="699"/>
      <c r="L146" s="699"/>
      <c r="M146" s="699"/>
      <c r="N146" s="123">
        <v>0.01</v>
      </c>
      <c r="O146" s="123">
        <v>0.01</v>
      </c>
      <c r="P146" s="123">
        <v>0.01</v>
      </c>
      <c r="Q146" s="699"/>
      <c r="R146" s="699"/>
      <c r="S146" s="699"/>
      <c r="T146" s="699"/>
      <c r="U146" s="699"/>
      <c r="V146" s="699"/>
      <c r="W146" s="151"/>
      <c r="X146" s="151"/>
      <c r="Y146" s="151"/>
      <c r="Z146" s="151"/>
      <c r="AA146" s="685" t="s">
        <v>353</v>
      </c>
      <c r="AB146" s="151"/>
      <c r="AC146" s="151"/>
      <c r="AD146" s="734">
        <f>+SUM(AE146:AG146)</f>
        <v>0</v>
      </c>
      <c r="AE146" s="731">
        <f>+AE123*AE124+AE127*AE128+AE132*AE133+AE136*AE137+AE141*AE142</f>
        <v>0</v>
      </c>
      <c r="AF146" s="731">
        <f>+AF123*AF124+AF127*AF128+AF132*AF133+AF136*AF137+AF141*AF142</f>
        <v>0</v>
      </c>
      <c r="AG146" s="731">
        <f>+AG123*AG124+AG127*AG128+AG132*AG133+AG136*AG137+AG141*AG142</f>
        <v>0</v>
      </c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  <c r="AU146" s="151"/>
      <c r="AV146" s="151"/>
      <c r="AW146" s="151"/>
      <c r="AX146" s="151"/>
      <c r="AY146" s="151"/>
      <c r="AZ146" s="151"/>
      <c r="BA146" s="151"/>
      <c r="BB146" s="151"/>
      <c r="BC146" s="151"/>
      <c r="BD146" s="151"/>
      <c r="BE146" s="151"/>
      <c r="BF146" s="151"/>
      <c r="BG146" s="151"/>
      <c r="BH146" s="151"/>
      <c r="BI146" s="151"/>
      <c r="BJ146" s="151"/>
      <c r="BK146" s="151"/>
      <c r="BL146" s="151"/>
      <c r="BM146" s="151"/>
      <c r="BN146" s="151"/>
      <c r="BO146" s="151"/>
      <c r="BP146" s="151"/>
      <c r="BQ146" s="151"/>
      <c r="BR146" s="151"/>
      <c r="BS146" s="151"/>
      <c r="BT146" s="151"/>
      <c r="BU146" s="151"/>
      <c r="BV146" s="151"/>
      <c r="BW146" s="151"/>
      <c r="BX146" s="151"/>
      <c r="BY146" s="151"/>
      <c r="BZ146" s="151"/>
      <c r="CA146" s="151"/>
    </row>
    <row r="147" spans="2:79" ht="15.75">
      <c r="B147" s="413" t="s">
        <v>273</v>
      </c>
      <c r="C147" s="699"/>
      <c r="D147" s="699"/>
      <c r="E147" s="1057"/>
      <c r="F147" s="369">
        <f>+'Parcel Breakdown'!$AN$87</f>
        <v>18.372255000000003</v>
      </c>
      <c r="G147" s="369">
        <f>+'Parcel Breakdown'!$AN$88</f>
        <v>13.337912500000002</v>
      </c>
      <c r="H147" s="369">
        <f>+'Parcel Breakdown'!$AN$89</f>
        <v>0</v>
      </c>
      <c r="I147" s="699"/>
      <c r="J147" s="758" t="s">
        <v>672</v>
      </c>
      <c r="K147" s="699"/>
      <c r="L147" s="699"/>
      <c r="M147" s="699"/>
      <c r="N147" s="97">
        <v>30</v>
      </c>
      <c r="O147" s="97">
        <v>30</v>
      </c>
      <c r="P147" s="97">
        <v>30</v>
      </c>
      <c r="Q147" s="699"/>
      <c r="R147" s="699"/>
      <c r="S147" s="699"/>
      <c r="T147" s="699"/>
      <c r="U147" s="699"/>
      <c r="V147" s="699"/>
      <c r="W147" s="151"/>
      <c r="X147" s="151"/>
      <c r="Y147" s="151"/>
      <c r="Z147" s="151"/>
      <c r="AA147" s="685" t="s">
        <v>556</v>
      </c>
      <c r="AB147" s="151"/>
      <c r="AC147" s="151"/>
      <c r="AD147" s="734">
        <f>+SUM(AE147:AG147)</f>
        <v>0</v>
      </c>
      <c r="AE147" s="729">
        <f>+AE123+AE127+AE132+AE136+AE141</f>
        <v>0</v>
      </c>
      <c r="AF147" s="729">
        <f>+AF123+AF127+AF132+AF136+AF141</f>
        <v>0</v>
      </c>
      <c r="AG147" s="729">
        <f>+AG123+AG127+AG132+AG136+AG141</f>
        <v>0</v>
      </c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  <c r="AU147" s="151"/>
      <c r="AV147" s="151"/>
      <c r="AW147" s="151"/>
      <c r="AX147" s="151"/>
      <c r="AY147" s="151"/>
      <c r="AZ147" s="151"/>
      <c r="BA147" s="151"/>
      <c r="BB147" s="151"/>
      <c r="BC147" s="151"/>
      <c r="BD147" s="151"/>
      <c r="BE147" s="151"/>
      <c r="BF147" s="151"/>
      <c r="BG147" s="151"/>
      <c r="BH147" s="151"/>
      <c r="BI147" s="151"/>
      <c r="BJ147" s="151"/>
      <c r="BK147" s="151"/>
      <c r="BL147" s="151"/>
      <c r="BM147" s="151"/>
      <c r="BN147" s="151"/>
      <c r="BO147" s="151"/>
      <c r="BP147" s="151"/>
      <c r="BQ147" s="151"/>
      <c r="BR147" s="151"/>
      <c r="BS147" s="151"/>
      <c r="BT147" s="151"/>
      <c r="BU147" s="151"/>
      <c r="BV147" s="151"/>
      <c r="BW147" s="151"/>
      <c r="BX147" s="151"/>
      <c r="BY147" s="151"/>
      <c r="BZ147" s="151"/>
      <c r="CA147" s="151"/>
    </row>
    <row r="148" spans="2:79" ht="15.75">
      <c r="B148" s="758" t="s">
        <v>515</v>
      </c>
      <c r="C148" s="699"/>
      <c r="D148" s="699"/>
      <c r="E148" s="370">
        <v>1200</v>
      </c>
      <c r="F148" s="1058">
        <f>+$E148</f>
        <v>1200</v>
      </c>
      <c r="G148" s="1058">
        <f>+$E148</f>
        <v>1200</v>
      </c>
      <c r="H148" s="1058">
        <f>+$E148</f>
        <v>1200</v>
      </c>
      <c r="I148" s="699"/>
      <c r="J148" s="718" t="s">
        <v>327</v>
      </c>
      <c r="K148" s="151"/>
      <c r="L148" s="151"/>
      <c r="M148" s="151"/>
      <c r="N148" s="717"/>
      <c r="O148" s="717"/>
      <c r="P148" s="717"/>
      <c r="Q148" s="699"/>
      <c r="R148" s="699"/>
      <c r="S148" s="699"/>
      <c r="T148" s="699"/>
      <c r="U148" s="699"/>
      <c r="V148" s="699"/>
      <c r="W148" s="151"/>
      <c r="X148" s="151"/>
      <c r="Y148" s="151"/>
      <c r="Z148" s="151"/>
      <c r="AA148" s="685" t="s">
        <v>558</v>
      </c>
      <c r="AB148" s="151"/>
      <c r="AC148" s="151"/>
      <c r="AD148" s="735" t="str">
        <f>+IFERROR(AD145/AD146,"")</f>
        <v/>
      </c>
      <c r="AE148" s="736" t="str">
        <f>+IFERROR(AE145/AE146,"")</f>
        <v/>
      </c>
      <c r="AF148" s="736" t="str">
        <f t="shared" ref="AF148:AG148" si="74">+IFERROR(AF145/AF146,"")</f>
        <v/>
      </c>
      <c r="AG148" s="736" t="str">
        <f t="shared" si="74"/>
        <v/>
      </c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  <c r="AU148" s="151"/>
      <c r="AV148" s="151"/>
      <c r="AW148" s="151"/>
      <c r="AX148" s="151"/>
      <c r="AY148" s="151"/>
      <c r="AZ148" s="151"/>
      <c r="BA148" s="151"/>
      <c r="BB148" s="151"/>
      <c r="BC148" s="151"/>
      <c r="BD148" s="151"/>
      <c r="BE148" s="151"/>
      <c r="BF148" s="151"/>
      <c r="BG148" s="151"/>
      <c r="BH148" s="151"/>
      <c r="BI148" s="151"/>
      <c r="BJ148" s="151"/>
      <c r="BK148" s="151"/>
      <c r="BL148" s="151"/>
      <c r="BM148" s="151"/>
      <c r="BN148" s="151"/>
      <c r="BO148" s="151"/>
      <c r="BP148" s="151"/>
      <c r="BQ148" s="151"/>
      <c r="BR148" s="151"/>
      <c r="BS148" s="151"/>
      <c r="BT148" s="151"/>
      <c r="BU148" s="151"/>
      <c r="BV148" s="151"/>
      <c r="BW148" s="151"/>
      <c r="BX148" s="151"/>
      <c r="BY148" s="151"/>
      <c r="BZ148" s="151"/>
      <c r="CA148" s="151"/>
    </row>
    <row r="149" spans="2:79" ht="15.75">
      <c r="B149" s="758" t="s">
        <v>281</v>
      </c>
      <c r="C149" s="699"/>
      <c r="D149" s="699"/>
      <c r="E149" s="1057"/>
      <c r="F149" s="1068">
        <f>(F150*F148)</f>
        <v>876000</v>
      </c>
      <c r="G149" s="1068">
        <f>(G150*G148)</f>
        <v>957228.85199999996</v>
      </c>
      <c r="H149" s="1068">
        <f>(H150*H148)</f>
        <v>1015524.0890867999</v>
      </c>
      <c r="I149" s="699"/>
      <c r="J149" s="685" t="s">
        <v>669</v>
      </c>
      <c r="K149" s="151"/>
      <c r="L149" s="151"/>
      <c r="M149" s="151"/>
      <c r="N149" s="858">
        <v>0.8</v>
      </c>
      <c r="O149" s="858">
        <v>0.8</v>
      </c>
      <c r="P149" s="858">
        <v>0.8</v>
      </c>
      <c r="Q149" s="699"/>
      <c r="R149" s="699"/>
      <c r="S149" s="699"/>
      <c r="T149" s="699"/>
      <c r="U149" s="699"/>
      <c r="V149" s="699"/>
      <c r="W149" s="151"/>
      <c r="X149" s="151"/>
      <c r="Y149" s="151"/>
      <c r="Z149" s="151"/>
      <c r="AA149" s="685" t="s">
        <v>560</v>
      </c>
      <c r="AB149" s="151"/>
      <c r="AC149" s="151"/>
      <c r="AD149" s="733" t="str">
        <f>+IFERROR(AD145/AD147/12,"")</f>
        <v/>
      </c>
      <c r="AE149" s="732" t="str">
        <f>+IFERROR(AE145/AE147/12,"")</f>
        <v/>
      </c>
      <c r="AF149" s="732" t="str">
        <f t="shared" ref="AF149:AG149" si="75">+IFERROR(AF145/AF147/12,"")</f>
        <v/>
      </c>
      <c r="AG149" s="732" t="str">
        <f t="shared" si="75"/>
        <v/>
      </c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  <c r="AU149" s="151"/>
      <c r="AV149" s="151"/>
      <c r="AW149" s="151"/>
      <c r="AX149" s="151"/>
      <c r="AY149" s="151"/>
      <c r="AZ149" s="151"/>
      <c r="BA149" s="151"/>
      <c r="BB149" s="151"/>
      <c r="BC149" s="151"/>
      <c r="BD149" s="151"/>
      <c r="BE149" s="151"/>
      <c r="BF149" s="151"/>
      <c r="BG149" s="151"/>
      <c r="BH149" s="151"/>
      <c r="BI149" s="151"/>
      <c r="BJ149" s="151"/>
      <c r="BK149" s="151"/>
      <c r="BL149" s="151"/>
      <c r="BM149" s="151"/>
      <c r="BN149" s="151"/>
      <c r="BO149" s="151"/>
      <c r="BP149" s="151"/>
      <c r="BQ149" s="151"/>
      <c r="BR149" s="151"/>
      <c r="BS149" s="151"/>
      <c r="BT149" s="151"/>
      <c r="BU149" s="151"/>
      <c r="BV149" s="151"/>
      <c r="BW149" s="151"/>
      <c r="BX149" s="151"/>
      <c r="BY149" s="151"/>
      <c r="BZ149" s="151"/>
      <c r="CA149" s="151"/>
    </row>
    <row r="150" spans="2:79" ht="15.75">
      <c r="B150" s="758" t="s">
        <v>658</v>
      </c>
      <c r="C150" s="699"/>
      <c r="D150" s="699"/>
      <c r="E150" s="1057"/>
      <c r="F150" s="839">
        <v>730</v>
      </c>
      <c r="G150" s="839">
        <f>+$F150*(1+0.03)^G$36</f>
        <v>797.69070999999997</v>
      </c>
      <c r="H150" s="839">
        <f>+$F150*(1+0.03)^H$36</f>
        <v>846.27007423899988</v>
      </c>
      <c r="I150" s="699"/>
      <c r="J150" s="685" t="s">
        <v>670</v>
      </c>
      <c r="K150" s="151"/>
      <c r="L150" s="151"/>
      <c r="M150" s="151"/>
      <c r="N150" s="949">
        <v>1.25</v>
      </c>
      <c r="O150" s="949">
        <v>1.25</v>
      </c>
      <c r="P150" s="949">
        <v>1.25</v>
      </c>
      <c r="Q150" s="699"/>
      <c r="R150" s="699"/>
      <c r="S150" s="699"/>
      <c r="T150" s="699"/>
      <c r="U150" s="699"/>
      <c r="V150" s="699"/>
      <c r="W150" s="151"/>
      <c r="X150" s="151"/>
      <c r="Y150" s="151"/>
      <c r="Z150" s="151"/>
      <c r="AA150" s="727" t="s">
        <v>523</v>
      </c>
      <c r="AB150" s="151"/>
      <c r="AC150" s="151"/>
      <c r="AD150" s="717"/>
      <c r="AE150" s="729">
        <f>+'Parcel Breakdown'!AW52</f>
        <v>0</v>
      </c>
      <c r="AF150" s="729">
        <f>+'Parcel Breakdown'!AW53</f>
        <v>0</v>
      </c>
      <c r="AG150" s="729">
        <f>+'Parcel Breakdown'!AW54</f>
        <v>0</v>
      </c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  <c r="AU150" s="151"/>
      <c r="AV150" s="151"/>
      <c r="AW150" s="151"/>
      <c r="AX150" s="151"/>
      <c r="AY150" s="151"/>
      <c r="AZ150" s="151"/>
      <c r="BA150" s="151"/>
      <c r="BB150" s="151"/>
      <c r="BC150" s="151"/>
      <c r="BD150" s="151"/>
      <c r="BE150" s="151"/>
      <c r="BF150" s="151"/>
      <c r="BG150" s="151"/>
      <c r="BH150" s="151"/>
      <c r="BI150" s="151"/>
      <c r="BJ150" s="151"/>
      <c r="BK150" s="151"/>
      <c r="BL150" s="151"/>
      <c r="BM150" s="151"/>
      <c r="BN150" s="151"/>
      <c r="BO150" s="151"/>
      <c r="BP150" s="151"/>
      <c r="BQ150" s="151"/>
      <c r="BR150" s="151"/>
      <c r="BS150" s="151"/>
      <c r="BT150" s="151"/>
      <c r="BU150" s="151"/>
      <c r="BV150" s="151"/>
      <c r="BW150" s="151"/>
      <c r="BX150" s="151"/>
      <c r="BY150" s="151"/>
      <c r="BZ150" s="151"/>
      <c r="CA150" s="151"/>
    </row>
    <row r="151" spans="2:79" ht="15.75">
      <c r="B151" s="413" t="s">
        <v>274</v>
      </c>
      <c r="C151" s="699"/>
      <c r="D151" s="699"/>
      <c r="E151" s="1057"/>
      <c r="F151" s="369">
        <f>+'Parcel Breakdown'!$AP$87</f>
        <v>5.5116765000000001</v>
      </c>
      <c r="G151" s="369">
        <f>+'Parcel Breakdown'!$AP$88</f>
        <v>4.00137375</v>
      </c>
      <c r="H151" s="369">
        <f>+'Parcel Breakdown'!$AP$89</f>
        <v>38.627360000000003</v>
      </c>
      <c r="I151" s="699"/>
      <c r="J151" s="685" t="s">
        <v>671</v>
      </c>
      <c r="K151" s="151"/>
      <c r="L151" s="151"/>
      <c r="M151" s="151"/>
      <c r="N151" s="852"/>
      <c r="O151" s="852"/>
      <c r="P151" s="852"/>
      <c r="Q151" s="699"/>
      <c r="R151" s="699"/>
      <c r="S151" s="699"/>
      <c r="T151" s="699"/>
      <c r="U151" s="699"/>
      <c r="V151" s="699"/>
      <c r="W151" s="151"/>
      <c r="X151" s="151"/>
      <c r="Y151" s="151"/>
      <c r="Z151" s="151"/>
      <c r="AA151" s="685" t="s">
        <v>515</v>
      </c>
      <c r="AB151" s="151"/>
      <c r="AC151" s="151"/>
      <c r="AD151" s="730">
        <v>1300</v>
      </c>
      <c r="AE151" s="731">
        <f>+$AD151</f>
        <v>1300</v>
      </c>
      <c r="AF151" s="731">
        <f>+$AD151</f>
        <v>1300</v>
      </c>
      <c r="AG151" s="731">
        <f>+$AD151</f>
        <v>1300</v>
      </c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  <c r="AU151" s="151"/>
      <c r="AV151" s="151"/>
      <c r="AW151" s="151"/>
      <c r="AX151" s="151"/>
      <c r="AY151" s="151"/>
      <c r="AZ151" s="151"/>
      <c r="BA151" s="151"/>
      <c r="BB151" s="151"/>
      <c r="BC151" s="151"/>
      <c r="BD151" s="151"/>
      <c r="BE151" s="151"/>
      <c r="BF151" s="151"/>
      <c r="BG151" s="151"/>
      <c r="BH151" s="151"/>
      <c r="BI151" s="151"/>
      <c r="BJ151" s="151"/>
      <c r="BK151" s="151"/>
      <c r="BL151" s="151"/>
      <c r="BM151" s="151"/>
      <c r="BN151" s="151"/>
      <c r="BO151" s="151"/>
      <c r="BP151" s="151"/>
      <c r="BQ151" s="151"/>
      <c r="BR151" s="151"/>
      <c r="BS151" s="151"/>
      <c r="BT151" s="151"/>
      <c r="BU151" s="151"/>
      <c r="BV151" s="151"/>
      <c r="BW151" s="151"/>
      <c r="BX151" s="151"/>
      <c r="BY151" s="151"/>
      <c r="BZ151" s="151"/>
      <c r="CA151" s="151"/>
    </row>
    <row r="152" spans="2:79" ht="15.75">
      <c r="B152" s="758" t="s">
        <v>515</v>
      </c>
      <c r="C152" s="699"/>
      <c r="D152" s="699"/>
      <c r="E152" s="370">
        <v>1500</v>
      </c>
      <c r="F152" s="1058">
        <f>+$E152</f>
        <v>1500</v>
      </c>
      <c r="G152" s="1058">
        <f>+$E152</f>
        <v>1500</v>
      </c>
      <c r="H152" s="1058">
        <f>+$E152</f>
        <v>1500</v>
      </c>
      <c r="I152" s="699"/>
      <c r="J152" s="685" t="s">
        <v>665</v>
      </c>
      <c r="K152" s="151"/>
      <c r="L152" s="151"/>
      <c r="M152" s="151"/>
      <c r="N152" s="852"/>
      <c r="O152" s="852"/>
      <c r="P152" s="852"/>
      <c r="Q152" s="699"/>
      <c r="R152" s="699"/>
      <c r="S152" s="699"/>
      <c r="T152" s="699"/>
      <c r="U152" s="699"/>
      <c r="V152" s="699"/>
      <c r="W152" s="151"/>
      <c r="X152" s="151"/>
      <c r="Y152" s="151"/>
      <c r="Z152" s="151"/>
      <c r="AA152" s="685" t="s">
        <v>268</v>
      </c>
      <c r="AB152" s="151"/>
      <c r="AC152" s="151"/>
      <c r="AD152" s="717"/>
      <c r="AE152" s="686">
        <f>(AE153*12)/AE151</f>
        <v>26.307692307692307</v>
      </c>
      <c r="AF152" s="686">
        <f t="shared" ref="AF152" si="76">(AF153*12)/AF151</f>
        <v>28.747125692307691</v>
      </c>
      <c r="AG152" s="686">
        <f t="shared" ref="AG152" si="77">(AG153*12)/AG151</f>
        <v>30.497825646969229</v>
      </c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  <c r="AU152" s="151"/>
      <c r="AV152" s="151"/>
      <c r="AW152" s="151"/>
      <c r="AX152" s="151"/>
      <c r="AY152" s="151"/>
      <c r="AZ152" s="151"/>
      <c r="BA152" s="151"/>
      <c r="BB152" s="151"/>
      <c r="BC152" s="151"/>
      <c r="BD152" s="151"/>
      <c r="BE152" s="151"/>
      <c r="BF152" s="151"/>
      <c r="BG152" s="151"/>
      <c r="BH152" s="151"/>
      <c r="BI152" s="151"/>
      <c r="BJ152" s="151"/>
      <c r="BK152" s="151"/>
      <c r="BL152" s="151"/>
      <c r="BM152" s="151"/>
      <c r="BN152" s="151"/>
      <c r="BO152" s="151"/>
      <c r="BP152" s="151"/>
      <c r="BQ152" s="151"/>
      <c r="BR152" s="151"/>
      <c r="BS152" s="151"/>
      <c r="BT152" s="151"/>
      <c r="BU152" s="151"/>
      <c r="BV152" s="151"/>
      <c r="BW152" s="151"/>
      <c r="BX152" s="151"/>
      <c r="BY152" s="151"/>
      <c r="BZ152" s="151"/>
      <c r="CA152" s="151"/>
    </row>
    <row r="153" spans="2:79">
      <c r="B153" s="758" t="s">
        <v>268</v>
      </c>
      <c r="C153" s="699"/>
      <c r="D153" s="699"/>
      <c r="E153" s="1057"/>
      <c r="F153" s="1068">
        <f>(F154*F152)</f>
        <v>1050000</v>
      </c>
      <c r="G153" s="1068">
        <f>(G154*G152)</f>
        <v>1147363.3500000001</v>
      </c>
      <c r="H153" s="1068">
        <f>(H154*H152)</f>
        <v>1217237.7780149998</v>
      </c>
      <c r="I153" s="699"/>
      <c r="J153" s="685" t="s">
        <v>672</v>
      </c>
      <c r="K153" s="151"/>
      <c r="L153" s="151"/>
      <c r="M153" s="151"/>
      <c r="N153" s="862"/>
      <c r="O153" s="862"/>
      <c r="P153" s="862"/>
      <c r="Q153" s="699"/>
      <c r="R153" s="699"/>
      <c r="S153" s="699"/>
      <c r="T153" s="699"/>
      <c r="U153" s="699"/>
      <c r="V153" s="699"/>
      <c r="W153" s="151"/>
      <c r="X153" s="151"/>
      <c r="Y153" s="151"/>
      <c r="Z153" s="151"/>
      <c r="AA153" s="685" t="s">
        <v>516</v>
      </c>
      <c r="AB153" s="151"/>
      <c r="AC153" s="151"/>
      <c r="AD153" s="717"/>
      <c r="AE153" s="731">
        <v>2850</v>
      </c>
      <c r="AF153" s="731">
        <f>+$AE153*(1+0.03)^G$36</f>
        <v>3114.2719499999998</v>
      </c>
      <c r="AG153" s="731">
        <f>+$AE153*(1+0.03)^H$36</f>
        <v>3303.9311117549996</v>
      </c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  <c r="AU153" s="151"/>
      <c r="AV153" s="151"/>
      <c r="AW153" s="151"/>
      <c r="AX153" s="151"/>
      <c r="AY153" s="151"/>
      <c r="AZ153" s="151"/>
      <c r="BA153" s="151"/>
      <c r="BB153" s="151"/>
      <c r="BC153" s="151"/>
      <c r="BD153" s="151"/>
      <c r="BE153" s="151"/>
      <c r="BF153" s="151"/>
      <c r="BG153" s="151"/>
      <c r="BH153" s="151"/>
      <c r="BI153" s="151"/>
      <c r="BJ153" s="151"/>
      <c r="BK153" s="151"/>
      <c r="BL153" s="151"/>
      <c r="BM153" s="151"/>
      <c r="BN153" s="151"/>
      <c r="BO153" s="151"/>
      <c r="BP153" s="151"/>
      <c r="BQ153" s="151"/>
      <c r="BR153" s="151"/>
      <c r="BS153" s="151"/>
      <c r="BT153" s="151"/>
      <c r="BU153" s="151"/>
      <c r="BV153" s="151"/>
      <c r="BW153" s="151"/>
      <c r="BX153" s="151"/>
      <c r="BY153" s="151"/>
      <c r="BZ153" s="151"/>
      <c r="CA153" s="151"/>
    </row>
    <row r="154" spans="2:79" ht="15.75">
      <c r="B154" s="758" t="s">
        <v>516</v>
      </c>
      <c r="C154" s="699"/>
      <c r="D154" s="699"/>
      <c r="E154" s="1057"/>
      <c r="F154" s="839">
        <v>700</v>
      </c>
      <c r="G154" s="839">
        <f>+$F154*(1+0.03)^G$36</f>
        <v>764.90890000000002</v>
      </c>
      <c r="H154" s="839">
        <f>+$F154*(1+0.03)^H$36</f>
        <v>811.49185200999989</v>
      </c>
      <c r="I154" s="699"/>
      <c r="J154" s="950" t="s">
        <v>673</v>
      </c>
      <c r="K154" s="151"/>
      <c r="L154" s="151"/>
      <c r="M154" s="151"/>
      <c r="N154" s="717"/>
      <c r="O154" s="717"/>
      <c r="P154" s="717"/>
      <c r="Q154" s="699"/>
      <c r="R154" s="699"/>
      <c r="S154" s="699"/>
      <c r="T154" s="699"/>
      <c r="U154" s="699"/>
      <c r="V154" s="699"/>
      <c r="W154" s="151"/>
      <c r="X154" s="151"/>
      <c r="Y154" s="151"/>
      <c r="Z154" s="151"/>
      <c r="AA154" s="689"/>
      <c r="AB154" s="689"/>
      <c r="AC154" s="689"/>
      <c r="AD154" s="689"/>
      <c r="AE154" s="689">
        <v>0</v>
      </c>
      <c r="AF154" s="689"/>
      <c r="AG154" s="689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51"/>
      <c r="BG154" s="151"/>
      <c r="BH154" s="151"/>
      <c r="BI154" s="151"/>
      <c r="BJ154" s="151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51"/>
      <c r="BX154" s="151"/>
      <c r="BY154" s="151"/>
      <c r="BZ154" s="151"/>
      <c r="CA154" s="151"/>
    </row>
    <row r="155" spans="2:79" ht="15.75">
      <c r="B155" s="133" t="s">
        <v>591</v>
      </c>
      <c r="C155" s="133"/>
      <c r="D155" s="133"/>
      <c r="E155" s="391">
        <f>+SUM(F155:H155)</f>
        <v>119617290.83663133</v>
      </c>
      <c r="F155" s="1060">
        <f t="shared" ref="F155:G155" si="78">F153*F151+F149*F147+F145*F143</f>
        <v>40483263.892499998</v>
      </c>
      <c r="G155" s="1060">
        <f t="shared" si="78"/>
        <v>32115345.087145858</v>
      </c>
      <c r="H155" s="1060">
        <f>H153*H151+H149*H147+H145*H143</f>
        <v>47018681.856985487</v>
      </c>
      <c r="I155" s="699"/>
      <c r="J155" s="685" t="s">
        <v>669</v>
      </c>
      <c r="K155" s="151"/>
      <c r="L155" s="151"/>
      <c r="M155" s="151"/>
      <c r="N155" s="858"/>
      <c r="O155" s="858"/>
      <c r="P155" s="858"/>
      <c r="Q155" s="699"/>
      <c r="R155" s="699"/>
      <c r="S155" s="699"/>
      <c r="T155" s="699"/>
      <c r="U155" s="699"/>
      <c r="V155" s="699"/>
      <c r="W155" s="151"/>
      <c r="X155" s="151"/>
      <c r="Y155" s="151"/>
      <c r="Z155" s="151"/>
      <c r="AA155" s="689"/>
      <c r="AB155" s="689"/>
      <c r="AC155" s="689"/>
      <c r="AD155" s="689"/>
      <c r="AE155" s="689"/>
      <c r="AF155" s="689"/>
      <c r="AG155" s="689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</row>
    <row r="156" spans="2:79" ht="15.75">
      <c r="B156" s="758" t="s">
        <v>353</v>
      </c>
      <c r="C156" s="699"/>
      <c r="D156" s="699"/>
      <c r="E156" s="389">
        <f>+SUM(F156:H156)</f>
        <v>153071.54250000001</v>
      </c>
      <c r="F156" s="1058">
        <f t="shared" ref="F156:G156" si="79">F144*F143+F148*F147+F152*F151</f>
        <v>55116.764999999999</v>
      </c>
      <c r="G156" s="1058">
        <f t="shared" si="79"/>
        <v>40013.737500000003</v>
      </c>
      <c r="H156" s="1058">
        <f>H144*H143+H148*H147+H152*H151</f>
        <v>57941.040000000008</v>
      </c>
      <c r="I156" s="699"/>
      <c r="J156" s="685" t="s">
        <v>670</v>
      </c>
      <c r="K156" s="151"/>
      <c r="L156" s="151"/>
      <c r="M156" s="151"/>
      <c r="N156" s="949"/>
      <c r="O156" s="949"/>
      <c r="P156" s="949"/>
      <c r="Q156" s="699"/>
      <c r="R156" s="699"/>
      <c r="S156" s="699"/>
      <c r="T156" s="699"/>
      <c r="U156" s="699"/>
      <c r="V156" s="699"/>
      <c r="W156" s="151"/>
      <c r="X156" s="151"/>
      <c r="Y156" s="151"/>
      <c r="Z156" s="151"/>
      <c r="AA156" s="1123" t="s">
        <v>674</v>
      </c>
      <c r="AB156" s="1123"/>
      <c r="AC156" s="151"/>
      <c r="AD156" s="752" t="s">
        <v>319</v>
      </c>
      <c r="AE156" s="778" t="str">
        <f>+F$26</f>
        <v>I</v>
      </c>
      <c r="AF156" s="778" t="str">
        <f>+G$26</f>
        <v>II</v>
      </c>
      <c r="AG156" s="778" t="str">
        <f>+H$26</f>
        <v>III</v>
      </c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  <c r="AU156" s="151"/>
      <c r="AV156" s="151"/>
      <c r="AW156" s="151"/>
      <c r="AX156" s="151"/>
      <c r="AY156" s="151"/>
      <c r="AZ156" s="151"/>
      <c r="BA156" s="151"/>
      <c r="BB156" s="151"/>
      <c r="BC156" s="151"/>
      <c r="BD156" s="151"/>
      <c r="BE156" s="151"/>
      <c r="BF156" s="151"/>
      <c r="BG156" s="151"/>
      <c r="BH156" s="151"/>
      <c r="BI156" s="151"/>
      <c r="BJ156" s="151"/>
      <c r="BK156" s="151"/>
      <c r="BL156" s="151"/>
      <c r="BM156" s="151"/>
      <c r="BN156" s="151"/>
      <c r="BO156" s="151"/>
      <c r="BP156" s="151"/>
      <c r="BQ156" s="151"/>
      <c r="BR156" s="151"/>
      <c r="BS156" s="151"/>
      <c r="BT156" s="151"/>
      <c r="BU156" s="151"/>
      <c r="BV156" s="151"/>
      <c r="BW156" s="151"/>
      <c r="BX156" s="151"/>
      <c r="BY156" s="151"/>
      <c r="BZ156" s="151"/>
      <c r="CA156" s="151"/>
    </row>
    <row r="157" spans="2:79" ht="15.75">
      <c r="B157" s="758" t="s">
        <v>556</v>
      </c>
      <c r="C157" s="699"/>
      <c r="D157" s="699"/>
      <c r="E157" s="389">
        <f>+SUM(F157:H157)</f>
        <v>133.36148540625001</v>
      </c>
      <c r="F157" s="983">
        <f t="shared" ref="F157:G157" si="80">+AE250+F143+F147+F151+AE254</f>
        <v>54.887111812500002</v>
      </c>
      <c r="G157" s="983">
        <f t="shared" si="80"/>
        <v>39.847013593750006</v>
      </c>
      <c r="H157" s="983">
        <f>+AG250+H143+H147+H151+AG254</f>
        <v>38.627360000000003</v>
      </c>
      <c r="I157" s="699"/>
      <c r="J157" s="685" t="s">
        <v>671</v>
      </c>
      <c r="K157" s="151"/>
      <c r="L157" s="151"/>
      <c r="M157" s="151"/>
      <c r="N157" s="852"/>
      <c r="O157" s="852"/>
      <c r="P157" s="852"/>
      <c r="Q157" s="699"/>
      <c r="R157" s="699"/>
      <c r="S157" s="699"/>
      <c r="T157" s="699"/>
      <c r="U157" s="699"/>
      <c r="V157" s="699"/>
      <c r="W157" s="151"/>
      <c r="X157" s="151"/>
      <c r="Y157" s="151"/>
      <c r="Z157" s="151"/>
      <c r="AA157" s="848" t="s">
        <v>675</v>
      </c>
      <c r="AB157" s="737"/>
      <c r="AC157" s="737"/>
      <c r="AD157" s="737"/>
      <c r="AE157" s="737"/>
      <c r="AF157" s="737"/>
      <c r="AG157" s="737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  <c r="AU157" s="151"/>
      <c r="AV157" s="151"/>
      <c r="AW157" s="151"/>
      <c r="AX157" s="151"/>
      <c r="AY157" s="151"/>
      <c r="AZ157" s="151"/>
      <c r="BA157" s="151"/>
      <c r="BB157" s="151"/>
      <c r="BC157" s="151"/>
      <c r="BD157" s="151"/>
      <c r="BE157" s="151"/>
      <c r="BF157" s="151"/>
      <c r="BG157" s="151"/>
      <c r="BH157" s="151"/>
      <c r="BI157" s="151"/>
      <c r="BJ157" s="151"/>
      <c r="BK157" s="151"/>
      <c r="BL157" s="151"/>
      <c r="BM157" s="151"/>
      <c r="BN157" s="151"/>
      <c r="BO157" s="151"/>
      <c r="BP157" s="151"/>
      <c r="BQ157" s="151"/>
      <c r="BR157" s="151"/>
      <c r="BS157" s="151"/>
      <c r="BT157" s="151"/>
      <c r="BU157" s="151"/>
      <c r="BV157" s="151"/>
      <c r="BW157" s="151"/>
      <c r="BX157" s="151"/>
      <c r="BY157" s="151"/>
      <c r="BZ157" s="151"/>
      <c r="CA157" s="151"/>
    </row>
    <row r="158" spans="2:79" ht="15.75">
      <c r="B158" s="758" t="s">
        <v>558</v>
      </c>
      <c r="C158" s="699"/>
      <c r="D158" s="699"/>
      <c r="E158" s="650">
        <f>+IFERROR(E155/E156,"")</f>
        <v>781.44695534528455</v>
      </c>
      <c r="F158" s="1061">
        <f>+IFERROR(F155/F156,"")</f>
        <v>734.5</v>
      </c>
      <c r="G158" s="1061">
        <f>+IFERROR(G155/G156,"")</f>
        <v>802.60798149999994</v>
      </c>
      <c r="H158" s="1061">
        <f>+IFERROR(H155/H156,"")</f>
        <v>811.49185200999977</v>
      </c>
      <c r="I158" s="699"/>
      <c r="J158" s="685" t="s">
        <v>665</v>
      </c>
      <c r="K158" s="151"/>
      <c r="L158" s="151"/>
      <c r="M158" s="151"/>
      <c r="N158" s="852"/>
      <c r="O158" s="852"/>
      <c r="P158" s="852"/>
      <c r="Q158" s="699"/>
      <c r="R158" s="699"/>
      <c r="S158" s="699"/>
      <c r="T158" s="699"/>
      <c r="U158" s="699"/>
      <c r="V158" s="699"/>
      <c r="W158" s="151"/>
      <c r="X158" s="151"/>
      <c r="Y158" s="151"/>
      <c r="Z158" s="151"/>
      <c r="AA158" s="864" t="s">
        <v>276</v>
      </c>
      <c r="AB158" s="737"/>
      <c r="AC158" s="737"/>
      <c r="AD158" s="865">
        <v>8</v>
      </c>
      <c r="AE158" s="866">
        <f t="shared" ref="AE158:AG165" si="81">+$AD158</f>
        <v>8</v>
      </c>
      <c r="AF158" s="866">
        <f t="shared" si="81"/>
        <v>8</v>
      </c>
      <c r="AG158" s="866">
        <f t="shared" si="81"/>
        <v>8</v>
      </c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  <c r="AU158" s="151"/>
      <c r="AV158" s="151"/>
      <c r="AW158" s="151"/>
      <c r="AX158" s="151"/>
      <c r="AY158" s="151"/>
      <c r="AZ158" s="151"/>
      <c r="BA158" s="151"/>
      <c r="BB158" s="151"/>
      <c r="BC158" s="151"/>
      <c r="BD158" s="151"/>
      <c r="BE158" s="151"/>
      <c r="BF158" s="151"/>
      <c r="BG158" s="151"/>
      <c r="BH158" s="151"/>
      <c r="BI158" s="151"/>
      <c r="BJ158" s="151"/>
      <c r="BK158" s="151"/>
      <c r="BL158" s="151"/>
      <c r="BM158" s="151"/>
      <c r="BN158" s="151"/>
      <c r="BO158" s="151"/>
      <c r="BP158" s="151"/>
      <c r="BQ158" s="151"/>
      <c r="BR158" s="151"/>
      <c r="BS158" s="151"/>
      <c r="BT158" s="151"/>
      <c r="BU158" s="151"/>
      <c r="BV158" s="151"/>
      <c r="BW158" s="151"/>
      <c r="BX158" s="151"/>
      <c r="BY158" s="151"/>
      <c r="BZ158" s="151"/>
      <c r="CA158" s="151"/>
    </row>
    <row r="159" spans="2:79" ht="15.75">
      <c r="B159" s="1062" t="s">
        <v>560</v>
      </c>
      <c r="C159" s="1029"/>
      <c r="D159" s="1029"/>
      <c r="E159" s="651">
        <f>+IFERROR(E155/E157,"")</f>
        <v>896940.30080910784</v>
      </c>
      <c r="F159" s="1063">
        <f>+IFERROR(F155/F157,"")</f>
        <v>737573.22175732208</v>
      </c>
      <c r="G159" s="1063">
        <f>+IFERROR(G155/G157,"")</f>
        <v>805966.17389121326</v>
      </c>
      <c r="H159" s="1063">
        <f>+IFERROR(H155/H157,"")</f>
        <v>1217237.7780149998</v>
      </c>
      <c r="I159" s="699"/>
      <c r="J159" s="685" t="s">
        <v>672</v>
      </c>
      <c r="K159" s="151"/>
      <c r="L159" s="151"/>
      <c r="M159" s="151"/>
      <c r="N159" s="862"/>
      <c r="O159" s="862"/>
      <c r="P159" s="862"/>
      <c r="Q159" s="699"/>
      <c r="R159" s="699"/>
      <c r="S159" s="699"/>
      <c r="T159" s="699"/>
      <c r="U159" s="699"/>
      <c r="V159" s="699"/>
      <c r="W159" s="151"/>
      <c r="X159" s="151"/>
      <c r="Y159" s="151"/>
      <c r="Z159" s="151"/>
      <c r="AA159" s="864" t="s">
        <v>269</v>
      </c>
      <c r="AB159" s="737"/>
      <c r="AC159" s="737"/>
      <c r="AD159" s="865">
        <v>55</v>
      </c>
      <c r="AE159" s="866">
        <f t="shared" si="81"/>
        <v>55</v>
      </c>
      <c r="AF159" s="866">
        <f t="shared" si="81"/>
        <v>55</v>
      </c>
      <c r="AG159" s="866">
        <f t="shared" si="81"/>
        <v>55</v>
      </c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  <c r="AU159" s="151"/>
      <c r="AV159" s="151"/>
      <c r="AW159" s="151"/>
      <c r="AX159" s="151"/>
      <c r="AY159" s="151"/>
      <c r="AZ159" s="151"/>
      <c r="BA159" s="151"/>
      <c r="BB159" s="151"/>
      <c r="BC159" s="151"/>
      <c r="BD159" s="151"/>
      <c r="BE159" s="151"/>
      <c r="BF159" s="151"/>
      <c r="BG159" s="151"/>
      <c r="BH159" s="151"/>
      <c r="BI159" s="151"/>
      <c r="BJ159" s="151"/>
      <c r="BK159" s="151"/>
      <c r="BL159" s="151"/>
      <c r="BM159" s="151"/>
      <c r="BN159" s="151"/>
      <c r="BO159" s="151"/>
      <c r="BP159" s="151"/>
      <c r="BQ159" s="151"/>
      <c r="BR159" s="151"/>
      <c r="BS159" s="151"/>
      <c r="BT159" s="151"/>
      <c r="BU159" s="151"/>
      <c r="BV159" s="151"/>
      <c r="BW159" s="151"/>
      <c r="BX159" s="151"/>
      <c r="BY159" s="151"/>
      <c r="BZ159" s="151"/>
      <c r="CA159" s="151"/>
    </row>
    <row r="160" spans="2:79" ht="15.75">
      <c r="B160" s="699"/>
      <c r="C160" s="699"/>
      <c r="D160" s="699"/>
      <c r="E160" s="1057"/>
      <c r="F160" s="1057"/>
      <c r="G160" s="1057"/>
      <c r="H160" s="1057"/>
      <c r="I160" s="699"/>
      <c r="J160" s="132" t="s">
        <v>676</v>
      </c>
      <c r="K160" s="699"/>
      <c r="L160" s="699"/>
      <c r="M160" s="699"/>
      <c r="N160" s="123"/>
      <c r="O160" s="123"/>
      <c r="P160" s="123"/>
      <c r="Q160" s="699"/>
      <c r="R160" s="699"/>
      <c r="S160" s="699"/>
      <c r="T160" s="699"/>
      <c r="U160" s="699"/>
      <c r="V160" s="699"/>
      <c r="W160" s="151"/>
      <c r="X160" s="151"/>
      <c r="Y160" s="151"/>
      <c r="Z160" s="151"/>
      <c r="AA160" s="848" t="s">
        <v>48</v>
      </c>
      <c r="AB160" s="151"/>
      <c r="AC160" s="151"/>
      <c r="AD160" s="865">
        <v>45</v>
      </c>
      <c r="AE160" s="866">
        <f t="shared" si="81"/>
        <v>45</v>
      </c>
      <c r="AF160" s="866">
        <f t="shared" si="81"/>
        <v>45</v>
      </c>
      <c r="AG160" s="866">
        <f t="shared" si="81"/>
        <v>45</v>
      </c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  <c r="AU160" s="151"/>
      <c r="AV160" s="151"/>
      <c r="AW160" s="151"/>
      <c r="AX160" s="151"/>
      <c r="AY160" s="151"/>
      <c r="AZ160" s="151"/>
      <c r="BA160" s="151"/>
      <c r="BB160" s="151"/>
      <c r="BC160" s="151"/>
      <c r="BD160" s="151"/>
      <c r="BE160" s="151"/>
      <c r="BF160" s="151"/>
      <c r="BG160" s="151"/>
      <c r="BH160" s="151"/>
      <c r="BI160" s="151"/>
      <c r="BJ160" s="151"/>
      <c r="BK160" s="151"/>
      <c r="BL160" s="151"/>
      <c r="BM160" s="151"/>
      <c r="BN160" s="151"/>
      <c r="BO160" s="151"/>
      <c r="BP160" s="151"/>
      <c r="BQ160" s="151"/>
      <c r="BR160" s="151"/>
      <c r="BS160" s="151"/>
      <c r="BT160" s="151"/>
      <c r="BU160" s="151"/>
      <c r="BV160" s="151"/>
      <c r="BW160" s="151"/>
      <c r="BX160" s="151"/>
      <c r="BY160" s="151"/>
      <c r="BZ160" s="151"/>
      <c r="CA160" s="151"/>
    </row>
    <row r="161" spans="2:79" ht="16.5" thickBot="1">
      <c r="B161" s="1124" t="s">
        <v>677</v>
      </c>
      <c r="C161" s="1124"/>
      <c r="D161" s="242"/>
      <c r="E161" s="779" t="s">
        <v>678</v>
      </c>
      <c r="F161" s="84"/>
      <c r="G161" s="84"/>
      <c r="H161" s="84"/>
      <c r="I161" s="699"/>
      <c r="J161" s="758" t="s">
        <v>670</v>
      </c>
      <c r="K161" s="699"/>
      <c r="L161" s="699"/>
      <c r="M161" s="699"/>
      <c r="N161" s="122">
        <v>1.25</v>
      </c>
      <c r="O161" s="122">
        <v>1.25</v>
      </c>
      <c r="P161" s="122">
        <v>1.25</v>
      </c>
      <c r="Q161" s="699"/>
      <c r="R161" s="699"/>
      <c r="S161" s="699"/>
      <c r="T161" s="699"/>
      <c r="U161" s="699"/>
      <c r="V161" s="699"/>
      <c r="W161" s="151"/>
      <c r="X161" s="151"/>
      <c r="Y161" s="151"/>
      <c r="Z161" s="151"/>
      <c r="AA161" s="867" t="s">
        <v>679</v>
      </c>
      <c r="AB161" s="151"/>
      <c r="AC161" s="151"/>
      <c r="AD161" s="868">
        <v>0.1275</v>
      </c>
      <c r="AE161" s="869">
        <f t="shared" si="81"/>
        <v>0.1275</v>
      </c>
      <c r="AF161" s="869">
        <f t="shared" si="81"/>
        <v>0.1275</v>
      </c>
      <c r="AG161" s="869">
        <f t="shared" si="81"/>
        <v>0.1275</v>
      </c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  <c r="AU161" s="151"/>
      <c r="AV161" s="151"/>
      <c r="AW161" s="151"/>
      <c r="AX161" s="151"/>
      <c r="AY161" s="151"/>
      <c r="AZ161" s="151"/>
      <c r="BA161" s="151"/>
      <c r="BB161" s="151"/>
      <c r="BC161" s="151"/>
      <c r="BD161" s="151"/>
      <c r="BE161" s="151"/>
      <c r="BF161" s="151"/>
      <c r="BG161" s="151"/>
      <c r="BH161" s="151"/>
      <c r="BI161" s="151"/>
      <c r="BJ161" s="151"/>
      <c r="BK161" s="151"/>
      <c r="BL161" s="151"/>
      <c r="BM161" s="151"/>
      <c r="BN161" s="151"/>
      <c r="BO161" s="151"/>
      <c r="BP161" s="151"/>
      <c r="BQ161" s="151"/>
      <c r="BR161" s="151"/>
      <c r="BS161" s="151"/>
      <c r="BT161" s="151"/>
      <c r="BU161" s="151"/>
      <c r="BV161" s="151"/>
      <c r="BW161" s="151"/>
      <c r="BX161" s="151"/>
      <c r="BY161" s="151"/>
      <c r="BZ161" s="151"/>
      <c r="CA161" s="151"/>
    </row>
    <row r="162" spans="2:79" ht="15.75">
      <c r="B162" s="395" t="s">
        <v>680</v>
      </c>
      <c r="C162" s="242"/>
      <c r="D162" s="242"/>
      <c r="E162" s="396"/>
      <c r="F162" s="276">
        <f>+'Parcel Breakdown'!$AI$66</f>
        <v>0</v>
      </c>
      <c r="G162" s="276">
        <f ca="1">+'Parcel Breakdown'!$AI$67</f>
        <v>0</v>
      </c>
      <c r="H162" s="276">
        <f>+'Parcel Breakdown'!$AI$68</f>
        <v>364.70333333333332</v>
      </c>
      <c r="I162" s="699"/>
      <c r="J162" s="758" t="s">
        <v>671</v>
      </c>
      <c r="K162" s="699"/>
      <c r="L162" s="699"/>
      <c r="M162" s="699"/>
      <c r="N162" s="123">
        <v>4.3999999999999997E-2</v>
      </c>
      <c r="O162" s="123">
        <v>4.3999999999999997E-2</v>
      </c>
      <c r="P162" s="123">
        <v>4.3999999999999997E-2</v>
      </c>
      <c r="Q162" s="699"/>
      <c r="R162" s="699"/>
      <c r="S162" s="699"/>
      <c r="T162" s="699"/>
      <c r="U162" s="699"/>
      <c r="V162" s="699"/>
      <c r="W162" s="151"/>
      <c r="X162" s="151"/>
      <c r="Y162" s="151"/>
      <c r="Z162" s="151"/>
      <c r="AA162" s="848" t="s">
        <v>50</v>
      </c>
      <c r="AB162" s="151"/>
      <c r="AC162" s="151"/>
      <c r="AD162" s="865">
        <v>30</v>
      </c>
      <c r="AE162" s="866">
        <f t="shared" si="81"/>
        <v>30</v>
      </c>
      <c r="AF162" s="866">
        <f t="shared" si="81"/>
        <v>30</v>
      </c>
      <c r="AG162" s="866">
        <f t="shared" si="81"/>
        <v>30</v>
      </c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  <c r="AU162" s="151"/>
      <c r="AV162" s="151"/>
      <c r="AW162" s="151"/>
      <c r="AX162" s="151"/>
      <c r="AY162" s="151"/>
      <c r="AZ162" s="151"/>
      <c r="BA162" s="151"/>
      <c r="BB162" s="151"/>
      <c r="BC162" s="151"/>
      <c r="BD162" s="151"/>
      <c r="BE162" s="151"/>
      <c r="BF162" s="151"/>
      <c r="BG162" s="151"/>
      <c r="BH162" s="151"/>
      <c r="BI162" s="151"/>
      <c r="BJ162" s="151"/>
      <c r="BK162" s="151"/>
      <c r="BL162" s="151"/>
      <c r="BM162" s="151"/>
      <c r="BN162" s="151"/>
      <c r="BO162" s="151"/>
      <c r="BP162" s="151"/>
      <c r="BQ162" s="151"/>
      <c r="BR162" s="151"/>
      <c r="BS162" s="151"/>
      <c r="BT162" s="151"/>
      <c r="BU162" s="151"/>
      <c r="BV162" s="151"/>
      <c r="BW162" s="151"/>
      <c r="BX162" s="151"/>
      <c r="BY162" s="151"/>
      <c r="BZ162" s="151"/>
      <c r="CA162" s="151"/>
    </row>
    <row r="163" spans="2:79" ht="15.75">
      <c r="B163" s="115" t="s">
        <v>681</v>
      </c>
      <c r="C163" s="242"/>
      <c r="D163" s="242"/>
      <c r="E163" s="892">
        <v>450</v>
      </c>
      <c r="F163" s="397">
        <f>+$E163</f>
        <v>450</v>
      </c>
      <c r="G163" s="397">
        <f>+$E163</f>
        <v>450</v>
      </c>
      <c r="H163" s="397">
        <f>+$E163</f>
        <v>450</v>
      </c>
      <c r="I163" s="699"/>
      <c r="J163" s="758" t="s">
        <v>682</v>
      </c>
      <c r="K163" s="699"/>
      <c r="L163" s="699"/>
      <c r="M163" s="699"/>
      <c r="N163" s="97">
        <v>45</v>
      </c>
      <c r="O163" s="97">
        <v>45</v>
      </c>
      <c r="P163" s="97">
        <v>45</v>
      </c>
      <c r="Q163" s="699"/>
      <c r="R163" s="699"/>
      <c r="S163" s="699"/>
      <c r="T163" s="699"/>
      <c r="U163" s="699"/>
      <c r="V163" s="699"/>
      <c r="W163" s="151"/>
      <c r="X163" s="151"/>
      <c r="Y163" s="151"/>
      <c r="Z163" s="151"/>
      <c r="AA163" s="867" t="s">
        <v>679</v>
      </c>
      <c r="AB163" s="151"/>
      <c r="AC163" s="151"/>
      <c r="AD163" s="868">
        <v>0.94</v>
      </c>
      <c r="AE163" s="869">
        <f t="shared" si="81"/>
        <v>0.94</v>
      </c>
      <c r="AF163" s="869">
        <f t="shared" si="81"/>
        <v>0.94</v>
      </c>
      <c r="AG163" s="869">
        <f t="shared" si="81"/>
        <v>0.94</v>
      </c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  <c r="AU163" s="151"/>
      <c r="AV163" s="151"/>
      <c r="AW163" s="151"/>
      <c r="AX163" s="151"/>
      <c r="AY163" s="151"/>
      <c r="AZ163" s="151"/>
      <c r="BA163" s="151"/>
      <c r="BB163" s="151"/>
      <c r="BC163" s="151"/>
      <c r="BD163" s="151"/>
      <c r="BE163" s="151"/>
      <c r="BF163" s="151"/>
      <c r="BG163" s="151"/>
      <c r="BH163" s="151"/>
      <c r="BI163" s="151"/>
      <c r="BJ163" s="151"/>
      <c r="BK163" s="151"/>
      <c r="BL163" s="151"/>
      <c r="BM163" s="151"/>
      <c r="BN163" s="151"/>
      <c r="BO163" s="151"/>
      <c r="BP163" s="151"/>
      <c r="BQ163" s="151"/>
      <c r="BR163" s="151"/>
      <c r="BS163" s="151"/>
      <c r="BT163" s="151"/>
      <c r="BU163" s="151"/>
      <c r="BV163" s="151"/>
      <c r="BW163" s="151"/>
      <c r="BX163" s="151"/>
      <c r="BY163" s="151"/>
      <c r="BZ163" s="151"/>
      <c r="CA163" s="151"/>
    </row>
    <row r="164" spans="2:79" ht="15.75">
      <c r="B164" s="115" t="s">
        <v>310</v>
      </c>
      <c r="C164" s="242"/>
      <c r="D164" s="242"/>
      <c r="E164" s="242"/>
      <c r="F164" s="382">
        <f>+F166*F165</f>
        <v>146.27140632480248</v>
      </c>
      <c r="G164" s="382">
        <f>+G166*G165</f>
        <v>159.83471501908244</v>
      </c>
      <c r="H164" s="382">
        <f>+H166*H165</f>
        <v>185.29224129475108</v>
      </c>
      <c r="I164" s="699"/>
      <c r="J164" s="758" t="s">
        <v>665</v>
      </c>
      <c r="K164" s="699"/>
      <c r="L164" s="699"/>
      <c r="M164" s="699"/>
      <c r="N164" s="123">
        <v>0.01</v>
      </c>
      <c r="O164" s="123">
        <v>0.01</v>
      </c>
      <c r="P164" s="123">
        <v>0.01</v>
      </c>
      <c r="Q164" s="699"/>
      <c r="R164" s="699"/>
      <c r="S164" s="699"/>
      <c r="T164" s="699"/>
      <c r="U164" s="699"/>
      <c r="V164" s="699"/>
      <c r="W164" s="151"/>
      <c r="X164" s="151"/>
      <c r="Y164" s="151"/>
      <c r="Z164" s="151"/>
      <c r="AA164" s="848" t="s">
        <v>52</v>
      </c>
      <c r="AB164" s="151"/>
      <c r="AC164" s="151"/>
      <c r="AD164" s="865">
        <v>25</v>
      </c>
      <c r="AE164" s="866">
        <f t="shared" si="81"/>
        <v>25</v>
      </c>
      <c r="AF164" s="866">
        <f t="shared" si="81"/>
        <v>25</v>
      </c>
      <c r="AG164" s="866">
        <f t="shared" si="81"/>
        <v>25</v>
      </c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  <c r="AU164" s="151"/>
      <c r="AV164" s="151"/>
      <c r="AW164" s="151"/>
      <c r="AX164" s="151"/>
      <c r="AY164" s="151"/>
      <c r="AZ164" s="151"/>
      <c r="BA164" s="151"/>
      <c r="BB164" s="151"/>
      <c r="BC164" s="151"/>
      <c r="BD164" s="151"/>
      <c r="BE164" s="151"/>
      <c r="BF164" s="151"/>
      <c r="BG164" s="151"/>
      <c r="BH164" s="151"/>
      <c r="BI164" s="151"/>
      <c r="BJ164" s="151"/>
      <c r="BK164" s="151"/>
      <c r="BL164" s="151"/>
      <c r="BM164" s="151"/>
      <c r="BN164" s="151"/>
      <c r="BO164" s="151"/>
      <c r="BP164" s="151"/>
      <c r="BQ164" s="151"/>
      <c r="BR164" s="151"/>
      <c r="BS164" s="151"/>
      <c r="BT164" s="151"/>
      <c r="BU164" s="151"/>
      <c r="BV164" s="151"/>
      <c r="BW164" s="151"/>
      <c r="BX164" s="151"/>
      <c r="BY164" s="151"/>
      <c r="BZ164" s="151"/>
      <c r="CA164" s="151"/>
    </row>
    <row r="165" spans="2:79" ht="15.75">
      <c r="B165" s="115" t="s">
        <v>683</v>
      </c>
      <c r="C165" s="242"/>
      <c r="D165" s="242"/>
      <c r="E165" s="130">
        <v>0.7</v>
      </c>
      <c r="F165" s="128">
        <f>+$E165</f>
        <v>0.7</v>
      </c>
      <c r="G165" s="128">
        <f>+$E165</f>
        <v>0.7</v>
      </c>
      <c r="H165" s="128">
        <f>+$E165</f>
        <v>0.7</v>
      </c>
      <c r="I165" s="699"/>
      <c r="J165" s="758" t="s">
        <v>667</v>
      </c>
      <c r="K165" s="699"/>
      <c r="L165" s="699"/>
      <c r="M165" s="699"/>
      <c r="N165" s="121">
        <v>0.5</v>
      </c>
      <c r="O165" s="121">
        <v>0.5</v>
      </c>
      <c r="P165" s="121">
        <v>0.5</v>
      </c>
      <c r="Q165" s="699"/>
      <c r="R165" s="699"/>
      <c r="S165" s="699"/>
      <c r="T165" s="699"/>
      <c r="U165" s="699"/>
      <c r="V165" s="699"/>
      <c r="W165" s="151"/>
      <c r="X165" s="151"/>
      <c r="Y165" s="151"/>
      <c r="Z165" s="151"/>
      <c r="AA165" s="867" t="s">
        <v>679</v>
      </c>
      <c r="AB165" s="151"/>
      <c r="AC165" s="151"/>
      <c r="AD165" s="868">
        <v>0.89</v>
      </c>
      <c r="AE165" s="869">
        <f t="shared" si="81"/>
        <v>0.89</v>
      </c>
      <c r="AF165" s="869">
        <f t="shared" si="81"/>
        <v>0.89</v>
      </c>
      <c r="AG165" s="869">
        <f t="shared" si="81"/>
        <v>0.89</v>
      </c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  <c r="AU165" s="151"/>
      <c r="AV165" s="151"/>
      <c r="AW165" s="151"/>
      <c r="AX165" s="151"/>
      <c r="AY165" s="151"/>
      <c r="AZ165" s="151"/>
      <c r="BA165" s="151"/>
      <c r="BB165" s="151"/>
      <c r="BC165" s="151"/>
      <c r="BD165" s="151"/>
      <c r="BE165" s="151"/>
      <c r="BF165" s="151"/>
      <c r="BG165" s="151"/>
      <c r="BH165" s="151"/>
      <c r="BI165" s="151"/>
      <c r="BJ165" s="151"/>
      <c r="BK165" s="151"/>
      <c r="BL165" s="151"/>
      <c r="BM165" s="151"/>
      <c r="BN165" s="151"/>
      <c r="BO165" s="151"/>
      <c r="BP165" s="151"/>
      <c r="BQ165" s="151"/>
      <c r="BR165" s="151"/>
      <c r="BS165" s="151"/>
      <c r="BT165" s="151"/>
      <c r="BU165" s="151"/>
      <c r="BV165" s="151"/>
      <c r="BW165" s="151"/>
      <c r="BX165" s="151"/>
      <c r="BY165" s="151"/>
      <c r="BZ165" s="151"/>
      <c r="CA165" s="151"/>
    </row>
    <row r="166" spans="2:79" ht="15.75">
      <c r="B166" s="115" t="s">
        <v>684</v>
      </c>
      <c r="C166" s="242"/>
      <c r="D166" s="242"/>
      <c r="E166" s="378"/>
      <c r="F166" s="378">
        <f>175*(1+0.03)^6</f>
        <v>208.95915189257499</v>
      </c>
      <c r="G166" s="378">
        <f>F166*(1+0.03)^G$36</f>
        <v>228.3353071701178</v>
      </c>
      <c r="H166" s="378">
        <f>G166*(1+0.03)^H$36</f>
        <v>264.70320184964442</v>
      </c>
      <c r="I166" s="699"/>
      <c r="J166" s="718" t="s">
        <v>673</v>
      </c>
      <c r="K166" s="151"/>
      <c r="L166" s="151"/>
      <c r="M166" s="151"/>
      <c r="N166" s="852"/>
      <c r="O166" s="852"/>
      <c r="P166" s="852"/>
      <c r="Q166" s="699"/>
      <c r="R166" s="699"/>
      <c r="S166" s="699"/>
      <c r="T166" s="699"/>
      <c r="U166" s="699"/>
      <c r="V166" s="699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  <c r="AU166" s="151"/>
      <c r="AV166" s="151"/>
      <c r="AW166" s="151"/>
      <c r="AX166" s="151"/>
      <c r="AY166" s="151"/>
      <c r="AZ166" s="151"/>
      <c r="BA166" s="151"/>
      <c r="BB166" s="151"/>
      <c r="BC166" s="151"/>
      <c r="BD166" s="151"/>
      <c r="BE166" s="151"/>
      <c r="BF166" s="151"/>
      <c r="BG166" s="151"/>
      <c r="BH166" s="151"/>
      <c r="BI166" s="151"/>
      <c r="BJ166" s="151"/>
      <c r="BK166" s="151"/>
      <c r="BL166" s="151"/>
      <c r="BM166" s="151"/>
      <c r="BN166" s="151"/>
      <c r="BO166" s="151"/>
      <c r="BP166" s="151"/>
      <c r="BQ166" s="932" t="s">
        <v>673</v>
      </c>
      <c r="BR166" s="151"/>
      <c r="BS166" s="151"/>
      <c r="BT166" s="151"/>
      <c r="BU166" s="737"/>
      <c r="BV166" s="737"/>
      <c r="BW166" s="737"/>
      <c r="BX166" s="151"/>
      <c r="BY166" s="151"/>
      <c r="BZ166" s="151"/>
      <c r="CA166" s="151"/>
    </row>
    <row r="167" spans="2:79" ht="15.75">
      <c r="B167" s="398" t="s">
        <v>685</v>
      </c>
      <c r="C167" s="399"/>
      <c r="D167" s="399"/>
      <c r="E167" s="400">
        <f ca="1">+SUM(F167:H167)</f>
        <v>24682388.95947526</v>
      </c>
      <c r="F167" s="401">
        <f>+F162*365.25*F164</f>
        <v>0</v>
      </c>
      <c r="G167" s="401">
        <f ca="1">+G162*365.25*G164</f>
        <v>0</v>
      </c>
      <c r="H167" s="401">
        <f>+H162*365.25*H164</f>
        <v>24682388.95947526</v>
      </c>
      <c r="I167" s="699"/>
      <c r="J167" s="685" t="s">
        <v>686</v>
      </c>
      <c r="K167" s="151"/>
      <c r="L167" s="151"/>
      <c r="M167" s="151"/>
      <c r="N167" s="738">
        <v>0</v>
      </c>
      <c r="O167" s="738">
        <v>0</v>
      </c>
      <c r="P167" s="738">
        <v>0</v>
      </c>
      <c r="Q167" s="699"/>
      <c r="R167" s="699"/>
      <c r="S167" s="699"/>
      <c r="T167" s="699"/>
      <c r="U167" s="699"/>
      <c r="V167" s="699"/>
      <c r="W167" s="151"/>
      <c r="X167" s="151"/>
      <c r="Y167" s="151"/>
      <c r="Z167" s="151"/>
      <c r="AA167" s="718" t="s">
        <v>687</v>
      </c>
      <c r="AB167" s="151"/>
      <c r="AC167" s="151"/>
      <c r="AD167" s="717"/>
      <c r="AE167" s="717"/>
      <c r="AF167" s="717"/>
      <c r="AG167" s="717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  <c r="AU167" s="151"/>
      <c r="AV167" s="151"/>
      <c r="AW167" s="151"/>
      <c r="AX167" s="151"/>
      <c r="AY167" s="151"/>
      <c r="AZ167" s="151"/>
      <c r="BA167" s="151"/>
      <c r="BB167" s="151"/>
      <c r="BC167" s="151"/>
      <c r="BD167" s="151"/>
      <c r="BE167" s="151"/>
      <c r="BF167" s="151"/>
      <c r="BG167" s="151"/>
      <c r="BH167" s="151"/>
      <c r="BI167" s="151"/>
      <c r="BJ167" s="151"/>
      <c r="BK167" s="151"/>
      <c r="BL167" s="151"/>
      <c r="BM167" s="151"/>
      <c r="BN167" s="151"/>
      <c r="BO167" s="151"/>
      <c r="BP167" s="151"/>
      <c r="BQ167" s="859" t="s">
        <v>688</v>
      </c>
      <c r="BR167" s="151"/>
      <c r="BS167" s="151"/>
      <c r="BT167" s="151"/>
      <c r="BU167" s="738" t="e">
        <f>+#REF!*#REF!</f>
        <v>#REF!</v>
      </c>
      <c r="BV167" s="738"/>
      <c r="BW167" s="738"/>
      <c r="BX167" s="151"/>
      <c r="BY167" s="151"/>
      <c r="BZ167" s="151"/>
      <c r="CA167" s="151"/>
    </row>
    <row r="168" spans="2:79" ht="15.75">
      <c r="B168" s="402" t="s">
        <v>528</v>
      </c>
      <c r="C168" s="403"/>
      <c r="D168" s="403"/>
      <c r="E168" s="404">
        <f ca="1">+SUM(F168:H168)</f>
        <v>164116.5</v>
      </c>
      <c r="F168" s="405">
        <f>+F162*F163</f>
        <v>0</v>
      </c>
      <c r="G168" s="405">
        <f ca="1">+G162*G163</f>
        <v>0</v>
      </c>
      <c r="H168" s="405">
        <f>+H162*H163</f>
        <v>164116.5</v>
      </c>
      <c r="I168" s="699"/>
      <c r="J168" s="230" t="s">
        <v>689</v>
      </c>
      <c r="K168" s="699"/>
      <c r="L168" s="699"/>
      <c r="M168" s="699"/>
      <c r="N168" s="361"/>
      <c r="O168" s="361"/>
      <c r="P168" s="361"/>
      <c r="Q168" s="699"/>
      <c r="R168" s="699"/>
      <c r="S168" s="699"/>
      <c r="T168" s="699"/>
      <c r="U168" s="699"/>
      <c r="V168" s="699"/>
      <c r="W168" s="151"/>
      <c r="X168" s="151"/>
      <c r="Y168" s="151"/>
      <c r="Z168" s="151"/>
      <c r="AA168" s="685" t="s">
        <v>619</v>
      </c>
      <c r="AB168" s="151"/>
      <c r="AC168" s="151"/>
      <c r="AD168" s="734">
        <f>+SUM(AE168:AG168)</f>
        <v>0</v>
      </c>
      <c r="AE168" s="870">
        <v>0</v>
      </c>
      <c r="AF168" s="870">
        <v>0</v>
      </c>
      <c r="AG168" s="870">
        <v>0</v>
      </c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  <c r="AU168" s="151"/>
      <c r="AV168" s="151"/>
      <c r="AW168" s="151"/>
      <c r="AX168" s="151"/>
      <c r="AY168" s="151"/>
      <c r="AZ168" s="151"/>
      <c r="BA168" s="151"/>
      <c r="BB168" s="151"/>
      <c r="BC168" s="151"/>
      <c r="BD168" s="151"/>
      <c r="BE168" s="151"/>
      <c r="BF168" s="151"/>
      <c r="BG168" s="151"/>
      <c r="BH168" s="151"/>
      <c r="BI168" s="151"/>
      <c r="BJ168" s="151"/>
      <c r="BK168" s="151"/>
      <c r="BL168" s="151"/>
      <c r="BM168" s="151"/>
      <c r="BN168" s="151"/>
      <c r="BO168" s="151"/>
      <c r="BP168" s="151"/>
      <c r="BQ168" s="859" t="s">
        <v>690</v>
      </c>
      <c r="BR168" s="151"/>
      <c r="BS168" s="151"/>
      <c r="BT168" s="151"/>
      <c r="BU168" s="739">
        <v>0.85</v>
      </c>
      <c r="BV168" s="739">
        <v>0.85</v>
      </c>
      <c r="BW168" s="739">
        <v>0.85</v>
      </c>
      <c r="BX168" s="151"/>
      <c r="BY168" s="151"/>
      <c r="BZ168" s="151"/>
      <c r="CA168" s="151"/>
    </row>
    <row r="169" spans="2:79" ht="15.75">
      <c r="B169" s="115" t="s">
        <v>691</v>
      </c>
      <c r="C169" s="120"/>
      <c r="D169" s="120"/>
      <c r="E169" s="396">
        <f ca="1">+SUM(F169:H169)</f>
        <v>364.70333333333332</v>
      </c>
      <c r="F169" s="397">
        <f>+F162</f>
        <v>0</v>
      </c>
      <c r="G169" s="397">
        <f ca="1">+G162</f>
        <v>0</v>
      </c>
      <c r="H169" s="397">
        <f>+H162</f>
        <v>364.70333333333332</v>
      </c>
      <c r="I169" s="699"/>
      <c r="J169" s="115" t="s">
        <v>692</v>
      </c>
      <c r="K169" s="699"/>
      <c r="L169" s="699"/>
      <c r="M169" s="699"/>
      <c r="N169" s="125">
        <f ca="1">N$197</f>
        <v>96083432.146206573</v>
      </c>
      <c r="O169" s="125">
        <f ca="1">O$197</f>
        <v>71440658.636525184</v>
      </c>
      <c r="P169" s="125">
        <f ca="1">P$197</f>
        <v>56106706.023558073</v>
      </c>
      <c r="Q169" s="699"/>
      <c r="R169" s="699"/>
      <c r="S169" s="699"/>
      <c r="T169" s="699"/>
      <c r="U169" s="699"/>
      <c r="V169" s="699"/>
      <c r="W169" s="151"/>
      <c r="X169" s="151"/>
      <c r="Y169" s="151"/>
      <c r="Z169" s="151"/>
      <c r="AA169" s="685" t="s">
        <v>620</v>
      </c>
      <c r="AB169" s="151"/>
      <c r="AC169" s="151"/>
      <c r="AD169" s="871">
        <v>20.329999999999998</v>
      </c>
      <c r="AE169" s="686">
        <f>$AD169</f>
        <v>20.329999999999998</v>
      </c>
      <c r="AF169" s="686">
        <f>+$AE169*(1+0.02)^G$36</f>
        <v>21.574358639999996</v>
      </c>
      <c r="AG169" s="686">
        <f>+$AE169*(1+0.02)^H$36</f>
        <v>22.445962729055999</v>
      </c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  <c r="AU169" s="151"/>
      <c r="AV169" s="151"/>
      <c r="AW169" s="151"/>
      <c r="AX169" s="151"/>
      <c r="AY169" s="151"/>
      <c r="AZ169" s="151"/>
      <c r="BA169" s="151"/>
      <c r="BB169" s="151"/>
      <c r="BC169" s="151"/>
      <c r="BD169" s="151"/>
      <c r="BE169" s="151"/>
      <c r="BF169" s="151"/>
      <c r="BG169" s="151"/>
      <c r="BH169" s="151"/>
      <c r="BI169" s="151"/>
      <c r="BJ169" s="151"/>
      <c r="BK169" s="151"/>
      <c r="BL169" s="151"/>
      <c r="BM169" s="151"/>
      <c r="BN169" s="151"/>
      <c r="BO169" s="151"/>
      <c r="BP169" s="151"/>
      <c r="BQ169" s="932" t="s">
        <v>693</v>
      </c>
      <c r="BR169" s="151"/>
      <c r="BS169" s="151"/>
      <c r="BT169" s="151"/>
      <c r="BU169" s="737"/>
      <c r="BV169" s="737"/>
      <c r="BW169" s="737"/>
      <c r="BX169" s="151"/>
      <c r="BY169" s="151"/>
      <c r="BZ169" s="151"/>
      <c r="CA169" s="151"/>
    </row>
    <row r="170" spans="2:79">
      <c r="B170" s="406" t="s">
        <v>694</v>
      </c>
      <c r="C170" s="244"/>
      <c r="D170" s="244"/>
      <c r="E170" s="407">
        <f ca="1">+IFERROR(E167/E168,"")</f>
        <v>150.39553585090627</v>
      </c>
      <c r="F170" s="407" t="str">
        <f>+IFERROR(F167/F168,"")</f>
        <v/>
      </c>
      <c r="G170" s="407" t="str">
        <f ca="1">+IFERROR(G167/G168,"")</f>
        <v/>
      </c>
      <c r="H170" s="407">
        <f>+IFERROR(H167/H168,"")</f>
        <v>150.39553585090627</v>
      </c>
      <c r="I170" s="699"/>
      <c r="J170" s="699"/>
      <c r="K170" s="699"/>
      <c r="L170" s="699"/>
      <c r="M170" s="699"/>
      <c r="N170" s="699"/>
      <c r="O170" s="699"/>
      <c r="P170" s="699"/>
      <c r="Q170" s="699"/>
      <c r="R170" s="699"/>
      <c r="S170" s="699"/>
      <c r="T170" s="699"/>
      <c r="U170" s="699"/>
      <c r="V170" s="699"/>
      <c r="W170" s="151"/>
      <c r="X170" s="151"/>
      <c r="Y170" s="151"/>
      <c r="Z170" s="151"/>
      <c r="AA170" s="685" t="s">
        <v>622</v>
      </c>
      <c r="AB170" s="151"/>
      <c r="AC170" s="151"/>
      <c r="AD170" s="717"/>
      <c r="AE170" s="732">
        <f>+AE168*AE169</f>
        <v>0</v>
      </c>
      <c r="AF170" s="732">
        <f t="shared" ref="AF170:AG170" si="82">+AF168*AF169</f>
        <v>0</v>
      </c>
      <c r="AG170" s="732">
        <f t="shared" si="82"/>
        <v>0</v>
      </c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  <c r="AU170" s="151"/>
      <c r="AV170" s="151"/>
      <c r="AW170" s="151"/>
      <c r="AX170" s="151"/>
      <c r="AY170" s="151"/>
      <c r="AZ170" s="151"/>
      <c r="BA170" s="151"/>
      <c r="BB170" s="151"/>
      <c r="BC170" s="151"/>
      <c r="BD170" s="151"/>
      <c r="BE170" s="151"/>
      <c r="BF170" s="151"/>
      <c r="BG170" s="151"/>
      <c r="BH170" s="151"/>
      <c r="BI170" s="151"/>
      <c r="BJ170" s="151"/>
      <c r="BK170" s="151"/>
      <c r="BL170" s="151"/>
      <c r="BM170" s="151"/>
      <c r="BN170" s="151"/>
      <c r="BO170" s="151"/>
      <c r="BP170" s="151"/>
      <c r="BQ170" s="859" t="s">
        <v>695</v>
      </c>
      <c r="BR170" s="151"/>
      <c r="BS170" s="151"/>
      <c r="BT170" s="151"/>
      <c r="BU170" s="738">
        <v>0</v>
      </c>
      <c r="BV170" s="738">
        <f ca="1">+Budget!BS110</f>
        <v>0</v>
      </c>
      <c r="BW170" s="738">
        <f ca="1">+Budget!CN110</f>
        <v>0</v>
      </c>
      <c r="BX170" s="151"/>
      <c r="BY170" s="151"/>
      <c r="BZ170" s="151"/>
      <c r="CA170" s="151"/>
    </row>
    <row r="171" spans="2:79" ht="16.5" thickBot="1">
      <c r="B171" s="118" t="s">
        <v>696</v>
      </c>
      <c r="C171" s="120"/>
      <c r="D171" s="120"/>
      <c r="E171" s="408"/>
      <c r="F171" s="382"/>
      <c r="G171" s="382"/>
      <c r="H171" s="382"/>
      <c r="I171" s="699"/>
      <c r="J171" s="1125" t="s">
        <v>689</v>
      </c>
      <c r="K171" s="1125"/>
      <c r="L171" s="1125"/>
      <c r="M171" s="349" t="s">
        <v>319</v>
      </c>
      <c r="N171" s="349" t="s">
        <v>255</v>
      </c>
      <c r="O171" s="349" t="s">
        <v>256</v>
      </c>
      <c r="P171" s="349" t="s">
        <v>257</v>
      </c>
      <c r="Q171" s="699"/>
      <c r="R171" s="699"/>
      <c r="S171" s="699"/>
      <c r="T171" s="699"/>
      <c r="U171" s="699"/>
      <c r="V171" s="699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  <c r="AU171" s="151"/>
      <c r="AV171" s="151"/>
      <c r="AW171" s="151"/>
      <c r="AX171" s="151"/>
      <c r="AY171" s="151"/>
      <c r="AZ171" s="151"/>
      <c r="BA171" s="151"/>
      <c r="BB171" s="151"/>
      <c r="BC171" s="151"/>
      <c r="BD171" s="151"/>
      <c r="BE171" s="151"/>
      <c r="BF171" s="151"/>
      <c r="BG171" s="151"/>
      <c r="BH171" s="151"/>
      <c r="BI171" s="151"/>
      <c r="BJ171" s="151"/>
      <c r="BK171" s="151"/>
      <c r="BL171" s="151"/>
      <c r="BM171" s="151"/>
      <c r="BN171" s="151"/>
      <c r="BO171" s="151"/>
      <c r="BP171" s="151"/>
      <c r="BQ171" s="859" t="s">
        <v>688</v>
      </c>
      <c r="BR171" s="151"/>
      <c r="BS171" s="151"/>
      <c r="BT171" s="151"/>
      <c r="BU171" s="738">
        <f>+BU170*0.39</f>
        <v>0</v>
      </c>
      <c r="BV171" s="738">
        <f ca="1">+BV170*0.39</f>
        <v>0</v>
      </c>
      <c r="BW171" s="738">
        <f ca="1">+BW170*0.39</f>
        <v>0</v>
      </c>
      <c r="BX171" s="151"/>
      <c r="BY171" s="151"/>
      <c r="BZ171" s="151"/>
      <c r="CA171" s="151"/>
    </row>
    <row r="172" spans="2:79" ht="15.75">
      <c r="B172" s="115" t="s">
        <v>697</v>
      </c>
      <c r="C172" s="120"/>
      <c r="D172" s="120"/>
      <c r="E172" s="410">
        <v>35</v>
      </c>
      <c r="F172" s="379">
        <f>+$E172*(1+0.03)^6</f>
        <v>41.791830378514994</v>
      </c>
      <c r="G172" s="379">
        <f>+F172*(1+0.03)^G$36</f>
        <v>45.667061434023552</v>
      </c>
      <c r="H172" s="379">
        <f>+G172*(1+0.03)^H$36</f>
        <v>52.940640369928879</v>
      </c>
      <c r="I172" s="699"/>
      <c r="J172" s="132" t="s">
        <v>322</v>
      </c>
      <c r="K172" s="699"/>
      <c r="L172" s="699"/>
      <c r="M172" s="699"/>
      <c r="N172" s="699"/>
      <c r="O172" s="699"/>
      <c r="P172" s="699"/>
      <c r="Q172" s="699"/>
      <c r="R172" s="699"/>
      <c r="S172" s="699"/>
      <c r="T172" s="699"/>
      <c r="U172" s="699"/>
      <c r="V172" s="699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  <c r="AU172" s="151"/>
      <c r="AV172" s="151"/>
      <c r="AW172" s="151"/>
      <c r="AX172" s="151"/>
      <c r="AY172" s="151"/>
      <c r="AZ172" s="151"/>
      <c r="BA172" s="151"/>
      <c r="BB172" s="151"/>
      <c r="BC172" s="151"/>
      <c r="BD172" s="151"/>
      <c r="BE172" s="151"/>
      <c r="BF172" s="151"/>
      <c r="BG172" s="151"/>
      <c r="BH172" s="151"/>
      <c r="BI172" s="151"/>
      <c r="BJ172" s="151"/>
      <c r="BK172" s="151"/>
      <c r="BL172" s="151"/>
      <c r="BM172" s="151"/>
      <c r="BN172" s="151"/>
      <c r="BO172" s="151"/>
      <c r="BP172" s="151"/>
      <c r="BQ172" s="859" t="s">
        <v>698</v>
      </c>
      <c r="BR172" s="151"/>
      <c r="BS172" s="151"/>
      <c r="BT172" s="151"/>
      <c r="BU172" s="740">
        <v>0</v>
      </c>
      <c r="BV172" s="740">
        <v>0.9</v>
      </c>
      <c r="BW172" s="740">
        <v>0.9</v>
      </c>
      <c r="BX172" s="151"/>
      <c r="BY172" s="151"/>
      <c r="BZ172" s="151"/>
      <c r="CA172" s="151"/>
    </row>
    <row r="173" spans="2:79" ht="15.75">
      <c r="B173" s="115" t="s">
        <v>699</v>
      </c>
      <c r="C173" s="120"/>
      <c r="D173" s="120"/>
      <c r="E173" s="409"/>
      <c r="F173" s="379">
        <f>+F172*F165*36.25</f>
        <v>1060.467695854818</v>
      </c>
      <c r="G173" s="379">
        <f>+G172*G165*36.25</f>
        <v>1158.8016838883475</v>
      </c>
      <c r="H173" s="379">
        <f>+H172*H165*365.25</f>
        <v>13535.598226581566</v>
      </c>
      <c r="I173" s="699"/>
      <c r="J173" s="758" t="s">
        <v>700</v>
      </c>
      <c r="K173" s="699"/>
      <c r="L173" s="699"/>
      <c r="M173" s="699"/>
      <c r="N173" s="125">
        <f ca="1">+Budget!H$114</f>
        <v>261801371.26879078</v>
      </c>
      <c r="O173" s="125">
        <f ca="1">+Budget!I$114</f>
        <v>194742548.65135092</v>
      </c>
      <c r="P173" s="125">
        <f ca="1">+Budget!J$114</f>
        <v>115869128.47091466</v>
      </c>
      <c r="Q173" s="699"/>
      <c r="R173" s="699"/>
      <c r="S173" s="699"/>
      <c r="T173" s="699"/>
      <c r="U173" s="699"/>
      <c r="V173" s="699"/>
      <c r="W173" s="151"/>
      <c r="X173" s="151"/>
      <c r="Y173" s="151"/>
      <c r="Z173" s="151"/>
      <c r="AA173" s="718" t="s">
        <v>701</v>
      </c>
      <c r="AB173" s="151"/>
      <c r="AC173" s="151"/>
      <c r="AD173" s="717"/>
      <c r="AE173" s="717"/>
      <c r="AF173" s="717"/>
      <c r="AG173" s="717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  <c r="AU173" s="151"/>
      <c r="AV173" s="151"/>
      <c r="AW173" s="151"/>
      <c r="AX173" s="151"/>
      <c r="AY173" s="151"/>
      <c r="AZ173" s="151"/>
      <c r="BA173" s="151"/>
      <c r="BB173" s="151"/>
      <c r="BC173" s="151"/>
      <c r="BD173" s="151"/>
      <c r="BE173" s="151"/>
      <c r="BF173" s="151"/>
      <c r="BG173" s="151"/>
      <c r="BH173" s="151"/>
      <c r="BI173" s="151"/>
      <c r="BJ173" s="151"/>
      <c r="BK173" s="151"/>
      <c r="BL173" s="151"/>
      <c r="BM173" s="151"/>
      <c r="BN173" s="151"/>
      <c r="BO173" s="151"/>
      <c r="BP173" s="151"/>
      <c r="BQ173" s="932" t="s">
        <v>673</v>
      </c>
      <c r="BR173" s="151"/>
      <c r="BS173" s="151"/>
      <c r="BT173" s="151"/>
      <c r="BU173" s="737"/>
      <c r="BV173" s="737"/>
      <c r="BW173" s="737"/>
      <c r="BX173" s="151"/>
      <c r="BY173" s="151"/>
      <c r="BZ173" s="151"/>
      <c r="CA173" s="151"/>
    </row>
    <row r="174" spans="2:79" ht="15.75">
      <c r="B174" s="118" t="s">
        <v>702</v>
      </c>
      <c r="C174" s="120"/>
      <c r="D174" s="120"/>
      <c r="E174" s="408"/>
      <c r="F174" s="382"/>
      <c r="G174" s="382"/>
      <c r="H174" s="382"/>
      <c r="I174" s="699"/>
      <c r="J174" s="758" t="s">
        <v>703</v>
      </c>
      <c r="K174" s="699"/>
      <c r="L174" s="699"/>
      <c r="M174" s="699"/>
      <c r="N174" s="1071">
        <f>+IFERROR(F$70/SUM(F$70,F$93),0)</f>
        <v>0.4</v>
      </c>
      <c r="O174" s="1071">
        <f>+IFERROR(G$70/SUM(G$70,G$93),0)</f>
        <v>0.40000000000000008</v>
      </c>
      <c r="P174" s="1071">
        <f>+IFERROR(H$70/SUM(H$70,H$93),0)</f>
        <v>0.4</v>
      </c>
      <c r="Q174" s="699"/>
      <c r="R174" s="699"/>
      <c r="S174" s="699"/>
      <c r="T174" s="699"/>
      <c r="U174" s="699"/>
      <c r="V174" s="699"/>
      <c r="W174" s="151"/>
      <c r="X174" s="151"/>
      <c r="Y174" s="151"/>
      <c r="Z174" s="151"/>
      <c r="AA174" s="685" t="s">
        <v>619</v>
      </c>
      <c r="AB174" s="151"/>
      <c r="AC174" s="151"/>
      <c r="AD174" s="717"/>
      <c r="AE174" s="870">
        <v>0</v>
      </c>
      <c r="AF174" s="870">
        <v>0</v>
      </c>
      <c r="AG174" s="870">
        <v>0</v>
      </c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  <c r="AU174" s="151"/>
      <c r="AV174" s="151"/>
      <c r="AW174" s="151"/>
      <c r="AX174" s="151"/>
      <c r="AY174" s="151"/>
      <c r="AZ174" s="151"/>
      <c r="BA174" s="151"/>
      <c r="BB174" s="151"/>
      <c r="BC174" s="151"/>
      <c r="BD174" s="151"/>
      <c r="BE174" s="151"/>
      <c r="BF174" s="151"/>
      <c r="BG174" s="151"/>
      <c r="BH174" s="151"/>
      <c r="BI174" s="151"/>
      <c r="BJ174" s="151"/>
      <c r="BK174" s="151"/>
      <c r="BL174" s="151"/>
      <c r="BM174" s="151"/>
      <c r="BN174" s="151"/>
      <c r="BO174" s="151"/>
      <c r="BP174" s="151"/>
      <c r="BQ174" s="859" t="s">
        <v>695</v>
      </c>
      <c r="BR174" s="151"/>
      <c r="BS174" s="151"/>
      <c r="BT174" s="151"/>
      <c r="BU174" s="738">
        <v>0</v>
      </c>
      <c r="BV174" s="738"/>
      <c r="BW174" s="738"/>
      <c r="BX174" s="151"/>
      <c r="BY174" s="151"/>
      <c r="BZ174" s="151"/>
      <c r="CA174" s="151"/>
    </row>
    <row r="175" spans="2:79" ht="15.75">
      <c r="B175" s="115" t="s">
        <v>697</v>
      </c>
      <c r="C175" s="120"/>
      <c r="D175" s="120"/>
      <c r="E175" s="410">
        <v>15</v>
      </c>
      <c r="F175" s="379">
        <f>+$E175*(1+0.03)^6</f>
        <v>17.910784447934997</v>
      </c>
      <c r="G175" s="379">
        <f>+F175*(1+0.03)^G$36</f>
        <v>19.571597757438667</v>
      </c>
      <c r="H175" s="379">
        <f>+G175*(1+0.03)^H$36</f>
        <v>22.688845872826665</v>
      </c>
      <c r="I175" s="699"/>
      <c r="J175" s="758" t="s">
        <v>704</v>
      </c>
      <c r="K175" s="699"/>
      <c r="L175" s="699"/>
      <c r="M175" s="699"/>
      <c r="N175" s="1071">
        <f>+IFERROR(F$71/SUM(F$71,F$94),0)</f>
        <v>0.30108080762934958</v>
      </c>
      <c r="O175" s="1071">
        <f>+IFERROR(G$71/SUM(G$71,G$94),0)</f>
        <v>0.30108080762934969</v>
      </c>
      <c r="P175" s="1071">
        <f>+IFERROR(H$71/SUM(H$71,H$94),0)</f>
        <v>0.30108080762934969</v>
      </c>
      <c r="Q175" s="699"/>
      <c r="R175" s="699"/>
      <c r="S175" s="699"/>
      <c r="T175" s="699"/>
      <c r="U175" s="699"/>
      <c r="V175" s="699"/>
      <c r="W175" s="151"/>
      <c r="X175" s="151"/>
      <c r="Y175" s="151"/>
      <c r="Z175" s="151"/>
      <c r="AA175" s="685" t="s">
        <v>620</v>
      </c>
      <c r="AB175" s="151"/>
      <c r="AC175" s="151"/>
      <c r="AD175" s="871">
        <v>20</v>
      </c>
      <c r="AE175" s="686">
        <f>$AD175</f>
        <v>20</v>
      </c>
      <c r="AF175" s="686">
        <f>+$AE175*(1+0.02)^G$36</f>
        <v>21.224159999999998</v>
      </c>
      <c r="AG175" s="686">
        <f>+$AE175*(1+0.02)^H$36</f>
        <v>22.081616064000002</v>
      </c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  <c r="AU175" s="151"/>
      <c r="AV175" s="151"/>
      <c r="AW175" s="151"/>
      <c r="AX175" s="151"/>
      <c r="AY175" s="151"/>
      <c r="AZ175" s="151"/>
      <c r="BA175" s="151"/>
      <c r="BB175" s="151"/>
      <c r="BC175" s="151"/>
      <c r="BD175" s="151"/>
      <c r="BE175" s="151"/>
      <c r="BF175" s="151"/>
      <c r="BG175" s="151"/>
      <c r="BH175" s="151"/>
      <c r="BI175" s="151"/>
      <c r="BJ175" s="151"/>
      <c r="BK175" s="151"/>
      <c r="BL175" s="151"/>
      <c r="BM175" s="151"/>
      <c r="BN175" s="151"/>
      <c r="BO175" s="151"/>
      <c r="BP175" s="151"/>
      <c r="BQ175" s="859" t="s">
        <v>688</v>
      </c>
      <c r="BR175" s="151"/>
      <c r="BS175" s="151"/>
      <c r="BT175" s="151"/>
      <c r="BU175" s="738">
        <f>+BU174*0.39</f>
        <v>0</v>
      </c>
      <c r="BV175" s="738"/>
      <c r="BW175" s="738"/>
      <c r="BX175" s="151"/>
      <c r="BY175" s="151"/>
      <c r="BZ175" s="151"/>
      <c r="CA175" s="151"/>
    </row>
    <row r="176" spans="2:79" ht="15.75">
      <c r="B176" s="115" t="s">
        <v>699</v>
      </c>
      <c r="C176" s="120"/>
      <c r="D176" s="120"/>
      <c r="E176" s="410"/>
      <c r="F176" s="379">
        <f>+F175*F165*365.25</f>
        <v>4579.33981372578</v>
      </c>
      <c r="G176" s="379">
        <f>+G175*G165*365.25</f>
        <v>5003.9682566331312</v>
      </c>
      <c r="H176" s="379">
        <f>+H175*H165*365.25</f>
        <v>5800.9706685349574</v>
      </c>
      <c r="I176" s="699"/>
      <c r="J176" s="758" t="s">
        <v>705</v>
      </c>
      <c r="K176" s="699"/>
      <c r="L176" s="699"/>
      <c r="M176" s="699"/>
      <c r="N176" s="387">
        <f>+MIN(N174:N175)</f>
        <v>0.30108080762934958</v>
      </c>
      <c r="O176" s="387">
        <f t="shared" ref="O176:P176" si="83">+MIN(O174:O175)</f>
        <v>0.30108080762934969</v>
      </c>
      <c r="P176" s="387">
        <f t="shared" si="83"/>
        <v>0.30108080762934969</v>
      </c>
      <c r="Q176" s="699"/>
      <c r="R176" s="699"/>
      <c r="S176" s="699"/>
      <c r="T176" s="699"/>
      <c r="U176" s="699"/>
      <c r="V176" s="699"/>
      <c r="W176" s="151"/>
      <c r="X176" s="151"/>
      <c r="Y176" s="151"/>
      <c r="Z176" s="151"/>
      <c r="AA176" s="685" t="s">
        <v>622</v>
      </c>
      <c r="AB176" s="151"/>
      <c r="AC176" s="151"/>
      <c r="AD176" s="717"/>
      <c r="AE176" s="732">
        <f>+AE174*AE175</f>
        <v>0</v>
      </c>
      <c r="AF176" s="732">
        <f t="shared" ref="AF176" si="84">+AF174*AF175</f>
        <v>0</v>
      </c>
      <c r="AG176" s="732">
        <f t="shared" ref="AG176" si="85">+AG174*AG175</f>
        <v>0</v>
      </c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  <c r="AU176" s="151"/>
      <c r="AV176" s="151"/>
      <c r="AW176" s="151"/>
      <c r="AX176" s="151"/>
      <c r="AY176" s="151"/>
      <c r="AZ176" s="151"/>
      <c r="BA176" s="151"/>
      <c r="BB176" s="151"/>
      <c r="BC176" s="151"/>
      <c r="BD176" s="151"/>
      <c r="BE176" s="151"/>
      <c r="BF176" s="151"/>
      <c r="BG176" s="151"/>
      <c r="BH176" s="151"/>
      <c r="BI176" s="151"/>
      <c r="BJ176" s="151"/>
      <c r="BK176" s="151"/>
      <c r="BL176" s="151"/>
      <c r="BM176" s="151"/>
      <c r="BN176" s="151"/>
      <c r="BO176" s="151"/>
      <c r="BP176" s="151"/>
      <c r="BQ176" s="859" t="s">
        <v>698</v>
      </c>
      <c r="BR176" s="151"/>
      <c r="BS176" s="151"/>
      <c r="BT176" s="151"/>
      <c r="BU176" s="740">
        <v>0.7</v>
      </c>
      <c r="BV176" s="740">
        <v>0.7</v>
      </c>
      <c r="BW176" s="740">
        <v>0.7</v>
      </c>
      <c r="BX176" s="151"/>
      <c r="BY176" s="151"/>
      <c r="BZ176" s="151"/>
      <c r="CA176" s="151"/>
    </row>
    <row r="177" spans="1:79" ht="15.75">
      <c r="A177" s="1047"/>
      <c r="B177" s="398" t="s">
        <v>706</v>
      </c>
      <c r="C177" s="399"/>
      <c r="D177" s="399"/>
      <c r="E177" s="400">
        <f ca="1">+SUM(F177:H177)</f>
        <v>7052111.1312786452</v>
      </c>
      <c r="F177" s="401">
        <f>+F162*(F173+F176)</f>
        <v>0</v>
      </c>
      <c r="G177" s="401">
        <f ca="1">+G162*(G173+G176)</f>
        <v>0</v>
      </c>
      <c r="H177" s="401">
        <f>+H162*(H173+H176)</f>
        <v>7052111.1312786452</v>
      </c>
      <c r="I177" s="699"/>
      <c r="J177" s="758" t="s">
        <v>707</v>
      </c>
      <c r="K177" s="699"/>
      <c r="L177" s="699"/>
      <c r="M177" s="699"/>
      <c r="N177" s="1068">
        <f ca="1">IFERROR(+N$173*N$176,"N/A")</f>
        <v>78823368.30007872</v>
      </c>
      <c r="O177" s="1068">
        <f ca="1">IFERROR(+O$173*O$176,"N/A")</f>
        <v>58633243.82774666</v>
      </c>
      <c r="P177" s="1068">
        <f ca="1">IFERROR(+P$173*P$176,"N/A")</f>
        <v>34885970.779331863</v>
      </c>
      <c r="Q177" s="699"/>
      <c r="R177" s="699"/>
      <c r="S177" s="699"/>
      <c r="T177" s="699"/>
      <c r="U177" s="699"/>
      <c r="V177" s="699"/>
      <c r="W177" s="151"/>
      <c r="X177" s="151"/>
      <c r="Y177" s="151"/>
      <c r="Z177" s="151"/>
      <c r="AA177" s="1123" t="s">
        <v>708</v>
      </c>
      <c r="AB177" s="1123"/>
      <c r="AC177" s="151"/>
      <c r="AD177" s="778" t="s">
        <v>319</v>
      </c>
      <c r="AE177" s="778" t="str">
        <f>+F$26</f>
        <v>I</v>
      </c>
      <c r="AF177" s="778" t="str">
        <f>+G$26</f>
        <v>II</v>
      </c>
      <c r="AG177" s="778" t="str">
        <f>+H$26</f>
        <v>III</v>
      </c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  <c r="AU177" s="151"/>
      <c r="AV177" s="151"/>
      <c r="AW177" s="151"/>
      <c r="AX177" s="151"/>
      <c r="AY177" s="151"/>
      <c r="AZ177" s="151"/>
      <c r="BA177" s="151"/>
      <c r="BB177" s="151"/>
      <c r="BC177" s="151"/>
      <c r="BD177" s="151"/>
      <c r="BE177" s="151"/>
      <c r="BF177" s="151"/>
      <c r="BG177" s="151"/>
      <c r="BH177" s="151"/>
      <c r="BI177" s="151"/>
      <c r="BJ177" s="151"/>
      <c r="BK177" s="151"/>
      <c r="BL177" s="151"/>
      <c r="BM177" s="151"/>
      <c r="BN177" s="151"/>
      <c r="BO177" s="151"/>
      <c r="BP177" s="151"/>
      <c r="BQ177" s="118"/>
      <c r="BR177" s="699"/>
      <c r="BS177" s="699"/>
      <c r="BT177" s="699"/>
      <c r="BU177" s="120"/>
      <c r="BV177" s="120"/>
      <c r="BW177" s="120"/>
      <c r="BX177" s="151"/>
      <c r="BY177" s="151"/>
      <c r="BZ177" s="151"/>
      <c r="CA177" s="151"/>
    </row>
    <row r="178" spans="1:79" ht="15.75">
      <c r="A178" s="1047"/>
      <c r="B178" s="230" t="s">
        <v>709</v>
      </c>
      <c r="C178" s="120"/>
      <c r="D178" s="120"/>
      <c r="E178" s="644"/>
      <c r="F178" s="120"/>
      <c r="G178" s="120"/>
      <c r="H178" s="120"/>
      <c r="I178" s="699"/>
      <c r="J178" s="758" t="s">
        <v>710</v>
      </c>
      <c r="K178" s="699"/>
      <c r="L178" s="699"/>
      <c r="M178" s="699"/>
      <c r="N178" s="121">
        <v>0.3</v>
      </c>
      <c r="O178" s="121">
        <v>0.3</v>
      </c>
      <c r="P178" s="121">
        <v>0.3</v>
      </c>
      <c r="Q178" s="699"/>
      <c r="R178" s="699"/>
      <c r="S178" s="699"/>
      <c r="T178" s="699"/>
      <c r="U178" s="699"/>
      <c r="V178" s="699"/>
      <c r="W178" s="151"/>
      <c r="X178" s="151"/>
      <c r="Y178" s="151"/>
      <c r="Z178" s="151"/>
      <c r="AA178" s="727" t="s">
        <v>362</v>
      </c>
      <c r="AB178" s="151"/>
      <c r="AC178" s="151"/>
      <c r="AD178" s="717"/>
      <c r="AE178" s="717"/>
      <c r="AF178" s="717"/>
      <c r="AG178" s="717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  <c r="AU178" s="151"/>
      <c r="AV178" s="151"/>
      <c r="AW178" s="151"/>
      <c r="AX178" s="151"/>
      <c r="AY178" s="151"/>
      <c r="AZ178" s="151"/>
      <c r="BA178" s="151"/>
      <c r="BB178" s="151"/>
      <c r="BC178" s="151"/>
      <c r="BD178" s="151"/>
      <c r="BE178" s="151"/>
      <c r="BF178" s="151"/>
      <c r="BG178" s="151"/>
      <c r="BH178" s="151"/>
      <c r="BI178" s="151"/>
      <c r="BJ178" s="151"/>
      <c r="BK178" s="151"/>
      <c r="BL178" s="151"/>
      <c r="BM178" s="151"/>
      <c r="BN178" s="151"/>
      <c r="BO178" s="151"/>
      <c r="BP178" s="151"/>
      <c r="BQ178" s="115"/>
      <c r="BR178" s="699"/>
      <c r="BS178" s="699"/>
      <c r="BT178" s="130"/>
      <c r="BU178" s="128"/>
      <c r="BV178" s="128"/>
      <c r="BW178" s="128"/>
      <c r="BX178" s="151"/>
      <c r="BY178" s="151"/>
      <c r="BZ178" s="151"/>
      <c r="CA178" s="151"/>
    </row>
    <row r="179" spans="1:79" ht="15.75">
      <c r="A179" s="1047"/>
      <c r="B179" s="115" t="s">
        <v>711</v>
      </c>
      <c r="C179" s="120"/>
      <c r="D179" s="120"/>
      <c r="E179" s="644"/>
      <c r="F179" s="397">
        <v>0</v>
      </c>
      <c r="G179" s="397">
        <f ca="1">+IF(G$162&gt;0,"21,000",0)</f>
        <v>0</v>
      </c>
      <c r="H179" s="893">
        <v>24000</v>
      </c>
      <c r="I179" s="699"/>
      <c r="J179" s="758" t="s">
        <v>712</v>
      </c>
      <c r="K179" s="699"/>
      <c r="L179" s="699"/>
      <c r="M179" s="699"/>
      <c r="N179" s="1068">
        <f ca="1">+N177*(1+N178)</f>
        <v>102470378.79010233</v>
      </c>
      <c r="O179" s="1068">
        <f t="shared" ref="O179:P179" ca="1" si="86">+O177*(1+O178)</f>
        <v>76223216.976070657</v>
      </c>
      <c r="P179" s="1068">
        <f t="shared" ca="1" si="86"/>
        <v>45351762.013131425</v>
      </c>
      <c r="Q179" s="699"/>
      <c r="R179" s="699"/>
      <c r="S179" s="699"/>
      <c r="T179" s="699"/>
      <c r="U179" s="699"/>
      <c r="V179" s="699"/>
      <c r="W179" s="151"/>
      <c r="X179" s="151"/>
      <c r="Y179" s="151"/>
      <c r="Z179" s="151"/>
      <c r="AA179" s="685" t="s">
        <v>619</v>
      </c>
      <c r="AB179" s="151"/>
      <c r="AC179" s="151"/>
      <c r="AD179" s="717"/>
      <c r="AE179" s="870">
        <f>+'Parcel Breakdown'!BU44</f>
        <v>0</v>
      </c>
      <c r="AF179" s="870">
        <f>+'Parcel Breakdown'!BU45</f>
        <v>0</v>
      </c>
      <c r="AG179" s="870">
        <f>+'Parcel Breakdown'!BU46</f>
        <v>0</v>
      </c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  <c r="AU179" s="151"/>
      <c r="AV179" s="151"/>
      <c r="AW179" s="151"/>
      <c r="AX179" s="151"/>
      <c r="AY179" s="151"/>
      <c r="AZ179" s="151"/>
      <c r="BA179" s="151"/>
      <c r="BB179" s="151"/>
      <c r="BC179" s="151"/>
      <c r="BD179" s="151"/>
      <c r="BE179" s="151"/>
      <c r="BF179" s="151"/>
      <c r="BG179" s="151"/>
      <c r="BH179" s="151"/>
      <c r="BI179" s="151"/>
      <c r="BJ179" s="151"/>
      <c r="BK179" s="151"/>
      <c r="BL179" s="151"/>
      <c r="BM179" s="151"/>
      <c r="BN179" s="151"/>
      <c r="BO179" s="151"/>
      <c r="BP179" s="151"/>
      <c r="BQ179" s="115"/>
      <c r="BR179" s="699"/>
      <c r="BS179" s="699"/>
      <c r="BT179" s="931"/>
      <c r="BU179" s="129"/>
      <c r="BV179" s="129"/>
      <c r="BW179" s="129"/>
      <c r="BX179" s="151"/>
      <c r="BY179" s="151"/>
      <c r="BZ179" s="151"/>
      <c r="CA179" s="151"/>
    </row>
    <row r="180" spans="1:79" ht="15.75">
      <c r="A180" s="1047"/>
      <c r="B180" s="115" t="s">
        <v>713</v>
      </c>
      <c r="C180" s="120"/>
      <c r="D180" s="120"/>
      <c r="E180" s="644"/>
      <c r="F180" s="397">
        <v>0</v>
      </c>
      <c r="G180" s="397">
        <v>0</v>
      </c>
      <c r="H180" s="893">
        <v>60</v>
      </c>
      <c r="I180" s="699"/>
      <c r="J180" s="758" t="s">
        <v>714</v>
      </c>
      <c r="K180" s="699"/>
      <c r="L180" s="699"/>
      <c r="M180" s="699"/>
      <c r="N180" s="969">
        <v>0.09</v>
      </c>
      <c r="O180" s="969">
        <v>0.09</v>
      </c>
      <c r="P180" s="969">
        <v>0.09</v>
      </c>
      <c r="Q180" s="699"/>
      <c r="R180" s="699"/>
      <c r="S180" s="699"/>
      <c r="T180" s="699"/>
      <c r="U180" s="699"/>
      <c r="V180" s="699"/>
      <c r="W180" s="151"/>
      <c r="X180" s="151"/>
      <c r="Y180" s="151"/>
      <c r="Z180" s="151"/>
      <c r="AA180" s="685" t="s">
        <v>715</v>
      </c>
      <c r="AB180" s="151"/>
      <c r="AC180" s="151"/>
      <c r="AD180" s="872">
        <v>300</v>
      </c>
      <c r="AE180" s="729">
        <f>+$AD180</f>
        <v>300</v>
      </c>
      <c r="AF180" s="729">
        <f>+$AD180</f>
        <v>300</v>
      </c>
      <c r="AG180" s="729">
        <f>+$AD180</f>
        <v>300</v>
      </c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  <c r="AU180" s="151"/>
      <c r="AV180" s="151"/>
      <c r="AW180" s="151"/>
      <c r="AX180" s="151"/>
      <c r="AY180" s="151"/>
      <c r="AZ180" s="151"/>
      <c r="BA180" s="151"/>
      <c r="BB180" s="151"/>
      <c r="BC180" s="151"/>
      <c r="BD180" s="151"/>
      <c r="BE180" s="151"/>
      <c r="BF180" s="151"/>
      <c r="BG180" s="151"/>
      <c r="BH180" s="151"/>
      <c r="BI180" s="151"/>
      <c r="BJ180" s="151"/>
      <c r="BK180" s="151"/>
      <c r="BL180" s="151"/>
      <c r="BM180" s="151"/>
      <c r="BN180" s="151"/>
      <c r="BO180" s="151"/>
      <c r="BP180" s="151"/>
      <c r="BQ180" s="115"/>
      <c r="BR180" s="699"/>
      <c r="BS180" s="699"/>
      <c r="BT180" s="130"/>
      <c r="BU180" s="128"/>
      <c r="BV180" s="128"/>
      <c r="BW180" s="128"/>
      <c r="BX180" s="151"/>
      <c r="BY180" s="151"/>
      <c r="BZ180" s="151"/>
      <c r="CA180" s="151"/>
    </row>
    <row r="181" spans="1:79">
      <c r="A181" s="1047"/>
      <c r="B181" s="115" t="s">
        <v>716</v>
      </c>
      <c r="C181" s="120"/>
      <c r="D181" s="120"/>
      <c r="E181" s="644"/>
      <c r="F181" s="397">
        <v>0</v>
      </c>
      <c r="G181" s="397">
        <f ca="1">G179/20</f>
        <v>0</v>
      </c>
      <c r="H181" s="893">
        <f>H179/20</f>
        <v>1200</v>
      </c>
      <c r="I181" s="699"/>
      <c r="J181" s="758" t="s">
        <v>717</v>
      </c>
      <c r="K181" s="699"/>
      <c r="L181" s="699"/>
      <c r="M181" s="699"/>
      <c r="N181" s="1068">
        <f ca="1">+N$179*N$180</f>
        <v>9222334.0911092088</v>
      </c>
      <c r="O181" s="1068">
        <f ca="1">+O$179*O$180</f>
        <v>6860089.5278463587</v>
      </c>
      <c r="P181" s="1068">
        <f ca="1">+P$179*P$180</f>
        <v>4081658.5811818279</v>
      </c>
      <c r="Q181" s="699"/>
      <c r="R181" s="699"/>
      <c r="S181" s="699"/>
      <c r="T181" s="699"/>
      <c r="U181" s="699"/>
      <c r="V181" s="699"/>
      <c r="W181" s="151"/>
      <c r="X181" s="151"/>
      <c r="Y181" s="151"/>
      <c r="Z181" s="151"/>
      <c r="AA181" s="685" t="s">
        <v>718</v>
      </c>
      <c r="AB181" s="151"/>
      <c r="AC181" s="151"/>
      <c r="AD181" s="717"/>
      <c r="AE181" s="870">
        <v>0</v>
      </c>
      <c r="AF181" s="870">
        <v>0</v>
      </c>
      <c r="AG181" s="870">
        <f>(AG179*AG180)/1000</f>
        <v>0</v>
      </c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  <c r="AU181" s="151"/>
      <c r="AV181" s="151"/>
      <c r="AW181" s="151"/>
      <c r="AX181" s="151"/>
      <c r="AY181" s="151"/>
      <c r="AZ181" s="151"/>
      <c r="BA181" s="151"/>
      <c r="BB181" s="151"/>
      <c r="BC181" s="151"/>
      <c r="BD181" s="151"/>
      <c r="BE181" s="151"/>
      <c r="BF181" s="151"/>
      <c r="BG181" s="151"/>
      <c r="BH181" s="151"/>
      <c r="BI181" s="151"/>
      <c r="BJ181" s="151"/>
      <c r="BK181" s="151"/>
      <c r="BL181" s="151"/>
      <c r="BM181" s="151"/>
      <c r="BN181" s="151"/>
      <c r="BO181" s="151"/>
      <c r="BP181" s="151"/>
      <c r="BQ181" s="699"/>
      <c r="BR181" s="699"/>
      <c r="BS181" s="699"/>
      <c r="BT181" s="699"/>
      <c r="BU181" s="699"/>
      <c r="BV181" s="699"/>
      <c r="BW181" s="699"/>
      <c r="BX181" s="151"/>
      <c r="BY181" s="151"/>
      <c r="BZ181" s="151"/>
      <c r="CA181" s="151"/>
    </row>
    <row r="182" spans="1:79">
      <c r="A182" s="1047"/>
      <c r="B182" s="115" t="s">
        <v>719</v>
      </c>
      <c r="C182" s="120"/>
      <c r="D182" s="120"/>
      <c r="E182" s="644"/>
      <c r="F182" s="125">
        <v>0</v>
      </c>
      <c r="G182" s="125">
        <v>0</v>
      </c>
      <c r="H182" s="124">
        <v>15</v>
      </c>
      <c r="I182" s="699"/>
      <c r="J182" s="758" t="s">
        <v>720</v>
      </c>
      <c r="K182" s="699"/>
      <c r="L182" s="699"/>
      <c r="M182" s="699"/>
      <c r="N182" s="891">
        <v>0.9</v>
      </c>
      <c r="O182" s="891">
        <v>0.9</v>
      </c>
      <c r="P182" s="891">
        <v>0.9</v>
      </c>
      <c r="Q182" s="699"/>
      <c r="R182" s="699"/>
      <c r="S182" s="699"/>
      <c r="T182" s="699"/>
      <c r="U182" s="699"/>
      <c r="V182" s="699"/>
      <c r="W182" s="151"/>
      <c r="X182" s="151"/>
      <c r="Y182" s="151"/>
      <c r="Z182" s="151"/>
      <c r="AA182" s="685" t="s">
        <v>721</v>
      </c>
      <c r="AB182" s="151"/>
      <c r="AC182" s="151"/>
      <c r="AD182" s="717"/>
      <c r="AE182" s="870">
        <v>0</v>
      </c>
      <c r="AF182" s="870">
        <v>0</v>
      </c>
      <c r="AG182" s="873">
        <f>AG181/1000</f>
        <v>0</v>
      </c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  <c r="AU182" s="151"/>
      <c r="AV182" s="151"/>
      <c r="AW182" s="151"/>
      <c r="AX182" s="151"/>
      <c r="AY182" s="151"/>
      <c r="AZ182" s="151"/>
      <c r="BA182" s="151"/>
      <c r="BB182" s="151"/>
      <c r="BC182" s="151"/>
      <c r="BD182" s="151"/>
      <c r="BE182" s="151"/>
      <c r="BF182" s="151"/>
      <c r="BG182" s="151"/>
      <c r="BH182" s="151"/>
      <c r="BI182" s="151"/>
      <c r="BJ182" s="151"/>
      <c r="BK182" s="151"/>
      <c r="BL182" s="151"/>
      <c r="BM182" s="151"/>
      <c r="BN182" s="151"/>
      <c r="BO182" s="151"/>
      <c r="BP182" s="151"/>
      <c r="BQ182" s="699"/>
      <c r="BR182" s="699"/>
      <c r="BS182" s="699"/>
      <c r="BT182" s="699"/>
      <c r="BU182" s="699"/>
      <c r="BV182" s="699"/>
      <c r="BW182" s="699"/>
      <c r="BX182" s="151"/>
      <c r="BY182" s="151"/>
      <c r="BZ182" s="151"/>
      <c r="CA182" s="151"/>
    </row>
    <row r="183" spans="1:79" ht="15.75">
      <c r="A183" s="1047" t="s">
        <v>511</v>
      </c>
      <c r="B183" s="115" t="s">
        <v>722</v>
      </c>
      <c r="C183" s="120"/>
      <c r="D183" s="120"/>
      <c r="E183" s="644"/>
      <c r="F183" s="379" t="str">
        <f>+IFERROR(F180*F181*F182/F179,"")</f>
        <v/>
      </c>
      <c r="G183" s="379" t="str">
        <f ca="1">+IFERROR(G180*G181*G182/G179,"")</f>
        <v/>
      </c>
      <c r="H183" s="379">
        <v>40</v>
      </c>
      <c r="I183" s="699"/>
      <c r="J183" s="132" t="s">
        <v>723</v>
      </c>
      <c r="K183" s="132"/>
      <c r="L183" s="132"/>
      <c r="M183" s="132"/>
      <c r="N183" s="388">
        <f ca="1">N$181*N$182</f>
        <v>8300100.6819982883</v>
      </c>
      <c r="O183" s="388">
        <f ca="1">O$181*O$182</f>
        <v>6174080.5750617227</v>
      </c>
      <c r="P183" s="388">
        <f ca="1">P$181*P$182</f>
        <v>3673492.7230636454</v>
      </c>
      <c r="Q183" s="699"/>
      <c r="R183" s="699"/>
      <c r="S183" s="699"/>
      <c r="T183" s="699"/>
      <c r="U183" s="699"/>
      <c r="V183" s="699"/>
      <c r="W183" s="151"/>
      <c r="X183" s="151"/>
      <c r="Y183" s="151"/>
      <c r="Z183" s="151"/>
      <c r="AA183" s="685" t="s">
        <v>622</v>
      </c>
      <c r="AB183" s="151"/>
      <c r="AC183" s="151"/>
      <c r="AD183" s="717"/>
      <c r="AE183" s="732">
        <v>0</v>
      </c>
      <c r="AF183" s="732">
        <v>0</v>
      </c>
      <c r="AG183" s="732">
        <f>+AG180*AG181*12</f>
        <v>0</v>
      </c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  <c r="AU183" s="151"/>
      <c r="AV183" s="151"/>
      <c r="AW183" s="151"/>
      <c r="AX183" s="151"/>
      <c r="AY183" s="151"/>
      <c r="AZ183" s="151"/>
      <c r="BA183" s="151"/>
      <c r="BB183" s="151"/>
      <c r="BC183" s="151"/>
      <c r="BD183" s="151"/>
      <c r="BE183" s="151"/>
      <c r="BF183" s="151"/>
      <c r="BG183" s="151"/>
      <c r="BH183" s="151"/>
      <c r="BI183" s="151"/>
      <c r="BJ183" s="151"/>
      <c r="BK183" s="151"/>
      <c r="BL183" s="151"/>
      <c r="BM183" s="151"/>
      <c r="BN183" s="151"/>
      <c r="BO183" s="151"/>
      <c r="BP183" s="151"/>
      <c r="BQ183" s="151"/>
      <c r="BR183" s="151"/>
      <c r="BS183" s="151"/>
      <c r="BT183" s="151"/>
      <c r="BU183" s="151"/>
      <c r="BV183" s="151"/>
      <c r="BW183" s="151"/>
      <c r="BX183" s="151"/>
      <c r="BY183" s="151"/>
      <c r="BZ183" s="151"/>
      <c r="CA183" s="151"/>
    </row>
    <row r="184" spans="1:79" ht="15.75">
      <c r="A184" s="1047"/>
      <c r="B184" s="398" t="s">
        <v>724</v>
      </c>
      <c r="C184" s="399"/>
      <c r="D184" s="399"/>
      <c r="E184" s="400">
        <f ca="1">+SUM(F184:H184)</f>
        <v>960000</v>
      </c>
      <c r="F184" s="401">
        <f>IFERROR(F179*F183,0)</f>
        <v>0</v>
      </c>
      <c r="G184" s="401">
        <f ca="1">IFERROR(G179*G183,0)</f>
        <v>0</v>
      </c>
      <c r="H184" s="401">
        <f>IFERROR(H179*H183,0)</f>
        <v>960000</v>
      </c>
      <c r="I184" s="699"/>
      <c r="J184" s="132" t="s">
        <v>158</v>
      </c>
      <c r="K184" s="699"/>
      <c r="L184" s="699"/>
      <c r="M184" s="699"/>
      <c r="N184" s="1072"/>
      <c r="O184" s="1072"/>
      <c r="P184" s="1072"/>
      <c r="Q184" s="699"/>
      <c r="R184" s="699"/>
      <c r="S184" s="699"/>
      <c r="T184" s="699"/>
      <c r="U184" s="699"/>
      <c r="V184" s="699"/>
      <c r="W184" s="151"/>
      <c r="X184" s="151"/>
      <c r="Y184" s="151"/>
      <c r="Z184" s="151"/>
      <c r="AA184" s="685" t="s">
        <v>725</v>
      </c>
      <c r="AB184" s="151"/>
      <c r="AC184" s="151"/>
      <c r="AD184" s="717"/>
      <c r="AE184" s="732"/>
      <c r="AF184" s="732"/>
      <c r="AG184" s="873">
        <v>2</v>
      </c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  <c r="AU184" s="151"/>
      <c r="AV184" s="151"/>
      <c r="AW184" s="151"/>
      <c r="AX184" s="151"/>
      <c r="AY184" s="151"/>
      <c r="AZ184" s="151"/>
      <c r="BA184" s="151"/>
      <c r="BB184" s="151"/>
      <c r="BC184" s="151"/>
      <c r="BD184" s="151"/>
      <c r="BE184" s="151"/>
      <c r="BF184" s="151"/>
      <c r="BG184" s="151"/>
      <c r="BH184" s="151"/>
      <c r="BI184" s="151"/>
      <c r="BJ184" s="151"/>
      <c r="BK184" s="151"/>
      <c r="BL184" s="151"/>
      <c r="BM184" s="151"/>
      <c r="BN184" s="151"/>
      <c r="BO184" s="151"/>
      <c r="BP184" s="151"/>
      <c r="BQ184" s="151"/>
      <c r="BR184" s="151"/>
      <c r="BS184" s="151"/>
      <c r="BT184" s="151"/>
      <c r="BU184" s="151"/>
      <c r="BV184" s="151"/>
      <c r="BW184" s="151"/>
      <c r="BX184" s="151"/>
      <c r="BY184" s="151"/>
      <c r="BZ184" s="151"/>
      <c r="CA184" s="151"/>
    </row>
    <row r="185" spans="1:79" ht="15.75">
      <c r="A185" s="1047"/>
      <c r="B185" s="230" t="s">
        <v>726</v>
      </c>
      <c r="C185" s="120"/>
      <c r="D185" s="120"/>
      <c r="E185" s="644"/>
      <c r="F185" s="120"/>
      <c r="G185" s="120"/>
      <c r="H185" s="120"/>
      <c r="I185" s="699"/>
      <c r="J185" s="758" t="s">
        <v>700</v>
      </c>
      <c r="K185" s="699"/>
      <c r="L185" s="699"/>
      <c r="M185" s="699"/>
      <c r="N185" s="125">
        <f ca="1">+Budget!H$117</f>
        <v>47545008.869722046</v>
      </c>
      <c r="O185" s="125">
        <f ca="1">+Budget!I$117</f>
        <v>35251842.070220672</v>
      </c>
      <c r="P185" s="125">
        <f ca="1">+Budget!J$117</f>
        <v>56502040.517779328</v>
      </c>
      <c r="Q185" s="699"/>
      <c r="R185" s="699"/>
      <c r="S185" s="699"/>
      <c r="T185" s="699"/>
      <c r="U185" s="699"/>
      <c r="V185" s="699"/>
      <c r="W185" s="151"/>
      <c r="X185" s="151"/>
      <c r="Y185" s="151"/>
      <c r="Z185" s="151"/>
      <c r="AA185" s="718" t="s">
        <v>727</v>
      </c>
      <c r="AB185" s="151"/>
      <c r="AC185" s="151"/>
      <c r="AD185" s="717"/>
      <c r="AE185" s="717"/>
      <c r="AF185" s="717"/>
      <c r="AG185" s="717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  <c r="AU185" s="151"/>
      <c r="AV185" s="151"/>
      <c r="AW185" s="151"/>
      <c r="AX185" s="151"/>
      <c r="AY185" s="151"/>
      <c r="AZ185" s="151"/>
      <c r="BA185" s="151"/>
      <c r="BB185" s="151"/>
      <c r="BC185" s="151"/>
      <c r="BD185" s="151"/>
      <c r="BE185" s="151"/>
      <c r="BF185" s="151"/>
      <c r="BG185" s="151"/>
      <c r="BH185" s="151"/>
      <c r="BI185" s="151"/>
      <c r="BJ185" s="151"/>
      <c r="BK185" s="151"/>
      <c r="BL185" s="151"/>
      <c r="BM185" s="151"/>
      <c r="BN185" s="151"/>
      <c r="BO185" s="151"/>
      <c r="BP185" s="151"/>
      <c r="BQ185" s="151"/>
      <c r="BR185" s="151"/>
      <c r="BS185" s="151"/>
      <c r="BT185" s="151"/>
      <c r="BU185" s="151"/>
      <c r="BV185" s="151"/>
      <c r="BW185" s="151"/>
      <c r="BX185" s="151"/>
      <c r="BY185" s="151"/>
      <c r="BZ185" s="151"/>
      <c r="CA185" s="151"/>
    </row>
    <row r="186" spans="1:79" ht="15.75">
      <c r="A186" s="1047"/>
      <c r="B186" s="115" t="s">
        <v>728</v>
      </c>
      <c r="C186" s="120"/>
      <c r="D186" s="120"/>
      <c r="E186" s="130">
        <v>0.6</v>
      </c>
      <c r="F186" s="128">
        <v>0</v>
      </c>
      <c r="G186" s="128">
        <v>0</v>
      </c>
      <c r="H186" s="128">
        <f>+$E186</f>
        <v>0.6</v>
      </c>
      <c r="I186" s="699"/>
      <c r="J186" s="758" t="s">
        <v>703</v>
      </c>
      <c r="K186" s="699"/>
      <c r="L186" s="699"/>
      <c r="M186" s="699"/>
      <c r="N186" s="1071">
        <f>+IFERROR(F$137/SUM(F$137,F$156),0)</f>
        <v>0.31250000000000006</v>
      </c>
      <c r="O186" s="1071">
        <f>+IFERROR(G$137/SUM(G$137,G$156),0)</f>
        <v>0.3125</v>
      </c>
      <c r="P186" s="1071">
        <f>+IFERROR(H$137/SUM(H$137,H$156),0)</f>
        <v>0.32559445325943637</v>
      </c>
      <c r="Q186" s="699"/>
      <c r="R186" s="699"/>
      <c r="S186" s="699"/>
      <c r="T186" s="699"/>
      <c r="U186" s="699"/>
      <c r="V186" s="699"/>
      <c r="W186" s="151"/>
      <c r="X186" s="151"/>
      <c r="Y186" s="151"/>
      <c r="Z186" s="151"/>
      <c r="AA186" s="685" t="s">
        <v>619</v>
      </c>
      <c r="AB186" s="151"/>
      <c r="AC186" s="151"/>
      <c r="AD186" s="717"/>
      <c r="AE186" s="870">
        <v>0</v>
      </c>
      <c r="AF186" s="870">
        <v>0</v>
      </c>
      <c r="AG186" s="870">
        <v>0</v>
      </c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  <c r="AU186" s="151"/>
      <c r="AV186" s="151"/>
      <c r="AW186" s="151"/>
      <c r="AX186" s="151"/>
      <c r="AY186" s="151"/>
      <c r="AZ186" s="151"/>
      <c r="BA186" s="151"/>
      <c r="BB186" s="151"/>
      <c r="BC186" s="151"/>
      <c r="BD186" s="151"/>
      <c r="BE186" s="151"/>
      <c r="BF186" s="151"/>
      <c r="BG186" s="151"/>
      <c r="BH186" s="151"/>
      <c r="BI186" s="151"/>
      <c r="BJ186" s="151"/>
      <c r="BK186" s="151"/>
      <c r="BL186" s="151"/>
      <c r="BM186" s="151"/>
      <c r="BN186" s="151"/>
      <c r="BO186" s="151"/>
      <c r="BP186" s="151"/>
      <c r="BQ186" s="151"/>
      <c r="BR186" s="151"/>
      <c r="BS186" s="151"/>
      <c r="BT186" s="151"/>
      <c r="BU186" s="151"/>
      <c r="BV186" s="151"/>
      <c r="BW186" s="151"/>
      <c r="BX186" s="151"/>
      <c r="BY186" s="151"/>
      <c r="BZ186" s="151"/>
      <c r="CA186" s="151"/>
    </row>
    <row r="187" spans="1:79" ht="15.75">
      <c r="A187" s="1047"/>
      <c r="B187" s="115" t="s">
        <v>729</v>
      </c>
      <c r="C187" s="120"/>
      <c r="D187" s="120"/>
      <c r="E187" s="378"/>
      <c r="F187" s="894">
        <v>0</v>
      </c>
      <c r="G187" s="894">
        <v>0</v>
      </c>
      <c r="H187" s="894">
        <f>+H166-10</f>
        <v>254.70320184964442</v>
      </c>
      <c r="I187" s="699"/>
      <c r="J187" s="758" t="s">
        <v>704</v>
      </c>
      <c r="K187" s="699"/>
      <c r="L187" s="699"/>
      <c r="M187" s="699"/>
      <c r="N187" s="1071">
        <f>+IFERROR(F$138/SUM(F$138,F$157),0)</f>
        <v>0.26130935656083171</v>
      </c>
      <c r="O187" s="1071">
        <f>+IFERROR(G$138/SUM(G$138,G$157),0)</f>
        <v>0.26130935656083165</v>
      </c>
      <c r="P187" s="1071">
        <f>+IFERROR(H$138/SUM(H$138,H$157),0)</f>
        <v>0.32559445325943637</v>
      </c>
      <c r="Q187" s="699"/>
      <c r="R187" s="699"/>
      <c r="S187" s="699"/>
      <c r="T187" s="699"/>
      <c r="U187" s="699"/>
      <c r="V187" s="699"/>
      <c r="W187" s="151"/>
      <c r="X187" s="151"/>
      <c r="Y187" s="151"/>
      <c r="Z187" s="151"/>
      <c r="AA187" s="685" t="s">
        <v>620</v>
      </c>
      <c r="AB187" s="151"/>
      <c r="AC187" s="151"/>
      <c r="AD187" s="871">
        <v>10</v>
      </c>
      <c r="AE187" s="686">
        <f>$AD187</f>
        <v>10</v>
      </c>
      <c r="AF187" s="686">
        <f>+$AE187*(1+0.02)^G$36</f>
        <v>10.612079999999999</v>
      </c>
      <c r="AG187" s="686">
        <f>+$AE187*(1+0.02)^H$36</f>
        <v>11.040808032000001</v>
      </c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  <c r="AU187" s="151"/>
      <c r="AV187" s="151"/>
      <c r="AW187" s="151"/>
      <c r="AX187" s="151"/>
      <c r="AY187" s="151"/>
      <c r="AZ187" s="151"/>
      <c r="BA187" s="151"/>
      <c r="BB187" s="151"/>
      <c r="BC187" s="151"/>
      <c r="BD187" s="151"/>
      <c r="BE187" s="151"/>
      <c r="BF187" s="151"/>
      <c r="BG187" s="151"/>
      <c r="BH187" s="151"/>
      <c r="BI187" s="151"/>
      <c r="BJ187" s="151"/>
      <c r="BK187" s="151"/>
      <c r="BL187" s="151"/>
      <c r="BM187" s="151"/>
      <c r="BN187" s="151"/>
      <c r="BO187" s="151"/>
      <c r="BP187" s="151"/>
      <c r="BQ187" s="151"/>
      <c r="BR187" s="151"/>
      <c r="BS187" s="151"/>
      <c r="BT187" s="151"/>
      <c r="BU187" s="151"/>
      <c r="BV187" s="151"/>
      <c r="BW187" s="151"/>
      <c r="BX187" s="151"/>
      <c r="BY187" s="151"/>
      <c r="BZ187" s="151"/>
      <c r="CA187" s="151"/>
    </row>
    <row r="188" spans="1:79" ht="15.75">
      <c r="A188" s="1047"/>
      <c r="B188" s="115" t="s">
        <v>730</v>
      </c>
      <c r="C188" s="120"/>
      <c r="D188" s="120"/>
      <c r="E188" s="130">
        <v>0.7</v>
      </c>
      <c r="F188" s="128">
        <v>0</v>
      </c>
      <c r="G188" s="128">
        <v>0</v>
      </c>
      <c r="H188" s="128">
        <f>+H165</f>
        <v>0.7</v>
      </c>
      <c r="I188" s="699"/>
      <c r="J188" s="758" t="s">
        <v>705</v>
      </c>
      <c r="K188" s="699"/>
      <c r="L188" s="699"/>
      <c r="M188" s="699"/>
      <c r="N188" s="387">
        <f>+MIN(N186:N187)</f>
        <v>0.26130935656083171</v>
      </c>
      <c r="O188" s="387">
        <f t="shared" ref="O188:P188" si="87">+MIN(O186:O187)</f>
        <v>0.26130935656083165</v>
      </c>
      <c r="P188" s="387">
        <f t="shared" si="87"/>
        <v>0.32559445325943637</v>
      </c>
      <c r="Q188" s="699"/>
      <c r="R188" s="699"/>
      <c r="S188" s="699"/>
      <c r="T188" s="699"/>
      <c r="U188" s="699"/>
      <c r="V188" s="699"/>
      <c r="W188" s="151"/>
      <c r="X188" s="151"/>
      <c r="Y188" s="151"/>
      <c r="Z188" s="151"/>
      <c r="AA188" s="685" t="s">
        <v>622</v>
      </c>
      <c r="AB188" s="151"/>
      <c r="AC188" s="151"/>
      <c r="AD188" s="717"/>
      <c r="AE188" s="732">
        <f>+AE186*AE187</f>
        <v>0</v>
      </c>
      <c r="AF188" s="732">
        <f t="shared" ref="AF188" si="88">+AF186*AF187</f>
        <v>0</v>
      </c>
      <c r="AG188" s="732">
        <f t="shared" ref="AG188" si="89">+AG186*AG187</f>
        <v>0</v>
      </c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  <c r="AU188" s="151"/>
      <c r="AV188" s="151"/>
      <c r="AW188" s="151"/>
      <c r="AX188" s="151"/>
      <c r="AY188" s="151"/>
      <c r="AZ188" s="151"/>
      <c r="BA188" s="151"/>
      <c r="BB188" s="151"/>
      <c r="BC188" s="151"/>
      <c r="BD188" s="151"/>
      <c r="BE188" s="151"/>
      <c r="BF188" s="151"/>
      <c r="BG188" s="151"/>
      <c r="BH188" s="151"/>
      <c r="BI188" s="151"/>
      <c r="BJ188" s="151"/>
      <c r="BK188" s="151"/>
      <c r="BL188" s="151"/>
      <c r="BM188" s="151"/>
      <c r="BN188" s="151"/>
      <c r="BO188" s="151"/>
      <c r="BP188" s="151"/>
      <c r="BQ188" s="151"/>
      <c r="BR188" s="151"/>
      <c r="BS188" s="151"/>
      <c r="BT188" s="151"/>
      <c r="BU188" s="151"/>
      <c r="BV188" s="151"/>
      <c r="BW188" s="151"/>
      <c r="BX188" s="151"/>
      <c r="BY188" s="151"/>
      <c r="BZ188" s="151"/>
      <c r="CA188" s="151"/>
    </row>
    <row r="189" spans="1:79" ht="15.75">
      <c r="A189" s="1047"/>
      <c r="B189" s="115" t="s">
        <v>731</v>
      </c>
      <c r="C189" s="120"/>
      <c r="D189" s="120"/>
      <c r="E189" s="378"/>
      <c r="F189" s="894">
        <v>0</v>
      </c>
      <c r="G189" s="894">
        <v>0</v>
      </c>
      <c r="H189" s="894">
        <f>+H166-5</f>
        <v>259.70320184964442</v>
      </c>
      <c r="I189" s="699"/>
      <c r="J189" s="758" t="s">
        <v>707</v>
      </c>
      <c r="K189" s="699"/>
      <c r="L189" s="699"/>
      <c r="M189" s="699"/>
      <c r="N189" s="1068">
        <f ca="1">+N$185*N$188</f>
        <v>12423955.675426105</v>
      </c>
      <c r="O189" s="1068">
        <f ca="1">+O$185*O$188</f>
        <v>9211636.1689534187</v>
      </c>
      <c r="P189" s="1068">
        <f ca="1">+P$185*P$188</f>
        <v>18396750.99042888</v>
      </c>
      <c r="Q189" s="699"/>
      <c r="R189" s="699"/>
      <c r="S189" s="699"/>
      <c r="T189" s="699"/>
      <c r="U189" s="699"/>
      <c r="V189" s="699"/>
      <c r="W189" s="151"/>
      <c r="X189" s="151"/>
      <c r="Y189" s="151"/>
      <c r="Z189" s="151"/>
      <c r="AA189" s="718" t="s">
        <v>727</v>
      </c>
      <c r="AB189" s="151"/>
      <c r="AC189" s="151"/>
      <c r="AD189" s="717"/>
      <c r="AE189" s="717"/>
      <c r="AF189" s="717"/>
      <c r="AG189" s="717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  <c r="AU189" s="151"/>
      <c r="AV189" s="151"/>
      <c r="AW189" s="151"/>
      <c r="AX189" s="151"/>
      <c r="AY189" s="151"/>
      <c r="AZ189" s="151"/>
      <c r="BA189" s="151"/>
      <c r="BB189" s="151"/>
      <c r="BC189" s="151"/>
      <c r="BD189" s="151"/>
      <c r="BE189" s="151"/>
      <c r="BF189" s="151"/>
      <c r="BG189" s="151"/>
      <c r="BH189" s="151"/>
      <c r="BI189" s="151"/>
      <c r="BJ189" s="151"/>
      <c r="BK189" s="151"/>
      <c r="BL189" s="151"/>
      <c r="BM189" s="151"/>
      <c r="BN189" s="151"/>
      <c r="BO189" s="151"/>
      <c r="BP189" s="151"/>
      <c r="BQ189" s="151"/>
      <c r="BR189" s="151"/>
      <c r="BS189" s="151"/>
      <c r="BT189" s="151"/>
      <c r="BU189" s="151"/>
      <c r="BV189" s="151"/>
      <c r="BW189" s="151"/>
      <c r="BX189" s="151"/>
      <c r="BY189" s="151"/>
      <c r="BZ189" s="151"/>
      <c r="CA189" s="151"/>
    </row>
    <row r="190" spans="1:79" ht="15.75">
      <c r="A190" s="1047"/>
      <c r="B190" s="699"/>
      <c r="C190" s="699"/>
      <c r="D190" s="699"/>
      <c r="E190" s="1057"/>
      <c r="F190" s="1057"/>
      <c r="G190" s="1057"/>
      <c r="H190" s="1057"/>
      <c r="I190" s="777"/>
      <c r="J190" s="758" t="s">
        <v>710</v>
      </c>
      <c r="K190" s="699"/>
      <c r="L190" s="699"/>
      <c r="M190" s="699"/>
      <c r="N190" s="121">
        <v>0.3</v>
      </c>
      <c r="O190" s="121">
        <v>0.3</v>
      </c>
      <c r="P190" s="121">
        <v>0.3</v>
      </c>
      <c r="Q190" s="699"/>
      <c r="R190" s="699"/>
      <c r="S190" s="699"/>
      <c r="T190" s="699"/>
      <c r="U190" s="699"/>
      <c r="V190" s="699"/>
      <c r="W190" s="151"/>
      <c r="X190" s="151"/>
      <c r="Y190" s="151"/>
      <c r="Z190" s="151"/>
      <c r="AA190" s="685" t="s">
        <v>619</v>
      </c>
      <c r="AB190" s="151"/>
      <c r="AC190" s="151"/>
      <c r="AD190" s="717"/>
      <c r="AE190" s="870">
        <v>0</v>
      </c>
      <c r="AF190" s="870">
        <v>0</v>
      </c>
      <c r="AG190" s="870">
        <v>0</v>
      </c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  <c r="AU190" s="151"/>
      <c r="AV190" s="151"/>
      <c r="AW190" s="151"/>
      <c r="AX190" s="151"/>
      <c r="AY190" s="151"/>
      <c r="AZ190" s="151"/>
      <c r="BA190" s="151"/>
      <c r="BB190" s="151"/>
      <c r="BC190" s="151"/>
      <c r="BD190" s="151"/>
      <c r="BE190" s="151"/>
      <c r="BF190" s="151"/>
      <c r="BG190" s="151"/>
      <c r="BH190" s="151"/>
      <c r="BI190" s="151"/>
      <c r="BJ190" s="151"/>
      <c r="BK190" s="151"/>
      <c r="BL190" s="151"/>
      <c r="BM190" s="151"/>
      <c r="BN190" s="151"/>
      <c r="BO190" s="151"/>
      <c r="BP190" s="151"/>
      <c r="BQ190" s="151"/>
      <c r="BR190" s="151"/>
      <c r="BS190" s="151"/>
      <c r="BT190" s="151"/>
      <c r="BU190" s="151"/>
      <c r="BV190" s="151"/>
      <c r="BW190" s="151"/>
      <c r="BX190" s="151"/>
      <c r="BY190" s="151"/>
      <c r="BZ190" s="151"/>
      <c r="CA190" s="151"/>
    </row>
    <row r="191" spans="1:79" ht="16.5" thickBot="1">
      <c r="A191" s="1047"/>
      <c r="B191" s="1124" t="s">
        <v>732</v>
      </c>
      <c r="C191" s="1124"/>
      <c r="D191" s="699"/>
      <c r="E191" s="199" t="s">
        <v>319</v>
      </c>
      <c r="F191" s="779" t="str">
        <f>+F$26</f>
        <v>I</v>
      </c>
      <c r="G191" s="779" t="str">
        <f>+G$26</f>
        <v>II</v>
      </c>
      <c r="H191" s="779" t="str">
        <f>+H$26</f>
        <v>III</v>
      </c>
      <c r="I191" s="699"/>
      <c r="J191" s="758" t="s">
        <v>712</v>
      </c>
      <c r="K191" s="699"/>
      <c r="L191" s="699"/>
      <c r="M191" s="699"/>
      <c r="N191" s="1068">
        <f ca="1">+N189*(1+N190)</f>
        <v>16151142.378053937</v>
      </c>
      <c r="O191" s="1068">
        <f t="shared" ref="O191:P191" ca="1" si="90">+O189*(1+O190)</f>
        <v>11975127.019639445</v>
      </c>
      <c r="P191" s="1068">
        <f t="shared" ca="1" si="90"/>
        <v>23915776.287557546</v>
      </c>
      <c r="Q191" s="699"/>
      <c r="R191" s="699"/>
      <c r="S191" s="699"/>
      <c r="T191" s="699"/>
      <c r="U191" s="699"/>
      <c r="V191" s="699"/>
      <c r="W191" s="151"/>
      <c r="X191" s="151"/>
      <c r="Y191" s="151"/>
      <c r="Z191" s="151"/>
      <c r="AA191" s="685" t="s">
        <v>620</v>
      </c>
      <c r="AB191" s="151"/>
      <c r="AC191" s="151"/>
      <c r="AD191" s="871">
        <v>10</v>
      </c>
      <c r="AE191" s="686">
        <f>$AD191</f>
        <v>10</v>
      </c>
      <c r="AF191" s="686">
        <f>+$AE191*(1+0.02)^G$36</f>
        <v>10.612079999999999</v>
      </c>
      <c r="AG191" s="686">
        <f>+$AE191*(1+0.02)^H$36</f>
        <v>11.040808032000001</v>
      </c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  <c r="AU191" s="151"/>
      <c r="AV191" s="151"/>
      <c r="AW191" s="151"/>
      <c r="AX191" s="151"/>
      <c r="AY191" s="151"/>
      <c r="AZ191" s="151"/>
      <c r="BA191" s="151"/>
      <c r="BB191" s="151"/>
      <c r="BC191" s="151"/>
      <c r="BD191" s="151"/>
      <c r="BE191" s="151"/>
      <c r="BF191" s="151"/>
      <c r="BG191" s="151"/>
      <c r="BH191" s="151"/>
      <c r="BI191" s="151"/>
      <c r="BJ191" s="151"/>
      <c r="BK191" s="151"/>
      <c r="BL191" s="151"/>
      <c r="BM191" s="151"/>
      <c r="BN191" s="151"/>
      <c r="BO191" s="151"/>
      <c r="BP191" s="151"/>
      <c r="BQ191" s="151"/>
      <c r="BR191" s="151"/>
      <c r="BS191" s="151"/>
      <c r="BT191" s="151"/>
      <c r="BU191" s="151"/>
      <c r="BV191" s="151"/>
      <c r="BW191" s="151"/>
      <c r="BX191" s="151"/>
      <c r="BY191" s="151"/>
      <c r="BZ191" s="151"/>
      <c r="CA191" s="151"/>
    </row>
    <row r="192" spans="1:79" ht="15.75">
      <c r="A192" s="1047"/>
      <c r="B192" s="118" t="s">
        <v>733</v>
      </c>
      <c r="C192" s="242"/>
      <c r="D192" s="699"/>
      <c r="E192" s="1057"/>
      <c r="F192" s="1057"/>
      <c r="G192" s="1057"/>
      <c r="H192" s="1057"/>
      <c r="I192" s="699"/>
      <c r="J192" s="758" t="s">
        <v>714</v>
      </c>
      <c r="K192" s="699"/>
      <c r="L192" s="699"/>
      <c r="M192" s="699"/>
      <c r="N192" s="969">
        <v>0.09</v>
      </c>
      <c r="O192" s="969">
        <v>0.09</v>
      </c>
      <c r="P192" s="969">
        <v>0.09</v>
      </c>
      <c r="Q192" s="699"/>
      <c r="R192" s="699"/>
      <c r="S192" s="699"/>
      <c r="T192" s="699"/>
      <c r="U192" s="699"/>
      <c r="V192" s="699"/>
      <c r="W192" s="151"/>
      <c r="X192" s="151"/>
      <c r="Y192" s="151"/>
      <c r="Z192" s="151"/>
      <c r="AA192" s="685" t="s">
        <v>622</v>
      </c>
      <c r="AB192" s="151"/>
      <c r="AC192" s="151"/>
      <c r="AD192" s="717"/>
      <c r="AE192" s="732">
        <f>+AE190*AE191</f>
        <v>0</v>
      </c>
      <c r="AF192" s="732">
        <f t="shared" ref="AF192" si="91">+AF190*AF191</f>
        <v>0</v>
      </c>
      <c r="AG192" s="732">
        <f t="shared" ref="AG192" si="92">+AG190*AG191</f>
        <v>0</v>
      </c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  <c r="AU192" s="151"/>
      <c r="AV192" s="151"/>
      <c r="AW192" s="151"/>
      <c r="AX192" s="151"/>
      <c r="AY192" s="151"/>
      <c r="AZ192" s="151"/>
      <c r="BA192" s="151"/>
      <c r="BB192" s="151"/>
      <c r="BC192" s="151"/>
      <c r="BD192" s="151"/>
      <c r="BE192" s="151"/>
      <c r="BF192" s="151"/>
      <c r="BG192" s="151"/>
      <c r="BH192" s="151"/>
      <c r="BI192" s="151"/>
      <c r="BJ192" s="151"/>
      <c r="BK192" s="151"/>
      <c r="BL192" s="151"/>
      <c r="BM192" s="151"/>
      <c r="BN192" s="151"/>
      <c r="BO192" s="151"/>
      <c r="BP192" s="151"/>
      <c r="BQ192" s="151"/>
      <c r="BR192" s="151"/>
      <c r="BS192" s="151"/>
      <c r="BT192" s="151"/>
      <c r="BU192" s="151"/>
      <c r="BV192" s="151"/>
      <c r="BW192" s="151"/>
      <c r="BX192" s="151"/>
      <c r="BY192" s="151"/>
      <c r="BZ192" s="151"/>
      <c r="CA192" s="151"/>
    </row>
    <row r="193" spans="2:79" ht="15.75">
      <c r="B193" s="115" t="s">
        <v>734</v>
      </c>
      <c r="C193" s="242"/>
      <c r="D193" s="699"/>
      <c r="E193" s="1057"/>
      <c r="F193" s="369">
        <f>+'Parcel Breakdown'!$AI$73</f>
        <v>443.0770769230769</v>
      </c>
      <c r="G193" s="369">
        <f>+'Parcel Breakdown'!$AI$74</f>
        <v>505.10769230769233</v>
      </c>
      <c r="H193" s="369">
        <f>+'Parcel Breakdown'!AI75</f>
        <v>236.76923076923077</v>
      </c>
      <c r="I193" s="699"/>
      <c r="J193" s="758" t="s">
        <v>717</v>
      </c>
      <c r="K193" s="699"/>
      <c r="L193" s="699"/>
      <c r="M193" s="699"/>
      <c r="N193" s="1068">
        <f ca="1">+N$191*N$192</f>
        <v>1453602.8140248542</v>
      </c>
      <c r="O193" s="1068">
        <f ca="1">+O$191*O$192</f>
        <v>1077761.4317675501</v>
      </c>
      <c r="P193" s="1068">
        <f ca="1">+P$191*P$192</f>
        <v>2152419.8658801792</v>
      </c>
      <c r="Q193" s="699"/>
      <c r="R193" s="699"/>
      <c r="S193" s="699"/>
      <c r="T193" s="699"/>
      <c r="U193" s="699"/>
      <c r="V193" s="699"/>
      <c r="W193" s="151"/>
      <c r="X193" s="151"/>
      <c r="Y193" s="151"/>
      <c r="Z193" s="151"/>
      <c r="AA193" s="718" t="s">
        <v>629</v>
      </c>
      <c r="AB193" s="718"/>
      <c r="AC193" s="718"/>
      <c r="AD193" s="733">
        <f>+SUM(AE193:AG193)</f>
        <v>0</v>
      </c>
      <c r="AE193" s="732">
        <f>+AE183+AE188+AE192</f>
        <v>0</v>
      </c>
      <c r="AF193" s="732">
        <f t="shared" ref="AF193" si="93">+AF183+AF188+AF192</f>
        <v>0</v>
      </c>
      <c r="AG193" s="732">
        <f>+AG183+AG188+AG192</f>
        <v>0</v>
      </c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  <c r="AU193" s="151"/>
      <c r="AV193" s="151"/>
      <c r="AW193" s="151"/>
      <c r="AX193" s="151"/>
      <c r="AY193" s="151"/>
      <c r="AZ193" s="151"/>
      <c r="BA193" s="151"/>
      <c r="BB193" s="151"/>
      <c r="BC193" s="151"/>
      <c r="BD193" s="151"/>
      <c r="BE193" s="151"/>
      <c r="BF193" s="151"/>
      <c r="BG193" s="151"/>
      <c r="BH193" s="151"/>
      <c r="BI193" s="151"/>
      <c r="BJ193" s="151"/>
      <c r="BK193" s="151"/>
      <c r="BL193" s="151"/>
      <c r="BM193" s="151"/>
      <c r="BN193" s="151"/>
      <c r="BO193" s="151"/>
      <c r="BP193" s="151"/>
      <c r="BQ193" s="151"/>
      <c r="BR193" s="151"/>
      <c r="BS193" s="151"/>
      <c r="BT193" s="151"/>
      <c r="BU193" s="151"/>
      <c r="BV193" s="151"/>
      <c r="BW193" s="151"/>
      <c r="BX193" s="151"/>
      <c r="BY193" s="151"/>
      <c r="BZ193" s="151"/>
      <c r="CA193" s="151"/>
    </row>
    <row r="194" spans="2:79" ht="15.75">
      <c r="B194" s="115" t="s">
        <v>735</v>
      </c>
      <c r="C194" s="242"/>
      <c r="D194" s="699"/>
      <c r="E194" s="370">
        <v>325</v>
      </c>
      <c r="F194" s="361">
        <f>+$E194</f>
        <v>325</v>
      </c>
      <c r="G194" s="361">
        <f>+$E194</f>
        <v>325</v>
      </c>
      <c r="H194" s="361">
        <f>+$E194</f>
        <v>325</v>
      </c>
      <c r="I194" s="699"/>
      <c r="J194" s="758" t="s">
        <v>720</v>
      </c>
      <c r="K194" s="699"/>
      <c r="L194" s="699"/>
      <c r="M194" s="699"/>
      <c r="N194" s="891">
        <v>0.9</v>
      </c>
      <c r="O194" s="891">
        <v>0.9</v>
      </c>
      <c r="P194" s="891">
        <v>0.9</v>
      </c>
      <c r="Q194" s="699"/>
      <c r="R194" s="699"/>
      <c r="S194" s="699"/>
      <c r="T194" s="699"/>
      <c r="U194" s="699"/>
      <c r="V194" s="699"/>
      <c r="W194" s="151"/>
      <c r="X194" s="151"/>
      <c r="Y194" s="151"/>
      <c r="Z194" s="151"/>
      <c r="AA194" s="685" t="s">
        <v>528</v>
      </c>
      <c r="AB194" s="151"/>
      <c r="AC194" s="151"/>
      <c r="AD194" s="733">
        <f>+SUM(AE194:AG194)</f>
        <v>0</v>
      </c>
      <c r="AE194" s="731">
        <f>+AE179+AE186+AE190</f>
        <v>0</v>
      </c>
      <c r="AF194" s="731">
        <f>+AF179+AF186+AF190</f>
        <v>0</v>
      </c>
      <c r="AG194" s="731">
        <f>+AG179+AG186+AG190</f>
        <v>0</v>
      </c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  <c r="AU194" s="151"/>
      <c r="AV194" s="151"/>
      <c r="AW194" s="151"/>
      <c r="AX194" s="151"/>
      <c r="AY194" s="151"/>
      <c r="AZ194" s="151"/>
      <c r="BA194" s="151"/>
      <c r="BB194" s="151"/>
      <c r="BC194" s="151"/>
      <c r="BD194" s="151"/>
      <c r="BE194" s="151"/>
      <c r="BF194" s="151"/>
      <c r="BG194" s="151"/>
      <c r="BH194" s="151"/>
      <c r="BI194" s="151"/>
      <c r="BJ194" s="151"/>
      <c r="BK194" s="151"/>
      <c r="BL194" s="151"/>
      <c r="BM194" s="151"/>
      <c r="BN194" s="151"/>
      <c r="BO194" s="151"/>
      <c r="BP194" s="151"/>
      <c r="BQ194" s="151"/>
      <c r="BR194" s="151"/>
      <c r="BS194" s="151"/>
      <c r="BT194" s="151"/>
      <c r="BU194" s="151"/>
      <c r="BV194" s="151"/>
      <c r="BW194" s="151"/>
      <c r="BX194" s="151"/>
      <c r="BY194" s="151"/>
      <c r="BZ194" s="151"/>
      <c r="CA194" s="151"/>
    </row>
    <row r="195" spans="2:79" ht="15.75">
      <c r="B195" s="115" t="s">
        <v>711</v>
      </c>
      <c r="C195" s="242"/>
      <c r="D195" s="699"/>
      <c r="E195" s="1057"/>
      <c r="F195" s="1073">
        <f>+F193*F194</f>
        <v>144000.04999999999</v>
      </c>
      <c r="G195" s="1073">
        <f>+G193*G194</f>
        <v>164160</v>
      </c>
      <c r="H195" s="1073">
        <f>+H193*H194</f>
        <v>76950</v>
      </c>
      <c r="I195" s="699"/>
      <c r="J195" s="132" t="s">
        <v>723</v>
      </c>
      <c r="K195" s="132"/>
      <c r="L195" s="132"/>
      <c r="M195" s="132"/>
      <c r="N195" s="388">
        <f ca="1">N$193*N$194</f>
        <v>1308242.5326223688</v>
      </c>
      <c r="O195" s="388">
        <f ca="1">O$193*O$194</f>
        <v>969985.28859079513</v>
      </c>
      <c r="P195" s="388">
        <f ca="1">P$193*P$194</f>
        <v>1937177.8792921614</v>
      </c>
      <c r="Q195" s="699"/>
      <c r="R195" s="699"/>
      <c r="S195" s="699"/>
      <c r="T195" s="699"/>
      <c r="U195" s="699"/>
      <c r="V195" s="699"/>
      <c r="W195" s="151"/>
      <c r="X195" s="151"/>
      <c r="Y195" s="151"/>
      <c r="Z195" s="151"/>
      <c r="AA195" s="685" t="s">
        <v>634</v>
      </c>
      <c r="AB195" s="151"/>
      <c r="AC195" s="151"/>
      <c r="AD195" s="686" t="str">
        <f>+IFERROR(AD193/AD194,"")</f>
        <v/>
      </c>
      <c r="AE195" s="686" t="str">
        <f>+IFERROR(AE193/AE194,"")</f>
        <v/>
      </c>
      <c r="AF195" s="686" t="str">
        <f t="shared" ref="AF195" si="94">+IFERROR(AF193/AF194,"")</f>
        <v/>
      </c>
      <c r="AG195" s="686" t="str">
        <f t="shared" ref="AG195" si="95">+IFERROR(AG193/AG194,"")</f>
        <v/>
      </c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  <c r="AU195" s="151"/>
      <c r="AV195" s="151"/>
      <c r="AW195" s="151"/>
      <c r="AX195" s="151"/>
      <c r="AY195" s="151"/>
      <c r="AZ195" s="151"/>
      <c r="BA195" s="151"/>
      <c r="BB195" s="151"/>
      <c r="BC195" s="151"/>
      <c r="BD195" s="151"/>
      <c r="BE195" s="151"/>
      <c r="BF195" s="151"/>
      <c r="BG195" s="151"/>
      <c r="BH195" s="151"/>
      <c r="BI195" s="151"/>
      <c r="BJ195" s="151"/>
      <c r="BK195" s="151"/>
      <c r="BL195" s="151"/>
      <c r="BM195" s="151"/>
      <c r="BN195" s="151"/>
      <c r="BO195" s="151"/>
      <c r="BP195" s="151"/>
      <c r="BQ195" s="151"/>
      <c r="BR195" s="151"/>
      <c r="BS195" s="151"/>
      <c r="BT195" s="151"/>
      <c r="BU195" s="151"/>
      <c r="BV195" s="151"/>
      <c r="BW195" s="151"/>
      <c r="BX195" s="151"/>
      <c r="BY195" s="151"/>
      <c r="BZ195" s="151"/>
      <c r="CA195" s="151"/>
    </row>
    <row r="196" spans="2:79" ht="15.75">
      <c r="B196" s="115" t="s">
        <v>736</v>
      </c>
      <c r="C196" s="242"/>
      <c r="D196" s="699"/>
      <c r="E196" s="895">
        <v>250</v>
      </c>
      <c r="F196" s="371">
        <f>+$E196*(1+0.03)^6</f>
        <v>298.51307413224998</v>
      </c>
      <c r="G196" s="891">
        <f>+$F196*(1+0.03)^G$36</f>
        <v>326.19329595731114</v>
      </c>
      <c r="H196" s="891">
        <f>+$F196*(1+0.03)^H$36</f>
        <v>346.05846768111132</v>
      </c>
      <c r="I196" s="699"/>
      <c r="J196" s="132" t="s">
        <v>737</v>
      </c>
      <c r="K196" s="132"/>
      <c r="L196" s="132"/>
      <c r="M196" s="132"/>
      <c r="N196" s="388">
        <f ca="1">+SUM(N$183,AS$213,AS$226,N195,AT$241)</f>
        <v>9608343.2146206573</v>
      </c>
      <c r="O196" s="388">
        <f ca="1">+SUM(O$183,AT$213,AT$226,O195,AU$241)</f>
        <v>7144065.863652518</v>
      </c>
      <c r="P196" s="388">
        <f ca="1">+SUM(P$183,AU$213,AU$226,P195,AV$241)</f>
        <v>5610670.6023558071</v>
      </c>
      <c r="Q196" s="699"/>
      <c r="R196" s="699"/>
      <c r="S196" s="699"/>
      <c r="T196" s="699"/>
      <c r="U196" s="699"/>
      <c r="V196" s="699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  <c r="AU196" s="151"/>
      <c r="AV196" s="151"/>
      <c r="AW196" s="151"/>
      <c r="AX196" s="151"/>
      <c r="AY196" s="151"/>
      <c r="AZ196" s="151"/>
      <c r="BA196" s="151"/>
      <c r="BB196" s="151"/>
      <c r="BC196" s="151"/>
      <c r="BD196" s="151"/>
      <c r="BE196" s="151"/>
      <c r="BF196" s="151"/>
      <c r="BG196" s="151"/>
      <c r="BH196" s="151"/>
      <c r="BI196" s="151"/>
      <c r="BJ196" s="151"/>
      <c r="BK196" s="151"/>
      <c r="BL196" s="151"/>
      <c r="BM196" s="151"/>
      <c r="BN196" s="151"/>
      <c r="BO196" s="151"/>
      <c r="BP196" s="151"/>
      <c r="BQ196" s="151"/>
      <c r="BR196" s="151"/>
      <c r="BS196" s="151"/>
      <c r="BT196" s="151"/>
      <c r="BU196" s="151"/>
      <c r="BV196" s="151"/>
      <c r="BW196" s="151"/>
      <c r="BX196" s="151"/>
      <c r="BY196" s="151"/>
      <c r="BZ196" s="151"/>
      <c r="CA196" s="151"/>
    </row>
    <row r="197" spans="2:79" ht="15.75">
      <c r="B197" s="115" t="s">
        <v>738</v>
      </c>
      <c r="C197" s="242"/>
      <c r="D197" s="699"/>
      <c r="E197" s="1057"/>
      <c r="F197" s="1068">
        <f>+F196*F193*12</f>
        <v>1587171.6037180689</v>
      </c>
      <c r="G197" s="1068">
        <f>+G196*G193*12</f>
        <v>1977152.9156068505</v>
      </c>
      <c r="H197" s="1068">
        <f>+H196*H193*12</f>
        <v>983231.9663284251</v>
      </c>
      <c r="I197" s="699"/>
      <c r="J197" s="132" t="s">
        <v>739</v>
      </c>
      <c r="K197" s="699"/>
      <c r="L197" s="699"/>
      <c r="M197" s="699"/>
      <c r="N197" s="388">
        <f ca="1">N$196*10</f>
        <v>96083432.146206573</v>
      </c>
      <c r="O197" s="388">
        <f ca="1">O$196*10</f>
        <v>71440658.636525184</v>
      </c>
      <c r="P197" s="388">
        <f ca="1">P$196*10</f>
        <v>56106706.023558073</v>
      </c>
      <c r="Q197" s="699"/>
      <c r="R197" s="699"/>
      <c r="S197" s="699"/>
      <c r="T197" s="699"/>
      <c r="U197" s="699"/>
      <c r="V197" s="699"/>
      <c r="W197" s="151"/>
      <c r="X197" s="151"/>
      <c r="Y197" s="151"/>
      <c r="Z197" s="151"/>
      <c r="AA197" s="718" t="s">
        <v>740</v>
      </c>
      <c r="AB197" s="151"/>
      <c r="AC197" s="151"/>
      <c r="AD197" s="717"/>
      <c r="AE197" s="717"/>
      <c r="AF197" s="717"/>
      <c r="AG197" s="717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  <c r="AU197" s="151"/>
      <c r="AV197" s="151"/>
      <c r="AW197" s="151"/>
      <c r="AX197" s="151"/>
      <c r="AY197" s="151"/>
      <c r="AZ197" s="151"/>
      <c r="BA197" s="151"/>
      <c r="BB197" s="151"/>
      <c r="BC197" s="151"/>
      <c r="BD197" s="151"/>
      <c r="BE197" s="151"/>
      <c r="BF197" s="151"/>
      <c r="BG197" s="151"/>
      <c r="BH197" s="151"/>
      <c r="BI197" s="151"/>
      <c r="BJ197" s="151"/>
      <c r="BK197" s="151"/>
      <c r="BL197" s="151"/>
      <c r="BM197" s="151"/>
      <c r="BN197" s="151"/>
      <c r="BO197" s="151"/>
      <c r="BP197" s="151"/>
      <c r="BQ197" s="151"/>
      <c r="BR197" s="151"/>
      <c r="BS197" s="151"/>
      <c r="BT197" s="151"/>
      <c r="BU197" s="151"/>
      <c r="BV197" s="151"/>
      <c r="BW197" s="151"/>
      <c r="BX197" s="151"/>
      <c r="BY197" s="151"/>
      <c r="BZ197" s="151"/>
      <c r="CA197" s="151"/>
    </row>
    <row r="198" spans="2:79" ht="15.75">
      <c r="B198" s="398" t="s">
        <v>741</v>
      </c>
      <c r="C198" s="399"/>
      <c r="D198" s="399"/>
      <c r="E198" s="400">
        <f>+SUM(F198:H198)</f>
        <v>4547556.4856533445</v>
      </c>
      <c r="F198" s="401">
        <f>+F197+AE202</f>
        <v>1587171.6037180689</v>
      </c>
      <c r="G198" s="401">
        <f>+G197+AF202</f>
        <v>1977152.9156068505</v>
      </c>
      <c r="H198" s="401">
        <f>+H197+AG202</f>
        <v>983231.9663284251</v>
      </c>
      <c r="I198" s="699"/>
      <c r="J198" s="699"/>
      <c r="K198" s="699"/>
      <c r="L198" s="699"/>
      <c r="M198" s="699"/>
      <c r="N198" s="699"/>
      <c r="O198" s="699"/>
      <c r="P198" s="699"/>
      <c r="Q198" s="699"/>
      <c r="R198" s="699"/>
      <c r="S198" s="699"/>
      <c r="T198" s="699"/>
      <c r="U198" s="699"/>
      <c r="V198" s="699"/>
      <c r="W198" s="151"/>
      <c r="X198" s="151"/>
      <c r="Y198" s="151"/>
      <c r="Z198" s="151"/>
      <c r="AA198" s="685" t="s">
        <v>734</v>
      </c>
      <c r="AB198" s="151"/>
      <c r="AC198" s="151"/>
      <c r="AD198" s="717"/>
      <c r="AE198" s="729">
        <f>+'Parcel Breakdown'!$AK$73</f>
        <v>0</v>
      </c>
      <c r="AF198" s="729">
        <f>+'Parcel Breakdown'!$AK$74</f>
        <v>0</v>
      </c>
      <c r="AG198" s="729">
        <f>+'Parcel Breakdown'!$AK$75</f>
        <v>0</v>
      </c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  <c r="AU198" s="151"/>
      <c r="AV198" s="151"/>
      <c r="AW198" s="151"/>
      <c r="AX198" s="151"/>
      <c r="AY198" s="151"/>
      <c r="AZ198" s="151"/>
      <c r="BA198" s="151"/>
      <c r="BB198" s="151"/>
      <c r="BC198" s="151"/>
      <c r="BD198" s="151"/>
      <c r="BE198" s="151"/>
      <c r="BF198" s="151"/>
      <c r="BG198" s="151"/>
      <c r="BH198" s="151"/>
      <c r="BI198" s="151"/>
      <c r="BJ198" s="151"/>
      <c r="BK198" s="151"/>
      <c r="BL198" s="151"/>
      <c r="BM198" s="151"/>
      <c r="BN198" s="151"/>
      <c r="BO198" s="151"/>
      <c r="BP198" s="151"/>
      <c r="BQ198" s="151"/>
      <c r="BR198" s="151"/>
      <c r="BS198" s="151"/>
      <c r="BT198" s="151"/>
      <c r="BU198" s="151"/>
      <c r="BV198" s="151"/>
      <c r="BW198" s="151"/>
      <c r="BX198" s="151"/>
      <c r="BY198" s="151"/>
      <c r="BZ198" s="151"/>
      <c r="CA198" s="151"/>
    </row>
    <row r="199" spans="2:79" ht="15.75">
      <c r="B199" s="402" t="s">
        <v>742</v>
      </c>
      <c r="C199" s="403"/>
      <c r="D199" s="403"/>
      <c r="E199" s="404">
        <f>+SUM(F199:H199)</f>
        <v>385110.05</v>
      </c>
      <c r="F199" s="405">
        <f>+F195</f>
        <v>144000.04999999999</v>
      </c>
      <c r="G199" s="405">
        <f>+G195</f>
        <v>164160</v>
      </c>
      <c r="H199" s="405">
        <f>+H195</f>
        <v>76950</v>
      </c>
      <c r="I199" s="137"/>
      <c r="J199" s="699"/>
      <c r="K199" s="699"/>
      <c r="L199" s="699"/>
      <c r="M199" s="699"/>
      <c r="N199" s="699"/>
      <c r="O199" s="699"/>
      <c r="P199" s="699"/>
      <c r="Q199" s="699"/>
      <c r="R199" s="699"/>
      <c r="S199" s="699"/>
      <c r="T199" s="699"/>
      <c r="U199" s="699"/>
      <c r="V199" s="699"/>
      <c r="W199" s="151"/>
      <c r="X199" s="151"/>
      <c r="Y199" s="151"/>
      <c r="Z199" s="151"/>
      <c r="AA199" s="685" t="s">
        <v>735</v>
      </c>
      <c r="AB199" s="151"/>
      <c r="AC199" s="151"/>
      <c r="AD199" s="730">
        <v>330</v>
      </c>
      <c r="AE199" s="717">
        <f>+$AD199</f>
        <v>330</v>
      </c>
      <c r="AF199" s="717">
        <f>+$AD199</f>
        <v>330</v>
      </c>
      <c r="AG199" s="717">
        <f>+$AD199</f>
        <v>330</v>
      </c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  <c r="AU199" s="151"/>
      <c r="AV199" s="151"/>
      <c r="AW199" s="151"/>
      <c r="AX199" s="151"/>
      <c r="AY199" s="151"/>
      <c r="AZ199" s="151"/>
      <c r="BA199" s="151"/>
      <c r="BB199" s="151"/>
      <c r="BC199" s="151"/>
      <c r="BD199" s="151"/>
      <c r="BE199" s="151"/>
      <c r="BF199" s="151"/>
      <c r="BG199" s="151"/>
      <c r="BH199" s="151"/>
      <c r="BI199" s="151"/>
      <c r="BJ199" s="151"/>
      <c r="BK199" s="151"/>
      <c r="BL199" s="151"/>
      <c r="BM199" s="151"/>
      <c r="BN199" s="151"/>
      <c r="BO199" s="151"/>
      <c r="BP199" s="151"/>
      <c r="BQ199" s="151"/>
      <c r="BR199" s="151"/>
      <c r="BS199" s="151"/>
      <c r="BT199" s="151"/>
      <c r="BU199" s="151"/>
      <c r="BV199" s="151"/>
      <c r="BW199" s="151"/>
      <c r="BX199" s="151"/>
      <c r="BY199" s="151"/>
      <c r="BZ199" s="151"/>
      <c r="CA199" s="151"/>
    </row>
    <row r="200" spans="2:79" ht="15.75">
      <c r="B200" s="115" t="s">
        <v>558</v>
      </c>
      <c r="C200" s="120"/>
      <c r="D200" s="120"/>
      <c r="E200" s="408">
        <f>+IFERROR(E198/SUM(E199:E199),"")</f>
        <v>11.808459648490983</v>
      </c>
      <c r="F200" s="382">
        <f>+IFERROR(F198/SUM(F199:F199),"")</f>
        <v>11.022021198729229</v>
      </c>
      <c r="G200" s="382">
        <f>+IFERROR(G198/SUM(G199:G199),"")</f>
        <v>12.044060158423797</v>
      </c>
      <c r="H200" s="382">
        <f>+IFERROR(H198/SUM(H199:H199),"")</f>
        <v>12.777543422071801</v>
      </c>
      <c r="I200" s="137"/>
      <c r="J200" s="699"/>
      <c r="K200" s="699"/>
      <c r="L200" s="699"/>
      <c r="M200" s="699"/>
      <c r="N200" s="699"/>
      <c r="O200" s="699"/>
      <c r="P200" s="699"/>
      <c r="Q200" s="699"/>
      <c r="R200" s="699"/>
      <c r="S200" s="699"/>
      <c r="T200" s="699"/>
      <c r="U200" s="699"/>
      <c r="V200" s="699"/>
      <c r="W200" s="151"/>
      <c r="X200" s="151"/>
      <c r="Y200" s="151"/>
      <c r="Z200" s="151"/>
      <c r="AA200" s="685" t="s">
        <v>711</v>
      </c>
      <c r="AB200" s="151"/>
      <c r="AC200" s="151"/>
      <c r="AD200" s="717"/>
      <c r="AE200" s="870">
        <f>+AE198*AE199</f>
        <v>0</v>
      </c>
      <c r="AF200" s="870">
        <f t="shared" ref="AF200:AG200" si="96">+AF198*AF199</f>
        <v>0</v>
      </c>
      <c r="AG200" s="870">
        <f t="shared" si="96"/>
        <v>0</v>
      </c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  <c r="AU200" s="151"/>
      <c r="AV200" s="151"/>
      <c r="AW200" s="151"/>
      <c r="AX200" s="151"/>
      <c r="AY200" s="151"/>
      <c r="AZ200" s="151"/>
      <c r="BA200" s="151"/>
      <c r="BB200" s="151"/>
      <c r="BC200" s="151"/>
      <c r="BD200" s="151"/>
      <c r="BE200" s="151"/>
      <c r="BF200" s="151"/>
      <c r="BG200" s="151"/>
      <c r="BH200" s="151"/>
      <c r="BI200" s="151"/>
      <c r="BJ200" s="151"/>
      <c r="BK200" s="151"/>
      <c r="BL200" s="151"/>
      <c r="BM200" s="151"/>
      <c r="BN200" s="151"/>
      <c r="BO200" s="151"/>
      <c r="BP200" s="151"/>
      <c r="BQ200" s="151"/>
      <c r="BR200" s="151"/>
      <c r="BS200" s="151"/>
      <c r="BT200" s="151"/>
      <c r="BU200" s="151"/>
      <c r="BV200" s="151"/>
      <c r="BW200" s="151"/>
      <c r="BX200" s="151"/>
      <c r="BY200" s="151"/>
      <c r="BZ200" s="151"/>
      <c r="CA200" s="151"/>
    </row>
    <row r="201" spans="2:79" ht="15.75">
      <c r="B201" s="151"/>
      <c r="C201" s="151"/>
      <c r="D201" s="151"/>
      <c r="E201" s="717"/>
      <c r="F201" s="717"/>
      <c r="G201" s="717"/>
      <c r="H201" s="717"/>
      <c r="I201" s="137"/>
      <c r="J201" s="699"/>
      <c r="K201" s="699"/>
      <c r="L201" s="699"/>
      <c r="M201" s="699"/>
      <c r="N201" s="699"/>
      <c r="O201" s="699"/>
      <c r="P201" s="699"/>
      <c r="Q201" s="699"/>
      <c r="R201" s="699"/>
      <c r="S201" s="699"/>
      <c r="T201" s="699"/>
      <c r="U201" s="699"/>
      <c r="V201" s="699"/>
      <c r="W201" s="151"/>
      <c r="X201" s="151"/>
      <c r="Y201" s="151"/>
      <c r="Z201" s="151"/>
      <c r="AA201" s="685" t="s">
        <v>736</v>
      </c>
      <c r="AB201" s="151"/>
      <c r="AC201" s="151"/>
      <c r="AD201" s="733">
        <v>100</v>
      </c>
      <c r="AE201" s="732">
        <f>+$AD201</f>
        <v>100</v>
      </c>
      <c r="AF201" s="686">
        <f>+$AE201*(1+0.02)^G$36</f>
        <v>106.12079999999999</v>
      </c>
      <c r="AG201" s="686">
        <f>+$AE201*(1+0.02)^H$36</f>
        <v>110.40808032</v>
      </c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  <c r="AU201" s="151"/>
      <c r="AV201" s="151"/>
      <c r="AW201" s="151"/>
      <c r="AX201" s="151"/>
      <c r="AY201" s="151"/>
      <c r="AZ201" s="151"/>
      <c r="BA201" s="151"/>
      <c r="BB201" s="151"/>
      <c r="BC201" s="151"/>
      <c r="BD201" s="151"/>
      <c r="BE201" s="151"/>
      <c r="BF201" s="151"/>
      <c r="BG201" s="151"/>
      <c r="BH201" s="151"/>
      <c r="BI201" s="151"/>
      <c r="BJ201" s="151"/>
      <c r="BK201" s="151"/>
      <c r="BL201" s="151"/>
      <c r="BM201" s="151"/>
      <c r="BN201" s="151"/>
      <c r="BO201" s="151"/>
      <c r="BP201" s="151"/>
      <c r="BQ201" s="151"/>
      <c r="BR201" s="151"/>
      <c r="BS201" s="151"/>
      <c r="BT201" s="151"/>
      <c r="BU201" s="151"/>
      <c r="BV201" s="151"/>
      <c r="BW201" s="151"/>
      <c r="BX201" s="151"/>
      <c r="BY201" s="151"/>
      <c r="BZ201" s="151"/>
      <c r="CA201" s="151"/>
    </row>
    <row r="202" spans="2:79" ht="15.75">
      <c r="B202" s="151"/>
      <c r="C202" s="151"/>
      <c r="D202" s="151"/>
      <c r="E202" s="717"/>
      <c r="F202" s="717"/>
      <c r="G202" s="717"/>
      <c r="H202" s="717"/>
      <c r="I202" s="777"/>
      <c r="J202" s="699"/>
      <c r="K202" s="699"/>
      <c r="L202" s="699"/>
      <c r="M202" s="699"/>
      <c r="N202" s="699"/>
      <c r="O202" s="699"/>
      <c r="P202" s="699"/>
      <c r="Q202" s="699"/>
      <c r="R202" s="699"/>
      <c r="S202" s="699"/>
      <c r="T202" s="699"/>
      <c r="U202" s="699"/>
      <c r="V202" s="699"/>
      <c r="W202" s="151"/>
      <c r="X202" s="151"/>
      <c r="Y202" s="151"/>
      <c r="Z202" s="151"/>
      <c r="AA202" s="685" t="s">
        <v>738</v>
      </c>
      <c r="AB202" s="151"/>
      <c r="AC202" s="151"/>
      <c r="AD202" s="717"/>
      <c r="AE202" s="732">
        <f>+AE201*AE198*12</f>
        <v>0</v>
      </c>
      <c r="AF202" s="732">
        <f>+AF201*AF198*12</f>
        <v>0</v>
      </c>
      <c r="AG202" s="732">
        <f>+AG201*AG198*12</f>
        <v>0</v>
      </c>
      <c r="AH202" s="151"/>
      <c r="AI202" s="151"/>
      <c r="AJ202" s="151"/>
      <c r="AK202" s="151"/>
      <c r="AL202" s="151"/>
      <c r="AM202" s="151"/>
      <c r="AN202" s="874"/>
      <c r="AO202" s="718" t="s">
        <v>743</v>
      </c>
      <c r="AP202" s="151"/>
      <c r="AQ202" s="151"/>
      <c r="AR202" s="151"/>
      <c r="AS202" s="737"/>
      <c r="AT202" s="737"/>
      <c r="AU202" s="737"/>
      <c r="AV202" s="151"/>
      <c r="AW202" s="151"/>
      <c r="AX202" s="151"/>
      <c r="AY202" s="151"/>
      <c r="AZ202" s="151"/>
      <c r="BA202" s="151"/>
      <c r="BB202" s="151"/>
      <c r="BC202" s="151"/>
      <c r="BD202" s="151"/>
      <c r="BE202" s="151"/>
      <c r="BF202" s="151"/>
      <c r="BG202" s="151"/>
      <c r="BH202" s="151"/>
      <c r="BI202" s="151"/>
      <c r="BJ202" s="151"/>
      <c r="BK202" s="151"/>
      <c r="BL202" s="151"/>
      <c r="BM202" s="151"/>
      <c r="BN202" s="151"/>
      <c r="BO202" s="151"/>
      <c r="BP202" s="151"/>
      <c r="BQ202" s="151"/>
      <c r="BR202" s="151"/>
      <c r="BS202" s="151"/>
      <c r="BT202" s="151"/>
      <c r="BU202" s="151"/>
      <c r="BV202" s="151"/>
      <c r="BW202" s="151"/>
      <c r="BX202" s="151"/>
      <c r="BY202" s="151"/>
      <c r="BZ202" s="151"/>
      <c r="CA202" s="151"/>
    </row>
    <row r="203" spans="2:79" ht="15.75">
      <c r="B203" s="151"/>
      <c r="C203" s="151"/>
      <c r="D203" s="151"/>
      <c r="E203" s="717"/>
      <c r="F203" s="717"/>
      <c r="G203" s="717"/>
      <c r="H203" s="717"/>
      <c r="I203" s="699"/>
      <c r="J203" s="699"/>
      <c r="K203" s="699"/>
      <c r="L203" s="699"/>
      <c r="M203" s="699"/>
      <c r="N203" s="699"/>
      <c r="O203" s="699"/>
      <c r="P203" s="699"/>
      <c r="Q203" s="699"/>
      <c r="R203" s="699"/>
      <c r="S203" s="699"/>
      <c r="T203" s="699"/>
      <c r="U203" s="699"/>
      <c r="V203" s="699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874"/>
      <c r="AO203" s="685" t="s">
        <v>700</v>
      </c>
      <c r="AP203" s="151"/>
      <c r="AQ203" s="151"/>
      <c r="AR203" s="151"/>
      <c r="AS203" s="738">
        <f ca="1">+Budget!H$115</f>
        <v>0</v>
      </c>
      <c r="AT203" s="738">
        <f ca="1">+Budget!I$115</f>
        <v>0</v>
      </c>
      <c r="AU203" s="738">
        <f ca="1">+Budget!J$115</f>
        <v>0</v>
      </c>
      <c r="AV203" s="151"/>
      <c r="AW203" s="151"/>
      <c r="AX203" s="151"/>
      <c r="AY203" s="151"/>
      <c r="AZ203" s="151"/>
      <c r="BA203" s="151"/>
      <c r="BB203" s="151"/>
      <c r="BC203" s="151"/>
      <c r="BD203" s="151"/>
      <c r="BE203" s="151"/>
      <c r="BF203" s="151"/>
      <c r="BG203" s="151"/>
      <c r="BH203" s="151"/>
      <c r="BI203" s="151"/>
      <c r="BJ203" s="151"/>
      <c r="BK203" s="151"/>
      <c r="BL203" s="151"/>
      <c r="BM203" s="151"/>
      <c r="BN203" s="151"/>
      <c r="BO203" s="151"/>
      <c r="BP203" s="151"/>
      <c r="BQ203" s="151"/>
      <c r="BR203" s="151"/>
      <c r="BS203" s="151"/>
      <c r="BT203" s="151"/>
      <c r="BU203" s="151"/>
      <c r="BV203" s="151"/>
      <c r="BW203" s="151"/>
      <c r="BX203" s="151"/>
      <c r="BY203" s="151"/>
      <c r="BZ203" s="151"/>
      <c r="CA203" s="151"/>
    </row>
    <row r="204" spans="2:79" ht="15.75">
      <c r="B204" s="728"/>
      <c r="C204" s="728"/>
      <c r="D204" s="728"/>
      <c r="E204" s="717"/>
      <c r="F204" s="728"/>
      <c r="G204" s="728"/>
      <c r="H204" s="728"/>
      <c r="I204" s="699"/>
      <c r="J204" s="699"/>
      <c r="K204" s="699"/>
      <c r="L204" s="699"/>
      <c r="M204" s="699"/>
      <c r="N204" s="699"/>
      <c r="O204" s="699"/>
      <c r="P204" s="699"/>
      <c r="Q204" s="699"/>
      <c r="R204" s="699"/>
      <c r="S204" s="699"/>
      <c r="T204" s="699"/>
      <c r="U204" s="699"/>
      <c r="V204" s="699"/>
      <c r="W204" s="151"/>
      <c r="X204" s="151"/>
      <c r="Y204" s="151"/>
      <c r="Z204" s="151"/>
      <c r="AA204" s="859" t="s">
        <v>744</v>
      </c>
      <c r="AB204" s="737"/>
      <c r="AC204" s="737"/>
      <c r="AD204" s="875">
        <f>+SUM(AE204:AG204)</f>
        <v>0</v>
      </c>
      <c r="AE204" s="876">
        <f>+AE200</f>
        <v>0</v>
      </c>
      <c r="AF204" s="876">
        <f>+AF200</f>
        <v>0</v>
      </c>
      <c r="AG204" s="876">
        <f>+AG200</f>
        <v>0</v>
      </c>
      <c r="AH204" s="151"/>
      <c r="AI204" s="151"/>
      <c r="AJ204" s="151"/>
      <c r="AK204" s="151"/>
      <c r="AL204" s="151"/>
      <c r="AM204" s="151"/>
      <c r="AN204" s="874" t="s">
        <v>745</v>
      </c>
      <c r="AO204" s="685" t="s">
        <v>703</v>
      </c>
      <c r="AP204" s="151"/>
      <c r="AQ204" s="151"/>
      <c r="AR204" s="151"/>
      <c r="AS204" s="869">
        <f>+IFERROR(AE$59/SUM(AE$59,AE$86),0)</f>
        <v>0</v>
      </c>
      <c r="AT204" s="869">
        <f>+IFERROR(AF$59/SUM(AF$59,AF$86),0)</f>
        <v>0</v>
      </c>
      <c r="AU204" s="869">
        <f>+IFERROR(AG$59/SUM(AG$59,AG$86),0)</f>
        <v>0</v>
      </c>
      <c r="AV204" s="151"/>
      <c r="AW204" s="151"/>
      <c r="AX204" s="151"/>
      <c r="AY204" s="151"/>
      <c r="AZ204" s="151"/>
      <c r="BA204" s="151"/>
      <c r="BB204" s="151"/>
      <c r="BC204" s="151"/>
      <c r="BD204" s="151"/>
      <c r="BE204" s="151"/>
      <c r="BF204" s="151"/>
      <c r="BG204" s="151"/>
      <c r="BH204" s="151"/>
      <c r="BI204" s="151"/>
      <c r="BJ204" s="151"/>
      <c r="BK204" s="151"/>
      <c r="BL204" s="151"/>
      <c r="BM204" s="151"/>
      <c r="BN204" s="151"/>
      <c r="BO204" s="151"/>
      <c r="BP204" s="151"/>
      <c r="BQ204" s="151"/>
      <c r="BR204" s="151"/>
      <c r="BS204" s="151"/>
      <c r="BT204" s="151"/>
      <c r="BU204" s="151"/>
      <c r="BV204" s="151"/>
      <c r="BW204" s="151"/>
      <c r="BX204" s="151"/>
      <c r="BY204" s="151"/>
      <c r="BZ204" s="151"/>
      <c r="CA204" s="151"/>
    </row>
    <row r="205" spans="2:79" ht="15.75">
      <c r="B205" s="151"/>
      <c r="C205" s="151"/>
      <c r="D205" s="151"/>
      <c r="E205" s="717"/>
      <c r="F205" s="717"/>
      <c r="G205" s="717"/>
      <c r="H205" s="717"/>
      <c r="I205" s="699"/>
      <c r="J205" s="699"/>
      <c r="K205" s="699"/>
      <c r="L205" s="699"/>
      <c r="M205" s="699"/>
      <c r="N205" s="699"/>
      <c r="O205" s="699"/>
      <c r="P205" s="699"/>
      <c r="Q205" s="699"/>
      <c r="R205" s="699"/>
      <c r="S205" s="699"/>
      <c r="T205" s="699"/>
      <c r="U205" s="699"/>
      <c r="V205" s="699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874"/>
      <c r="AO205" s="685" t="s">
        <v>704</v>
      </c>
      <c r="AP205" s="151"/>
      <c r="AQ205" s="151"/>
      <c r="AR205" s="151"/>
      <c r="AS205" s="869">
        <f>+IFERROR(AE$60/SUM(AE$60,AE$87),0)</f>
        <v>0</v>
      </c>
      <c r="AT205" s="869">
        <f>+IFERROR(AF$60/SUM(AF$60,AF$87),0)</f>
        <v>0</v>
      </c>
      <c r="AU205" s="869">
        <f>+IFERROR(AG$60/SUM(AG$60,AG$87),0)</f>
        <v>0</v>
      </c>
      <c r="AV205" s="151"/>
      <c r="AW205" s="151"/>
      <c r="AX205" s="151"/>
      <c r="AY205" s="151"/>
      <c r="AZ205" s="151"/>
      <c r="BA205" s="151"/>
      <c r="BB205" s="151"/>
      <c r="BC205" s="151"/>
      <c r="BD205" s="151"/>
      <c r="BE205" s="151"/>
      <c r="BF205" s="151"/>
      <c r="BG205" s="151"/>
      <c r="BH205" s="151"/>
      <c r="BI205" s="151"/>
      <c r="BJ205" s="151"/>
      <c r="BK205" s="151"/>
      <c r="BL205" s="151"/>
      <c r="BM205" s="151"/>
      <c r="BN205" s="151"/>
      <c r="BO205" s="151"/>
      <c r="BP205" s="151"/>
      <c r="BQ205" s="151"/>
      <c r="BR205" s="151"/>
      <c r="BS205" s="151"/>
      <c r="BT205" s="151"/>
      <c r="BU205" s="151"/>
      <c r="BV205" s="151"/>
      <c r="BW205" s="151"/>
      <c r="BX205" s="151"/>
      <c r="BY205" s="151"/>
      <c r="BZ205" s="151"/>
      <c r="CA205" s="151"/>
    </row>
    <row r="206" spans="2:79" ht="15.75">
      <c r="B206" s="1126" t="s">
        <v>746</v>
      </c>
      <c r="C206" s="1126"/>
      <c r="D206" s="151"/>
      <c r="E206" s="778" t="s">
        <v>319</v>
      </c>
      <c r="F206" s="778" t="str">
        <f>+F$26</f>
        <v>I</v>
      </c>
      <c r="G206" s="778" t="str">
        <f>+G$26</f>
        <v>II</v>
      </c>
      <c r="H206" s="778" t="str">
        <f>+H$26</f>
        <v>III</v>
      </c>
      <c r="I206" s="699"/>
      <c r="J206" s="699"/>
      <c r="K206" s="699"/>
      <c r="L206" s="699"/>
      <c r="M206" s="699"/>
      <c r="N206" s="699"/>
      <c r="O206" s="699"/>
      <c r="P206" s="699"/>
      <c r="Q206" s="699"/>
      <c r="R206" s="699"/>
      <c r="S206" s="699"/>
      <c r="T206" s="699"/>
      <c r="U206" s="699"/>
      <c r="V206" s="699"/>
      <c r="W206" s="151"/>
      <c r="X206" s="151"/>
      <c r="Y206" s="151"/>
      <c r="Z206" s="151"/>
      <c r="AA206" s="718" t="s">
        <v>747</v>
      </c>
      <c r="AB206" s="151"/>
      <c r="AC206" s="151"/>
      <c r="AD206" s="717"/>
      <c r="AE206" s="717"/>
      <c r="AF206" s="717"/>
      <c r="AG206" s="717"/>
      <c r="AH206" s="151"/>
      <c r="AI206" s="151"/>
      <c r="AJ206" s="151"/>
      <c r="AK206" s="151"/>
      <c r="AL206" s="151"/>
      <c r="AM206" s="151"/>
      <c r="AN206" s="874"/>
      <c r="AO206" s="685" t="s">
        <v>705</v>
      </c>
      <c r="AP206" s="151"/>
      <c r="AQ206" s="151"/>
      <c r="AR206" s="151"/>
      <c r="AS206" s="868">
        <f>+MIN(AS204:AS205)</f>
        <v>0</v>
      </c>
      <c r="AT206" s="868">
        <f t="shared" ref="AT206" si="97">+MIN(AT204:AT205)</f>
        <v>0</v>
      </c>
      <c r="AU206" s="868">
        <f t="shared" ref="AU206" si="98">+MIN(AU204:AU205)</f>
        <v>0</v>
      </c>
      <c r="AV206" s="151"/>
      <c r="AW206" s="151"/>
      <c r="AX206" s="151"/>
      <c r="AY206" s="151"/>
      <c r="AZ206" s="151"/>
      <c r="BA206" s="151"/>
      <c r="BB206" s="151"/>
      <c r="BC206" s="151"/>
      <c r="BD206" s="151"/>
      <c r="BE206" s="151"/>
      <c r="BF206" s="151"/>
      <c r="BG206" s="151"/>
      <c r="BH206" s="151"/>
      <c r="BI206" s="151"/>
      <c r="BJ206" s="151"/>
      <c r="BK206" s="151"/>
      <c r="BL206" s="151"/>
      <c r="BM206" s="151"/>
      <c r="BN206" s="151"/>
      <c r="BO206" s="151"/>
      <c r="BP206" s="151"/>
      <c r="BQ206" s="151"/>
      <c r="BR206" s="151"/>
      <c r="BS206" s="151"/>
      <c r="BT206" s="151"/>
      <c r="BU206" s="151"/>
      <c r="BV206" s="151"/>
      <c r="BW206" s="151"/>
      <c r="BX206" s="151"/>
      <c r="BY206" s="151"/>
      <c r="BZ206" s="151"/>
      <c r="CA206" s="151"/>
    </row>
    <row r="207" spans="2:79" ht="15.75">
      <c r="B207" s="727" t="s">
        <v>270</v>
      </c>
      <c r="C207" s="151"/>
      <c r="D207" s="151"/>
      <c r="E207" s="717"/>
      <c r="F207" s="729">
        <f>+'Parcel Breakdown'!$BD$131</f>
        <v>0</v>
      </c>
      <c r="G207" s="729">
        <f>+'Parcel Breakdown'!$BD$132</f>
        <v>0</v>
      </c>
      <c r="H207" s="729">
        <f>+'Parcel Breakdown'!$BD$133</f>
        <v>0</v>
      </c>
      <c r="I207" s="699"/>
      <c r="J207" s="699"/>
      <c r="K207" s="699"/>
      <c r="L207" s="699"/>
      <c r="M207" s="699"/>
      <c r="N207" s="699"/>
      <c r="O207" s="699"/>
      <c r="P207" s="699"/>
      <c r="Q207" s="699"/>
      <c r="R207" s="699"/>
      <c r="S207" s="699"/>
      <c r="T207" s="699"/>
      <c r="U207" s="699"/>
      <c r="V207" s="699"/>
      <c r="W207" s="151"/>
      <c r="X207" s="151"/>
      <c r="Y207" s="151"/>
      <c r="Z207" s="151"/>
      <c r="AA207" s="685" t="s">
        <v>619</v>
      </c>
      <c r="AB207" s="151"/>
      <c r="AC207" s="151"/>
      <c r="AD207" s="717"/>
      <c r="AE207" s="870">
        <f>+'Parcel Breakdown'!$BV$23</f>
        <v>0</v>
      </c>
      <c r="AF207" s="870">
        <v>0</v>
      </c>
      <c r="AG207" s="870">
        <v>0</v>
      </c>
      <c r="AH207" s="151"/>
      <c r="AI207" s="151"/>
      <c r="AJ207" s="151"/>
      <c r="AK207" s="151"/>
      <c r="AL207" s="151"/>
      <c r="AM207" s="151"/>
      <c r="AN207" s="874"/>
      <c r="AO207" s="685" t="s">
        <v>707</v>
      </c>
      <c r="AP207" s="151"/>
      <c r="AQ207" s="151"/>
      <c r="AR207" s="151"/>
      <c r="AS207" s="732">
        <f ca="1">+AS$203*AS$206</f>
        <v>0</v>
      </c>
      <c r="AT207" s="732">
        <f ca="1">+AT$203*AT$206</f>
        <v>0</v>
      </c>
      <c r="AU207" s="732">
        <f ca="1">+AU$203*AU$206</f>
        <v>0</v>
      </c>
      <c r="AV207" s="151"/>
      <c r="AW207" s="151"/>
      <c r="AX207" s="151"/>
      <c r="AY207" s="151"/>
      <c r="AZ207" s="151"/>
      <c r="BA207" s="151"/>
      <c r="BB207" s="151"/>
      <c r="BC207" s="151"/>
      <c r="BD207" s="151"/>
      <c r="BE207" s="151"/>
      <c r="BF207" s="151"/>
      <c r="BG207" s="151"/>
      <c r="BH207" s="151"/>
      <c r="BI207" s="151"/>
      <c r="BJ207" s="151"/>
      <c r="BK207" s="151"/>
      <c r="BL207" s="151"/>
      <c r="BM207" s="151"/>
      <c r="BN207" s="151"/>
      <c r="BO207" s="151"/>
      <c r="BP207" s="151"/>
      <c r="BQ207" s="151"/>
      <c r="BR207" s="151"/>
      <c r="BS207" s="151"/>
      <c r="BT207" s="151"/>
      <c r="BU207" s="151"/>
      <c r="BV207" s="151"/>
      <c r="BW207" s="151"/>
      <c r="BX207" s="151"/>
      <c r="BY207" s="151"/>
      <c r="BZ207" s="151"/>
      <c r="CA207" s="151"/>
    </row>
    <row r="208" spans="2:79" ht="15.75">
      <c r="B208" s="685" t="s">
        <v>515</v>
      </c>
      <c r="C208" s="151"/>
      <c r="D208" s="151"/>
      <c r="E208" s="730"/>
      <c r="F208" s="731">
        <f>+$E235</f>
        <v>550</v>
      </c>
      <c r="G208" s="731">
        <f>+$E235</f>
        <v>550</v>
      </c>
      <c r="H208" s="731">
        <f>+$E235</f>
        <v>550</v>
      </c>
      <c r="I208" s="699"/>
      <c r="J208" s="699"/>
      <c r="K208" s="699"/>
      <c r="L208" s="699"/>
      <c r="M208" s="699"/>
      <c r="N208" s="699"/>
      <c r="O208" s="699"/>
      <c r="P208" s="699"/>
      <c r="Q208" s="699"/>
      <c r="R208" s="699"/>
      <c r="S208" s="699"/>
      <c r="T208" s="699"/>
      <c r="U208" s="699"/>
      <c r="V208" s="699"/>
      <c r="W208" s="151"/>
      <c r="X208" s="151"/>
      <c r="Y208" s="151"/>
      <c r="Z208" s="151"/>
      <c r="AA208" s="685" t="s">
        <v>620</v>
      </c>
      <c r="AB208" s="151"/>
      <c r="AC208" s="151"/>
      <c r="AD208" s="871">
        <v>22</v>
      </c>
      <c r="AE208" s="686">
        <f>$AD208</f>
        <v>22</v>
      </c>
      <c r="AF208" s="686">
        <f>+$AE208*(1+0.02)^G$36</f>
        <v>23.346575999999999</v>
      </c>
      <c r="AG208" s="686">
        <f>+$AE208*(1+0.02)^H$36</f>
        <v>24.289777670399999</v>
      </c>
      <c r="AH208" s="151"/>
      <c r="AI208" s="151"/>
      <c r="AJ208" s="151"/>
      <c r="AK208" s="151"/>
      <c r="AL208" s="151"/>
      <c r="AM208" s="151"/>
      <c r="AN208" s="874"/>
      <c r="AO208" s="685" t="s">
        <v>710</v>
      </c>
      <c r="AP208" s="151"/>
      <c r="AQ208" s="151"/>
      <c r="AR208" s="151"/>
      <c r="AS208" s="858">
        <v>0.3</v>
      </c>
      <c r="AT208" s="858">
        <v>0.3</v>
      </c>
      <c r="AU208" s="858">
        <v>0.3</v>
      </c>
      <c r="AV208" s="151"/>
      <c r="AW208" s="151"/>
      <c r="AX208" s="151"/>
      <c r="AY208" s="151"/>
      <c r="AZ208" s="151"/>
      <c r="BA208" s="151"/>
      <c r="BB208" s="151"/>
      <c r="BC208" s="151"/>
      <c r="BD208" s="151"/>
      <c r="BE208" s="151"/>
      <c r="BF208" s="151"/>
      <c r="BG208" s="151"/>
      <c r="BH208" s="151"/>
      <c r="BI208" s="151"/>
      <c r="BJ208" s="151"/>
      <c r="BK208" s="151"/>
      <c r="BL208" s="151"/>
      <c r="BM208" s="151"/>
      <c r="BN208" s="151"/>
      <c r="BO208" s="151"/>
      <c r="BP208" s="151"/>
      <c r="BQ208" s="151"/>
      <c r="BR208" s="151"/>
      <c r="BS208" s="151"/>
      <c r="BT208" s="151"/>
      <c r="BU208" s="151"/>
      <c r="BV208" s="151"/>
      <c r="BW208" s="151"/>
      <c r="BX208" s="151"/>
      <c r="BY208" s="151"/>
      <c r="BZ208" s="151"/>
      <c r="CA208" s="151"/>
    </row>
    <row r="209" spans="1:79" ht="15.75">
      <c r="A209" s="1047"/>
      <c r="B209" s="685" t="s">
        <v>268</v>
      </c>
      <c r="C209" s="151"/>
      <c r="D209" s="151"/>
      <c r="E209" s="717"/>
      <c r="F209" s="686">
        <f>(F210*12)/F208</f>
        <v>16.407272727272726</v>
      </c>
      <c r="G209" s="686">
        <f t="shared" ref="G209:H209" si="99">(G210*12)/G208</f>
        <v>17.411529076363635</v>
      </c>
      <c r="H209" s="686">
        <f t="shared" si="99"/>
        <v>18.114954851048729</v>
      </c>
      <c r="I209" s="699"/>
      <c r="J209" s="699"/>
      <c r="K209" s="699"/>
      <c r="L209" s="699"/>
      <c r="M209" s="699"/>
      <c r="N209" s="699"/>
      <c r="O209" s="699"/>
      <c r="P209" s="699"/>
      <c r="Q209" s="699"/>
      <c r="R209" s="699"/>
      <c r="S209" s="699"/>
      <c r="T209" s="699"/>
      <c r="U209" s="699"/>
      <c r="V209" s="699"/>
      <c r="W209" s="151"/>
      <c r="X209" s="151"/>
      <c r="Y209" s="151"/>
      <c r="Z209" s="151"/>
      <c r="AA209" s="685" t="s">
        <v>622</v>
      </c>
      <c r="AB209" s="151"/>
      <c r="AC209" s="151"/>
      <c r="AD209" s="717"/>
      <c r="AE209" s="732">
        <f>+AE207*AE208</f>
        <v>0</v>
      </c>
      <c r="AF209" s="732">
        <f t="shared" ref="AF209" si="100">+AF207*AF208</f>
        <v>0</v>
      </c>
      <c r="AG209" s="732">
        <f t="shared" ref="AG209" si="101">+AG207*AG208</f>
        <v>0</v>
      </c>
      <c r="AH209" s="151"/>
      <c r="AI209" s="151"/>
      <c r="AJ209" s="151"/>
      <c r="AK209" s="151"/>
      <c r="AL209" s="151"/>
      <c r="AM209" s="151"/>
      <c r="AN209" s="874"/>
      <c r="AO209" s="685" t="s">
        <v>712</v>
      </c>
      <c r="AP209" s="151"/>
      <c r="AQ209" s="151"/>
      <c r="AR209" s="151"/>
      <c r="AS209" s="732">
        <f ca="1">+AS207*(1+AS208)</f>
        <v>0</v>
      </c>
      <c r="AT209" s="732">
        <f t="shared" ref="AT209:AU209" ca="1" si="102">+AT207*(1+AT208)</f>
        <v>0</v>
      </c>
      <c r="AU209" s="732">
        <f t="shared" ca="1" si="102"/>
        <v>0</v>
      </c>
      <c r="AV209" s="151"/>
      <c r="AW209" s="151"/>
      <c r="AX209" s="151"/>
      <c r="AY209" s="151"/>
      <c r="AZ209" s="151"/>
      <c r="BA209" s="151"/>
      <c r="BB209" s="151"/>
      <c r="BC209" s="151"/>
      <c r="BD209" s="151"/>
      <c r="BE209" s="151"/>
      <c r="BF209" s="151"/>
      <c r="BG209" s="151"/>
      <c r="BH209" s="151"/>
      <c r="BI209" s="151"/>
      <c r="BJ209" s="151"/>
      <c r="BK209" s="151"/>
      <c r="BL209" s="151"/>
      <c r="BM209" s="151"/>
      <c r="BN209" s="151"/>
      <c r="BO209" s="151"/>
      <c r="BP209" s="151"/>
      <c r="BQ209" s="151"/>
      <c r="BR209" s="151"/>
      <c r="BS209" s="151"/>
      <c r="BT209" s="151"/>
      <c r="BU209" s="151"/>
      <c r="BV209" s="151"/>
      <c r="BW209" s="151"/>
      <c r="BX209" s="151"/>
      <c r="BY209" s="151"/>
      <c r="BZ209" s="151"/>
      <c r="CA209" s="151"/>
    </row>
    <row r="210" spans="1:79" ht="15.75">
      <c r="A210" s="1047" t="s">
        <v>511</v>
      </c>
      <c r="B210" s="685" t="s">
        <v>516</v>
      </c>
      <c r="C210" s="151"/>
      <c r="D210" s="151"/>
      <c r="E210" s="732">
        <v>752</v>
      </c>
      <c r="F210" s="731">
        <f>+E210</f>
        <v>752</v>
      </c>
      <c r="G210" s="731">
        <f>+$F210*(1+0.02)^G$36</f>
        <v>798.02841599999999</v>
      </c>
      <c r="H210" s="731">
        <f>+$F210*(1+0.02)^H$36</f>
        <v>830.26876400640003</v>
      </c>
      <c r="I210" s="699"/>
      <c r="J210" s="274"/>
      <c r="K210" s="274"/>
      <c r="L210" s="274"/>
      <c r="M210" s="274"/>
      <c r="N210" s="274"/>
      <c r="O210" s="274"/>
      <c r="P210" s="274"/>
      <c r="Q210" s="699"/>
      <c r="R210" s="699"/>
      <c r="S210" s="699"/>
      <c r="T210" s="699"/>
      <c r="U210" s="699"/>
      <c r="V210" s="699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874"/>
      <c r="AO210" s="685" t="s">
        <v>714</v>
      </c>
      <c r="AP210" s="151"/>
      <c r="AQ210" s="151"/>
      <c r="AR210" s="151"/>
      <c r="AS210" s="869">
        <v>0.09</v>
      </c>
      <c r="AT210" s="869">
        <v>0.09</v>
      </c>
      <c r="AU210" s="869">
        <v>0.09</v>
      </c>
      <c r="AV210" s="151"/>
      <c r="AW210" s="151"/>
      <c r="AX210" s="151"/>
      <c r="AY210" s="151"/>
      <c r="AZ210" s="151"/>
      <c r="BA210" s="151"/>
      <c r="BB210" s="151"/>
      <c r="BC210" s="151"/>
      <c r="BD210" s="151"/>
      <c r="BE210" s="151"/>
      <c r="BF210" s="151"/>
      <c r="BG210" s="151"/>
      <c r="BH210" s="151"/>
      <c r="BI210" s="151"/>
      <c r="BJ210" s="151"/>
      <c r="BK210" s="151"/>
      <c r="BL210" s="151"/>
      <c r="BM210" s="151"/>
      <c r="BN210" s="151"/>
      <c r="BO210" s="151"/>
      <c r="BP210" s="151"/>
      <c r="BQ210" s="151"/>
      <c r="BR210" s="151"/>
      <c r="BS210" s="151"/>
      <c r="BT210" s="151"/>
      <c r="BU210" s="151"/>
      <c r="BV210" s="151"/>
      <c r="BW210" s="151"/>
      <c r="BX210" s="151"/>
      <c r="BY210" s="151"/>
      <c r="BZ210" s="151"/>
      <c r="CA210" s="151"/>
    </row>
    <row r="211" spans="1:79" ht="15.75">
      <c r="A211" s="1047"/>
      <c r="B211" s="727" t="s">
        <v>272</v>
      </c>
      <c r="C211" s="151"/>
      <c r="D211" s="151"/>
      <c r="E211" s="717"/>
      <c r="F211" s="717">
        <f>+'Parcel Breakdown'!$BF$131</f>
        <v>0</v>
      </c>
      <c r="G211" s="717">
        <f>+'Parcel Breakdown'!$BF$132</f>
        <v>0</v>
      </c>
      <c r="H211" s="717">
        <f>+'Parcel Breakdown'!$BF$133</f>
        <v>0</v>
      </c>
      <c r="I211" s="699"/>
      <c r="J211" s="274"/>
      <c r="K211" s="274"/>
      <c r="L211" s="274"/>
      <c r="M211" s="274"/>
      <c r="N211" s="274"/>
      <c r="O211" s="274"/>
      <c r="P211" s="274"/>
      <c r="Q211" s="699"/>
      <c r="R211" s="699"/>
      <c r="S211" s="699"/>
      <c r="T211" s="699"/>
      <c r="U211" s="699"/>
      <c r="V211" s="699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874" t="s">
        <v>748</v>
      </c>
      <c r="AO211" s="685" t="s">
        <v>717</v>
      </c>
      <c r="AP211" s="151"/>
      <c r="AQ211" s="151"/>
      <c r="AR211" s="151"/>
      <c r="AS211" s="732">
        <f ca="1">+AS$209*AS$210</f>
        <v>0</v>
      </c>
      <c r="AT211" s="732">
        <f ca="1">+AT$209*AT$210</f>
        <v>0</v>
      </c>
      <c r="AU211" s="732">
        <f ca="1">+AU$209*AU$210</f>
        <v>0</v>
      </c>
      <c r="AV211" s="151"/>
      <c r="AW211" s="151"/>
      <c r="AX211" s="151"/>
      <c r="AY211" s="151"/>
      <c r="AZ211" s="151"/>
      <c r="BA211" s="151"/>
      <c r="BB211" s="151"/>
      <c r="BC211" s="151"/>
      <c r="BD211" s="151"/>
      <c r="BE211" s="151"/>
      <c r="BF211" s="151"/>
      <c r="BG211" s="151"/>
      <c r="BH211" s="151"/>
      <c r="BI211" s="151"/>
      <c r="BJ211" s="151"/>
      <c r="BK211" s="151"/>
      <c r="BL211" s="151"/>
      <c r="BM211" s="151"/>
      <c r="BN211" s="151"/>
      <c r="BO211" s="151"/>
      <c r="BP211" s="151"/>
      <c r="BQ211" s="151"/>
      <c r="BR211" s="151"/>
      <c r="BS211" s="151"/>
      <c r="BT211" s="151"/>
      <c r="BU211" s="151"/>
      <c r="BV211" s="151"/>
      <c r="BW211" s="151"/>
      <c r="BX211" s="151"/>
      <c r="BY211" s="151"/>
      <c r="BZ211" s="151"/>
      <c r="CA211" s="151"/>
    </row>
    <row r="212" spans="1:79" ht="15.75">
      <c r="A212" s="1047"/>
      <c r="B212" s="685" t="s">
        <v>515</v>
      </c>
      <c r="C212" s="151"/>
      <c r="D212" s="151"/>
      <c r="E212" s="730"/>
      <c r="F212" s="731">
        <f>+$E239</f>
        <v>623</v>
      </c>
      <c r="G212" s="731">
        <f>+$E239</f>
        <v>623</v>
      </c>
      <c r="H212" s="731">
        <f>+$E239</f>
        <v>623</v>
      </c>
      <c r="I212" s="699"/>
      <c r="J212" s="699"/>
      <c r="K212" s="127"/>
      <c r="L212" s="127"/>
      <c r="M212" s="1057"/>
      <c r="N212" s="1057"/>
      <c r="O212" s="1057"/>
      <c r="P212" s="1057"/>
      <c r="Q212" s="699"/>
      <c r="R212" s="699"/>
      <c r="S212" s="699"/>
      <c r="T212" s="699"/>
      <c r="U212" s="699"/>
      <c r="V212" s="699"/>
      <c r="W212" s="151"/>
      <c r="X212" s="151"/>
      <c r="Y212" s="151"/>
      <c r="Z212" s="151"/>
      <c r="AA212" s="685" t="s">
        <v>161</v>
      </c>
      <c r="AB212" s="151"/>
      <c r="AC212" s="151"/>
      <c r="AD212" s="852">
        <v>6.5000000000000002E-2</v>
      </c>
      <c r="AE212" s="852">
        <f>+$AD212</f>
        <v>6.5000000000000002E-2</v>
      </c>
      <c r="AF212" s="852">
        <f>+$AD212</f>
        <v>6.5000000000000002E-2</v>
      </c>
      <c r="AG212" s="852">
        <f>+$AD212</f>
        <v>6.5000000000000002E-2</v>
      </c>
      <c r="AH212" s="151"/>
      <c r="AI212" s="151"/>
      <c r="AJ212" s="151"/>
      <c r="AK212" s="151"/>
      <c r="AL212" s="151"/>
      <c r="AM212" s="151"/>
      <c r="AN212" s="874"/>
      <c r="AO212" s="685" t="s">
        <v>720</v>
      </c>
      <c r="AP212" s="151"/>
      <c r="AQ212" s="151"/>
      <c r="AR212" s="151"/>
      <c r="AS212" s="686">
        <v>0.88</v>
      </c>
      <c r="AT212" s="686">
        <v>0.88</v>
      </c>
      <c r="AU212" s="686">
        <v>0.88</v>
      </c>
      <c r="AV212" s="151"/>
      <c r="AW212" s="151"/>
      <c r="AX212" s="151"/>
      <c r="AY212" s="151"/>
      <c r="AZ212" s="151"/>
      <c r="BA212" s="151"/>
      <c r="BB212" s="151"/>
      <c r="BC212" s="151"/>
      <c r="BD212" s="151"/>
      <c r="BE212" s="151"/>
      <c r="BF212" s="151"/>
      <c r="BG212" s="151"/>
      <c r="BH212" s="151"/>
      <c r="BI212" s="151"/>
      <c r="BJ212" s="151"/>
      <c r="BK212" s="151"/>
      <c r="BL212" s="151"/>
      <c r="BM212" s="151"/>
      <c r="BN212" s="151"/>
      <c r="BO212" s="151"/>
      <c r="BP212" s="151"/>
      <c r="BQ212" s="151"/>
      <c r="BR212" s="151"/>
      <c r="BS212" s="151"/>
      <c r="BT212" s="151"/>
      <c r="BU212" s="151"/>
      <c r="BV212" s="151"/>
      <c r="BW212" s="151"/>
      <c r="BX212" s="151"/>
      <c r="BY212" s="151"/>
      <c r="BZ212" s="151"/>
      <c r="CA212" s="151"/>
    </row>
    <row r="213" spans="1:79" ht="15.75">
      <c r="A213" s="1047"/>
      <c r="B213" s="685" t="s">
        <v>268</v>
      </c>
      <c r="C213" s="151"/>
      <c r="D213" s="151"/>
      <c r="E213" s="717"/>
      <c r="F213" s="686">
        <f>(F214*12)/F212</f>
        <v>16.565008025682182</v>
      </c>
      <c r="G213" s="686">
        <f t="shared" ref="G213:H213" si="103">(G214*12)/G212</f>
        <v>17.578919036918137</v>
      </c>
      <c r="H213" s="686">
        <f t="shared" si="103"/>
        <v>18.289107366009631</v>
      </c>
      <c r="I213" s="699"/>
      <c r="J213" s="699"/>
      <c r="K213" s="127"/>
      <c r="L213" s="127"/>
      <c r="M213" s="1057"/>
      <c r="N213" s="1057"/>
      <c r="O213" s="1057"/>
      <c r="P213" s="1057"/>
      <c r="Q213" s="699"/>
      <c r="R213" s="699"/>
      <c r="S213" s="699"/>
      <c r="T213" s="699"/>
      <c r="U213" s="699"/>
      <c r="V213" s="699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874"/>
      <c r="AO213" s="718" t="s">
        <v>723</v>
      </c>
      <c r="AP213" s="718"/>
      <c r="AQ213" s="718"/>
      <c r="AR213" s="718"/>
      <c r="AS213" s="733">
        <f ca="1">AS$211*AS$212</f>
        <v>0</v>
      </c>
      <c r="AT213" s="733">
        <f ca="1">AT$211*AT$212</f>
        <v>0</v>
      </c>
      <c r="AU213" s="733">
        <f ca="1">AU$211*AU$212</f>
        <v>0</v>
      </c>
      <c r="AV213" s="151"/>
      <c r="AW213" s="151"/>
      <c r="AX213" s="151"/>
      <c r="AY213" s="151"/>
      <c r="AZ213" s="151"/>
      <c r="BA213" s="151"/>
      <c r="BB213" s="151"/>
      <c r="BC213" s="151"/>
      <c r="BD213" s="151"/>
      <c r="BE213" s="151"/>
      <c r="BF213" s="151"/>
      <c r="BG213" s="151"/>
      <c r="BH213" s="151"/>
      <c r="BI213" s="151"/>
      <c r="BJ213" s="151"/>
      <c r="BK213" s="151"/>
      <c r="BL213" s="151"/>
      <c r="BM213" s="151"/>
      <c r="BN213" s="151"/>
      <c r="BO213" s="151"/>
      <c r="BP213" s="151"/>
      <c r="BQ213" s="151"/>
      <c r="BR213" s="151"/>
      <c r="BS213" s="151"/>
      <c r="BT213" s="151"/>
      <c r="BU213" s="151"/>
      <c r="BV213" s="151"/>
      <c r="BW213" s="151"/>
      <c r="BX213" s="151"/>
      <c r="BY213" s="151"/>
      <c r="BZ213" s="151"/>
      <c r="CA213" s="151"/>
    </row>
    <row r="214" spans="1:79" ht="15.75">
      <c r="A214" s="1047"/>
      <c r="B214" s="685" t="s">
        <v>516</v>
      </c>
      <c r="C214" s="151"/>
      <c r="D214" s="151"/>
      <c r="E214" s="732">
        <v>860</v>
      </c>
      <c r="F214" s="731">
        <f>$E214</f>
        <v>860</v>
      </c>
      <c r="G214" s="731">
        <f>+$F214*(1+0.02)^G$36</f>
        <v>912.63887999999997</v>
      </c>
      <c r="H214" s="731">
        <f>+$F214*(1+0.02)^H$36</f>
        <v>949.50949075200003</v>
      </c>
      <c r="I214" s="699"/>
      <c r="J214" s="699"/>
      <c r="K214" s="127"/>
      <c r="L214" s="127"/>
      <c r="M214" s="1057"/>
      <c r="N214" s="1057"/>
      <c r="O214" s="1057"/>
      <c r="P214" s="1057"/>
      <c r="Q214" s="699"/>
      <c r="R214" s="699"/>
      <c r="S214" s="699"/>
      <c r="T214" s="699"/>
      <c r="U214" s="699"/>
      <c r="V214" s="699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874"/>
      <c r="AO214" s="151"/>
      <c r="AP214" s="151"/>
      <c r="AQ214" s="151"/>
      <c r="AR214" s="151"/>
      <c r="AS214" s="737"/>
      <c r="AT214" s="737"/>
      <c r="AU214" s="737"/>
      <c r="AV214" s="151"/>
      <c r="AW214" s="151"/>
      <c r="AX214" s="151"/>
      <c r="AY214" s="151"/>
      <c r="AZ214" s="151"/>
      <c r="BA214" s="151"/>
      <c r="BB214" s="151"/>
      <c r="BC214" s="151"/>
      <c r="BD214" s="151"/>
      <c r="BE214" s="151"/>
      <c r="BF214" s="151"/>
      <c r="BG214" s="151"/>
      <c r="BH214" s="151"/>
      <c r="BI214" s="151"/>
      <c r="BJ214" s="151"/>
      <c r="BK214" s="151"/>
      <c r="BL214" s="151"/>
      <c r="BM214" s="151"/>
      <c r="BN214" s="151"/>
      <c r="BO214" s="151"/>
      <c r="BP214" s="151"/>
      <c r="BQ214" s="151"/>
      <c r="BR214" s="151"/>
      <c r="BS214" s="151"/>
      <c r="BT214" s="151"/>
      <c r="BU214" s="151"/>
      <c r="BV214" s="151"/>
      <c r="BW214" s="151"/>
      <c r="BX214" s="151"/>
      <c r="BY214" s="151"/>
      <c r="BZ214" s="151"/>
      <c r="CA214" s="151"/>
    </row>
    <row r="215" spans="1:79" ht="15.75">
      <c r="A215" s="1047"/>
      <c r="B215" s="727" t="s">
        <v>273</v>
      </c>
      <c r="C215" s="151"/>
      <c r="D215" s="151"/>
      <c r="E215" s="717"/>
      <c r="F215" s="729">
        <f>+'Parcel Breakdown'!$BH$131</f>
        <v>0</v>
      </c>
      <c r="G215" s="729">
        <f>+'Parcel Breakdown'!$BH$132</f>
        <v>0</v>
      </c>
      <c r="H215" s="729">
        <f>+'Parcel Breakdown'!$BH$133</f>
        <v>0</v>
      </c>
      <c r="I215" s="699"/>
      <c r="J215" s="699"/>
      <c r="K215" s="127"/>
      <c r="L215" s="127"/>
      <c r="M215" s="1057"/>
      <c r="N215" s="1057"/>
      <c r="O215" s="1057"/>
      <c r="P215" s="1057"/>
      <c r="Q215" s="699"/>
      <c r="R215" s="699"/>
      <c r="S215" s="699"/>
      <c r="T215" s="699"/>
      <c r="U215" s="699"/>
      <c r="V215" s="699"/>
      <c r="W215" s="151"/>
      <c r="X215" s="151"/>
      <c r="Y215" s="151"/>
      <c r="Z215" s="151"/>
      <c r="AA215" s="685" t="s">
        <v>573</v>
      </c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874"/>
      <c r="AO215" s="718" t="s">
        <v>749</v>
      </c>
      <c r="AP215" s="151"/>
      <c r="AQ215" s="151"/>
      <c r="AR215" s="151"/>
      <c r="AS215" s="737"/>
      <c r="AT215" s="737"/>
      <c r="AU215" s="737"/>
      <c r="AV215" s="151"/>
      <c r="AW215" s="151"/>
      <c r="AX215" s="151"/>
      <c r="AY215" s="151"/>
      <c r="AZ215" s="151"/>
      <c r="BA215" s="151"/>
      <c r="BB215" s="151"/>
      <c r="BC215" s="151"/>
      <c r="BD215" s="151"/>
      <c r="BE215" s="151"/>
      <c r="BF215" s="151"/>
      <c r="BG215" s="151"/>
      <c r="BH215" s="151"/>
      <c r="BI215" s="151"/>
      <c r="BJ215" s="151"/>
      <c r="BK215" s="151"/>
      <c r="BL215" s="151"/>
      <c r="BM215" s="151"/>
      <c r="BN215" s="151"/>
      <c r="BO215" s="151"/>
      <c r="BP215" s="151"/>
      <c r="BQ215" s="151"/>
      <c r="BR215" s="151"/>
      <c r="BS215" s="151"/>
      <c r="BT215" s="151"/>
      <c r="BU215" s="151"/>
      <c r="BV215" s="151"/>
      <c r="BW215" s="151"/>
      <c r="BX215" s="151"/>
      <c r="BY215" s="151"/>
      <c r="BZ215" s="151"/>
      <c r="CA215" s="151"/>
    </row>
    <row r="216" spans="1:79" ht="15.75">
      <c r="A216" s="1047"/>
      <c r="B216" s="685" t="s">
        <v>515</v>
      </c>
      <c r="C216" s="151"/>
      <c r="D216" s="151"/>
      <c r="E216" s="730"/>
      <c r="F216" s="731">
        <f>+$E243</f>
        <v>824</v>
      </c>
      <c r="G216" s="731">
        <f>+$E243</f>
        <v>824</v>
      </c>
      <c r="H216" s="731">
        <f>+$E243</f>
        <v>824</v>
      </c>
      <c r="I216" s="699"/>
      <c r="J216" s="699"/>
      <c r="K216" s="127"/>
      <c r="L216" s="127"/>
      <c r="M216" s="1057"/>
      <c r="N216" s="1057"/>
      <c r="O216" s="1057"/>
      <c r="P216" s="1057"/>
      <c r="Q216" s="699"/>
      <c r="R216" s="699"/>
      <c r="S216" s="699"/>
      <c r="T216" s="699"/>
      <c r="U216" s="699"/>
      <c r="V216" s="699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874"/>
      <c r="AO216" s="685" t="s">
        <v>700</v>
      </c>
      <c r="AP216" s="151"/>
      <c r="AQ216" s="151"/>
      <c r="AR216" s="151"/>
      <c r="AS216" s="738">
        <f ca="1">+Budget!H$116</f>
        <v>0</v>
      </c>
      <c r="AT216" s="738">
        <f ca="1">+Budget!I$116</f>
        <v>0</v>
      </c>
      <c r="AU216" s="738">
        <f ca="1">+Budget!J$116</f>
        <v>0</v>
      </c>
      <c r="AV216" s="151"/>
      <c r="AW216" s="151"/>
      <c r="AX216" s="151"/>
      <c r="AY216" s="151"/>
      <c r="AZ216" s="151"/>
      <c r="BA216" s="151"/>
      <c r="BB216" s="151"/>
      <c r="BC216" s="151"/>
      <c r="BD216" s="151"/>
      <c r="BE216" s="151"/>
      <c r="BF216" s="151"/>
      <c r="BG216" s="151"/>
      <c r="BH216" s="151"/>
      <c r="BI216" s="151"/>
      <c r="BJ216" s="151"/>
      <c r="BK216" s="151"/>
      <c r="BL216" s="151"/>
      <c r="BM216" s="151"/>
      <c r="BN216" s="151"/>
      <c r="BO216" s="151"/>
      <c r="BP216" s="151"/>
      <c r="BQ216" s="151"/>
      <c r="BR216" s="151"/>
      <c r="BS216" s="151"/>
      <c r="BT216" s="151"/>
      <c r="BU216" s="151"/>
      <c r="BV216" s="151"/>
      <c r="BW216" s="151"/>
      <c r="BX216" s="151"/>
      <c r="BY216" s="151"/>
      <c r="BZ216" s="151"/>
      <c r="CA216" s="151"/>
    </row>
    <row r="217" spans="1:79" ht="15.75">
      <c r="A217" s="1047"/>
      <c r="B217" s="685" t="s">
        <v>268</v>
      </c>
      <c r="C217" s="151"/>
      <c r="D217" s="151"/>
      <c r="E217" s="717"/>
      <c r="F217" s="686">
        <f>(F218*12)/F216</f>
        <v>14.08252427184466</v>
      </c>
      <c r="G217" s="686">
        <f t="shared" ref="G217:H217" si="104">(G218*12)/G216</f>
        <v>14.944487417475729</v>
      </c>
      <c r="H217" s="686">
        <f t="shared" si="104"/>
        <v>15.548244709141747</v>
      </c>
      <c r="I217" s="699"/>
      <c r="J217" s="699"/>
      <c r="K217" s="127"/>
      <c r="L217" s="127"/>
      <c r="M217" s="1057"/>
      <c r="N217" s="1057"/>
      <c r="O217" s="1057"/>
      <c r="P217" s="1057"/>
      <c r="Q217" s="699"/>
      <c r="R217" s="699"/>
      <c r="S217" s="699"/>
      <c r="T217" s="699"/>
      <c r="U217" s="699"/>
      <c r="V217" s="699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874" t="s">
        <v>750</v>
      </c>
      <c r="AO217" s="685" t="s">
        <v>703</v>
      </c>
      <c r="AP217" s="151"/>
      <c r="AQ217" s="151"/>
      <c r="AR217" s="151"/>
      <c r="AS217" s="869">
        <f>+IFERROR(AE$116/SUM(AE$116,AE$146),0)</f>
        <v>0</v>
      </c>
      <c r="AT217" s="869">
        <f>+IFERROR(AF$116/SUM(AF$116,AF$146),0)</f>
        <v>0</v>
      </c>
      <c r="AU217" s="869">
        <f>+IFERROR(AG$116/SUM(AG$116,AG$146),0)</f>
        <v>0</v>
      </c>
      <c r="AV217" s="151"/>
      <c r="AW217" s="151"/>
      <c r="AX217" s="151"/>
      <c r="AY217" s="151"/>
      <c r="AZ217" s="151"/>
      <c r="BA217" s="151"/>
      <c r="BB217" s="151"/>
      <c r="BC217" s="151"/>
      <c r="BD217" s="151"/>
      <c r="BE217" s="151"/>
      <c r="BF217" s="151"/>
      <c r="BG217" s="151"/>
      <c r="BH217" s="151"/>
      <c r="BI217" s="151"/>
      <c r="BJ217" s="151"/>
      <c r="BK217" s="151"/>
      <c r="BL217" s="151"/>
      <c r="BM217" s="151"/>
      <c r="BN217" s="151"/>
      <c r="BO217" s="151"/>
      <c r="BP217" s="151"/>
      <c r="BQ217" s="151"/>
      <c r="BR217" s="151"/>
      <c r="BS217" s="151"/>
      <c r="BT217" s="151"/>
      <c r="BU217" s="151"/>
      <c r="BV217" s="151"/>
      <c r="BW217" s="151"/>
      <c r="BX217" s="151"/>
      <c r="BY217" s="151"/>
      <c r="BZ217" s="151"/>
      <c r="CA217" s="151"/>
    </row>
    <row r="218" spans="1:79" ht="15.75">
      <c r="A218" s="1047"/>
      <c r="B218" s="685" t="s">
        <v>516</v>
      </c>
      <c r="C218" s="151"/>
      <c r="D218" s="151"/>
      <c r="E218" s="732">
        <v>967</v>
      </c>
      <c r="F218" s="731">
        <f>+$E218</f>
        <v>967</v>
      </c>
      <c r="G218" s="731">
        <f>+$F218*(1+0.02)^G$36</f>
        <v>1026.188136</v>
      </c>
      <c r="H218" s="731">
        <f>+$F218*(1+0.02)^H$36</f>
        <v>1067.6461366944</v>
      </c>
      <c r="I218" s="699"/>
      <c r="J218" s="699"/>
      <c r="K218" s="393"/>
      <c r="L218" s="393"/>
      <c r="M218" s="1057"/>
      <c r="N218" s="1057"/>
      <c r="O218" s="1057"/>
      <c r="P218" s="1057"/>
      <c r="Q218" s="699"/>
      <c r="R218" s="699"/>
      <c r="S218" s="699"/>
      <c r="T218" s="699"/>
      <c r="U218" s="699"/>
      <c r="V218" s="699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874"/>
      <c r="AO218" s="685" t="s">
        <v>704</v>
      </c>
      <c r="AP218" s="151"/>
      <c r="AQ218" s="151"/>
      <c r="AR218" s="151"/>
      <c r="AS218" s="869">
        <f>+IFERROR(AE$117/SUM(AE$117,AE$147),0)</f>
        <v>0</v>
      </c>
      <c r="AT218" s="869">
        <f>+IFERROR(AF$117/SUM(AF$117,AF$147),0)</f>
        <v>0</v>
      </c>
      <c r="AU218" s="869">
        <f>+IFERROR(AG$117/SUM(AG$117,AG$147),0)</f>
        <v>0</v>
      </c>
      <c r="AV218" s="151"/>
      <c r="AW218" s="151"/>
      <c r="AX218" s="151"/>
      <c r="AY218" s="151"/>
      <c r="AZ218" s="151"/>
      <c r="BA218" s="151"/>
      <c r="BB218" s="151"/>
      <c r="BC218" s="151"/>
      <c r="BD218" s="151"/>
      <c r="BE218" s="151"/>
      <c r="BF218" s="151"/>
      <c r="BG218" s="151"/>
      <c r="BH218" s="151"/>
      <c r="BI218" s="151"/>
      <c r="BJ218" s="151"/>
      <c r="BK218" s="151"/>
      <c r="BL218" s="151"/>
      <c r="BM218" s="151"/>
      <c r="BN218" s="151"/>
      <c r="BO218" s="151"/>
      <c r="BP218" s="151"/>
      <c r="BQ218" s="151"/>
      <c r="BR218" s="151"/>
      <c r="BS218" s="151"/>
      <c r="BT218" s="151"/>
      <c r="BU218" s="151"/>
      <c r="BV218" s="151"/>
      <c r="BW218" s="151"/>
      <c r="BX218" s="151"/>
      <c r="BY218" s="151"/>
      <c r="BZ218" s="151"/>
      <c r="CA218" s="151"/>
    </row>
    <row r="219" spans="1:79" ht="15.75">
      <c r="A219" s="1047"/>
      <c r="B219" s="727" t="s">
        <v>274</v>
      </c>
      <c r="C219" s="151"/>
      <c r="D219" s="151"/>
      <c r="E219" s="717"/>
      <c r="F219" s="729">
        <f>+'Parcel Breakdown'!$BJ$131</f>
        <v>0</v>
      </c>
      <c r="G219" s="729">
        <f>+'Parcel Breakdown'!$BJ$132</f>
        <v>0</v>
      </c>
      <c r="H219" s="729">
        <f>+'Parcel Breakdown'!$BJ$133</f>
        <v>0</v>
      </c>
      <c r="I219" s="699"/>
      <c r="J219" s="699"/>
      <c r="K219" s="361"/>
      <c r="L219" s="361"/>
      <c r="M219" s="1057"/>
      <c r="N219" s="1057"/>
      <c r="O219" s="1057"/>
      <c r="P219" s="1057"/>
      <c r="Q219" s="699"/>
      <c r="R219" s="699"/>
      <c r="S219" s="699"/>
      <c r="T219" s="699"/>
      <c r="U219" s="699"/>
      <c r="V219" s="699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874"/>
      <c r="AO219" s="685" t="s">
        <v>705</v>
      </c>
      <c r="AP219" s="151"/>
      <c r="AQ219" s="151"/>
      <c r="AR219" s="151"/>
      <c r="AS219" s="868">
        <f>+MIN(AS217:AS218)</f>
        <v>0</v>
      </c>
      <c r="AT219" s="868">
        <f t="shared" ref="AT219:AU219" si="105">+MIN(AT217:AT218)</f>
        <v>0</v>
      </c>
      <c r="AU219" s="868">
        <f t="shared" si="105"/>
        <v>0</v>
      </c>
      <c r="AV219" s="151"/>
      <c r="AW219" s="151"/>
      <c r="AX219" s="151"/>
      <c r="AY219" s="151"/>
      <c r="AZ219" s="151"/>
      <c r="BA219" s="151"/>
      <c r="BB219" s="151"/>
      <c r="BC219" s="151"/>
      <c r="BD219" s="151"/>
      <c r="BE219" s="151"/>
      <c r="BF219" s="151"/>
      <c r="BG219" s="151"/>
      <c r="BH219" s="151"/>
      <c r="BI219" s="151"/>
      <c r="BJ219" s="151"/>
      <c r="BK219" s="151"/>
      <c r="BL219" s="151"/>
      <c r="BM219" s="151"/>
      <c r="BN219" s="151"/>
      <c r="BO219" s="151"/>
      <c r="BP219" s="151"/>
      <c r="BQ219" s="151"/>
      <c r="BR219" s="151"/>
      <c r="BS219" s="151"/>
      <c r="BT219" s="151"/>
      <c r="BU219" s="151"/>
      <c r="BV219" s="151"/>
      <c r="BW219" s="151"/>
      <c r="BX219" s="151"/>
      <c r="BY219" s="151"/>
      <c r="BZ219" s="151"/>
      <c r="CA219" s="151"/>
    </row>
    <row r="220" spans="1:79" ht="15.75">
      <c r="A220" s="1047"/>
      <c r="B220" s="685" t="s">
        <v>515</v>
      </c>
      <c r="C220" s="151"/>
      <c r="D220" s="151"/>
      <c r="E220" s="730"/>
      <c r="F220" s="731">
        <f>+$E247</f>
        <v>1100</v>
      </c>
      <c r="G220" s="731">
        <f>+$E247</f>
        <v>1100</v>
      </c>
      <c r="H220" s="731">
        <f>+$E247</f>
        <v>1100</v>
      </c>
      <c r="I220" s="699"/>
      <c r="J220" s="699"/>
      <c r="K220" s="371"/>
      <c r="L220" s="371"/>
      <c r="M220" s="1057"/>
      <c r="N220" s="1057"/>
      <c r="O220" s="1057"/>
      <c r="P220" s="1057"/>
      <c r="Q220" s="699"/>
      <c r="R220" s="699"/>
      <c r="S220" s="699"/>
      <c r="T220" s="699"/>
      <c r="U220" s="699"/>
      <c r="V220" s="699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874"/>
      <c r="AO220" s="685" t="s">
        <v>707</v>
      </c>
      <c r="AP220" s="151"/>
      <c r="AQ220" s="151"/>
      <c r="AR220" s="151"/>
      <c r="AS220" s="732">
        <f ca="1">+AS$216*AS$219</f>
        <v>0</v>
      </c>
      <c r="AT220" s="732">
        <f ca="1">+AT$216*AT$219</f>
        <v>0</v>
      </c>
      <c r="AU220" s="732">
        <f ca="1">+AU$216*AU$219</f>
        <v>0</v>
      </c>
      <c r="AV220" s="151"/>
      <c r="AW220" s="151"/>
      <c r="AX220" s="151"/>
      <c r="AY220" s="151"/>
      <c r="AZ220" s="151"/>
      <c r="BA220" s="151"/>
      <c r="BB220" s="151"/>
      <c r="BC220" s="151"/>
      <c r="BD220" s="151"/>
      <c r="BE220" s="151"/>
      <c r="BF220" s="151"/>
      <c r="BG220" s="151"/>
      <c r="BH220" s="151"/>
      <c r="BI220" s="151"/>
      <c r="BJ220" s="151"/>
      <c r="BK220" s="151"/>
      <c r="BL220" s="151"/>
      <c r="BM220" s="151"/>
      <c r="BN220" s="151"/>
      <c r="BO220" s="151"/>
      <c r="BP220" s="151"/>
      <c r="BQ220" s="151"/>
      <c r="BR220" s="151"/>
      <c r="BS220" s="151"/>
      <c r="BT220" s="151"/>
      <c r="BU220" s="151"/>
      <c r="BV220" s="151"/>
      <c r="BW220" s="151"/>
      <c r="BX220" s="151"/>
      <c r="BY220" s="151"/>
      <c r="BZ220" s="151"/>
      <c r="CA220" s="151"/>
    </row>
    <row r="221" spans="1:79" ht="15.75">
      <c r="A221" s="1047"/>
      <c r="B221" s="685" t="s">
        <v>268</v>
      </c>
      <c r="C221" s="151"/>
      <c r="D221" s="151"/>
      <c r="E221" s="717"/>
      <c r="F221" s="686">
        <f>(F222*12)/F220</f>
        <v>11.727272727272727</v>
      </c>
      <c r="G221" s="686">
        <f t="shared" ref="G221:H221" si="106">(G222*12)/G220</f>
        <v>12.445075636363635</v>
      </c>
      <c r="H221" s="686">
        <f t="shared" si="106"/>
        <v>12.947856692072728</v>
      </c>
      <c r="I221" s="699"/>
      <c r="J221" s="699"/>
      <c r="K221" s="394"/>
      <c r="L221" s="394"/>
      <c r="M221" s="1057"/>
      <c r="N221" s="1057"/>
      <c r="O221" s="1057"/>
      <c r="P221" s="1057"/>
      <c r="Q221" s="699"/>
      <c r="R221" s="699"/>
      <c r="S221" s="699"/>
      <c r="T221" s="699"/>
      <c r="U221" s="699"/>
      <c r="V221" s="699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874"/>
      <c r="AO221" s="685" t="s">
        <v>710</v>
      </c>
      <c r="AP221" s="151"/>
      <c r="AQ221" s="151"/>
      <c r="AR221" s="151"/>
      <c r="AS221" s="858">
        <v>0.3</v>
      </c>
      <c r="AT221" s="858">
        <v>0.3</v>
      </c>
      <c r="AU221" s="858">
        <v>0.3</v>
      </c>
      <c r="AV221" s="151"/>
      <c r="AW221" s="151"/>
      <c r="AX221" s="151"/>
      <c r="AY221" s="151"/>
      <c r="AZ221" s="151"/>
      <c r="BA221" s="151"/>
      <c r="BB221" s="151"/>
      <c r="BC221" s="151"/>
      <c r="BD221" s="151"/>
      <c r="BE221" s="151"/>
      <c r="BF221" s="151"/>
      <c r="BG221" s="151"/>
      <c r="BH221" s="151"/>
      <c r="BI221" s="151"/>
      <c r="BJ221" s="151"/>
      <c r="BK221" s="151"/>
      <c r="BL221" s="151"/>
      <c r="BM221" s="151"/>
      <c r="BN221" s="151"/>
      <c r="BO221" s="151"/>
      <c r="BP221" s="151"/>
      <c r="BQ221" s="151"/>
      <c r="BR221" s="151"/>
      <c r="BS221" s="151"/>
      <c r="BT221" s="151"/>
      <c r="BU221" s="151"/>
      <c r="BV221" s="151"/>
      <c r="BW221" s="151"/>
      <c r="BX221" s="151"/>
      <c r="BY221" s="151"/>
      <c r="BZ221" s="151"/>
      <c r="CA221" s="151"/>
    </row>
    <row r="222" spans="1:79" ht="15.75">
      <c r="A222" s="1047"/>
      <c r="B222" s="685" t="s">
        <v>516</v>
      </c>
      <c r="C222" s="151"/>
      <c r="D222" s="151"/>
      <c r="E222" s="732">
        <v>1075</v>
      </c>
      <c r="F222" s="731">
        <f>+$E222</f>
        <v>1075</v>
      </c>
      <c r="G222" s="731">
        <f>+$F222*(1+0.02)^G$36</f>
        <v>1140.7985999999999</v>
      </c>
      <c r="H222" s="731">
        <f>+$F222*(1+0.02)^H$36</f>
        <v>1186.8868634400001</v>
      </c>
      <c r="I222" s="699"/>
      <c r="J222" s="699"/>
      <c r="K222" s="699"/>
      <c r="L222" s="699"/>
      <c r="M222" s="699"/>
      <c r="N222" s="699"/>
      <c r="O222" s="699"/>
      <c r="P222" s="699"/>
      <c r="Q222" s="699"/>
      <c r="R222" s="699"/>
      <c r="S222" s="699"/>
      <c r="T222" s="699"/>
      <c r="U222" s="699"/>
      <c r="V222" s="699"/>
      <c r="W222" s="151"/>
      <c r="X222" s="151"/>
      <c r="Y222" s="151"/>
      <c r="Z222" s="151"/>
      <c r="AA222" s="1123" t="s">
        <v>751</v>
      </c>
      <c r="AB222" s="1123"/>
      <c r="AC222" s="151"/>
      <c r="AD222" s="778" t="s">
        <v>319</v>
      </c>
      <c r="AE222" s="778" t="str">
        <f>+F$26</f>
        <v>I</v>
      </c>
      <c r="AF222" s="778" t="str">
        <f>+G$26</f>
        <v>II</v>
      </c>
      <c r="AG222" s="778" t="str">
        <f>+H$26</f>
        <v>III</v>
      </c>
      <c r="AH222" s="151"/>
      <c r="AI222" s="151"/>
      <c r="AJ222" s="151"/>
      <c r="AK222" s="151"/>
      <c r="AL222" s="151"/>
      <c r="AM222" s="151"/>
      <c r="AN222" s="874"/>
      <c r="AO222" s="685" t="s">
        <v>712</v>
      </c>
      <c r="AP222" s="151"/>
      <c r="AQ222" s="151"/>
      <c r="AR222" s="151"/>
      <c r="AS222" s="732">
        <f ca="1">+AS220*(1+AS221)</f>
        <v>0</v>
      </c>
      <c r="AT222" s="732">
        <f t="shared" ref="AT222:AU222" ca="1" si="107">+AT220*(1+AT221)</f>
        <v>0</v>
      </c>
      <c r="AU222" s="732">
        <f t="shared" ca="1" si="107"/>
        <v>0</v>
      </c>
      <c r="AV222" s="151"/>
      <c r="AW222" s="151"/>
      <c r="AX222" s="151"/>
      <c r="AY222" s="151"/>
      <c r="AZ222" s="151"/>
      <c r="BA222" s="151"/>
      <c r="BB222" s="151"/>
      <c r="BC222" s="151"/>
      <c r="BD222" s="151"/>
      <c r="BE222" s="151"/>
      <c r="BF222" s="151"/>
      <c r="BG222" s="151"/>
      <c r="BH222" s="151"/>
      <c r="BI222" s="151"/>
      <c r="BJ222" s="151"/>
      <c r="BK222" s="151"/>
      <c r="BL222" s="151"/>
      <c r="BM222" s="151"/>
      <c r="BN222" s="151"/>
      <c r="BO222" s="151"/>
      <c r="BP222" s="151"/>
      <c r="BQ222" s="151"/>
      <c r="BR222" s="151"/>
      <c r="BS222" s="151"/>
      <c r="BT222" s="151"/>
      <c r="BU222" s="151"/>
      <c r="BV222" s="151"/>
      <c r="BW222" s="151"/>
      <c r="BX222" s="151"/>
      <c r="BY222" s="151"/>
      <c r="BZ222" s="151"/>
      <c r="CA222" s="151"/>
    </row>
    <row r="223" spans="1:79" ht="15.75">
      <c r="A223" s="1047"/>
      <c r="B223" s="727" t="s">
        <v>523</v>
      </c>
      <c r="C223" s="151"/>
      <c r="D223" s="151"/>
      <c r="E223" s="717"/>
      <c r="F223" s="729">
        <f>+'Parcel Breakdown'!$BL$131</f>
        <v>0</v>
      </c>
      <c r="G223" s="729">
        <f>+'Parcel Breakdown'!$BL$132</f>
        <v>0</v>
      </c>
      <c r="H223" s="729">
        <f>+'Parcel Breakdown'!$BL$133</f>
        <v>0</v>
      </c>
      <c r="I223" s="699"/>
      <c r="J223" s="699"/>
      <c r="K223" s="699"/>
      <c r="L223" s="699"/>
      <c r="M223" s="699"/>
      <c r="N223" s="699"/>
      <c r="O223" s="699"/>
      <c r="P223" s="699"/>
      <c r="Q223" s="699"/>
      <c r="R223" s="699"/>
      <c r="S223" s="699"/>
      <c r="T223" s="699"/>
      <c r="U223" s="699"/>
      <c r="V223" s="699"/>
      <c r="W223" s="151"/>
      <c r="X223" s="151"/>
      <c r="Y223" s="151"/>
      <c r="Z223" s="151"/>
      <c r="AA223" s="718" t="s">
        <v>752</v>
      </c>
      <c r="AB223" s="151"/>
      <c r="AC223" s="151"/>
      <c r="AD223" s="717"/>
      <c r="AE223" s="717"/>
      <c r="AF223" s="717"/>
      <c r="AG223" s="717"/>
      <c r="AH223" s="151"/>
      <c r="AI223" s="151"/>
      <c r="AJ223" s="151"/>
      <c r="AK223" s="151"/>
      <c r="AL223" s="151"/>
      <c r="AM223" s="151"/>
      <c r="AN223" s="874" t="s">
        <v>753</v>
      </c>
      <c r="AO223" s="685" t="s">
        <v>714</v>
      </c>
      <c r="AP223" s="151"/>
      <c r="AQ223" s="151"/>
      <c r="AR223" s="151"/>
      <c r="AS223" s="869">
        <v>0.09</v>
      </c>
      <c r="AT223" s="869">
        <v>0.09</v>
      </c>
      <c r="AU223" s="869">
        <v>0.09</v>
      </c>
      <c r="AV223" s="151"/>
      <c r="AW223" s="151"/>
      <c r="AX223" s="151"/>
      <c r="AY223" s="151"/>
      <c r="AZ223" s="151"/>
      <c r="BA223" s="151"/>
      <c r="BB223" s="151"/>
      <c r="BC223" s="151"/>
      <c r="BD223" s="151"/>
      <c r="BE223" s="151"/>
      <c r="BF223" s="151"/>
      <c r="BG223" s="151"/>
      <c r="BH223" s="151"/>
      <c r="BI223" s="151"/>
      <c r="BJ223" s="151"/>
      <c r="BK223" s="151"/>
      <c r="BL223" s="151"/>
      <c r="BM223" s="151"/>
      <c r="BN223" s="151"/>
      <c r="BO223" s="151"/>
      <c r="BP223" s="151"/>
      <c r="BQ223" s="151"/>
      <c r="BR223" s="151"/>
      <c r="BS223" s="151"/>
      <c r="BT223" s="151"/>
      <c r="BU223" s="151"/>
      <c r="BV223" s="151"/>
      <c r="BW223" s="151"/>
      <c r="BX223" s="151"/>
      <c r="BY223" s="151"/>
      <c r="BZ223" s="151"/>
      <c r="CA223" s="151"/>
    </row>
    <row r="224" spans="1:79" ht="15.75">
      <c r="A224" s="1047"/>
      <c r="B224" s="685" t="s">
        <v>515</v>
      </c>
      <c r="C224" s="151"/>
      <c r="D224" s="151"/>
      <c r="E224" s="730"/>
      <c r="F224" s="731">
        <f>+$E251</f>
        <v>1350</v>
      </c>
      <c r="G224" s="731">
        <f>+$E251</f>
        <v>1350</v>
      </c>
      <c r="H224" s="731">
        <f>+$E251</f>
        <v>1350</v>
      </c>
      <c r="I224" s="699"/>
      <c r="J224" s="699"/>
      <c r="K224" s="699"/>
      <c r="L224" s="699"/>
      <c r="M224" s="699"/>
      <c r="N224" s="699"/>
      <c r="O224" s="699"/>
      <c r="P224" s="699"/>
      <c r="Q224" s="699"/>
      <c r="R224" s="699"/>
      <c r="S224" s="699"/>
      <c r="T224" s="699"/>
      <c r="U224" s="699"/>
      <c r="V224" s="699"/>
      <c r="W224" s="151"/>
      <c r="X224" s="151"/>
      <c r="Y224" s="151"/>
      <c r="Z224" s="151"/>
      <c r="AA224" s="685" t="s">
        <v>619</v>
      </c>
      <c r="AB224" s="151"/>
      <c r="AC224" s="151"/>
      <c r="AD224" s="717"/>
      <c r="AE224" s="870">
        <f>+'Parcel Breakdown'!BV44-$AE$207</f>
        <v>0</v>
      </c>
      <c r="AF224" s="870">
        <f>+'Parcel Breakdown'!BV45-$AF$228</f>
        <v>0</v>
      </c>
      <c r="AG224" s="870">
        <f>+'Parcel Breakdown'!BV46</f>
        <v>0</v>
      </c>
      <c r="AH224" s="151"/>
      <c r="AI224" s="151"/>
      <c r="AJ224" s="151"/>
      <c r="AK224" s="151"/>
      <c r="AL224" s="151"/>
      <c r="AM224" s="151"/>
      <c r="AN224" s="874"/>
      <c r="AO224" s="685" t="s">
        <v>717</v>
      </c>
      <c r="AP224" s="151"/>
      <c r="AQ224" s="151"/>
      <c r="AR224" s="151"/>
      <c r="AS224" s="732">
        <f ca="1">+AS$222*AS$223</f>
        <v>0</v>
      </c>
      <c r="AT224" s="732">
        <f ca="1">+AT$222*AT$223</f>
        <v>0</v>
      </c>
      <c r="AU224" s="732">
        <f ca="1">+AU$222*AU$223</f>
        <v>0</v>
      </c>
      <c r="AV224" s="151"/>
      <c r="AW224" s="151"/>
      <c r="AX224" s="151"/>
      <c r="AY224" s="151"/>
      <c r="AZ224" s="151"/>
      <c r="BA224" s="151"/>
      <c r="BB224" s="151"/>
      <c r="BC224" s="151"/>
      <c r="BD224" s="151"/>
      <c r="BE224" s="151"/>
      <c r="BF224" s="151"/>
      <c r="BG224" s="151"/>
      <c r="BH224" s="151"/>
      <c r="BI224" s="151"/>
      <c r="BJ224" s="151"/>
      <c r="BK224" s="151"/>
      <c r="BL224" s="151"/>
      <c r="BM224" s="151"/>
      <c r="BN224" s="151"/>
      <c r="BO224" s="151"/>
      <c r="BP224" s="151"/>
      <c r="BQ224" s="151"/>
      <c r="BR224" s="151"/>
      <c r="BS224" s="151"/>
      <c r="BT224" s="151"/>
      <c r="BU224" s="151"/>
      <c r="BV224" s="151"/>
      <c r="BW224" s="151"/>
      <c r="BX224" s="151"/>
      <c r="BY224" s="151"/>
      <c r="BZ224" s="151"/>
      <c r="CA224" s="151"/>
    </row>
    <row r="225" spans="1:79" ht="15.75">
      <c r="A225" s="1047"/>
      <c r="B225" s="685" t="s">
        <v>268</v>
      </c>
      <c r="C225" s="151"/>
      <c r="D225" s="151"/>
      <c r="E225" s="717"/>
      <c r="F225" s="686">
        <f>(F226*12)/F224</f>
        <v>10.32</v>
      </c>
      <c r="G225" s="686">
        <f t="shared" ref="G225:H225" si="108">(G226*12)/G224</f>
        <v>10.95166656</v>
      </c>
      <c r="H225" s="686">
        <f t="shared" si="108"/>
        <v>11.394113889024</v>
      </c>
      <c r="I225" s="699"/>
      <c r="J225" s="699"/>
      <c r="K225" s="699"/>
      <c r="L225" s="699"/>
      <c r="M225" s="699"/>
      <c r="N225" s="699"/>
      <c r="O225" s="699"/>
      <c r="P225" s="699"/>
      <c r="Q225" s="699"/>
      <c r="R225" s="699"/>
      <c r="S225" s="699"/>
      <c r="T225" s="699"/>
      <c r="U225" s="699"/>
      <c r="V225" s="699"/>
      <c r="W225" s="151"/>
      <c r="X225" s="151"/>
      <c r="Y225" s="151"/>
      <c r="Z225" s="151"/>
      <c r="AA225" s="685" t="s">
        <v>620</v>
      </c>
      <c r="AB225" s="151"/>
      <c r="AC225" s="151"/>
      <c r="AD225" s="871">
        <v>15</v>
      </c>
      <c r="AE225" s="686">
        <f>$AD225</f>
        <v>15</v>
      </c>
      <c r="AF225" s="686">
        <f>+$AE225*(1+0.02)^G$36</f>
        <v>15.918119999999998</v>
      </c>
      <c r="AG225" s="686">
        <f>+$AE225*(1+0.02)^H$36</f>
        <v>16.561212048000002</v>
      </c>
      <c r="AH225" s="151"/>
      <c r="AI225" s="151"/>
      <c r="AJ225" s="151"/>
      <c r="AK225" s="151"/>
      <c r="AL225" s="151"/>
      <c r="AM225" s="151"/>
      <c r="AN225" s="874"/>
      <c r="AO225" s="685" t="s">
        <v>720</v>
      </c>
      <c r="AP225" s="151"/>
      <c r="AQ225" s="151"/>
      <c r="AR225" s="151"/>
      <c r="AS225" s="686">
        <v>0.88</v>
      </c>
      <c r="AT225" s="686">
        <v>0.88</v>
      </c>
      <c r="AU225" s="686">
        <v>0.88</v>
      </c>
      <c r="AV225" s="151"/>
      <c r="AW225" s="151"/>
      <c r="AX225" s="151"/>
      <c r="AY225" s="151"/>
      <c r="AZ225" s="151"/>
      <c r="BA225" s="151"/>
      <c r="BB225" s="151"/>
      <c r="BC225" s="151"/>
      <c r="BD225" s="151"/>
      <c r="BE225" s="151"/>
      <c r="BF225" s="151"/>
      <c r="BG225" s="151"/>
      <c r="BH225" s="151"/>
      <c r="BI225" s="151"/>
      <c r="BJ225" s="151"/>
      <c r="BK225" s="151"/>
      <c r="BL225" s="151"/>
      <c r="BM225" s="151"/>
      <c r="BN225" s="151"/>
      <c r="BO225" s="151"/>
      <c r="BP225" s="151"/>
      <c r="BQ225" s="151"/>
      <c r="BR225" s="151"/>
      <c r="BS225" s="151"/>
      <c r="BT225" s="151"/>
      <c r="BU225" s="151"/>
      <c r="BV225" s="151"/>
      <c r="BW225" s="151"/>
      <c r="BX225" s="151"/>
      <c r="BY225" s="151"/>
      <c r="BZ225" s="151"/>
      <c r="CA225" s="151"/>
    </row>
    <row r="226" spans="1:79" ht="15.75">
      <c r="A226" s="1047"/>
      <c r="B226" s="685" t="s">
        <v>516</v>
      </c>
      <c r="C226" s="151"/>
      <c r="D226" s="151"/>
      <c r="E226" s="732">
        <v>1161</v>
      </c>
      <c r="F226" s="731">
        <f>+$E226</f>
        <v>1161</v>
      </c>
      <c r="G226" s="731">
        <f>+$F226*(1+0.02)^G$36</f>
        <v>1232.062488</v>
      </c>
      <c r="H226" s="731">
        <f>+$F226*(1+0.02)^H$36</f>
        <v>1281.8378125152001</v>
      </c>
      <c r="I226" s="699"/>
      <c r="J226" s="699"/>
      <c r="K226" s="699"/>
      <c r="L226" s="699"/>
      <c r="M226" s="699"/>
      <c r="N226" s="699"/>
      <c r="O226" s="699"/>
      <c r="P226" s="699"/>
      <c r="Q226" s="699"/>
      <c r="R226" s="699"/>
      <c r="S226" s="699"/>
      <c r="T226" s="699"/>
      <c r="U226" s="699"/>
      <c r="V226" s="699"/>
      <c r="W226" s="151"/>
      <c r="X226" s="151"/>
      <c r="Y226" s="151"/>
      <c r="Z226" s="151"/>
      <c r="AA226" s="685" t="s">
        <v>622</v>
      </c>
      <c r="AB226" s="151"/>
      <c r="AC226" s="151"/>
      <c r="AD226" s="717"/>
      <c r="AE226" s="732">
        <f>+AE224*AE225</f>
        <v>0</v>
      </c>
      <c r="AF226" s="732">
        <f>+AF224*AF225</f>
        <v>0</v>
      </c>
      <c r="AG226" s="732">
        <f>+AG224*AG225</f>
        <v>0</v>
      </c>
      <c r="AH226" s="151"/>
      <c r="AI226" s="151"/>
      <c r="AJ226" s="151"/>
      <c r="AK226" s="151"/>
      <c r="AL226" s="151"/>
      <c r="AM226" s="151"/>
      <c r="AN226" s="874"/>
      <c r="AO226" s="718" t="s">
        <v>723</v>
      </c>
      <c r="AP226" s="718"/>
      <c r="AQ226" s="718"/>
      <c r="AR226" s="718"/>
      <c r="AS226" s="733">
        <f ca="1">AS$224*AS$225</f>
        <v>0</v>
      </c>
      <c r="AT226" s="733">
        <f ca="1">AT$224*AT$225</f>
        <v>0</v>
      </c>
      <c r="AU226" s="733">
        <f ca="1">AU$224*AU$225</f>
        <v>0</v>
      </c>
      <c r="AV226" s="151"/>
      <c r="AW226" s="151"/>
      <c r="AX226" s="151"/>
      <c r="AY226" s="151"/>
      <c r="AZ226" s="151"/>
      <c r="BA226" s="151"/>
      <c r="BB226" s="151"/>
      <c r="BC226" s="151"/>
      <c r="BD226" s="151"/>
      <c r="BE226" s="151"/>
      <c r="BF226" s="151"/>
      <c r="BG226" s="151"/>
      <c r="BH226" s="151"/>
      <c r="BI226" s="151"/>
      <c r="BJ226" s="151"/>
      <c r="BK226" s="151"/>
      <c r="BL226" s="151"/>
      <c r="BM226" s="151"/>
      <c r="BN226" s="151"/>
      <c r="BO226" s="151"/>
      <c r="BP226" s="151"/>
      <c r="BQ226" s="151"/>
      <c r="BR226" s="151"/>
      <c r="BS226" s="151"/>
      <c r="BT226" s="151"/>
      <c r="BU226" s="151"/>
      <c r="BV226" s="151"/>
      <c r="BW226" s="151"/>
      <c r="BX226" s="151"/>
      <c r="BY226" s="151"/>
      <c r="BZ226" s="151"/>
      <c r="CA226" s="151"/>
    </row>
    <row r="227" spans="1:79" ht="15.75">
      <c r="A227" s="1047"/>
      <c r="B227" s="718" t="s">
        <v>566</v>
      </c>
      <c r="C227" s="718"/>
      <c r="D227" s="718"/>
      <c r="E227" s="733">
        <f>+SUM(F227:H227)</f>
        <v>0</v>
      </c>
      <c r="F227" s="732">
        <f>+F209*F208*F207+F213*F212*F211+F217*F216*F215+F221*F220*F219+F225*F224*F223</f>
        <v>0</v>
      </c>
      <c r="G227" s="732">
        <f>+G209*G208*G207+G213*G212*G211+G217*G216*G215+G221*G220*G219+G225*G224*G223</f>
        <v>0</v>
      </c>
      <c r="H227" s="732">
        <f>+H209*H208*H207+H213*H212*H211+H217*H216*H215+H221*H220*H219+H225*H224*H223</f>
        <v>0</v>
      </c>
      <c r="I227" s="699"/>
      <c r="J227" s="699"/>
      <c r="K227" s="699"/>
      <c r="L227" s="699"/>
      <c r="M227" s="699"/>
      <c r="N227" s="699"/>
      <c r="O227" s="699"/>
      <c r="P227" s="699"/>
      <c r="Q227" s="699"/>
      <c r="R227" s="1074"/>
      <c r="S227" s="386"/>
      <c r="T227" s="699"/>
      <c r="U227" s="699"/>
      <c r="V227" s="699"/>
      <c r="W227" s="151"/>
      <c r="X227" s="151"/>
      <c r="Y227" s="151"/>
      <c r="Z227" s="151"/>
      <c r="AA227" s="718" t="s">
        <v>754</v>
      </c>
      <c r="AB227" s="151"/>
      <c r="AC227" s="151"/>
      <c r="AD227" s="717"/>
      <c r="AE227" s="717"/>
      <c r="AF227" s="717"/>
      <c r="AG227" s="717"/>
      <c r="AH227" s="151"/>
      <c r="AI227" s="151"/>
      <c r="AJ227" s="151"/>
      <c r="AK227" s="151"/>
      <c r="AL227" s="151"/>
      <c r="AM227" s="151"/>
      <c r="AN227" s="874"/>
      <c r="AO227" s="151"/>
      <c r="AP227" s="151"/>
      <c r="AQ227" s="151"/>
      <c r="AR227" s="151"/>
      <c r="AS227" s="737"/>
      <c r="AT227" s="737"/>
      <c r="AU227" s="737"/>
      <c r="AV227" s="151"/>
      <c r="AW227" s="151"/>
      <c r="AX227" s="151"/>
      <c r="AY227" s="151"/>
      <c r="AZ227" s="151"/>
      <c r="BA227" s="151"/>
      <c r="BB227" s="151"/>
      <c r="BC227" s="151"/>
      <c r="BD227" s="151"/>
      <c r="BE227" s="151"/>
      <c r="BF227" s="151"/>
      <c r="BG227" s="151"/>
      <c r="BH227" s="151"/>
      <c r="BI227" s="151"/>
      <c r="BJ227" s="151"/>
      <c r="BK227" s="151"/>
      <c r="BL227" s="151"/>
      <c r="BM227" s="151"/>
      <c r="BN227" s="151"/>
      <c r="BO227" s="151"/>
      <c r="BP227" s="151"/>
      <c r="BQ227" s="151"/>
      <c r="BR227" s="151"/>
      <c r="BS227" s="151"/>
      <c r="BT227" s="151"/>
      <c r="BU227" s="151"/>
      <c r="BV227" s="151"/>
      <c r="BW227" s="151"/>
      <c r="BX227" s="151"/>
      <c r="BY227" s="151"/>
      <c r="BZ227" s="151"/>
      <c r="CA227" s="151"/>
    </row>
    <row r="228" spans="1:79" ht="15.75">
      <c r="A228" s="1047"/>
      <c r="B228" s="685" t="s">
        <v>353</v>
      </c>
      <c r="C228" s="151"/>
      <c r="D228" s="151"/>
      <c r="E228" s="734">
        <f>+SUM(F228:H228)</f>
        <v>0</v>
      </c>
      <c r="F228" s="731">
        <f>+F207*F208+F211*F212+F215*F216+F219*F220+F223*F224</f>
        <v>0</v>
      </c>
      <c r="G228" s="731">
        <f>+G207*G208+G211*G212+G215*G216+G219*G220+G223*G224</f>
        <v>0</v>
      </c>
      <c r="H228" s="731">
        <f>+H207*H208+H211*H212+H215*H216+H219*H220+H223*H224</f>
        <v>0</v>
      </c>
      <c r="I228" s="699"/>
      <c r="J228" s="699"/>
      <c r="K228" s="699"/>
      <c r="L228" s="699"/>
      <c r="M228" s="699"/>
      <c r="N228" s="699"/>
      <c r="O228" s="699"/>
      <c r="P228" s="699"/>
      <c r="Q228" s="126"/>
      <c r="R228" s="1050"/>
      <c r="S228" s="1050"/>
      <c r="T228" s="699"/>
      <c r="U228" s="699"/>
      <c r="V228" s="699"/>
      <c r="W228" s="151"/>
      <c r="X228" s="151"/>
      <c r="Y228" s="151"/>
      <c r="Z228" s="151"/>
      <c r="AA228" s="685" t="s">
        <v>619</v>
      </c>
      <c r="AB228" s="151"/>
      <c r="AC228" s="151"/>
      <c r="AD228" s="717"/>
      <c r="AE228" s="870">
        <v>0</v>
      </c>
      <c r="AF228" s="870">
        <f>+'Parcel Breakdown'!$BV$19</f>
        <v>0</v>
      </c>
      <c r="AG228" s="870">
        <v>0</v>
      </c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  <c r="AU228" s="151"/>
      <c r="AV228" s="151"/>
      <c r="AW228" s="151"/>
      <c r="AX228" s="151"/>
      <c r="AY228" s="151"/>
      <c r="AZ228" s="151"/>
      <c r="BA228" s="151"/>
      <c r="BB228" s="151"/>
      <c r="BC228" s="151"/>
      <c r="BD228" s="151"/>
      <c r="BE228" s="151"/>
      <c r="BF228" s="151"/>
      <c r="BG228" s="151"/>
      <c r="BH228" s="151"/>
      <c r="BI228" s="151"/>
      <c r="BJ228" s="151"/>
      <c r="BK228" s="151"/>
      <c r="BL228" s="151"/>
      <c r="BM228" s="151"/>
      <c r="BN228" s="151"/>
      <c r="BO228" s="151"/>
      <c r="BP228" s="151"/>
      <c r="BQ228" s="151"/>
      <c r="BR228" s="151"/>
      <c r="BS228" s="151"/>
      <c r="BT228" s="151"/>
      <c r="BU228" s="151"/>
      <c r="BV228" s="151"/>
      <c r="BW228" s="151"/>
      <c r="BX228" s="151"/>
      <c r="BY228" s="151"/>
      <c r="BZ228" s="151"/>
      <c r="CA228" s="151"/>
    </row>
    <row r="229" spans="1:79" ht="15.75">
      <c r="A229" s="1047"/>
      <c r="B229" s="685" t="s">
        <v>556</v>
      </c>
      <c r="C229" s="151"/>
      <c r="D229" s="151"/>
      <c r="E229" s="734">
        <f>+SUM(F229:H229)</f>
        <v>0</v>
      </c>
      <c r="F229" s="729">
        <f>+F207+F211+F215+F219+F223</f>
        <v>0</v>
      </c>
      <c r="G229" s="729">
        <f>+G207+G211+G215+G219+G223</f>
        <v>0</v>
      </c>
      <c r="H229" s="729">
        <f>+H207+H211+H215+H219+H223</f>
        <v>0</v>
      </c>
      <c r="I229" s="137"/>
      <c r="J229" s="699"/>
      <c r="K229" s="699"/>
      <c r="L229" s="699"/>
      <c r="M229" s="699"/>
      <c r="N229" s="699"/>
      <c r="O229" s="699"/>
      <c r="P229" s="699"/>
      <c r="Q229" s="120"/>
      <c r="R229" s="699"/>
      <c r="S229" s="699"/>
      <c r="T229" s="699"/>
      <c r="U229" s="699"/>
      <c r="V229" s="699"/>
      <c r="W229" s="151"/>
      <c r="X229" s="151"/>
      <c r="Y229" s="151"/>
      <c r="Z229" s="151"/>
      <c r="AA229" s="685" t="s">
        <v>620</v>
      </c>
      <c r="AB229" s="151"/>
      <c r="AC229" s="151"/>
      <c r="AD229" s="871">
        <v>12</v>
      </c>
      <c r="AE229" s="686">
        <f>$AD229</f>
        <v>12</v>
      </c>
      <c r="AF229" s="686">
        <f>+$AE229*(1+0.02)^G$36</f>
        <v>12.734496</v>
      </c>
      <c r="AG229" s="686">
        <f>+$AE229*(1+0.02)^H$36</f>
        <v>13.2489696384</v>
      </c>
      <c r="AH229" s="151"/>
      <c r="AI229" s="151"/>
      <c r="AJ229" s="151"/>
      <c r="AK229" s="151"/>
      <c r="AL229" s="151"/>
      <c r="AM229" s="151"/>
      <c r="AN229" s="151"/>
      <c r="AO229" s="874"/>
      <c r="AP229" s="718"/>
      <c r="AQ229" s="718"/>
      <c r="AR229" s="718"/>
      <c r="AS229" s="718"/>
      <c r="AT229" s="733"/>
      <c r="AU229" s="733"/>
      <c r="AV229" s="733"/>
      <c r="AW229" s="151"/>
      <c r="AX229" s="151"/>
      <c r="AY229" s="151"/>
      <c r="AZ229" s="151"/>
      <c r="BA229" s="151"/>
      <c r="BB229" s="151"/>
      <c r="BC229" s="151"/>
      <c r="BD229" s="151"/>
      <c r="BE229" s="151"/>
      <c r="BF229" s="151"/>
      <c r="BG229" s="151"/>
      <c r="BH229" s="151"/>
      <c r="BI229" s="151"/>
      <c r="BJ229" s="151"/>
      <c r="BK229" s="151"/>
      <c r="BL229" s="151"/>
      <c r="BM229" s="151"/>
      <c r="BN229" s="151"/>
      <c r="BO229" s="151"/>
      <c r="BP229" s="151"/>
      <c r="BQ229" s="151"/>
      <c r="BR229" s="151"/>
      <c r="BS229" s="151"/>
      <c r="BT229" s="151"/>
      <c r="BU229" s="151"/>
      <c r="BV229" s="151"/>
      <c r="BW229" s="151"/>
      <c r="BX229" s="151"/>
      <c r="BY229" s="151"/>
      <c r="BZ229" s="151"/>
      <c r="CA229" s="151"/>
    </row>
    <row r="230" spans="1:79" ht="15.75">
      <c r="A230" s="1047"/>
      <c r="B230" s="685" t="s">
        <v>558</v>
      </c>
      <c r="C230" s="151"/>
      <c r="D230" s="151"/>
      <c r="E230" s="735" t="str">
        <f>+IFERROR(E227/E228,"")</f>
        <v/>
      </c>
      <c r="F230" s="736" t="str">
        <f>+IFERROR(F227/F228,"")</f>
        <v/>
      </c>
      <c r="G230" s="736" t="str">
        <f t="shared" ref="G230:H230" si="109">+IFERROR(G227/G228,"")</f>
        <v/>
      </c>
      <c r="H230" s="736" t="str">
        <f t="shared" si="109"/>
        <v/>
      </c>
      <c r="I230" s="137"/>
      <c r="J230" s="699"/>
      <c r="K230" s="699"/>
      <c r="L230" s="699"/>
      <c r="M230" s="699"/>
      <c r="N230" s="699"/>
      <c r="O230" s="699"/>
      <c r="P230" s="699"/>
      <c r="Q230" s="127"/>
      <c r="R230" s="699"/>
      <c r="S230" s="699"/>
      <c r="T230" s="699"/>
      <c r="U230" s="699"/>
      <c r="V230" s="699"/>
      <c r="W230" s="151"/>
      <c r="X230" s="151"/>
      <c r="Y230" s="151"/>
      <c r="Z230" s="151"/>
      <c r="AA230" s="685" t="s">
        <v>622</v>
      </c>
      <c r="AB230" s="151"/>
      <c r="AC230" s="151"/>
      <c r="AD230" s="717"/>
      <c r="AE230" s="732">
        <f>+AE228*AE229</f>
        <v>0</v>
      </c>
      <c r="AF230" s="732">
        <f>+AF228*AF229</f>
        <v>0</v>
      </c>
      <c r="AG230" s="732">
        <f>+AG228*AG229</f>
        <v>0</v>
      </c>
      <c r="AH230" s="151"/>
      <c r="AI230" s="151"/>
      <c r="AJ230" s="151"/>
      <c r="AK230" s="151"/>
      <c r="AL230" s="151"/>
      <c r="AM230" s="151"/>
      <c r="AN230" s="151"/>
      <c r="AO230" s="874"/>
      <c r="AP230" s="718" t="s">
        <v>340</v>
      </c>
      <c r="AQ230" s="718"/>
      <c r="AR230" s="718"/>
      <c r="AS230" s="718"/>
      <c r="AT230" s="733"/>
      <c r="AU230" s="733"/>
      <c r="AV230" s="733"/>
      <c r="AW230" s="151"/>
      <c r="AX230" s="151"/>
      <c r="AY230" s="151"/>
      <c r="AZ230" s="151"/>
      <c r="BA230" s="151"/>
      <c r="BB230" s="151"/>
      <c r="BC230" s="151"/>
      <c r="BD230" s="151"/>
      <c r="BE230" s="151"/>
      <c r="BF230" s="151"/>
      <c r="BG230" s="151"/>
      <c r="BH230" s="151"/>
      <c r="BI230" s="151"/>
      <c r="BJ230" s="151"/>
      <c r="BK230" s="151"/>
      <c r="BL230" s="151"/>
      <c r="BM230" s="151"/>
      <c r="BN230" s="151"/>
      <c r="BO230" s="151"/>
      <c r="BP230" s="151"/>
      <c r="BQ230" s="151"/>
      <c r="BR230" s="151"/>
      <c r="BS230" s="151"/>
      <c r="BT230" s="151"/>
      <c r="BU230" s="151"/>
      <c r="BV230" s="151"/>
      <c r="BW230" s="151"/>
      <c r="BX230" s="151"/>
      <c r="BY230" s="151"/>
      <c r="BZ230" s="151"/>
      <c r="CA230" s="151"/>
    </row>
    <row r="231" spans="1:79" ht="15.75">
      <c r="A231" s="1047"/>
      <c r="B231" s="685" t="s">
        <v>560</v>
      </c>
      <c r="C231" s="151"/>
      <c r="D231" s="151"/>
      <c r="E231" s="733" t="str">
        <f>+IFERROR(E227/E229/12,"")</f>
        <v/>
      </c>
      <c r="F231" s="732" t="str">
        <f>+IFERROR(F227/F229/12,"")</f>
        <v/>
      </c>
      <c r="G231" s="732" t="str">
        <f t="shared" ref="G231:H231" si="110">+IFERROR(G227/G229/12,"")</f>
        <v/>
      </c>
      <c r="H231" s="732" t="str">
        <f t="shared" si="110"/>
        <v/>
      </c>
      <c r="I231" s="137"/>
      <c r="J231" s="699"/>
      <c r="K231" s="699"/>
      <c r="L231" s="699"/>
      <c r="M231" s="699"/>
      <c r="N231" s="699"/>
      <c r="O231" s="699"/>
      <c r="P231" s="699"/>
      <c r="Q231" s="125"/>
      <c r="R231" s="699"/>
      <c r="S231" s="699"/>
      <c r="T231" s="699"/>
      <c r="U231" s="699"/>
      <c r="V231" s="699"/>
      <c r="W231" s="151"/>
      <c r="X231" s="151"/>
      <c r="Y231" s="151"/>
      <c r="Z231" s="151"/>
      <c r="AA231" s="718" t="s">
        <v>629</v>
      </c>
      <c r="AB231" s="718"/>
      <c r="AC231" s="718"/>
      <c r="AD231" s="733">
        <f>+SUM(AE231:AG231)</f>
        <v>0</v>
      </c>
      <c r="AE231" s="732">
        <f>+AE226+AE230+AE209</f>
        <v>0</v>
      </c>
      <c r="AF231" s="732">
        <f>+AF226+AF230+AF209</f>
        <v>0</v>
      </c>
      <c r="AG231" s="732">
        <f>+AG226+AG230+AG209</f>
        <v>0</v>
      </c>
      <c r="AH231" s="151"/>
      <c r="AI231" s="151"/>
      <c r="AJ231" s="151"/>
      <c r="AK231" s="151"/>
      <c r="AL231" s="151"/>
      <c r="AM231" s="151"/>
      <c r="AN231" s="151"/>
      <c r="AO231" s="874" t="s">
        <v>755</v>
      </c>
      <c r="AP231" s="685" t="s">
        <v>700</v>
      </c>
      <c r="AQ231" s="151"/>
      <c r="AR231" s="151"/>
      <c r="AS231" s="151"/>
      <c r="AT231" s="738">
        <f ca="1">+Budget!H$118</f>
        <v>0</v>
      </c>
      <c r="AU231" s="738">
        <f ca="1">+Budget!I$118</f>
        <v>0</v>
      </c>
      <c r="AV231" s="738">
        <f ca="1">+Budget!J$118</f>
        <v>0</v>
      </c>
      <c r="AW231" s="151"/>
      <c r="AX231" s="151"/>
      <c r="AY231" s="151"/>
      <c r="AZ231" s="151"/>
      <c r="BA231" s="151"/>
      <c r="BB231" s="151"/>
      <c r="BC231" s="151"/>
      <c r="BD231" s="151"/>
      <c r="BE231" s="151"/>
      <c r="BF231" s="151"/>
      <c r="BG231" s="151"/>
      <c r="BH231" s="151"/>
      <c r="BI231" s="151"/>
      <c r="BJ231" s="151"/>
      <c r="BK231" s="151"/>
      <c r="BL231" s="151"/>
      <c r="BM231" s="151"/>
      <c r="BN231" s="151"/>
      <c r="BO231" s="151"/>
      <c r="BP231" s="151"/>
      <c r="BQ231" s="151"/>
      <c r="BR231" s="151"/>
      <c r="BS231" s="151"/>
      <c r="BT231" s="151"/>
      <c r="BU231" s="151"/>
      <c r="BV231" s="151"/>
      <c r="BW231" s="151"/>
      <c r="BX231" s="151"/>
      <c r="BY231" s="151"/>
      <c r="BZ231" s="151"/>
      <c r="CA231" s="151"/>
    </row>
    <row r="232" spans="1:79" ht="15.75">
      <c r="A232" s="1047"/>
      <c r="B232" s="151"/>
      <c r="C232" s="151"/>
      <c r="D232" s="151"/>
      <c r="E232" s="717"/>
      <c r="F232" s="717"/>
      <c r="G232" s="717"/>
      <c r="H232" s="717"/>
      <c r="I232" s="137"/>
      <c r="J232" s="699"/>
      <c r="K232" s="699"/>
      <c r="L232" s="699"/>
      <c r="M232" s="699"/>
      <c r="N232" s="699"/>
      <c r="O232" s="699"/>
      <c r="P232" s="699"/>
      <c r="Q232" s="125"/>
      <c r="R232" s="699"/>
      <c r="S232" s="699"/>
      <c r="T232" s="699"/>
      <c r="U232" s="699"/>
      <c r="V232" s="699"/>
      <c r="W232" s="151"/>
      <c r="X232" s="151"/>
      <c r="Y232" s="151"/>
      <c r="Z232" s="151"/>
      <c r="AA232" s="685" t="s">
        <v>528</v>
      </c>
      <c r="AB232" s="151"/>
      <c r="AC232" s="151"/>
      <c r="AD232" s="733">
        <f>+SUM(AE232:AG232)</f>
        <v>0</v>
      </c>
      <c r="AE232" s="731">
        <f>+AE224+AE228+AE207</f>
        <v>0</v>
      </c>
      <c r="AF232" s="731">
        <f>+AF224+AF228+AF207</f>
        <v>0</v>
      </c>
      <c r="AG232" s="731">
        <f>+AG224+AG228+AG207</f>
        <v>0</v>
      </c>
      <c r="AH232" s="151"/>
      <c r="AI232" s="151"/>
      <c r="AJ232" s="151"/>
      <c r="AK232" s="151"/>
      <c r="AL232" s="151"/>
      <c r="AM232" s="151"/>
      <c r="AN232" s="151"/>
      <c r="AO232" s="874"/>
      <c r="AP232" s="685" t="s">
        <v>703</v>
      </c>
      <c r="AQ232" s="151"/>
      <c r="AR232" s="151"/>
      <c r="AS232" s="151"/>
      <c r="AT232" s="869">
        <f>+IFERROR(F$228/SUM(F$228,F$255),0)</f>
        <v>0</v>
      </c>
      <c r="AU232" s="869">
        <f>+IFERROR(G$228/SUM(G$228,G$255),0)</f>
        <v>0</v>
      </c>
      <c r="AV232" s="869">
        <f>+IFERROR(H$228/SUM(H$228,H$255),0)</f>
        <v>0</v>
      </c>
      <c r="AW232" s="151"/>
      <c r="AX232" s="151"/>
      <c r="AY232" s="151"/>
      <c r="AZ232" s="151"/>
      <c r="BA232" s="151"/>
      <c r="BB232" s="151"/>
      <c r="BC232" s="151"/>
      <c r="BD232" s="151"/>
      <c r="BE232" s="151"/>
      <c r="BF232" s="151"/>
      <c r="BG232" s="151"/>
      <c r="BH232" s="151"/>
      <c r="BI232" s="151"/>
      <c r="BJ232" s="151"/>
      <c r="BK232" s="151"/>
      <c r="BL232" s="151"/>
      <c r="BM232" s="151"/>
      <c r="BN232" s="151"/>
      <c r="BO232" s="151"/>
      <c r="BP232" s="151"/>
      <c r="BQ232" s="151"/>
      <c r="BR232" s="151"/>
      <c r="BS232" s="151"/>
      <c r="BT232" s="151"/>
      <c r="BU232" s="151"/>
      <c r="BV232" s="151"/>
      <c r="BW232" s="151"/>
      <c r="BX232" s="151"/>
      <c r="BY232" s="151"/>
      <c r="BZ232" s="151"/>
      <c r="CA232" s="151"/>
    </row>
    <row r="233" spans="1:79" ht="15.75">
      <c r="A233" s="1047"/>
      <c r="B233" s="1123" t="s">
        <v>756</v>
      </c>
      <c r="C233" s="1123"/>
      <c r="D233" s="151"/>
      <c r="E233" s="778" t="s">
        <v>319</v>
      </c>
      <c r="F233" s="778" t="str">
        <f>+F$26</f>
        <v>I</v>
      </c>
      <c r="G233" s="778" t="str">
        <f>+G$26</f>
        <v>II</v>
      </c>
      <c r="H233" s="778" t="str">
        <f>+H$26</f>
        <v>III</v>
      </c>
      <c r="I233" s="137"/>
      <c r="J233" s="699"/>
      <c r="K233" s="699"/>
      <c r="L233" s="699"/>
      <c r="M233" s="699"/>
      <c r="N233" s="699"/>
      <c r="O233" s="699"/>
      <c r="P233" s="699"/>
      <c r="Q233" s="126"/>
      <c r="R233" s="699"/>
      <c r="S233" s="699"/>
      <c r="T233" s="699"/>
      <c r="U233" s="699"/>
      <c r="V233" s="699"/>
      <c r="W233" s="151"/>
      <c r="X233" s="151"/>
      <c r="Y233" s="151"/>
      <c r="Z233" s="151"/>
      <c r="AA233" s="685" t="s">
        <v>634</v>
      </c>
      <c r="AB233" s="151"/>
      <c r="AC233" s="151"/>
      <c r="AD233" s="686" t="str">
        <f>+IFERROR(AD231/AD232,"")</f>
        <v/>
      </c>
      <c r="AE233" s="686" t="str">
        <f>+IFERROR(AE231/AE232,"")</f>
        <v/>
      </c>
      <c r="AF233" s="686" t="str">
        <f>+IFERROR(AF231/AF232,"")</f>
        <v/>
      </c>
      <c r="AG233" s="686" t="str">
        <f>+IFERROR(AG231/AG232,"")</f>
        <v/>
      </c>
      <c r="AH233" s="151"/>
      <c r="AI233" s="151"/>
      <c r="AJ233" s="151"/>
      <c r="AK233" s="151"/>
      <c r="AL233" s="151"/>
      <c r="AM233" s="151"/>
      <c r="AN233" s="151"/>
      <c r="AO233" s="874"/>
      <c r="AP233" s="685" t="s">
        <v>704</v>
      </c>
      <c r="AQ233" s="151"/>
      <c r="AR233" s="151"/>
      <c r="AS233" s="151"/>
      <c r="AT233" s="869">
        <f>+IFERROR(F$229/SUM(F$229,F$256),0)</f>
        <v>0</v>
      </c>
      <c r="AU233" s="869">
        <f>+IFERROR(G$229/SUM(G$229,G$256),0)</f>
        <v>0</v>
      </c>
      <c r="AV233" s="869">
        <f>+IFERROR(H$229/SUM(H$229,H$256),0)</f>
        <v>0</v>
      </c>
      <c r="AW233" s="151"/>
      <c r="AX233" s="151"/>
      <c r="AY233" s="151"/>
      <c r="AZ233" s="151"/>
      <c r="BA233" s="151"/>
      <c r="BB233" s="151"/>
      <c r="BC233" s="151"/>
      <c r="BD233" s="151"/>
      <c r="BE233" s="151"/>
      <c r="BF233" s="151"/>
      <c r="BG233" s="151"/>
      <c r="BH233" s="151"/>
      <c r="BI233" s="151"/>
      <c r="BJ233" s="151"/>
      <c r="BK233" s="151"/>
      <c r="BL233" s="151"/>
      <c r="BM233" s="151"/>
      <c r="BN233" s="151"/>
      <c r="BO233" s="151"/>
      <c r="BP233" s="151"/>
      <c r="BQ233" s="151"/>
      <c r="BR233" s="151"/>
      <c r="BS233" s="151"/>
      <c r="BT233" s="151"/>
      <c r="BU233" s="151"/>
      <c r="BV233" s="151"/>
      <c r="BW233" s="151"/>
      <c r="BX233" s="151"/>
      <c r="BY233" s="151"/>
      <c r="BZ233" s="151"/>
      <c r="CA233" s="151"/>
    </row>
    <row r="234" spans="1:79" ht="15.75">
      <c r="A234" s="1047"/>
      <c r="B234" s="727" t="s">
        <v>270</v>
      </c>
      <c r="C234" s="151"/>
      <c r="D234" s="151"/>
      <c r="E234" s="717"/>
      <c r="F234" s="729">
        <f>+'Parcel Breakdown'!$BD$124</f>
        <v>0</v>
      </c>
      <c r="G234" s="729">
        <f>+'Parcel Breakdown'!$BD$125</f>
        <v>0</v>
      </c>
      <c r="H234" s="729">
        <f>'Parcel Breakdown'!$BD$126</f>
        <v>0</v>
      </c>
      <c r="I234" s="137"/>
      <c r="J234" s="699"/>
      <c r="K234" s="699"/>
      <c r="L234" s="699"/>
      <c r="M234" s="699"/>
      <c r="N234" s="699"/>
      <c r="O234" s="699"/>
      <c r="P234" s="699"/>
      <c r="Q234" s="120"/>
      <c r="R234" s="699"/>
      <c r="S234" s="699"/>
      <c r="T234" s="699"/>
      <c r="U234" s="699"/>
      <c r="V234" s="699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874"/>
      <c r="AP234" s="685" t="s">
        <v>705</v>
      </c>
      <c r="AQ234" s="151"/>
      <c r="AR234" s="151"/>
      <c r="AS234" s="151"/>
      <c r="AT234" s="868">
        <f>+MIN(AT232:AT233)</f>
        <v>0</v>
      </c>
      <c r="AU234" s="868">
        <f t="shared" ref="AU234:AV234" si="111">+MIN(AU232:AU233)</f>
        <v>0</v>
      </c>
      <c r="AV234" s="868">
        <f t="shared" si="111"/>
        <v>0</v>
      </c>
      <c r="AW234" s="151"/>
      <c r="AX234" s="151"/>
      <c r="AY234" s="151"/>
      <c r="AZ234" s="151"/>
      <c r="BA234" s="151"/>
      <c r="BB234" s="151"/>
      <c r="BC234" s="151"/>
      <c r="BD234" s="151"/>
      <c r="BE234" s="151"/>
      <c r="BF234" s="151"/>
      <c r="BG234" s="151"/>
      <c r="BH234" s="151"/>
      <c r="BI234" s="151"/>
      <c r="BJ234" s="151"/>
      <c r="BK234" s="151"/>
      <c r="BL234" s="151"/>
      <c r="BM234" s="151"/>
      <c r="BN234" s="151"/>
      <c r="BO234" s="151"/>
      <c r="BP234" s="151"/>
      <c r="BQ234" s="151"/>
      <c r="BR234" s="151"/>
      <c r="BS234" s="151"/>
      <c r="BT234" s="151"/>
      <c r="BU234" s="151"/>
      <c r="BV234" s="151"/>
      <c r="BW234" s="151"/>
      <c r="BX234" s="151"/>
      <c r="BY234" s="151"/>
      <c r="BZ234" s="151"/>
      <c r="CA234" s="151"/>
    </row>
    <row r="235" spans="1:79" ht="15.75">
      <c r="A235" s="1047" t="s">
        <v>511</v>
      </c>
      <c r="B235" s="685" t="s">
        <v>515</v>
      </c>
      <c r="C235" s="151"/>
      <c r="D235" s="151"/>
      <c r="E235" s="730">
        <v>550</v>
      </c>
      <c r="F235" s="731">
        <f>+$E235</f>
        <v>550</v>
      </c>
      <c r="G235" s="731">
        <f>+$E235</f>
        <v>550</v>
      </c>
      <c r="H235" s="731">
        <f>+$E235</f>
        <v>550</v>
      </c>
      <c r="I235" s="137"/>
      <c r="J235" s="699"/>
      <c r="K235" s="699"/>
      <c r="L235" s="699"/>
      <c r="M235" s="699"/>
      <c r="N235" s="699"/>
      <c r="O235" s="699"/>
      <c r="P235" s="699"/>
      <c r="Q235" s="124"/>
      <c r="R235" s="699"/>
      <c r="S235" s="699"/>
      <c r="T235" s="699"/>
      <c r="U235" s="699"/>
      <c r="V235" s="699"/>
      <c r="W235" s="151"/>
      <c r="X235" s="151"/>
      <c r="Y235" s="151"/>
      <c r="Z235" s="151"/>
      <c r="AA235" s="727" t="s">
        <v>270</v>
      </c>
      <c r="AB235" s="151"/>
      <c r="AC235" s="151"/>
      <c r="AD235" s="717"/>
      <c r="AE235" s="729">
        <f>+'Parcel Breakdown'!$AJ$80</f>
        <v>0</v>
      </c>
      <c r="AF235" s="729">
        <f>+'Parcel Breakdown'!$AJ$81</f>
        <v>0</v>
      </c>
      <c r="AG235" s="729">
        <f>+'Parcel Breakdown'!$AJ$82</f>
        <v>0</v>
      </c>
      <c r="AH235" s="151"/>
      <c r="AI235" s="151"/>
      <c r="AJ235" s="151"/>
      <c r="AK235" s="151"/>
      <c r="AL235" s="151"/>
      <c r="AM235" s="151"/>
      <c r="AN235" s="151"/>
      <c r="AO235" s="874" t="s">
        <v>757</v>
      </c>
      <c r="AP235" s="685" t="s">
        <v>707</v>
      </c>
      <c r="AQ235" s="151"/>
      <c r="AR235" s="151"/>
      <c r="AS235" s="151"/>
      <c r="AT235" s="732">
        <f ca="1">+AT$231*AT$234</f>
        <v>0</v>
      </c>
      <c r="AU235" s="732">
        <f ca="1">+AU$231*AU$234</f>
        <v>0</v>
      </c>
      <c r="AV235" s="732">
        <f ca="1">+AV$231*AV$234</f>
        <v>0</v>
      </c>
      <c r="AW235" s="151"/>
      <c r="AX235" s="151"/>
      <c r="AY235" s="151"/>
      <c r="AZ235" s="151"/>
      <c r="BA235" s="151"/>
      <c r="BB235" s="151"/>
      <c r="BC235" s="151"/>
      <c r="BD235" s="151"/>
      <c r="BE235" s="151"/>
      <c r="BF235" s="151"/>
      <c r="BG235" s="151"/>
      <c r="BH235" s="151"/>
      <c r="BI235" s="151"/>
      <c r="BJ235" s="151"/>
      <c r="BK235" s="151"/>
      <c r="BL235" s="151"/>
      <c r="BM235" s="151"/>
      <c r="BN235" s="151"/>
      <c r="BO235" s="151"/>
      <c r="BP235" s="151"/>
      <c r="BQ235" s="151"/>
      <c r="BR235" s="151"/>
      <c r="BS235" s="151"/>
      <c r="BT235" s="151"/>
      <c r="BU235" s="151"/>
      <c r="BV235" s="151"/>
      <c r="BW235" s="151"/>
      <c r="BX235" s="151"/>
      <c r="BY235" s="151"/>
      <c r="BZ235" s="151"/>
      <c r="CA235" s="151"/>
    </row>
    <row r="236" spans="1:79" ht="15.75">
      <c r="A236" s="1047"/>
      <c r="B236" s="685" t="s">
        <v>268</v>
      </c>
      <c r="C236" s="151"/>
      <c r="D236" s="151"/>
      <c r="E236" s="717"/>
      <c r="F236" s="686">
        <f>(F237*12)/F235</f>
        <v>18.545454545454547</v>
      </c>
      <c r="G236" s="686">
        <f t="shared" ref="G236:H236" si="112">(G237*12)/G235</f>
        <v>19.680584727272727</v>
      </c>
      <c r="H236" s="686">
        <f t="shared" si="112"/>
        <v>20.475680350254546</v>
      </c>
      <c r="I236" s="137"/>
      <c r="J236" s="699"/>
      <c r="K236" s="699"/>
      <c r="L236" s="699"/>
      <c r="M236" s="699"/>
      <c r="N236" s="699"/>
      <c r="O236" s="699"/>
      <c r="P236" s="699"/>
      <c r="Q236" s="125"/>
      <c r="R236" s="699"/>
      <c r="S236" s="699"/>
      <c r="T236" s="699"/>
      <c r="U236" s="699"/>
      <c r="V236" s="699"/>
      <c r="W236" s="151"/>
      <c r="X236" s="151"/>
      <c r="Y236" s="151"/>
      <c r="Z236" s="151"/>
      <c r="AA236" s="685" t="s">
        <v>515</v>
      </c>
      <c r="AB236" s="151"/>
      <c r="AC236" s="151"/>
      <c r="AD236" s="730">
        <f>+AD251</f>
        <v>600</v>
      </c>
      <c r="AE236" s="731">
        <f>+$AD236</f>
        <v>600</v>
      </c>
      <c r="AF236" s="731">
        <f>+$AD236</f>
        <v>600</v>
      </c>
      <c r="AG236" s="731">
        <f>+$AD236</f>
        <v>600</v>
      </c>
      <c r="AH236" s="151"/>
      <c r="AI236" s="151"/>
      <c r="AJ236" s="151"/>
      <c r="AK236" s="151"/>
      <c r="AL236" s="151"/>
      <c r="AM236" s="151"/>
      <c r="AN236" s="151"/>
      <c r="AO236" s="151"/>
      <c r="AP236" s="685" t="s">
        <v>710</v>
      </c>
      <c r="AQ236" s="151"/>
      <c r="AR236" s="151"/>
      <c r="AS236" s="151"/>
      <c r="AT236" s="858">
        <v>0.3</v>
      </c>
      <c r="AU236" s="858">
        <v>0.3</v>
      </c>
      <c r="AV236" s="858">
        <v>0.3</v>
      </c>
      <c r="AW236" s="151"/>
      <c r="AX236" s="151"/>
      <c r="AY236" s="151"/>
      <c r="AZ236" s="151"/>
      <c r="BA236" s="151"/>
      <c r="BB236" s="151"/>
      <c r="BC236" s="151"/>
      <c r="BD236" s="151"/>
      <c r="BE236" s="151"/>
      <c r="BF236" s="151"/>
      <c r="BG236" s="151"/>
      <c r="BH236" s="151"/>
      <c r="BI236" s="151"/>
      <c r="BJ236" s="151"/>
      <c r="BK236" s="151"/>
      <c r="BL236" s="151"/>
      <c r="BM236" s="151"/>
      <c r="BN236" s="151"/>
      <c r="BO236" s="151"/>
      <c r="BP236" s="151"/>
      <c r="BQ236" s="151"/>
      <c r="BR236" s="151"/>
      <c r="BS236" s="151"/>
      <c r="BT236" s="151"/>
      <c r="BU236" s="151"/>
      <c r="BV236" s="151"/>
      <c r="BW236" s="151"/>
      <c r="BX236" s="151"/>
      <c r="BY236" s="151"/>
      <c r="BZ236" s="151"/>
      <c r="CA236" s="151"/>
    </row>
    <row r="237" spans="1:79" ht="15.75">
      <c r="A237" s="1047" t="s">
        <v>511</v>
      </c>
      <c r="B237" s="685" t="s">
        <v>516</v>
      </c>
      <c r="C237" s="151"/>
      <c r="D237" s="151"/>
      <c r="E237" s="717"/>
      <c r="F237" s="731">
        <v>850</v>
      </c>
      <c r="G237" s="731">
        <f>+$F237*(1+0.02)^G$36</f>
        <v>902.02679999999998</v>
      </c>
      <c r="H237" s="731">
        <f>+$F237*(1+0.02)^H$36</f>
        <v>938.46868272000006</v>
      </c>
      <c r="I237" s="137"/>
      <c r="J237" s="699"/>
      <c r="K237" s="1057"/>
      <c r="L237" s="1057"/>
      <c r="M237" s="1057"/>
      <c r="N237" s="1057"/>
      <c r="O237" s="1057"/>
      <c r="P237" s="1057"/>
      <c r="Q237" s="126"/>
      <c r="R237" s="699"/>
      <c r="S237" s="699"/>
      <c r="T237" s="699"/>
      <c r="U237" s="699"/>
      <c r="V237" s="699"/>
      <c r="W237" s="151"/>
      <c r="X237" s="151"/>
      <c r="Y237" s="151"/>
      <c r="Z237" s="151"/>
      <c r="AA237" s="685" t="s">
        <v>268</v>
      </c>
      <c r="AB237" s="151"/>
      <c r="AC237" s="151"/>
      <c r="AD237" s="717"/>
      <c r="AE237" s="732">
        <f>(AE238*AE236)</f>
        <v>0</v>
      </c>
      <c r="AF237" s="732">
        <f>(AF238*AF236)</f>
        <v>0</v>
      </c>
      <c r="AG237" s="732">
        <f>(AG238*AG236)</f>
        <v>0</v>
      </c>
      <c r="AH237" s="151"/>
      <c r="AI237" s="151"/>
      <c r="AJ237" s="151"/>
      <c r="AK237" s="151"/>
      <c r="AL237" s="151"/>
      <c r="AM237" s="151"/>
      <c r="AN237" s="151"/>
      <c r="AO237" s="718"/>
      <c r="AP237" s="685" t="s">
        <v>712</v>
      </c>
      <c r="AQ237" s="151"/>
      <c r="AR237" s="151"/>
      <c r="AS237" s="151"/>
      <c r="AT237" s="732">
        <f ca="1">+AT235*(1+AT236)</f>
        <v>0</v>
      </c>
      <c r="AU237" s="732">
        <f t="shared" ref="AU237:AV237" ca="1" si="113">+AU235*(1+AU236)</f>
        <v>0</v>
      </c>
      <c r="AV237" s="732">
        <f t="shared" ca="1" si="113"/>
        <v>0</v>
      </c>
      <c r="AW237" s="151"/>
      <c r="AX237" s="151"/>
      <c r="AY237" s="151"/>
      <c r="AZ237" s="151"/>
      <c r="BA237" s="151"/>
      <c r="BB237" s="151"/>
      <c r="BC237" s="151"/>
      <c r="BD237" s="151"/>
      <c r="BE237" s="151"/>
      <c r="BF237" s="151"/>
      <c r="BG237" s="151"/>
      <c r="BH237" s="151"/>
      <c r="BI237" s="151"/>
      <c r="BJ237" s="151"/>
      <c r="BK237" s="151"/>
      <c r="BL237" s="151"/>
      <c r="BM237" s="151"/>
      <c r="BN237" s="151"/>
      <c r="BO237" s="151"/>
      <c r="BP237" s="151"/>
      <c r="BQ237" s="151"/>
      <c r="BR237" s="151"/>
      <c r="BS237" s="151"/>
      <c r="BT237" s="151"/>
      <c r="BU237" s="151"/>
      <c r="BV237" s="151"/>
      <c r="BW237" s="151"/>
      <c r="BX237" s="151"/>
      <c r="BY237" s="151"/>
      <c r="BZ237" s="151"/>
      <c r="CA237" s="151"/>
    </row>
    <row r="238" spans="1:79" ht="15.75">
      <c r="A238" s="1047"/>
      <c r="B238" s="727" t="s">
        <v>272</v>
      </c>
      <c r="C238" s="151"/>
      <c r="D238" s="151"/>
      <c r="E238" s="717"/>
      <c r="F238" s="729">
        <f>+'Parcel Breakdown'!$BF$124</f>
        <v>0</v>
      </c>
      <c r="G238" s="729">
        <f>+'Parcel Breakdown'!$BF$125</f>
        <v>0</v>
      </c>
      <c r="H238" s="729">
        <f>+'Parcel Breakdown'!$BF$126</f>
        <v>0</v>
      </c>
      <c r="I238" s="137"/>
      <c r="J238" s="699"/>
      <c r="K238" s="1057"/>
      <c r="L238" s="1057"/>
      <c r="M238" s="1057"/>
      <c r="N238" s="1057"/>
      <c r="O238" s="1057"/>
      <c r="P238" s="1057"/>
      <c r="Q238" s="120"/>
      <c r="R238" s="699"/>
      <c r="S238" s="699"/>
      <c r="T238" s="699"/>
      <c r="U238" s="699"/>
      <c r="V238" s="699"/>
      <c r="W238" s="151"/>
      <c r="X238" s="151"/>
      <c r="Y238" s="151"/>
      <c r="Z238" s="151"/>
      <c r="AA238" s="685" t="s">
        <v>516</v>
      </c>
      <c r="AB238" s="151"/>
      <c r="AC238" s="151"/>
      <c r="AD238" s="717"/>
      <c r="AE238" s="732">
        <v>0</v>
      </c>
      <c r="AF238" s="732">
        <v>0</v>
      </c>
      <c r="AG238" s="732">
        <v>0</v>
      </c>
      <c r="AH238" s="151"/>
      <c r="AI238" s="151"/>
      <c r="AJ238" s="151"/>
      <c r="AK238" s="151"/>
      <c r="AL238" s="151"/>
      <c r="AM238" s="151"/>
      <c r="AN238" s="151"/>
      <c r="AO238" s="718"/>
      <c r="AP238" s="685" t="s">
        <v>714</v>
      </c>
      <c r="AQ238" s="151"/>
      <c r="AR238" s="151"/>
      <c r="AS238" s="151"/>
      <c r="AT238" s="869">
        <v>0.09</v>
      </c>
      <c r="AU238" s="869">
        <v>0.09</v>
      </c>
      <c r="AV238" s="869">
        <v>0.09</v>
      </c>
      <c r="AW238" s="151"/>
      <c r="AX238" s="151"/>
      <c r="AY238" s="151"/>
      <c r="AZ238" s="151"/>
      <c r="BA238" s="151"/>
      <c r="BB238" s="151"/>
      <c r="BC238" s="151"/>
      <c r="BD238" s="151"/>
      <c r="BE238" s="151"/>
      <c r="BF238" s="151"/>
      <c r="BG238" s="151"/>
      <c r="BH238" s="151"/>
      <c r="BI238" s="151"/>
      <c r="BJ238" s="151"/>
      <c r="BK238" s="151"/>
      <c r="BL238" s="151"/>
      <c r="BM238" s="151"/>
      <c r="BN238" s="151"/>
      <c r="BO238" s="151"/>
      <c r="BP238" s="151"/>
      <c r="BQ238" s="151"/>
      <c r="BR238" s="151"/>
      <c r="BS238" s="151"/>
      <c r="BT238" s="151"/>
      <c r="BU238" s="151"/>
      <c r="BV238" s="151"/>
      <c r="BW238" s="151"/>
      <c r="BX238" s="151"/>
      <c r="BY238" s="151"/>
      <c r="BZ238" s="151"/>
      <c r="CA238" s="151"/>
    </row>
    <row r="239" spans="1:79" ht="15.75">
      <c r="A239" s="1047"/>
      <c r="B239" s="685" t="s">
        <v>515</v>
      </c>
      <c r="C239" s="151"/>
      <c r="D239" s="151"/>
      <c r="E239" s="730">
        <v>623</v>
      </c>
      <c r="F239" s="731">
        <f>+$E239</f>
        <v>623</v>
      </c>
      <c r="G239" s="731">
        <f>+$E239</f>
        <v>623</v>
      </c>
      <c r="H239" s="731">
        <f>+$E239</f>
        <v>623</v>
      </c>
      <c r="I239" s="137"/>
      <c r="J239" s="699"/>
      <c r="K239" s="1057"/>
      <c r="L239" s="1057"/>
      <c r="M239" s="1057"/>
      <c r="N239" s="1057"/>
      <c r="O239" s="1057"/>
      <c r="P239" s="1057"/>
      <c r="Q239" s="124"/>
      <c r="R239" s="699"/>
      <c r="S239" s="699"/>
      <c r="T239" s="699"/>
      <c r="U239" s="699"/>
      <c r="V239" s="699"/>
      <c r="W239" s="151"/>
      <c r="X239" s="151"/>
      <c r="Y239" s="151"/>
      <c r="Z239" s="151"/>
      <c r="AA239" s="727" t="s">
        <v>272</v>
      </c>
      <c r="AB239" s="151"/>
      <c r="AC239" s="151"/>
      <c r="AD239" s="717"/>
      <c r="AE239" s="729">
        <f>+'Parcel Breakdown'!$AL$80</f>
        <v>0</v>
      </c>
      <c r="AF239" s="729">
        <f>+'Parcel Breakdown'!$AL$81</f>
        <v>0</v>
      </c>
      <c r="AG239" s="717">
        <f>+'Parcel Breakdown'!$AL$82</f>
        <v>0</v>
      </c>
      <c r="AH239" s="151"/>
      <c r="AI239" s="151"/>
      <c r="AJ239" s="151"/>
      <c r="AK239" s="151"/>
      <c r="AL239" s="151"/>
      <c r="AM239" s="151"/>
      <c r="AN239" s="151"/>
      <c r="AO239" s="151"/>
      <c r="AP239" s="685" t="s">
        <v>717</v>
      </c>
      <c r="AQ239" s="151"/>
      <c r="AR239" s="151"/>
      <c r="AS239" s="151"/>
      <c r="AT239" s="732">
        <f ca="1">+AT$237*AT$238</f>
        <v>0</v>
      </c>
      <c r="AU239" s="732">
        <f ca="1">+AU$237*AU$238</f>
        <v>0</v>
      </c>
      <c r="AV239" s="732">
        <f ca="1">+AV$237*AV$238</f>
        <v>0</v>
      </c>
      <c r="AW239" s="151"/>
      <c r="AX239" s="151"/>
      <c r="AY239" s="151"/>
      <c r="AZ239" s="151"/>
      <c r="BA239" s="151"/>
      <c r="BB239" s="151"/>
      <c r="BC239" s="151"/>
      <c r="BD239" s="151"/>
      <c r="BE239" s="151"/>
      <c r="BF239" s="151"/>
      <c r="BG239" s="151"/>
      <c r="BH239" s="151"/>
      <c r="BI239" s="151"/>
      <c r="BJ239" s="151"/>
      <c r="BK239" s="151"/>
      <c r="BL239" s="151"/>
      <c r="BM239" s="151"/>
      <c r="BN239" s="151"/>
      <c r="BO239" s="151"/>
      <c r="BP239" s="151"/>
      <c r="BQ239" s="151"/>
      <c r="BR239" s="151"/>
      <c r="BS239" s="151"/>
      <c r="BT239" s="151"/>
      <c r="BU239" s="151"/>
      <c r="BV239" s="151"/>
      <c r="BW239" s="151"/>
      <c r="BX239" s="151"/>
      <c r="BY239" s="151"/>
      <c r="BZ239" s="151"/>
      <c r="CA239" s="151"/>
    </row>
    <row r="240" spans="1:79" ht="15.75">
      <c r="A240" s="1047"/>
      <c r="B240" s="685" t="s">
        <v>268</v>
      </c>
      <c r="C240" s="151"/>
      <c r="D240" s="151"/>
      <c r="E240" s="717"/>
      <c r="F240" s="686">
        <f>(F241*12)/F239</f>
        <v>18.298555377207062</v>
      </c>
      <c r="G240" s="686">
        <f t="shared" ref="G240:H240" si="114">(G241*12)/G239</f>
        <v>19.418573354735152</v>
      </c>
      <c r="H240" s="686">
        <f t="shared" si="114"/>
        <v>20.203083718266456</v>
      </c>
      <c r="I240" s="137"/>
      <c r="J240" s="699"/>
      <c r="K240" s="1057"/>
      <c r="L240" s="1057"/>
      <c r="M240" s="1057"/>
      <c r="N240" s="1057"/>
      <c r="O240" s="1057"/>
      <c r="P240" s="1057"/>
      <c r="Q240" s="125"/>
      <c r="R240" s="699"/>
      <c r="S240" s="699"/>
      <c r="T240" s="699"/>
      <c r="U240" s="699"/>
      <c r="V240" s="699"/>
      <c r="W240" s="151"/>
      <c r="X240" s="151"/>
      <c r="Y240" s="151"/>
      <c r="Z240" s="151"/>
      <c r="AA240" s="685" t="s">
        <v>515</v>
      </c>
      <c r="AB240" s="151"/>
      <c r="AC240" s="151"/>
      <c r="AD240" s="730">
        <f>+E144</f>
        <v>800</v>
      </c>
      <c r="AE240" s="731">
        <f>+$AD240</f>
        <v>800</v>
      </c>
      <c r="AF240" s="731">
        <f>+$AD240</f>
        <v>800</v>
      </c>
      <c r="AG240" s="731">
        <f>+$AD240</f>
        <v>800</v>
      </c>
      <c r="AH240" s="151"/>
      <c r="AI240" s="151"/>
      <c r="AJ240" s="151"/>
      <c r="AK240" s="151"/>
      <c r="AL240" s="151"/>
      <c r="AM240" s="151"/>
      <c r="AN240" s="151"/>
      <c r="AO240" s="151"/>
      <c r="AP240" s="685" t="s">
        <v>720</v>
      </c>
      <c r="AQ240" s="151"/>
      <c r="AR240" s="151"/>
      <c r="AS240" s="151"/>
      <c r="AT240" s="686">
        <v>0.88</v>
      </c>
      <c r="AU240" s="686">
        <v>0.88</v>
      </c>
      <c r="AV240" s="686">
        <v>0.88</v>
      </c>
      <c r="AW240" s="151"/>
      <c r="AX240" s="151"/>
      <c r="AY240" s="151"/>
      <c r="AZ240" s="151"/>
      <c r="BA240" s="151"/>
      <c r="BB240" s="151"/>
      <c r="BC240" s="151"/>
      <c r="BD240" s="151"/>
      <c r="BE240" s="151"/>
      <c r="BF240" s="151"/>
      <c r="BG240" s="151"/>
      <c r="BH240" s="151"/>
      <c r="BI240" s="151"/>
      <c r="BJ240" s="151"/>
      <c r="BK240" s="151"/>
      <c r="BL240" s="151"/>
      <c r="BM240" s="151"/>
      <c r="BN240" s="151"/>
      <c r="BO240" s="151"/>
      <c r="BP240" s="151"/>
      <c r="BQ240" s="151"/>
      <c r="BR240" s="151"/>
      <c r="BS240" s="151"/>
      <c r="BT240" s="151"/>
      <c r="BU240" s="151"/>
      <c r="BV240" s="151"/>
      <c r="BW240" s="151"/>
      <c r="BX240" s="151"/>
      <c r="BY240" s="151"/>
      <c r="BZ240" s="151"/>
      <c r="CA240" s="151"/>
    </row>
    <row r="241" spans="2:79" ht="15.75">
      <c r="B241" s="685" t="s">
        <v>516</v>
      </c>
      <c r="C241" s="151"/>
      <c r="D241" s="151"/>
      <c r="E241" s="717"/>
      <c r="F241" s="731">
        <v>950</v>
      </c>
      <c r="G241" s="731">
        <f>+$F241*(1+0.02)^G$36</f>
        <v>1008.1475999999999</v>
      </c>
      <c r="H241" s="731">
        <f>+$F241*(1+0.02)^H$36</f>
        <v>1048.87676304</v>
      </c>
      <c r="I241" s="699"/>
      <c r="J241" s="699"/>
      <c r="K241" s="1057"/>
      <c r="L241" s="1057"/>
      <c r="M241" s="1057"/>
      <c r="N241" s="1057"/>
      <c r="O241" s="1057"/>
      <c r="P241" s="1057"/>
      <c r="Q241" s="126"/>
      <c r="R241" s="699"/>
      <c r="S241" s="699"/>
      <c r="T241" s="699"/>
      <c r="U241" s="699"/>
      <c r="V241" s="699"/>
      <c r="W241" s="151"/>
      <c r="X241" s="151"/>
      <c r="Y241" s="151"/>
      <c r="Z241" s="151"/>
      <c r="AA241" s="685" t="s">
        <v>268</v>
      </c>
      <c r="AB241" s="151"/>
      <c r="AC241" s="151"/>
      <c r="AD241" s="717"/>
      <c r="AE241" s="732">
        <f>(AE242*AE240)</f>
        <v>0</v>
      </c>
      <c r="AF241" s="732">
        <f>(AF242*AF240)</f>
        <v>0</v>
      </c>
      <c r="AG241" s="732">
        <f>(AG242*AG240)</f>
        <v>0</v>
      </c>
      <c r="AH241" s="151"/>
      <c r="AI241" s="151"/>
      <c r="AJ241" s="151"/>
      <c r="AK241" s="151"/>
      <c r="AL241" s="151"/>
      <c r="AM241" s="151"/>
      <c r="AN241" s="151"/>
      <c r="AO241" s="151"/>
      <c r="AP241" s="718" t="s">
        <v>723</v>
      </c>
      <c r="AQ241" s="718"/>
      <c r="AR241" s="718"/>
      <c r="AS241" s="718"/>
      <c r="AT241" s="733">
        <f ca="1">AT$239*AT$240</f>
        <v>0</v>
      </c>
      <c r="AU241" s="733">
        <f ca="1">AU$239*AU$240</f>
        <v>0</v>
      </c>
      <c r="AV241" s="733">
        <f ca="1">AV$239*AV$240</f>
        <v>0</v>
      </c>
      <c r="AW241" s="151"/>
      <c r="AX241" s="151"/>
      <c r="AY241" s="151"/>
      <c r="AZ241" s="151"/>
      <c r="BA241" s="151"/>
      <c r="BB241" s="151"/>
      <c r="BC241" s="151"/>
      <c r="BD241" s="151"/>
      <c r="BE241" s="151"/>
      <c r="BF241" s="151"/>
      <c r="BG241" s="151"/>
      <c r="BH241" s="151"/>
      <c r="BI241" s="151"/>
      <c r="BJ241" s="151"/>
      <c r="BK241" s="151"/>
      <c r="BL241" s="151"/>
      <c r="BM241" s="151"/>
      <c r="BN241" s="151"/>
      <c r="BO241" s="151"/>
      <c r="BP241" s="151"/>
      <c r="BQ241" s="151"/>
      <c r="BR241" s="151"/>
      <c r="BS241" s="151"/>
      <c r="BT241" s="151"/>
      <c r="BU241" s="151"/>
      <c r="BV241" s="151"/>
      <c r="BW241" s="151"/>
      <c r="BX241" s="151"/>
      <c r="BY241" s="151"/>
      <c r="BZ241" s="151"/>
      <c r="CA241" s="151"/>
    </row>
    <row r="242" spans="2:79" ht="15.75">
      <c r="B242" s="727" t="s">
        <v>273</v>
      </c>
      <c r="C242" s="151"/>
      <c r="D242" s="151"/>
      <c r="E242" s="717"/>
      <c r="F242" s="729">
        <f>+'Parcel Breakdown'!$BH$124</f>
        <v>0</v>
      </c>
      <c r="G242" s="729">
        <f>+'Parcel Breakdown'!$BH$125</f>
        <v>0</v>
      </c>
      <c r="H242" s="729">
        <f>+'Parcel Breakdown'!$BH$126</f>
        <v>0</v>
      </c>
      <c r="I242" s="699"/>
      <c r="J242" s="1122"/>
      <c r="K242" s="1122"/>
      <c r="L242" s="1057"/>
      <c r="M242" s="1057"/>
      <c r="N242" s="1057"/>
      <c r="O242" s="1057"/>
      <c r="P242" s="1057"/>
      <c r="Q242" s="120"/>
      <c r="R242" s="699"/>
      <c r="S242" s="699"/>
      <c r="T242" s="699"/>
      <c r="U242" s="699"/>
      <c r="V242" s="699"/>
      <c r="W242" s="151"/>
      <c r="X242" s="151"/>
      <c r="Y242" s="151"/>
      <c r="Z242" s="151"/>
      <c r="AA242" s="685" t="s">
        <v>516</v>
      </c>
      <c r="AB242" s="151"/>
      <c r="AC242" s="151"/>
      <c r="AD242" s="717"/>
      <c r="AE242" s="732">
        <v>0</v>
      </c>
      <c r="AF242" s="732">
        <v>0</v>
      </c>
      <c r="AG242" s="732">
        <f>+$AE242*(1+0.02)^H$36</f>
        <v>0</v>
      </c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  <c r="AU242" s="151"/>
      <c r="AV242" s="151"/>
      <c r="AW242" s="151"/>
      <c r="AX242" s="151"/>
      <c r="AY242" s="151"/>
      <c r="AZ242" s="151"/>
      <c r="BA242" s="151"/>
      <c r="BB242" s="151"/>
      <c r="BC242" s="151"/>
      <c r="BD242" s="151"/>
      <c r="BE242" s="151"/>
      <c r="BF242" s="151"/>
      <c r="BG242" s="151"/>
      <c r="BH242" s="151"/>
      <c r="BI242" s="151"/>
      <c r="BJ242" s="151"/>
      <c r="BK242" s="151"/>
      <c r="BL242" s="151"/>
      <c r="BM242" s="151"/>
      <c r="BN242" s="151"/>
      <c r="BO242" s="151"/>
      <c r="BP242" s="151"/>
      <c r="BQ242" s="151"/>
      <c r="BR242" s="151"/>
      <c r="BS242" s="151"/>
      <c r="BT242" s="151"/>
      <c r="BU242" s="151"/>
      <c r="BV242" s="151"/>
      <c r="BW242" s="151"/>
      <c r="BX242" s="151"/>
      <c r="BY242" s="151"/>
      <c r="BZ242" s="151"/>
      <c r="CA242" s="151"/>
    </row>
    <row r="243" spans="2:79" ht="15.75">
      <c r="B243" s="685" t="s">
        <v>515</v>
      </c>
      <c r="C243" s="151"/>
      <c r="D243" s="151"/>
      <c r="E243" s="730">
        <v>824</v>
      </c>
      <c r="F243" s="731">
        <f>+$E243</f>
        <v>824</v>
      </c>
      <c r="G243" s="731">
        <f>+$E243</f>
        <v>824</v>
      </c>
      <c r="H243" s="731">
        <f>+$E243</f>
        <v>824</v>
      </c>
      <c r="I243" s="699"/>
      <c r="J243" s="699"/>
      <c r="K243" s="1057"/>
      <c r="L243" s="1057"/>
      <c r="M243" s="1057"/>
      <c r="N243" s="1057"/>
      <c r="O243" s="1057"/>
      <c r="P243" s="1057"/>
      <c r="Q243" s="128"/>
      <c r="R243" s="699"/>
      <c r="S243" s="699"/>
      <c r="T243" s="699"/>
      <c r="U243" s="699"/>
      <c r="V243" s="699"/>
      <c r="W243" s="151"/>
      <c r="X243" s="151"/>
      <c r="Y243" s="151"/>
      <c r="Z243" s="151"/>
      <c r="AA243" s="151"/>
      <c r="AB243" s="151"/>
      <c r="AC243" s="151"/>
      <c r="AD243" s="151"/>
      <c r="AE243" s="151"/>
      <c r="AF243" s="151"/>
      <c r="AG243" s="151"/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1"/>
      <c r="AT243" s="151"/>
      <c r="AU243" s="151"/>
      <c r="AV243" s="151"/>
      <c r="AW243" s="151"/>
      <c r="AX243" s="151"/>
      <c r="AY243" s="151"/>
      <c r="AZ243" s="151"/>
      <c r="BA243" s="151"/>
      <c r="BB243" s="151"/>
      <c r="BC243" s="151"/>
      <c r="BD243" s="151"/>
      <c r="BE243" s="151"/>
      <c r="BF243" s="151"/>
      <c r="BG243" s="151"/>
      <c r="BH243" s="151"/>
      <c r="BI243" s="151"/>
      <c r="BJ243" s="151"/>
      <c r="BK243" s="151"/>
      <c r="BL243" s="151"/>
      <c r="BM243" s="151"/>
      <c r="BN243" s="151"/>
      <c r="BO243" s="151"/>
      <c r="BP243" s="151"/>
      <c r="BQ243" s="151"/>
      <c r="BR243" s="151"/>
      <c r="BS243" s="151"/>
      <c r="BT243" s="151"/>
      <c r="BU243" s="151"/>
      <c r="BV243" s="151"/>
      <c r="BW243" s="151"/>
      <c r="BX243" s="151"/>
      <c r="BY243" s="151"/>
      <c r="BZ243" s="151"/>
      <c r="CA243" s="151"/>
    </row>
    <row r="244" spans="2:79" ht="15.75">
      <c r="B244" s="685" t="s">
        <v>268</v>
      </c>
      <c r="C244" s="151"/>
      <c r="D244" s="151"/>
      <c r="E244" s="717"/>
      <c r="F244" s="686">
        <f>(F245*12)/F243</f>
        <v>16.019417475728154</v>
      </c>
      <c r="G244" s="686">
        <f t="shared" ref="G244:H244" si="115">(G245*12)/G243</f>
        <v>16.999933980582522</v>
      </c>
      <c r="H244" s="686">
        <f t="shared" si="115"/>
        <v>17.686731313398056</v>
      </c>
      <c r="I244" s="699"/>
      <c r="J244" s="699"/>
      <c r="K244" s="1057"/>
      <c r="L244" s="1057"/>
      <c r="M244" s="1057"/>
      <c r="N244" s="1057"/>
      <c r="O244" s="1057"/>
      <c r="P244" s="1057"/>
      <c r="Q244" s="129"/>
      <c r="R244" s="699"/>
      <c r="S244" s="699"/>
      <c r="T244" s="699"/>
      <c r="U244" s="699"/>
      <c r="V244" s="699"/>
      <c r="W244" s="151"/>
      <c r="X244" s="151"/>
      <c r="Y244" s="151"/>
      <c r="Z244" s="151"/>
      <c r="AA244" s="727" t="s">
        <v>523</v>
      </c>
      <c r="AB244" s="151"/>
      <c r="AC244" s="151"/>
      <c r="AD244" s="717"/>
      <c r="AE244" s="729">
        <f>+'Parcel Breakdown'!$AR$80</f>
        <v>25053.075000000004</v>
      </c>
      <c r="AF244" s="729">
        <f>+'Parcel Breakdown'!$AR$81</f>
        <v>18188.0625</v>
      </c>
      <c r="AG244" s="729">
        <f>+'Parcel Breakdown'!$AR$82</f>
        <v>27973.200000000001</v>
      </c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  <c r="AU244" s="151"/>
      <c r="AV244" s="151"/>
      <c r="AW244" s="151"/>
      <c r="AX244" s="151"/>
      <c r="AY244" s="151"/>
      <c r="AZ244" s="151"/>
      <c r="BA244" s="151"/>
      <c r="BB244" s="151"/>
      <c r="BC244" s="151"/>
      <c r="BD244" s="151"/>
      <c r="BE244" s="151"/>
      <c r="BF244" s="151"/>
      <c r="BG244" s="151"/>
      <c r="BH244" s="151"/>
      <c r="BI244" s="151"/>
      <c r="BJ244" s="151"/>
      <c r="BK244" s="151"/>
      <c r="BL244" s="151"/>
      <c r="BM244" s="151"/>
      <c r="BN244" s="151"/>
      <c r="BO244" s="151"/>
      <c r="BP244" s="151"/>
      <c r="BQ244" s="151"/>
      <c r="BR244" s="151"/>
      <c r="BS244" s="151"/>
      <c r="BT244" s="151"/>
      <c r="BU244" s="151"/>
      <c r="BV244" s="151"/>
      <c r="BW244" s="151"/>
      <c r="BX244" s="151"/>
      <c r="BY244" s="151"/>
      <c r="BZ244" s="151"/>
      <c r="CA244" s="151"/>
    </row>
    <row r="245" spans="2:79" ht="15.75">
      <c r="B245" s="685" t="s">
        <v>516</v>
      </c>
      <c r="C245" s="151"/>
      <c r="D245" s="151"/>
      <c r="E245" s="717"/>
      <c r="F245" s="731">
        <v>1100</v>
      </c>
      <c r="G245" s="731">
        <f>+$F245*(1+0.02)^G$36</f>
        <v>1167.3288</v>
      </c>
      <c r="H245" s="731">
        <f>+$F245*(1+0.02)^H$36</f>
        <v>1214.4888835199999</v>
      </c>
      <c r="I245" s="699"/>
      <c r="J245" s="699"/>
      <c r="K245" s="1057"/>
      <c r="L245" s="1057"/>
      <c r="M245" s="1057"/>
      <c r="N245" s="1057"/>
      <c r="O245" s="1057"/>
      <c r="P245" s="1057"/>
      <c r="Q245" s="128"/>
      <c r="R245" s="699"/>
      <c r="S245" s="699"/>
      <c r="T245" s="699"/>
      <c r="U245" s="699"/>
      <c r="V245" s="699"/>
      <c r="W245" s="151"/>
      <c r="X245" s="151"/>
      <c r="Y245" s="151"/>
      <c r="Z245" s="151"/>
      <c r="AA245" s="685" t="s">
        <v>515</v>
      </c>
      <c r="AB245" s="151"/>
      <c r="AC245" s="151"/>
      <c r="AD245" s="730">
        <f>+AD257</f>
        <v>2200</v>
      </c>
      <c r="AE245" s="731">
        <f>+$AD245</f>
        <v>2200</v>
      </c>
      <c r="AF245" s="731">
        <f>+$AD245</f>
        <v>2200</v>
      </c>
      <c r="AG245" s="731">
        <f>+$AD245</f>
        <v>2200</v>
      </c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1"/>
      <c r="AT245" s="151"/>
      <c r="AU245" s="151"/>
      <c r="AV245" s="151"/>
      <c r="AW245" s="151"/>
      <c r="AX245" s="151"/>
      <c r="AY245" s="151"/>
      <c r="AZ245" s="151"/>
      <c r="BA245" s="151"/>
      <c r="BB245" s="151"/>
      <c r="BC245" s="151"/>
      <c r="BD245" s="151"/>
      <c r="BE245" s="151"/>
      <c r="BF245" s="151"/>
      <c r="BG245" s="151"/>
      <c r="BH245" s="151"/>
      <c r="BI245" s="151"/>
      <c r="BJ245" s="151"/>
      <c r="BK245" s="151"/>
      <c r="BL245" s="151"/>
      <c r="BM245" s="151"/>
      <c r="BN245" s="151"/>
      <c r="BO245" s="151"/>
      <c r="BP245" s="151"/>
      <c r="BQ245" s="151"/>
      <c r="BR245" s="151"/>
      <c r="BS245" s="151"/>
      <c r="BT245" s="151"/>
      <c r="BU245" s="151"/>
      <c r="BV245" s="151"/>
      <c r="BW245" s="151"/>
      <c r="BX245" s="151"/>
      <c r="BY245" s="151"/>
      <c r="BZ245" s="151"/>
      <c r="CA245" s="151"/>
    </row>
    <row r="246" spans="2:79" ht="15.75">
      <c r="B246" s="727" t="s">
        <v>274</v>
      </c>
      <c r="C246" s="151"/>
      <c r="D246" s="151"/>
      <c r="E246" s="717"/>
      <c r="F246" s="729">
        <f>+'Parcel Breakdown'!$BJ$124</f>
        <v>0</v>
      </c>
      <c r="G246" s="729">
        <f>+'Parcel Breakdown'!$BJ$125</f>
        <v>0</v>
      </c>
      <c r="H246" s="729">
        <f>+'Parcel Breakdown'!$BJ$126</f>
        <v>0</v>
      </c>
      <c r="I246" s="699"/>
      <c r="J246" s="699"/>
      <c r="K246" s="1057"/>
      <c r="L246" s="1057"/>
      <c r="M246" s="1057"/>
      <c r="N246" s="1057"/>
      <c r="O246" s="1057"/>
      <c r="P246" s="1057"/>
      <c r="Q246" s="699"/>
      <c r="R246" s="699"/>
      <c r="S246" s="699"/>
      <c r="T246" s="699"/>
      <c r="U246" s="699"/>
      <c r="V246" s="699"/>
      <c r="W246" s="151"/>
      <c r="X246" s="151"/>
      <c r="Y246" s="151"/>
      <c r="Z246" s="151"/>
      <c r="AA246" s="685" t="s">
        <v>268</v>
      </c>
      <c r="AB246" s="151"/>
      <c r="AC246" s="151"/>
      <c r="AD246" s="717"/>
      <c r="AE246" s="732">
        <f>(AE247*AE245)</f>
        <v>0</v>
      </c>
      <c r="AF246" s="732">
        <f>(AF247*AF245)</f>
        <v>0</v>
      </c>
      <c r="AG246" s="732">
        <f>(AG247*AG245)</f>
        <v>0</v>
      </c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1"/>
      <c r="AT246" s="151"/>
      <c r="AU246" s="151"/>
      <c r="AV246" s="151"/>
      <c r="AW246" s="151"/>
      <c r="AX246" s="151"/>
      <c r="AY246" s="151"/>
      <c r="AZ246" s="151"/>
      <c r="BA246" s="151"/>
      <c r="BB246" s="151"/>
      <c r="BC246" s="151"/>
      <c r="BD246" s="151"/>
      <c r="BE246" s="151"/>
      <c r="BF246" s="151"/>
      <c r="BG246" s="151"/>
      <c r="BH246" s="151"/>
      <c r="BI246" s="151"/>
      <c r="BJ246" s="151"/>
      <c r="BK246" s="151"/>
      <c r="BL246" s="151"/>
      <c r="BM246" s="151"/>
      <c r="BN246" s="151"/>
      <c r="BO246" s="151"/>
      <c r="BP246" s="151"/>
      <c r="BQ246" s="151"/>
      <c r="BR246" s="151"/>
      <c r="BS246" s="151"/>
      <c r="BT246" s="151"/>
      <c r="BU246" s="151"/>
      <c r="BV246" s="151"/>
      <c r="BW246" s="151"/>
      <c r="BX246" s="151"/>
      <c r="BY246" s="151"/>
      <c r="BZ246" s="151"/>
      <c r="CA246" s="151"/>
    </row>
    <row r="247" spans="2:79" ht="15.75">
      <c r="B247" s="685" t="s">
        <v>515</v>
      </c>
      <c r="C247" s="151"/>
      <c r="D247" s="151"/>
      <c r="E247" s="730">
        <v>1100</v>
      </c>
      <c r="F247" s="731">
        <f>+$E247</f>
        <v>1100</v>
      </c>
      <c r="G247" s="731">
        <f>+$E247</f>
        <v>1100</v>
      </c>
      <c r="H247" s="731">
        <f>+$E247</f>
        <v>1100</v>
      </c>
      <c r="I247" s="699"/>
      <c r="J247" s="699"/>
      <c r="K247" s="1057"/>
      <c r="L247" s="1057"/>
      <c r="M247" s="1057"/>
      <c r="N247" s="1057"/>
      <c r="O247" s="1057"/>
      <c r="P247" s="1057"/>
      <c r="Q247" s="699"/>
      <c r="R247" s="699"/>
      <c r="S247" s="699"/>
      <c r="T247" s="699"/>
      <c r="U247" s="699"/>
      <c r="V247" s="699"/>
      <c r="W247" s="151"/>
      <c r="X247" s="151"/>
      <c r="Y247" s="151"/>
      <c r="Z247" s="151"/>
      <c r="AA247" s="685" t="s">
        <v>758</v>
      </c>
      <c r="AB247" s="151"/>
      <c r="AC247" s="151"/>
      <c r="AD247" s="717"/>
      <c r="AE247" s="732">
        <v>0</v>
      </c>
      <c r="AF247" s="732">
        <f>+$AE247*(1+0.02)^G$36</f>
        <v>0</v>
      </c>
      <c r="AG247" s="732">
        <f>+$AE247*(1+0.02)^H$36</f>
        <v>0</v>
      </c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1"/>
      <c r="AT247" s="151"/>
      <c r="AU247" s="151"/>
      <c r="AV247" s="151"/>
      <c r="AW247" s="151"/>
      <c r="AX247" s="151"/>
      <c r="AY247" s="151"/>
      <c r="AZ247" s="151"/>
      <c r="BA247" s="151"/>
      <c r="BB247" s="151"/>
      <c r="BC247" s="151"/>
      <c r="BD247" s="151"/>
      <c r="BE247" s="151"/>
      <c r="BF247" s="151"/>
      <c r="BG247" s="151"/>
      <c r="BH247" s="151"/>
      <c r="BI247" s="151"/>
      <c r="BJ247" s="151"/>
      <c r="BK247" s="151"/>
      <c r="BL247" s="151"/>
      <c r="BM247" s="151"/>
      <c r="BN247" s="151"/>
      <c r="BO247" s="151"/>
      <c r="BP247" s="151"/>
      <c r="BQ247" s="151"/>
      <c r="BR247" s="151"/>
      <c r="BS247" s="151"/>
      <c r="BT247" s="151"/>
      <c r="BU247" s="151"/>
      <c r="BV247" s="151"/>
      <c r="BW247" s="151"/>
      <c r="BX247" s="151"/>
      <c r="BY247" s="151"/>
      <c r="BZ247" s="151"/>
      <c r="CA247" s="151"/>
    </row>
    <row r="248" spans="2:79" ht="15.75">
      <c r="B248" s="685" t="s">
        <v>268</v>
      </c>
      <c r="C248" s="151"/>
      <c r="D248" s="151"/>
      <c r="E248" s="717"/>
      <c r="F248" s="686">
        <f>(F249*12)/F247</f>
        <v>13.636363636363637</v>
      </c>
      <c r="G248" s="686">
        <f t="shared" ref="G248:H248" si="116">(G249*12)/G247</f>
        <v>14.471018181818181</v>
      </c>
      <c r="H248" s="686">
        <f t="shared" si="116"/>
        <v>15.055647316363638</v>
      </c>
      <c r="I248" s="699"/>
      <c r="J248" s="699"/>
      <c r="K248" s="1057"/>
      <c r="L248" s="1057"/>
      <c r="M248" s="1057"/>
      <c r="N248" s="1057"/>
      <c r="O248" s="1057"/>
      <c r="P248" s="1057"/>
      <c r="Q248" s="699"/>
      <c r="R248" s="274"/>
      <c r="S248" s="699"/>
      <c r="T248" s="699"/>
      <c r="U248" s="699"/>
      <c r="V248" s="699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  <c r="AU248" s="151"/>
      <c r="AV248" s="151"/>
      <c r="AW248" s="151"/>
      <c r="AX248" s="151"/>
      <c r="AY248" s="151"/>
      <c r="AZ248" s="151"/>
      <c r="BA248" s="151"/>
      <c r="BB248" s="151"/>
      <c r="BC248" s="151"/>
      <c r="BD248" s="151"/>
      <c r="BE248" s="151"/>
      <c r="BF248" s="151"/>
      <c r="BG248" s="151"/>
      <c r="BH248" s="151"/>
      <c r="BI248" s="151"/>
      <c r="BJ248" s="151"/>
      <c r="BK248" s="151"/>
      <c r="BL248" s="151"/>
      <c r="BM248" s="151"/>
      <c r="BN248" s="151"/>
      <c r="BO248" s="151"/>
      <c r="BP248" s="151"/>
      <c r="BQ248" s="151"/>
      <c r="BR248" s="151"/>
      <c r="BS248" s="151"/>
      <c r="BT248" s="151"/>
      <c r="BU248" s="151"/>
      <c r="BV248" s="151"/>
      <c r="BW248" s="151"/>
      <c r="BX248" s="151"/>
      <c r="BY248" s="151"/>
      <c r="BZ248" s="151"/>
      <c r="CA248" s="151"/>
    </row>
    <row r="249" spans="2:79" ht="15.75">
      <c r="B249" s="685" t="s">
        <v>516</v>
      </c>
      <c r="C249" s="151"/>
      <c r="D249" s="151"/>
      <c r="E249" s="717"/>
      <c r="F249" s="731">
        <v>1250</v>
      </c>
      <c r="G249" s="731">
        <f>+$F249*(1+0.02)^G$36</f>
        <v>1326.51</v>
      </c>
      <c r="H249" s="731">
        <f>+$F249*(1+0.02)^H$36</f>
        <v>1380.1010040000001</v>
      </c>
      <c r="I249" s="699"/>
      <c r="J249" s="699"/>
      <c r="K249" s="1057"/>
      <c r="L249" s="1057"/>
      <c r="M249" s="1057"/>
      <c r="N249" s="1057"/>
      <c r="O249" s="1057"/>
      <c r="P249" s="1057"/>
      <c r="Q249" s="699"/>
      <c r="R249" s="274"/>
      <c r="S249" s="699"/>
      <c r="T249" s="699"/>
      <c r="U249" s="699"/>
      <c r="V249" s="699"/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1"/>
      <c r="AT249" s="151"/>
      <c r="AU249" s="151"/>
      <c r="AV249" s="151"/>
      <c r="AW249" s="151"/>
      <c r="AX249" s="151"/>
      <c r="AY249" s="151"/>
      <c r="AZ249" s="151"/>
      <c r="BA249" s="151"/>
      <c r="BB249" s="151"/>
      <c r="BC249" s="151"/>
      <c r="BD249" s="151"/>
      <c r="BE249" s="151"/>
      <c r="BF249" s="151"/>
      <c r="BG249" s="151"/>
      <c r="BH249" s="151"/>
      <c r="BI249" s="151"/>
      <c r="BJ249" s="151"/>
      <c r="BK249" s="151"/>
      <c r="BL249" s="151"/>
      <c r="BM249" s="151"/>
      <c r="BN249" s="151"/>
      <c r="BO249" s="151"/>
      <c r="BP249" s="151"/>
      <c r="BQ249" s="151"/>
      <c r="BR249" s="151"/>
      <c r="BS249" s="151"/>
      <c r="BT249" s="151"/>
      <c r="BU249" s="151"/>
      <c r="BV249" s="151"/>
      <c r="BW249" s="151"/>
      <c r="BX249" s="151"/>
      <c r="BY249" s="151"/>
      <c r="BZ249" s="151"/>
      <c r="CA249" s="151"/>
    </row>
    <row r="250" spans="2:79" ht="15.75">
      <c r="B250" s="727" t="s">
        <v>523</v>
      </c>
      <c r="C250" s="151"/>
      <c r="D250" s="151"/>
      <c r="E250" s="717"/>
      <c r="F250" s="729">
        <f>+'Parcel Breakdown'!$BL$124</f>
        <v>0</v>
      </c>
      <c r="G250" s="729">
        <f>+'Parcel Breakdown'!$BL$125</f>
        <v>0</v>
      </c>
      <c r="H250" s="729">
        <f>+'Parcel Breakdown'!$BL$126</f>
        <v>0</v>
      </c>
      <c r="I250" s="699"/>
      <c r="J250" s="699"/>
      <c r="K250" s="1057"/>
      <c r="L250" s="1057"/>
      <c r="M250" s="1057"/>
      <c r="N250" s="1057"/>
      <c r="O250" s="1057"/>
      <c r="P250" s="1057"/>
      <c r="Q250" s="699"/>
      <c r="R250" s="274"/>
      <c r="S250" s="699"/>
      <c r="T250" s="699"/>
      <c r="U250" s="699"/>
      <c r="V250" s="699"/>
      <c r="W250" s="151"/>
      <c r="X250" s="151"/>
      <c r="Y250" s="151"/>
      <c r="Z250" s="151"/>
      <c r="AA250" s="727" t="s">
        <v>270</v>
      </c>
      <c r="AB250" s="151"/>
      <c r="AC250" s="151"/>
      <c r="AD250" s="717"/>
      <c r="AE250" s="729">
        <f>+'Parcel Breakdown'!$AJ$87</f>
        <v>0</v>
      </c>
      <c r="AF250" s="729">
        <f>+'Parcel Breakdown'!$AJ$88</f>
        <v>0</v>
      </c>
      <c r="AG250" s="729">
        <f>+'Parcel Breakdown'!$AJ$89</f>
        <v>0</v>
      </c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  <c r="AU250" s="151"/>
      <c r="AV250" s="151"/>
      <c r="AW250" s="151"/>
      <c r="AX250" s="151"/>
      <c r="AY250" s="151"/>
      <c r="AZ250" s="151"/>
      <c r="BA250" s="151"/>
      <c r="BB250" s="151"/>
      <c r="BC250" s="151"/>
      <c r="BD250" s="151"/>
      <c r="BE250" s="151"/>
      <c r="BF250" s="151"/>
      <c r="BG250" s="151"/>
      <c r="BH250" s="151"/>
      <c r="BI250" s="151"/>
      <c r="BJ250" s="151"/>
      <c r="BK250" s="151"/>
      <c r="BL250" s="151"/>
      <c r="BM250" s="151"/>
      <c r="BN250" s="151"/>
      <c r="BO250" s="151"/>
      <c r="BP250" s="151"/>
      <c r="BQ250" s="151"/>
      <c r="BR250" s="151"/>
      <c r="BS250" s="151"/>
      <c r="BT250" s="151"/>
      <c r="BU250" s="151"/>
      <c r="BV250" s="151"/>
      <c r="BW250" s="151"/>
      <c r="BX250" s="151"/>
      <c r="BY250" s="151"/>
      <c r="BZ250" s="151"/>
      <c r="CA250" s="151"/>
    </row>
    <row r="251" spans="2:79" ht="15.75">
      <c r="B251" s="685" t="s">
        <v>515</v>
      </c>
      <c r="C251" s="151"/>
      <c r="D251" s="151"/>
      <c r="E251" s="730">
        <v>1350</v>
      </c>
      <c r="F251" s="731">
        <f>+$E251</f>
        <v>1350</v>
      </c>
      <c r="G251" s="731">
        <f>+$E251</f>
        <v>1350</v>
      </c>
      <c r="H251" s="731">
        <f>+$E251</f>
        <v>1350</v>
      </c>
      <c r="I251" s="699"/>
      <c r="J251" s="699"/>
      <c r="K251" s="1057"/>
      <c r="L251" s="1057"/>
      <c r="M251" s="1057"/>
      <c r="N251" s="1057"/>
      <c r="O251" s="1057"/>
      <c r="P251" s="1057"/>
      <c r="Q251" s="699"/>
      <c r="R251" s="699"/>
      <c r="S251" s="699"/>
      <c r="T251" s="699"/>
      <c r="U251" s="699"/>
      <c r="V251" s="699"/>
      <c r="W251" s="151"/>
      <c r="X251" s="151"/>
      <c r="Y251" s="151"/>
      <c r="Z251" s="151"/>
      <c r="AA251" s="685" t="s">
        <v>515</v>
      </c>
      <c r="AB251" s="151"/>
      <c r="AC251" s="151"/>
      <c r="AD251" s="730">
        <v>600</v>
      </c>
      <c r="AE251" s="731">
        <f>+$AD251</f>
        <v>600</v>
      </c>
      <c r="AF251" s="731">
        <f>+$AD251</f>
        <v>600</v>
      </c>
      <c r="AG251" s="731">
        <f>+$AD251</f>
        <v>600</v>
      </c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1"/>
      <c r="AT251" s="151"/>
      <c r="AU251" s="151"/>
      <c r="AV251" s="151"/>
      <c r="AW251" s="151"/>
      <c r="AX251" s="151"/>
      <c r="AY251" s="151"/>
      <c r="AZ251" s="151"/>
      <c r="BA251" s="151"/>
      <c r="BB251" s="151"/>
      <c r="BC251" s="151"/>
      <c r="BD251" s="151"/>
      <c r="BE251" s="151"/>
      <c r="BF251" s="151"/>
      <c r="BG251" s="151"/>
      <c r="BH251" s="151"/>
      <c r="BI251" s="151"/>
      <c r="BJ251" s="151"/>
      <c r="BK251" s="151"/>
      <c r="BL251" s="151"/>
      <c r="BM251" s="151"/>
      <c r="BN251" s="151"/>
      <c r="BO251" s="151"/>
      <c r="BP251" s="151"/>
      <c r="BQ251" s="151"/>
      <c r="BR251" s="151"/>
      <c r="BS251" s="151"/>
      <c r="BT251" s="151"/>
      <c r="BU251" s="151"/>
      <c r="BV251" s="151"/>
      <c r="BW251" s="151"/>
      <c r="BX251" s="151"/>
      <c r="BY251" s="151"/>
      <c r="BZ251" s="151"/>
      <c r="CA251" s="151"/>
    </row>
    <row r="252" spans="2:79">
      <c r="B252" s="685" t="s">
        <v>268</v>
      </c>
      <c r="C252" s="151"/>
      <c r="D252" s="151"/>
      <c r="E252" s="717"/>
      <c r="F252" s="686">
        <f>(F253*12)/F251</f>
        <v>12.391111111111112</v>
      </c>
      <c r="G252" s="686">
        <f t="shared" ref="G252:H252" si="117">(G253*12)/G251</f>
        <v>13.149546240000001</v>
      </c>
      <c r="H252" s="686">
        <f t="shared" si="117"/>
        <v>13.680787908095999</v>
      </c>
      <c r="I252" s="699"/>
      <c r="J252" s="699"/>
      <c r="K252" s="1057"/>
      <c r="L252" s="1057"/>
      <c r="M252" s="1057"/>
      <c r="N252" s="1057"/>
      <c r="O252" s="1057"/>
      <c r="P252" s="1057"/>
      <c r="Q252" s="699"/>
      <c r="R252" s="699"/>
      <c r="S252" s="699"/>
      <c r="T252" s="699"/>
      <c r="U252" s="699"/>
      <c r="V252" s="699"/>
      <c r="W252" s="151"/>
      <c r="X252" s="151"/>
      <c r="Y252" s="151"/>
      <c r="Z252" s="151"/>
      <c r="AA252" s="685" t="s">
        <v>268</v>
      </c>
      <c r="AB252" s="151"/>
      <c r="AC252" s="151"/>
      <c r="AD252" s="717"/>
      <c r="AE252" s="732">
        <f>(AE253*AE251)</f>
        <v>0</v>
      </c>
      <c r="AF252" s="732">
        <f>(AF253*AF251)</f>
        <v>0</v>
      </c>
      <c r="AG252" s="732">
        <f>(AG253*AG251)</f>
        <v>0</v>
      </c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1"/>
      <c r="AT252" s="151"/>
      <c r="AU252" s="151"/>
      <c r="AV252" s="151"/>
      <c r="AW252" s="151"/>
      <c r="AX252" s="151"/>
      <c r="AY252" s="151"/>
      <c r="AZ252" s="151"/>
      <c r="BA252" s="151"/>
      <c r="BB252" s="151"/>
      <c r="BC252" s="151"/>
      <c r="BD252" s="151"/>
      <c r="BE252" s="151"/>
      <c r="BF252" s="151"/>
      <c r="BG252" s="151"/>
      <c r="BH252" s="151"/>
      <c r="BI252" s="151"/>
      <c r="BJ252" s="151"/>
      <c r="BK252" s="151"/>
      <c r="BL252" s="151"/>
      <c r="BM252" s="151"/>
      <c r="BN252" s="151"/>
      <c r="BO252" s="151"/>
      <c r="BP252" s="151"/>
      <c r="BQ252" s="151"/>
      <c r="BR252" s="151"/>
      <c r="BS252" s="151"/>
      <c r="BT252" s="151"/>
      <c r="BU252" s="151"/>
      <c r="BV252" s="151"/>
      <c r="BW252" s="151"/>
      <c r="BX252" s="151"/>
      <c r="BY252" s="151"/>
      <c r="BZ252" s="151"/>
      <c r="CA252" s="151"/>
    </row>
    <row r="253" spans="2:79">
      <c r="B253" s="685" t="s">
        <v>516</v>
      </c>
      <c r="C253" s="151"/>
      <c r="D253" s="151"/>
      <c r="E253" s="717"/>
      <c r="F253" s="731">
        <v>1394</v>
      </c>
      <c r="G253" s="731">
        <f>+$F253*(1+0.02)^G$36</f>
        <v>1479.323952</v>
      </c>
      <c r="H253" s="731">
        <f>+$F253*(1+0.02)^H$36</f>
        <v>1539.0886396608</v>
      </c>
      <c r="I253" s="699"/>
      <c r="J253" s="699"/>
      <c r="K253" s="1057"/>
      <c r="L253" s="1057"/>
      <c r="M253" s="1057"/>
      <c r="N253" s="1057"/>
      <c r="O253" s="1057"/>
      <c r="P253" s="1057"/>
      <c r="Q253" s="699"/>
      <c r="R253" s="699"/>
      <c r="S253" s="699"/>
      <c r="T253" s="699"/>
      <c r="U253" s="699"/>
      <c r="V253" s="699"/>
      <c r="W253" s="151"/>
      <c r="X253" s="151"/>
      <c r="Y253" s="151"/>
      <c r="Z253" s="151"/>
      <c r="AA253" s="685" t="s">
        <v>516</v>
      </c>
      <c r="AB253" s="151"/>
      <c r="AC253" s="151"/>
      <c r="AD253" s="717"/>
      <c r="AE253" s="731">
        <v>0</v>
      </c>
      <c r="AF253" s="731">
        <f>+$AE253*(1+0.02)^G$36</f>
        <v>0</v>
      </c>
      <c r="AG253" s="731">
        <f>+$AE253*(1+0.02)^H$36</f>
        <v>0</v>
      </c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  <c r="AU253" s="151"/>
      <c r="AV253" s="151"/>
      <c r="AW253" s="151"/>
      <c r="AX253" s="151"/>
      <c r="AY253" s="151"/>
      <c r="AZ253" s="151"/>
      <c r="BA253" s="151"/>
      <c r="BB253" s="151"/>
      <c r="BC253" s="151"/>
      <c r="BD253" s="151"/>
      <c r="BE253" s="151"/>
      <c r="BF253" s="151"/>
      <c r="BG253" s="151"/>
      <c r="BH253" s="151"/>
      <c r="BI253" s="151"/>
      <c r="BJ253" s="151"/>
      <c r="BK253" s="151"/>
      <c r="BL253" s="151"/>
      <c r="BM253" s="151"/>
      <c r="BN253" s="151"/>
      <c r="BO253" s="151"/>
      <c r="BP253" s="151"/>
      <c r="BQ253" s="151"/>
      <c r="BR253" s="151"/>
      <c r="BS253" s="151"/>
      <c r="BT253" s="151"/>
      <c r="BU253" s="151"/>
      <c r="BV253" s="151"/>
      <c r="BW253" s="151"/>
      <c r="BX253" s="151"/>
      <c r="BY253" s="151"/>
      <c r="BZ253" s="151"/>
      <c r="CA253" s="151"/>
    </row>
    <row r="254" spans="2:79" ht="15.75">
      <c r="B254" s="718" t="s">
        <v>601</v>
      </c>
      <c r="C254" s="718"/>
      <c r="D254" s="718"/>
      <c r="E254" s="733">
        <f>+SUM(F254:H254)</f>
        <v>0</v>
      </c>
      <c r="F254" s="732">
        <f>+F236*F235*F234+F240*F239*F238+F244*F243*F242+F248*F247*F246+F252*F251*F250</f>
        <v>0</v>
      </c>
      <c r="G254" s="732">
        <f>+G236*G235*G234+G240*G239*G238+G244*G243*G242+G248*G247*G246+G252*G251*G250</f>
        <v>0</v>
      </c>
      <c r="H254" s="732">
        <f t="shared" ref="H254" si="118">+H236*H235*H234+H240*H239*H238+H244*H243*H242+H248*H247*H246+H252*H251*H250</f>
        <v>0</v>
      </c>
      <c r="I254" s="699"/>
      <c r="J254" s="699"/>
      <c r="K254" s="1057"/>
      <c r="L254" s="1057"/>
      <c r="M254" s="1057"/>
      <c r="N254" s="1057"/>
      <c r="O254" s="1057"/>
      <c r="P254" s="1057"/>
      <c r="Q254" s="699"/>
      <c r="R254" s="699"/>
      <c r="S254" s="699"/>
      <c r="T254" s="699"/>
      <c r="U254" s="699"/>
      <c r="V254" s="699"/>
      <c r="W254" s="151"/>
      <c r="X254" s="151"/>
      <c r="Y254" s="151"/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  <c r="AU254" s="151"/>
      <c r="AV254" s="151"/>
      <c r="AW254" s="151"/>
      <c r="AX254" s="151"/>
      <c r="AY254" s="151"/>
      <c r="AZ254" s="151"/>
      <c r="BA254" s="151"/>
      <c r="BB254" s="151"/>
      <c r="BC254" s="151"/>
      <c r="BD254" s="151"/>
      <c r="BE254" s="151"/>
      <c r="BF254" s="151"/>
      <c r="BG254" s="151"/>
      <c r="BH254" s="151"/>
      <c r="BI254" s="151"/>
      <c r="BJ254" s="151"/>
      <c r="BK254" s="151"/>
      <c r="BL254" s="151"/>
      <c r="BM254" s="151"/>
      <c r="BN254" s="151"/>
      <c r="BO254" s="151"/>
      <c r="BP254" s="151"/>
      <c r="BQ254" s="151"/>
      <c r="BR254" s="151"/>
      <c r="BS254" s="151"/>
      <c r="BT254" s="151"/>
      <c r="BU254" s="151"/>
      <c r="BV254" s="151"/>
      <c r="BW254" s="151"/>
      <c r="BX254" s="151"/>
      <c r="BY254" s="151"/>
      <c r="BZ254" s="151"/>
      <c r="CA254" s="151"/>
    </row>
    <row r="255" spans="2:79" ht="15.75">
      <c r="B255" s="685" t="s">
        <v>353</v>
      </c>
      <c r="C255" s="151"/>
      <c r="D255" s="151"/>
      <c r="E255" s="734">
        <f>+SUM(F255:H255)</f>
        <v>0</v>
      </c>
      <c r="F255" s="731">
        <f>+F234*F235+F238*F239+F242*F243+F246*F247+F250*F251</f>
        <v>0</v>
      </c>
      <c r="G255" s="731">
        <f t="shared" ref="G255:H255" si="119">+G234*G235+G238*G239+G242*G243+G246*G247+G250*G251</f>
        <v>0</v>
      </c>
      <c r="H255" s="731">
        <f t="shared" si="119"/>
        <v>0</v>
      </c>
      <c r="I255" s="699"/>
      <c r="J255" s="699"/>
      <c r="K255" s="1057"/>
      <c r="L255" s="1057"/>
      <c r="M255" s="1057"/>
      <c r="N255" s="1057"/>
      <c r="O255" s="1057"/>
      <c r="P255" s="1057"/>
      <c r="Q255" s="699"/>
      <c r="R255" s="699"/>
      <c r="S255" s="699"/>
      <c r="T255" s="699"/>
      <c r="U255" s="699"/>
      <c r="V255" s="699"/>
      <c r="W255" s="151"/>
      <c r="X255" s="151"/>
      <c r="Y255" s="151"/>
      <c r="Z255" s="151"/>
      <c r="AA255" s="151"/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1"/>
      <c r="AT255" s="151"/>
      <c r="AU255" s="151"/>
      <c r="AV255" s="151"/>
      <c r="AW255" s="151"/>
      <c r="AX255" s="151"/>
      <c r="AY255" s="151"/>
      <c r="AZ255" s="151"/>
      <c r="BA255" s="151"/>
      <c r="BB255" s="151"/>
      <c r="BC255" s="151"/>
      <c r="BD255" s="151"/>
      <c r="BE255" s="151"/>
      <c r="BF255" s="151"/>
      <c r="BG255" s="151"/>
      <c r="BH255" s="151"/>
      <c r="BI255" s="151"/>
      <c r="BJ255" s="151"/>
      <c r="BK255" s="151"/>
      <c r="BL255" s="151"/>
      <c r="BM255" s="151"/>
      <c r="BN255" s="151"/>
      <c r="BO255" s="151"/>
      <c r="BP255" s="151"/>
      <c r="BQ255" s="151"/>
      <c r="BR255" s="151"/>
      <c r="BS255" s="151"/>
      <c r="BT255" s="151"/>
      <c r="BU255" s="151"/>
      <c r="BV255" s="151"/>
      <c r="BW255" s="151"/>
      <c r="BX255" s="151"/>
      <c r="BY255" s="151"/>
      <c r="BZ255" s="151"/>
      <c r="CA255" s="151"/>
    </row>
    <row r="256" spans="2:79" ht="15.75">
      <c r="B256" s="685" t="s">
        <v>556</v>
      </c>
      <c r="C256" s="151"/>
      <c r="D256" s="151"/>
      <c r="E256" s="734">
        <f>+SUM(F256:H256)</f>
        <v>0</v>
      </c>
      <c r="F256" s="729">
        <f>+F234+F238+F242+F246+F250</f>
        <v>0</v>
      </c>
      <c r="G256" s="729">
        <f t="shared" ref="G256:H256" si="120">+G234+G238+G242+G246+G250</f>
        <v>0</v>
      </c>
      <c r="H256" s="729">
        <f t="shared" si="120"/>
        <v>0</v>
      </c>
      <c r="I256" s="699"/>
      <c r="J256" s="699"/>
      <c r="K256" s="1057"/>
      <c r="L256" s="1057"/>
      <c r="M256" s="1057"/>
      <c r="N256" s="1057"/>
      <c r="O256" s="1057"/>
      <c r="P256" s="1057"/>
      <c r="Q256" s="699"/>
      <c r="R256" s="699"/>
      <c r="S256" s="699"/>
      <c r="T256" s="699"/>
      <c r="U256" s="699"/>
      <c r="V256" s="699"/>
      <c r="W256" s="151"/>
      <c r="X256" s="151"/>
      <c r="Y256" s="151"/>
      <c r="Z256" s="151"/>
      <c r="AA256" s="727" t="s">
        <v>523</v>
      </c>
      <c r="AB256" s="151"/>
      <c r="AC256" s="151"/>
      <c r="AD256" s="717"/>
      <c r="AE256" s="729">
        <f>+'Parcel Breakdown'!$AR$87</f>
        <v>55116.764999999999</v>
      </c>
      <c r="AF256" s="729">
        <f>+'Parcel Breakdown'!$AR$88</f>
        <v>40013.737500000003</v>
      </c>
      <c r="AG256" s="729">
        <f>+'Parcel Breakdown'!$AR$89</f>
        <v>57941.040000000008</v>
      </c>
      <c r="AH256" s="151"/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1"/>
      <c r="AT256" s="151"/>
      <c r="AU256" s="151"/>
      <c r="AV256" s="151"/>
      <c r="AW256" s="151"/>
      <c r="AX256" s="151"/>
      <c r="AY256" s="151"/>
      <c r="AZ256" s="151"/>
      <c r="BA256" s="151"/>
      <c r="BB256" s="151"/>
      <c r="BC256" s="151"/>
      <c r="BD256" s="151"/>
      <c r="BE256" s="151"/>
      <c r="BF256" s="151"/>
      <c r="BG256" s="151"/>
      <c r="BH256" s="151"/>
      <c r="BI256" s="151"/>
      <c r="BJ256" s="151"/>
      <c r="BK256" s="151"/>
      <c r="BL256" s="151"/>
      <c r="BM256" s="151"/>
      <c r="BN256" s="151"/>
      <c r="BO256" s="151"/>
      <c r="BP256" s="151"/>
      <c r="BQ256" s="151"/>
      <c r="BR256" s="151"/>
      <c r="BS256" s="151"/>
      <c r="BT256" s="151"/>
      <c r="BU256" s="151"/>
      <c r="BV256" s="151"/>
      <c r="BW256" s="151"/>
      <c r="BX256" s="151"/>
      <c r="BY256" s="151"/>
      <c r="BZ256" s="151"/>
      <c r="CA256" s="151"/>
    </row>
    <row r="257" spans="1:79" ht="15.75">
      <c r="A257" s="1047"/>
      <c r="B257" s="685" t="s">
        <v>558</v>
      </c>
      <c r="C257" s="151"/>
      <c r="D257" s="151"/>
      <c r="E257" s="735" t="str">
        <f>+IFERROR(E254/E255,"")</f>
        <v/>
      </c>
      <c r="F257" s="736" t="str">
        <f>+IFERROR(F254/F255,"")</f>
        <v/>
      </c>
      <c r="G257" s="736" t="str">
        <f t="shared" ref="G257:H257" si="121">+IFERROR(G254/G255,"")</f>
        <v/>
      </c>
      <c r="H257" s="736" t="str">
        <f t="shared" si="121"/>
        <v/>
      </c>
      <c r="I257" s="699"/>
      <c r="J257" s="699"/>
      <c r="K257" s="1057"/>
      <c r="L257" s="1057"/>
      <c r="M257" s="1057"/>
      <c r="N257" s="1057"/>
      <c r="O257" s="1057"/>
      <c r="P257" s="1057"/>
      <c r="Q257" s="151"/>
      <c r="R257" s="699"/>
      <c r="S257" s="699"/>
      <c r="T257" s="699"/>
      <c r="U257" s="699"/>
      <c r="V257" s="699"/>
      <c r="W257" s="151"/>
      <c r="X257" s="151"/>
      <c r="Y257" s="151"/>
      <c r="Z257" s="151"/>
      <c r="AA257" s="685" t="s">
        <v>515</v>
      </c>
      <c r="AB257" s="151"/>
      <c r="AC257" s="151"/>
      <c r="AD257" s="730">
        <v>2200</v>
      </c>
      <c r="AE257" s="731">
        <f>+$AD257</f>
        <v>2200</v>
      </c>
      <c r="AF257" s="731">
        <f>+$AD257</f>
        <v>2200</v>
      </c>
      <c r="AG257" s="731">
        <f>+$AD257</f>
        <v>2200</v>
      </c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  <c r="AU257" s="151"/>
      <c r="AV257" s="151"/>
      <c r="AW257" s="151"/>
      <c r="AX257" s="151"/>
      <c r="AY257" s="151"/>
      <c r="AZ257" s="151"/>
      <c r="BA257" s="151"/>
      <c r="BB257" s="151"/>
      <c r="BC257" s="151"/>
      <c r="BD257" s="151"/>
      <c r="BE257" s="151"/>
      <c r="BF257" s="151"/>
      <c r="BG257" s="151"/>
      <c r="BH257" s="151"/>
      <c r="BI257" s="151"/>
      <c r="BJ257" s="151"/>
      <c r="BK257" s="151"/>
      <c r="BL257" s="151"/>
      <c r="BM257" s="151"/>
      <c r="BN257" s="151"/>
      <c r="BO257" s="151"/>
      <c r="BP257" s="151"/>
      <c r="BQ257" s="151"/>
      <c r="BR257" s="151"/>
      <c r="BS257" s="151"/>
      <c r="BT257" s="151"/>
      <c r="BU257" s="151"/>
      <c r="BV257" s="151"/>
      <c r="BW257" s="151"/>
      <c r="BX257" s="151"/>
      <c r="BY257" s="151"/>
      <c r="BZ257" s="151"/>
      <c r="CA257" s="151"/>
    </row>
    <row r="258" spans="1:79" ht="15.75">
      <c r="A258" s="1047"/>
      <c r="B258" s="685" t="s">
        <v>560</v>
      </c>
      <c r="C258" s="151"/>
      <c r="D258" s="151"/>
      <c r="E258" s="733" t="str">
        <f>+IFERROR(E254/E256/12,"")</f>
        <v/>
      </c>
      <c r="F258" s="732" t="str">
        <f>+IFERROR(F254/F256/12,"")</f>
        <v/>
      </c>
      <c r="G258" s="732" t="str">
        <f t="shared" ref="G258:H258" si="122">+IFERROR(G254/G256/12,"")</f>
        <v/>
      </c>
      <c r="H258" s="732" t="str">
        <f t="shared" si="122"/>
        <v/>
      </c>
      <c r="I258" s="699"/>
      <c r="J258" s="699"/>
      <c r="K258" s="1057"/>
      <c r="L258" s="1057"/>
      <c r="M258" s="1057"/>
      <c r="N258" s="1057"/>
      <c r="O258" s="1057"/>
      <c r="P258" s="1057"/>
      <c r="Q258" s="151"/>
      <c r="R258" s="699"/>
      <c r="S258" s="699"/>
      <c r="T258" s="699"/>
      <c r="U258" s="699"/>
      <c r="V258" s="699"/>
      <c r="W258" s="151"/>
      <c r="X258" s="151"/>
      <c r="Y258" s="151"/>
      <c r="Z258" s="151"/>
      <c r="AA258" s="685" t="s">
        <v>268</v>
      </c>
      <c r="AB258" s="151"/>
      <c r="AC258" s="151"/>
      <c r="AD258" s="717"/>
      <c r="AE258" s="732">
        <f>(AE259*AE257)</f>
        <v>363000</v>
      </c>
      <c r="AF258" s="732">
        <f>(AF259*AF257)</f>
        <v>385218.50399999996</v>
      </c>
      <c r="AG258" s="732">
        <f>(AG259*AG257)</f>
        <v>400781.33156160003</v>
      </c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  <c r="AU258" s="151"/>
      <c r="AV258" s="151"/>
      <c r="AW258" s="151"/>
      <c r="AX258" s="151"/>
      <c r="AY258" s="151"/>
      <c r="AZ258" s="151"/>
      <c r="BA258" s="151"/>
      <c r="BB258" s="151"/>
      <c r="BC258" s="151"/>
      <c r="BD258" s="151"/>
      <c r="BE258" s="151"/>
      <c r="BF258" s="151"/>
      <c r="BG258" s="151"/>
      <c r="BH258" s="151"/>
      <c r="BI258" s="151"/>
      <c r="BJ258" s="151"/>
      <c r="BK258" s="151"/>
      <c r="BL258" s="151"/>
      <c r="BM258" s="151"/>
      <c r="BN258" s="151"/>
      <c r="BO258" s="151"/>
      <c r="BP258" s="151"/>
      <c r="BQ258" s="151"/>
      <c r="BR258" s="151"/>
      <c r="BS258" s="151"/>
      <c r="BT258" s="151"/>
      <c r="BU258" s="151"/>
      <c r="BV258" s="151"/>
      <c r="BW258" s="151"/>
      <c r="BX258" s="151"/>
      <c r="BY258" s="151"/>
      <c r="BZ258" s="151"/>
      <c r="CA258" s="151"/>
    </row>
    <row r="259" spans="1:79">
      <c r="A259" s="1047"/>
      <c r="B259" s="151"/>
      <c r="C259" s="151"/>
      <c r="D259" s="151"/>
      <c r="E259" s="717"/>
      <c r="F259" s="717"/>
      <c r="G259" s="717"/>
      <c r="H259" s="717"/>
      <c r="I259" s="699"/>
      <c r="J259" s="699"/>
      <c r="K259" s="1057"/>
      <c r="L259" s="1057"/>
      <c r="M259" s="1057"/>
      <c r="N259" s="1057"/>
      <c r="O259" s="1057"/>
      <c r="P259" s="1057"/>
      <c r="Q259" s="151"/>
      <c r="R259" s="699"/>
      <c r="S259" s="699"/>
      <c r="T259" s="699"/>
      <c r="U259" s="699"/>
      <c r="V259" s="699"/>
      <c r="W259" s="151"/>
      <c r="X259" s="151"/>
      <c r="Y259" s="151"/>
      <c r="Z259" s="151"/>
      <c r="AA259" s="685" t="s">
        <v>758</v>
      </c>
      <c r="AB259" s="151"/>
      <c r="AC259" s="151"/>
      <c r="AD259" s="717"/>
      <c r="AE259" s="731">
        <v>165</v>
      </c>
      <c r="AF259" s="731">
        <f>+$AE259*(1+0.02)^G$36</f>
        <v>175.09931999999998</v>
      </c>
      <c r="AG259" s="731">
        <f>+$AE259*(1+0.02)^H$36</f>
        <v>182.173332528</v>
      </c>
      <c r="AH259" s="151"/>
      <c r="AI259" s="151"/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1"/>
      <c r="AT259" s="151"/>
      <c r="AU259" s="151"/>
      <c r="AV259" s="151"/>
      <c r="AW259" s="151"/>
      <c r="AX259" s="151"/>
      <c r="AY259" s="151"/>
      <c r="AZ259" s="151"/>
      <c r="BA259" s="151"/>
      <c r="BB259" s="151"/>
      <c r="BC259" s="151"/>
      <c r="BD259" s="151"/>
      <c r="BE259" s="151"/>
      <c r="BF259" s="151"/>
      <c r="BG259" s="151"/>
      <c r="BH259" s="151"/>
      <c r="BI259" s="151"/>
      <c r="BJ259" s="151"/>
      <c r="BK259" s="151"/>
      <c r="BL259" s="151"/>
      <c r="BM259" s="151"/>
      <c r="BN259" s="151"/>
      <c r="BO259" s="151"/>
      <c r="BP259" s="151"/>
      <c r="BQ259" s="151"/>
      <c r="BR259" s="151"/>
      <c r="BS259" s="151"/>
      <c r="BT259" s="151"/>
      <c r="BU259" s="151"/>
      <c r="BV259" s="151"/>
      <c r="BW259" s="151"/>
      <c r="BX259" s="151"/>
      <c r="BY259" s="151"/>
      <c r="BZ259" s="151"/>
      <c r="CA259" s="151"/>
    </row>
    <row r="260" spans="1:79">
      <c r="A260" s="1047"/>
      <c r="B260" s="151"/>
      <c r="C260" s="151"/>
      <c r="D260" s="151"/>
      <c r="E260" s="717"/>
      <c r="F260" s="717"/>
      <c r="G260" s="717"/>
      <c r="H260" s="717"/>
      <c r="I260" s="699"/>
      <c r="J260" s="699"/>
      <c r="K260" s="1057"/>
      <c r="L260" s="1057"/>
      <c r="M260" s="1057"/>
      <c r="N260" s="1057"/>
      <c r="O260" s="1057"/>
      <c r="P260" s="1057"/>
      <c r="Q260" s="151"/>
      <c r="R260" s="699"/>
      <c r="S260" s="699"/>
      <c r="T260" s="699"/>
      <c r="U260" s="699"/>
      <c r="V260" s="699"/>
      <c r="W260" s="151"/>
      <c r="X260" s="151"/>
      <c r="Y260" s="151"/>
      <c r="Z260" s="151"/>
      <c r="AA260" s="151"/>
      <c r="AB260" s="151"/>
      <c r="AC260" s="151"/>
      <c r="AD260" s="151"/>
      <c r="AE260" s="151"/>
      <c r="AF260" s="151"/>
      <c r="AG260" s="151"/>
      <c r="AH260" s="151"/>
      <c r="AI260" s="151"/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1"/>
      <c r="AT260" s="151"/>
      <c r="AU260" s="151"/>
      <c r="AV260" s="151"/>
      <c r="AW260" s="151"/>
      <c r="AX260" s="151"/>
      <c r="AY260" s="151"/>
      <c r="AZ260" s="151"/>
      <c r="BA260" s="151"/>
      <c r="BB260" s="151"/>
      <c r="BC260" s="151"/>
      <c r="BD260" s="151"/>
      <c r="BE260" s="151"/>
      <c r="BF260" s="151"/>
      <c r="BG260" s="151"/>
      <c r="BH260" s="151"/>
      <c r="BI260" s="151"/>
      <c r="BJ260" s="151"/>
      <c r="BK260" s="151"/>
      <c r="BL260" s="151"/>
      <c r="BM260" s="151"/>
      <c r="BN260" s="151"/>
      <c r="BO260" s="151"/>
      <c r="BP260" s="151"/>
      <c r="BQ260" s="151"/>
      <c r="BR260" s="151"/>
      <c r="BS260" s="151"/>
      <c r="BT260" s="151"/>
      <c r="BU260" s="151"/>
      <c r="BV260" s="151"/>
      <c r="BW260" s="151"/>
      <c r="BX260" s="151"/>
      <c r="BY260" s="151"/>
      <c r="BZ260" s="151"/>
      <c r="CA260" s="151"/>
    </row>
    <row r="261" spans="1:79">
      <c r="A261" s="1047"/>
      <c r="B261" s="699"/>
      <c r="C261" s="699"/>
      <c r="D261" s="699"/>
      <c r="E261" s="1057"/>
      <c r="F261" s="1057"/>
      <c r="G261" s="1057"/>
      <c r="H261" s="1057"/>
      <c r="I261" s="699"/>
      <c r="J261" s="699"/>
      <c r="K261" s="1057"/>
      <c r="L261" s="1057"/>
      <c r="M261" s="1057"/>
      <c r="N261" s="1057"/>
      <c r="O261" s="1057"/>
      <c r="P261" s="1057"/>
      <c r="Q261" s="151"/>
      <c r="R261" s="699"/>
      <c r="S261" s="699"/>
      <c r="T261" s="699"/>
      <c r="U261" s="699"/>
      <c r="V261" s="699"/>
      <c r="W261" s="151"/>
      <c r="X261" s="151"/>
      <c r="Y261" s="151"/>
      <c r="Z261" s="151"/>
      <c r="AA261" s="685" t="s">
        <v>600</v>
      </c>
      <c r="AB261" s="151"/>
      <c r="AC261" s="151"/>
      <c r="AD261" s="151"/>
      <c r="AE261" s="866">
        <v>5713</v>
      </c>
      <c r="AF261" s="866">
        <f t="shared" ref="AF261:AG264" si="123">+AE261*(1+0.03)^2</f>
        <v>6060.9216999999999</v>
      </c>
      <c r="AG261" s="866">
        <f t="shared" si="123"/>
        <v>6430.0318315299992</v>
      </c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  <c r="AU261" s="151"/>
      <c r="AV261" s="151"/>
      <c r="AW261" s="151"/>
      <c r="AX261" s="151"/>
      <c r="AY261" s="151"/>
      <c r="AZ261" s="151"/>
      <c r="BA261" s="151"/>
      <c r="BB261" s="151"/>
      <c r="BC261" s="151"/>
      <c r="BD261" s="151"/>
      <c r="BE261" s="151"/>
      <c r="BF261" s="151"/>
      <c r="BG261" s="151"/>
      <c r="BH261" s="151"/>
      <c r="BI261" s="151"/>
      <c r="BJ261" s="151"/>
      <c r="BK261" s="151"/>
      <c r="BL261" s="151"/>
      <c r="BM261" s="151"/>
      <c r="BN261" s="151"/>
      <c r="BO261" s="151"/>
      <c r="BP261" s="151"/>
      <c r="BQ261" s="151"/>
      <c r="BR261" s="151"/>
      <c r="BS261" s="151"/>
      <c r="BT261" s="151"/>
      <c r="BU261" s="151"/>
      <c r="BV261" s="151"/>
      <c r="BW261" s="151"/>
      <c r="BX261" s="151"/>
      <c r="BY261" s="151"/>
      <c r="BZ261" s="151"/>
      <c r="CA261" s="151"/>
    </row>
    <row r="262" spans="1:79">
      <c r="A262" s="1047"/>
      <c r="B262" s="699"/>
      <c r="C262" s="699"/>
      <c r="D262" s="699"/>
      <c r="E262" s="1057"/>
      <c r="F262" s="1057"/>
      <c r="G262" s="1057"/>
      <c r="H262" s="1057"/>
      <c r="I262" s="699"/>
      <c r="J262" s="699"/>
      <c r="K262" s="1057"/>
      <c r="L262" s="1057"/>
      <c r="M262" s="1057"/>
      <c r="N262" s="1057"/>
      <c r="O262" s="1057"/>
      <c r="P262" s="1057"/>
      <c r="Q262" s="151"/>
      <c r="R262" s="1075"/>
      <c r="S262" s="699"/>
      <c r="T262" s="699"/>
      <c r="U262" s="699"/>
      <c r="V262" s="699"/>
      <c r="W262" s="151"/>
      <c r="X262" s="151"/>
      <c r="Y262" s="151"/>
      <c r="Z262" s="151"/>
      <c r="AA262" s="685" t="s">
        <v>592</v>
      </c>
      <c r="AB262" s="151"/>
      <c r="AC262" s="151"/>
      <c r="AD262" s="151"/>
      <c r="AE262" s="866">
        <v>5713</v>
      </c>
      <c r="AF262" s="866">
        <f t="shared" si="123"/>
        <v>6060.9216999999999</v>
      </c>
      <c r="AG262" s="866">
        <f t="shared" si="123"/>
        <v>6430.0318315299992</v>
      </c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  <c r="AU262" s="151"/>
      <c r="AV262" s="151"/>
      <c r="AW262" s="151"/>
      <c r="AX262" s="151"/>
      <c r="AY262" s="151"/>
      <c r="AZ262" s="151"/>
      <c r="BA262" s="151"/>
      <c r="BB262" s="151"/>
      <c r="BC262" s="151"/>
      <c r="BD262" s="151"/>
      <c r="BE262" s="151"/>
      <c r="BF262" s="151"/>
      <c r="BG262" s="151"/>
      <c r="BH262" s="151"/>
      <c r="BI262" s="151"/>
      <c r="BJ262" s="151"/>
      <c r="BK262" s="151"/>
      <c r="BL262" s="151"/>
      <c r="BM262" s="151"/>
      <c r="BN262" s="151"/>
      <c r="BO262" s="151"/>
      <c r="BP262" s="151"/>
      <c r="BQ262" s="151"/>
      <c r="BR262" s="151"/>
      <c r="BS262" s="151"/>
      <c r="BT262" s="151"/>
      <c r="BU262" s="151"/>
      <c r="BV262" s="151"/>
      <c r="BW262" s="151"/>
      <c r="BX262" s="151"/>
      <c r="BY262" s="151"/>
      <c r="BZ262" s="151"/>
      <c r="CA262" s="151"/>
    </row>
    <row r="263" spans="1:79">
      <c r="A263" s="1047"/>
      <c r="B263" s="699"/>
      <c r="C263" s="699"/>
      <c r="D263" s="699"/>
      <c r="E263" s="1057"/>
      <c r="F263" s="1057"/>
      <c r="G263" s="1057"/>
      <c r="H263" s="1057"/>
      <c r="I263" s="699"/>
      <c r="J263" s="699"/>
      <c r="K263" s="1057"/>
      <c r="L263" s="1057"/>
      <c r="M263" s="1057"/>
      <c r="N263" s="1057"/>
      <c r="O263" s="1057"/>
      <c r="P263" s="1057"/>
      <c r="Q263" s="151"/>
      <c r="R263" s="699"/>
      <c r="S263" s="699"/>
      <c r="T263" s="699"/>
      <c r="U263" s="699"/>
      <c r="V263" s="699"/>
      <c r="W263" s="151"/>
      <c r="X263" s="151"/>
      <c r="Y263" s="151"/>
      <c r="Z263" s="151"/>
      <c r="AA263" s="685" t="s">
        <v>340</v>
      </c>
      <c r="AB263" s="151"/>
      <c r="AC263" s="151"/>
      <c r="AD263" s="151"/>
      <c r="AE263" s="866">
        <v>5000</v>
      </c>
      <c r="AF263" s="866">
        <f t="shared" si="123"/>
        <v>5304.5</v>
      </c>
      <c r="AG263" s="866">
        <f t="shared" si="123"/>
        <v>5627.5440499999995</v>
      </c>
      <c r="AH263" s="151"/>
      <c r="AI263" s="151"/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1"/>
      <c r="AT263" s="151"/>
      <c r="AU263" s="151"/>
      <c r="AV263" s="151"/>
      <c r="AW263" s="151"/>
      <c r="AX263" s="151"/>
      <c r="AY263" s="151"/>
      <c r="AZ263" s="151"/>
      <c r="BA263" s="151"/>
      <c r="BB263" s="151"/>
      <c r="BC263" s="151"/>
      <c r="BD263" s="151"/>
      <c r="BE263" s="151"/>
      <c r="BF263" s="151"/>
      <c r="BG263" s="151"/>
      <c r="BH263" s="151"/>
      <c r="BI263" s="151"/>
      <c r="BJ263" s="151"/>
      <c r="BK263" s="151"/>
      <c r="BL263" s="151"/>
      <c r="BM263" s="151"/>
      <c r="BN263" s="151"/>
      <c r="BO263" s="151"/>
      <c r="BP263" s="151"/>
      <c r="BQ263" s="151"/>
      <c r="BR263" s="151"/>
      <c r="BS263" s="151"/>
      <c r="BT263" s="151"/>
      <c r="BU263" s="151"/>
      <c r="BV263" s="151"/>
      <c r="BW263" s="151"/>
      <c r="BX263" s="151"/>
      <c r="BY263" s="151"/>
      <c r="BZ263" s="151"/>
      <c r="CA263" s="151"/>
    </row>
    <row r="264" spans="1:79">
      <c r="A264" s="1047"/>
      <c r="B264" s="699"/>
      <c r="C264" s="699"/>
      <c r="D264" s="699"/>
      <c r="E264" s="1057"/>
      <c r="F264" s="1057"/>
      <c r="G264" s="1057"/>
      <c r="H264" s="1057"/>
      <c r="I264" s="699"/>
      <c r="J264" s="699"/>
      <c r="K264" s="1057"/>
      <c r="L264" s="1057"/>
      <c r="M264" s="1057"/>
      <c r="N264" s="1057"/>
      <c r="O264" s="1057"/>
      <c r="P264" s="1057"/>
      <c r="Q264" s="151"/>
      <c r="R264" s="699"/>
      <c r="S264" s="699"/>
      <c r="T264" s="699"/>
      <c r="U264" s="699"/>
      <c r="V264" s="699"/>
      <c r="W264" s="151"/>
      <c r="X264" s="151"/>
      <c r="Y264" s="151"/>
      <c r="Z264" s="151"/>
      <c r="AA264" s="685" t="s">
        <v>759</v>
      </c>
      <c r="AB264" s="151"/>
      <c r="AC264" s="151"/>
      <c r="AD264" s="151"/>
      <c r="AE264" s="866">
        <v>5500</v>
      </c>
      <c r="AF264" s="866">
        <f t="shared" si="123"/>
        <v>5834.95</v>
      </c>
      <c r="AG264" s="866">
        <f t="shared" si="123"/>
        <v>6190.2984549999992</v>
      </c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  <c r="AU264" s="151"/>
      <c r="AV264" s="151"/>
      <c r="AW264" s="151"/>
      <c r="AX264" s="151"/>
      <c r="AY264" s="151"/>
      <c r="AZ264" s="151"/>
      <c r="BA264" s="151"/>
      <c r="BB264" s="151"/>
      <c r="BC264" s="151"/>
      <c r="BD264" s="151"/>
      <c r="BE264" s="151"/>
      <c r="BF264" s="151"/>
      <c r="BG264" s="151"/>
      <c r="BH264" s="151"/>
      <c r="BI264" s="151"/>
      <c r="BJ264" s="151"/>
      <c r="BK264" s="151"/>
      <c r="BL264" s="151"/>
      <c r="BM264" s="151"/>
      <c r="BN264" s="151"/>
      <c r="BO264" s="151"/>
      <c r="BP264" s="151"/>
      <c r="BQ264" s="151"/>
      <c r="BR264" s="151"/>
      <c r="BS264" s="151"/>
      <c r="BT264" s="151"/>
      <c r="BU264" s="151"/>
      <c r="BV264" s="151"/>
      <c r="BW264" s="151"/>
      <c r="BX264" s="151"/>
      <c r="BY264" s="151"/>
      <c r="BZ264" s="151"/>
      <c r="CA264" s="151"/>
    </row>
    <row r="265" spans="1:79">
      <c r="A265" s="1047" t="s">
        <v>511</v>
      </c>
      <c r="B265" s="699"/>
      <c r="C265" s="699"/>
      <c r="D265" s="699"/>
      <c r="E265" s="1057"/>
      <c r="F265" s="1057"/>
      <c r="G265" s="1057"/>
      <c r="H265" s="1057"/>
      <c r="I265" s="699"/>
      <c r="J265" s="699"/>
      <c r="K265" s="1057"/>
      <c r="L265" s="1057"/>
      <c r="M265" s="1057"/>
      <c r="N265" s="1057"/>
      <c r="O265" s="1057"/>
      <c r="P265" s="1057"/>
      <c r="Q265" s="151"/>
      <c r="R265" s="699"/>
      <c r="S265" s="699"/>
      <c r="T265" s="699"/>
      <c r="U265" s="699"/>
      <c r="V265" s="699"/>
      <c r="W265" s="151"/>
      <c r="X265" s="151"/>
      <c r="Y265" s="151"/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  <c r="AU265" s="151"/>
      <c r="AV265" s="151"/>
      <c r="AW265" s="151"/>
      <c r="AX265" s="151"/>
      <c r="AY265" s="151"/>
      <c r="AZ265" s="151"/>
      <c r="BA265" s="151"/>
      <c r="BB265" s="151"/>
      <c r="BC265" s="151"/>
      <c r="BD265" s="151"/>
      <c r="BE265" s="151"/>
      <c r="BF265" s="151"/>
      <c r="BG265" s="151"/>
      <c r="BH265" s="151"/>
      <c r="BI265" s="151"/>
      <c r="BJ265" s="151"/>
      <c r="BK265" s="151"/>
      <c r="BL265" s="151"/>
      <c r="BM265" s="151"/>
      <c r="BN265" s="151"/>
      <c r="BO265" s="151"/>
      <c r="BP265" s="151"/>
      <c r="BQ265" s="151"/>
      <c r="BR265" s="151"/>
      <c r="BS265" s="151"/>
      <c r="BT265" s="151"/>
      <c r="BU265" s="151"/>
      <c r="BV265" s="151"/>
      <c r="BW265" s="151"/>
      <c r="BX265" s="151"/>
      <c r="BY265" s="151"/>
      <c r="BZ265" s="151"/>
      <c r="CA265" s="151"/>
    </row>
    <row r="266" spans="1:79">
      <c r="A266" s="1047"/>
      <c r="B266" s="699"/>
      <c r="C266" s="699"/>
      <c r="D266" s="699"/>
      <c r="E266" s="1057"/>
      <c r="F266" s="1057"/>
      <c r="G266" s="1057"/>
      <c r="H266" s="1057"/>
      <c r="I266" s="699"/>
      <c r="J266" s="699"/>
      <c r="K266" s="1057"/>
      <c r="L266" s="1057"/>
      <c r="M266" s="1057"/>
      <c r="N266" s="1057"/>
      <c r="O266" s="1057"/>
      <c r="P266" s="1057"/>
      <c r="Q266" s="151"/>
      <c r="R266" s="1075"/>
      <c r="S266" s="699"/>
      <c r="T266" s="699"/>
      <c r="U266" s="699"/>
      <c r="V266" s="699"/>
      <c r="W266" s="151"/>
      <c r="X266" s="151"/>
      <c r="Y266" s="151"/>
      <c r="Z266" s="151"/>
      <c r="AA266" s="151"/>
      <c r="AB266" s="151"/>
      <c r="AC266" s="151"/>
      <c r="AD266" s="151"/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1"/>
      <c r="AT266" s="151"/>
      <c r="AU266" s="151"/>
      <c r="AV266" s="151"/>
      <c r="AW266" s="151"/>
      <c r="AX266" s="151"/>
      <c r="AY266" s="151"/>
      <c r="AZ266" s="151"/>
      <c r="BA266" s="151"/>
      <c r="BB266" s="151"/>
      <c r="BC266" s="151"/>
      <c r="BD266" s="151"/>
      <c r="BE266" s="151"/>
      <c r="BF266" s="151"/>
      <c r="BG266" s="151"/>
      <c r="BH266" s="151"/>
      <c r="BI266" s="151"/>
      <c r="BJ266" s="151"/>
      <c r="BK266" s="151"/>
      <c r="BL266" s="151"/>
      <c r="BM266" s="151"/>
      <c r="BN266" s="151"/>
      <c r="BO266" s="151"/>
      <c r="BP266" s="151"/>
      <c r="BQ266" s="151"/>
      <c r="BR266" s="151"/>
      <c r="BS266" s="151"/>
      <c r="BT266" s="151"/>
      <c r="BU266" s="151"/>
      <c r="BV266" s="151"/>
      <c r="BW266" s="151"/>
      <c r="BX266" s="151"/>
      <c r="BY266" s="151"/>
      <c r="BZ266" s="151"/>
      <c r="CA266" s="151"/>
    </row>
    <row r="267" spans="1:79" ht="15.75">
      <c r="A267" s="1047" t="s">
        <v>511</v>
      </c>
      <c r="B267" s="699"/>
      <c r="C267" s="699"/>
      <c r="D267" s="699"/>
      <c r="E267" s="1057"/>
      <c r="F267" s="1057"/>
      <c r="G267" s="1057"/>
      <c r="H267" s="1057"/>
      <c r="I267" s="699"/>
      <c r="J267" s="699"/>
      <c r="K267" s="1057"/>
      <c r="L267" s="1057"/>
      <c r="M267" s="1057"/>
      <c r="N267" s="1057"/>
      <c r="O267" s="1057"/>
      <c r="P267" s="1057"/>
      <c r="Q267" s="151"/>
      <c r="R267" s="1042"/>
      <c r="S267" s="699"/>
      <c r="T267" s="699"/>
      <c r="U267" s="699"/>
      <c r="V267" s="699"/>
      <c r="W267" s="151"/>
      <c r="X267" s="151"/>
      <c r="Y267" s="151"/>
      <c r="Z267" s="151"/>
      <c r="AA267" s="859" t="s">
        <v>760</v>
      </c>
      <c r="AB267" s="778"/>
      <c r="AC267" s="778"/>
      <c r="AD267" s="858">
        <v>0.5</v>
      </c>
      <c r="AE267" s="858">
        <f>+$AD267</f>
        <v>0.5</v>
      </c>
      <c r="AF267" s="858">
        <f>+$AD267</f>
        <v>0.5</v>
      </c>
      <c r="AG267" s="858">
        <f>+$AD267</f>
        <v>0.5</v>
      </c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  <c r="AU267" s="151"/>
      <c r="AV267" s="151"/>
      <c r="AW267" s="151"/>
      <c r="AX267" s="151"/>
      <c r="AY267" s="151"/>
      <c r="AZ267" s="151"/>
      <c r="BA267" s="151"/>
      <c r="BB267" s="151"/>
      <c r="BC267" s="151"/>
      <c r="BD267" s="151"/>
      <c r="BE267" s="151"/>
      <c r="BF267" s="151"/>
      <c r="BG267" s="151"/>
      <c r="BH267" s="151"/>
      <c r="BI267" s="151"/>
      <c r="BJ267" s="151"/>
      <c r="BK267" s="151"/>
      <c r="BL267" s="151"/>
      <c r="BM267" s="151"/>
      <c r="BN267" s="151"/>
      <c r="BO267" s="151"/>
      <c r="BP267" s="151"/>
      <c r="BQ267" s="151"/>
      <c r="BR267" s="151"/>
      <c r="BS267" s="151"/>
      <c r="BT267" s="151"/>
      <c r="BU267" s="151"/>
      <c r="BV267" s="151"/>
      <c r="BW267" s="151"/>
      <c r="BX267" s="151"/>
      <c r="BY267" s="151"/>
      <c r="BZ267" s="151"/>
      <c r="CA267" s="151"/>
    </row>
    <row r="268" spans="1:79">
      <c r="A268" s="1047"/>
      <c r="B268" s="699"/>
      <c r="C268" s="699"/>
      <c r="D268" s="699"/>
      <c r="E268" s="1057"/>
      <c r="F268" s="699"/>
      <c r="G268" s="699"/>
      <c r="H268" s="699"/>
      <c r="I268" s="699"/>
      <c r="J268" s="699"/>
      <c r="K268" s="1057"/>
      <c r="L268" s="1057"/>
      <c r="M268" s="1057"/>
      <c r="N268" s="1057"/>
      <c r="O268" s="1057"/>
      <c r="P268" s="1057"/>
      <c r="Q268" s="151"/>
      <c r="R268" s="699"/>
      <c r="S268" s="699"/>
      <c r="T268" s="699"/>
      <c r="U268" s="699"/>
      <c r="V268" s="699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  <c r="AU268" s="151"/>
      <c r="AV268" s="151"/>
      <c r="AW268" s="151"/>
      <c r="AX268" s="151"/>
      <c r="AY268" s="151"/>
      <c r="AZ268" s="151"/>
      <c r="BA268" s="151"/>
      <c r="BB268" s="151"/>
      <c r="BC268" s="151"/>
      <c r="BD268" s="151"/>
      <c r="BE268" s="151"/>
      <c r="BF268" s="151"/>
      <c r="BG268" s="151"/>
      <c r="BH268" s="151"/>
      <c r="BI268" s="151"/>
      <c r="BJ268" s="151"/>
      <c r="BK268" s="151"/>
      <c r="BL268" s="151"/>
      <c r="BM268" s="151"/>
      <c r="BN268" s="151"/>
      <c r="BO268" s="151"/>
      <c r="BP268" s="151"/>
      <c r="BQ268" s="151"/>
      <c r="BR268" s="151"/>
      <c r="BS268" s="151"/>
      <c r="BT268" s="151"/>
      <c r="BU268" s="151"/>
      <c r="BV268" s="151"/>
      <c r="BW268" s="151"/>
      <c r="BX268" s="151"/>
      <c r="BY268" s="151"/>
      <c r="BZ268" s="151"/>
      <c r="CA268" s="151"/>
    </row>
    <row r="269" spans="1:79" ht="15.75">
      <c r="A269" s="1047"/>
      <c r="B269" s="699"/>
      <c r="C269" s="699"/>
      <c r="D269" s="699"/>
      <c r="E269" s="699"/>
      <c r="F269" s="699"/>
      <c r="G269" s="699"/>
      <c r="H269" s="699"/>
      <c r="I269" s="699"/>
      <c r="J269" s="699"/>
      <c r="K269" s="1057"/>
      <c r="L269" s="1057"/>
      <c r="M269" s="1057"/>
      <c r="N269" s="1057"/>
      <c r="O269" s="1057"/>
      <c r="P269" s="1057"/>
      <c r="Q269" s="151"/>
      <c r="R269" s="699"/>
      <c r="S269" s="699"/>
      <c r="T269" s="699"/>
      <c r="U269" s="699"/>
      <c r="V269" s="699"/>
      <c r="W269" s="151"/>
      <c r="X269" s="151"/>
      <c r="Y269" s="151"/>
      <c r="Z269" s="151"/>
      <c r="AA269" s="859" t="s">
        <v>761</v>
      </c>
      <c r="AB269" s="778"/>
      <c r="AC269" s="778"/>
      <c r="AD269" s="857">
        <v>0</v>
      </c>
      <c r="AE269" s="858">
        <f>$AD269</f>
        <v>0</v>
      </c>
      <c r="AF269" s="858">
        <f>$AD269</f>
        <v>0</v>
      </c>
      <c r="AG269" s="858">
        <f>$AD269</f>
        <v>0</v>
      </c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  <c r="AU269" s="151"/>
      <c r="AV269" s="151"/>
      <c r="AW269" s="151"/>
      <c r="AX269" s="151"/>
      <c r="AY269" s="151"/>
      <c r="AZ269" s="151"/>
      <c r="BA269" s="151"/>
      <c r="BB269" s="151"/>
      <c r="BC269" s="151"/>
      <c r="BD269" s="151"/>
      <c r="BE269" s="151"/>
      <c r="BF269" s="151"/>
      <c r="BG269" s="151"/>
      <c r="BH269" s="151"/>
      <c r="BI269" s="151"/>
      <c r="BJ269" s="151"/>
      <c r="BK269" s="151"/>
      <c r="BL269" s="151"/>
      <c r="BM269" s="151"/>
      <c r="BN269" s="151"/>
      <c r="BO269" s="151"/>
      <c r="BP269" s="151"/>
      <c r="BQ269" s="151"/>
      <c r="BR269" s="151"/>
      <c r="BS269" s="151"/>
      <c r="BT269" s="151"/>
      <c r="BU269" s="151"/>
      <c r="BV269" s="151"/>
      <c r="BW269" s="151"/>
      <c r="BX269" s="151"/>
      <c r="BY269" s="151"/>
      <c r="BZ269" s="151"/>
      <c r="CA269" s="151"/>
    </row>
    <row r="270" spans="1:79">
      <c r="A270" s="1047"/>
      <c r="B270" s="699"/>
      <c r="C270" s="699"/>
      <c r="D270" s="699"/>
      <c r="E270" s="699"/>
      <c r="F270" s="699"/>
      <c r="G270" s="699"/>
      <c r="H270" s="699"/>
      <c r="I270" s="699"/>
      <c r="J270" s="699"/>
      <c r="K270" s="1057"/>
      <c r="L270" s="1057"/>
      <c r="M270" s="1057"/>
      <c r="N270" s="1057"/>
      <c r="O270" s="1057"/>
      <c r="P270" s="1057"/>
      <c r="Q270" s="151"/>
      <c r="R270" s="699"/>
      <c r="S270" s="699"/>
      <c r="T270" s="699"/>
      <c r="U270" s="699"/>
      <c r="V270" s="699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  <c r="AU270" s="151"/>
      <c r="AV270" s="151"/>
      <c r="AW270" s="151"/>
      <c r="AX270" s="151"/>
      <c r="AY270" s="151"/>
      <c r="AZ270" s="151"/>
      <c r="BA270" s="151"/>
      <c r="BB270" s="151"/>
      <c r="BC270" s="151"/>
      <c r="BD270" s="151"/>
      <c r="BE270" s="151"/>
      <c r="BF270" s="151"/>
      <c r="BG270" s="151"/>
      <c r="BH270" s="151"/>
      <c r="BI270" s="151"/>
      <c r="BJ270" s="151"/>
      <c r="BK270" s="151"/>
      <c r="BL270" s="151"/>
      <c r="BM270" s="151"/>
      <c r="BN270" s="151"/>
      <c r="BO270" s="151"/>
      <c r="BP270" s="151"/>
      <c r="BQ270" s="151"/>
      <c r="BR270" s="151"/>
      <c r="BS270" s="151"/>
      <c r="BT270" s="151"/>
      <c r="BU270" s="151"/>
      <c r="BV270" s="151"/>
      <c r="BW270" s="151"/>
      <c r="BX270" s="151"/>
      <c r="BY270" s="151"/>
      <c r="BZ270" s="151"/>
      <c r="CA270" s="151"/>
    </row>
    <row r="271" spans="1:79">
      <c r="A271" s="1047"/>
      <c r="B271" s="699"/>
      <c r="C271" s="699"/>
      <c r="D271" s="699"/>
      <c r="E271" s="699"/>
      <c r="F271" s="699"/>
      <c r="G271" s="699"/>
      <c r="H271" s="699"/>
      <c r="I271" s="699"/>
      <c r="J271" s="699"/>
      <c r="K271" s="1057"/>
      <c r="L271" s="1057"/>
      <c r="M271" s="1057"/>
      <c r="N271" s="1057"/>
      <c r="O271" s="1057"/>
      <c r="P271" s="1057"/>
      <c r="Q271" s="151"/>
      <c r="R271" s="699"/>
      <c r="S271" s="699"/>
      <c r="T271" s="699"/>
      <c r="U271" s="699"/>
      <c r="V271" s="699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  <c r="AU271" s="151"/>
      <c r="AV271" s="151"/>
      <c r="AW271" s="151"/>
      <c r="AX271" s="151"/>
      <c r="AY271" s="151"/>
      <c r="AZ271" s="151"/>
      <c r="BA271" s="151"/>
      <c r="BB271" s="151"/>
      <c r="BC271" s="151"/>
      <c r="BD271" s="151"/>
      <c r="BE271" s="151"/>
      <c r="BF271" s="151"/>
      <c r="BG271" s="151"/>
      <c r="BH271" s="151"/>
      <c r="BI271" s="151"/>
      <c r="BJ271" s="151"/>
      <c r="BK271" s="151"/>
      <c r="BL271" s="151"/>
      <c r="BM271" s="151"/>
      <c r="BN271" s="151"/>
      <c r="BO271" s="151"/>
      <c r="BP271" s="151"/>
      <c r="BQ271" s="151"/>
      <c r="BR271" s="151"/>
      <c r="BS271" s="151"/>
      <c r="BT271" s="151"/>
      <c r="BU271" s="151"/>
      <c r="BV271" s="151"/>
      <c r="BW271" s="151"/>
      <c r="BX271" s="151"/>
      <c r="BY271" s="151"/>
      <c r="BZ271" s="151"/>
      <c r="CA271" s="151"/>
    </row>
    <row r="272" spans="1:79">
      <c r="A272" s="1047"/>
      <c r="B272" s="699"/>
      <c r="C272" s="699"/>
      <c r="D272" s="699"/>
      <c r="E272" s="699"/>
      <c r="F272" s="699"/>
      <c r="G272" s="699"/>
      <c r="H272" s="699"/>
      <c r="I272" s="699"/>
      <c r="J272" s="699"/>
      <c r="K272" s="1057"/>
      <c r="L272" s="1057"/>
      <c r="M272" s="1057"/>
      <c r="N272" s="1057"/>
      <c r="O272" s="1057"/>
      <c r="P272" s="1057"/>
      <c r="Q272" s="151"/>
      <c r="R272" s="699"/>
      <c r="S272" s="699"/>
      <c r="T272" s="699"/>
      <c r="U272" s="699"/>
      <c r="V272" s="699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  <c r="AU272" s="151"/>
      <c r="AV272" s="151"/>
      <c r="AW272" s="151"/>
      <c r="AX272" s="151"/>
      <c r="AY272" s="151"/>
      <c r="AZ272" s="151"/>
      <c r="BA272" s="151"/>
      <c r="BB272" s="151"/>
      <c r="BC272" s="151"/>
      <c r="BD272" s="151"/>
      <c r="BE272" s="151"/>
      <c r="BF272" s="151"/>
      <c r="BG272" s="151"/>
      <c r="BH272" s="151"/>
      <c r="BI272" s="151"/>
      <c r="BJ272" s="151"/>
      <c r="BK272" s="151"/>
      <c r="BL272" s="151"/>
      <c r="BM272" s="151"/>
      <c r="BN272" s="151"/>
      <c r="BO272" s="151"/>
      <c r="BP272" s="151"/>
      <c r="BQ272" s="151"/>
      <c r="BR272" s="151"/>
      <c r="BS272" s="151"/>
      <c r="BT272" s="151"/>
      <c r="BU272" s="151"/>
      <c r="BV272" s="151"/>
      <c r="BW272" s="151"/>
      <c r="BX272" s="151"/>
      <c r="BY272" s="151"/>
      <c r="BZ272" s="151"/>
      <c r="CA272" s="151"/>
    </row>
    <row r="273" spans="10:79">
      <c r="J273" s="699"/>
      <c r="K273" s="1057"/>
      <c r="L273" s="1057"/>
      <c r="M273" s="1057"/>
      <c r="N273" s="1057"/>
      <c r="O273" s="1057"/>
      <c r="P273" s="1057"/>
      <c r="Q273" s="151"/>
      <c r="R273" s="699"/>
      <c r="S273" s="699"/>
      <c r="T273" s="699"/>
      <c r="U273" s="699"/>
      <c r="V273" s="699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  <c r="AU273" s="151"/>
      <c r="AV273" s="151"/>
      <c r="AW273" s="151"/>
      <c r="AX273" s="151"/>
      <c r="AY273" s="151"/>
      <c r="AZ273" s="151"/>
      <c r="BA273" s="151"/>
      <c r="BB273" s="151"/>
      <c r="BC273" s="151"/>
      <c r="BD273" s="151"/>
      <c r="BE273" s="151"/>
      <c r="BF273" s="151"/>
      <c r="BG273" s="151"/>
      <c r="BH273" s="151"/>
      <c r="BI273" s="151"/>
      <c r="BJ273" s="151"/>
      <c r="BK273" s="151"/>
      <c r="BL273" s="151"/>
      <c r="BM273" s="151"/>
      <c r="BN273" s="151"/>
      <c r="BO273" s="151"/>
      <c r="BP273" s="151"/>
      <c r="BQ273" s="151"/>
      <c r="BR273" s="151"/>
      <c r="BS273" s="151"/>
      <c r="BT273" s="151"/>
      <c r="BU273" s="151"/>
      <c r="BV273" s="151"/>
      <c r="BW273" s="151"/>
      <c r="BX273" s="151"/>
      <c r="BY273" s="151"/>
      <c r="BZ273" s="151"/>
      <c r="CA273" s="151"/>
    </row>
    <row r="274" spans="10:79">
      <c r="J274" s="699"/>
      <c r="K274" s="1057"/>
      <c r="L274" s="1057"/>
      <c r="M274" s="1057"/>
      <c r="N274" s="1057"/>
      <c r="O274" s="1057"/>
      <c r="P274" s="1057"/>
      <c r="Q274" s="151"/>
      <c r="R274" s="699"/>
      <c r="S274" s="699"/>
      <c r="T274" s="699"/>
      <c r="U274" s="699"/>
      <c r="V274" s="699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  <c r="AU274" s="151"/>
      <c r="AV274" s="151"/>
      <c r="AW274" s="151"/>
      <c r="AX274" s="151"/>
      <c r="AY274" s="151"/>
      <c r="AZ274" s="151"/>
      <c r="BA274" s="151"/>
      <c r="BB274" s="151"/>
      <c r="BC274" s="151"/>
      <c r="BD274" s="151"/>
      <c r="BE274" s="151"/>
      <c r="BF274" s="151"/>
      <c r="BG274" s="151"/>
      <c r="BH274" s="151"/>
      <c r="BI274" s="151"/>
      <c r="BJ274" s="151"/>
      <c r="BK274" s="151"/>
      <c r="BL274" s="151"/>
      <c r="BM274" s="151"/>
      <c r="BN274" s="151"/>
      <c r="BO274" s="151"/>
      <c r="BP274" s="151"/>
      <c r="BQ274" s="151"/>
      <c r="BR274" s="151"/>
      <c r="BS274" s="151"/>
      <c r="BT274" s="151"/>
      <c r="BU274" s="151"/>
      <c r="BV274" s="151"/>
      <c r="BW274" s="151"/>
      <c r="BX274" s="151"/>
      <c r="BY274" s="151"/>
      <c r="BZ274" s="151"/>
      <c r="CA274" s="151"/>
    </row>
    <row r="275" spans="10:79">
      <c r="J275" s="699"/>
      <c r="K275" s="1057"/>
      <c r="L275" s="1057"/>
      <c r="M275" s="1057"/>
      <c r="N275" s="1057"/>
      <c r="O275" s="1057"/>
      <c r="P275" s="1057"/>
      <c r="Q275" s="151"/>
      <c r="R275" s="699"/>
      <c r="S275" s="699"/>
      <c r="T275" s="699"/>
      <c r="U275" s="699"/>
      <c r="V275" s="699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I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  <c r="AU275" s="151"/>
      <c r="AV275" s="151"/>
      <c r="AW275" s="151"/>
      <c r="AX275" s="151"/>
      <c r="AY275" s="151"/>
      <c r="AZ275" s="151"/>
      <c r="BA275" s="151"/>
      <c r="BB275" s="151"/>
      <c r="BC275" s="151"/>
      <c r="BD275" s="151"/>
      <c r="BE275" s="151"/>
      <c r="BF275" s="151"/>
      <c r="BG275" s="151"/>
      <c r="BH275" s="151"/>
      <c r="BI275" s="151"/>
      <c r="BJ275" s="151"/>
      <c r="BK275" s="151"/>
      <c r="BL275" s="151"/>
      <c r="BM275" s="151"/>
      <c r="BN275" s="151"/>
      <c r="BO275" s="151"/>
      <c r="BP275" s="151"/>
      <c r="BQ275" s="151"/>
      <c r="BR275" s="151"/>
      <c r="BS275" s="151"/>
      <c r="BT275" s="151"/>
      <c r="BU275" s="151"/>
      <c r="BV275" s="151"/>
      <c r="BW275" s="151"/>
      <c r="BX275" s="151"/>
      <c r="BY275" s="151"/>
      <c r="BZ275" s="151"/>
      <c r="CA275" s="151"/>
    </row>
    <row r="276" spans="10:79">
      <c r="J276" s="699"/>
      <c r="K276" s="1057"/>
      <c r="L276" s="1057"/>
      <c r="M276" s="1057"/>
      <c r="N276" s="1057"/>
      <c r="O276" s="1057"/>
      <c r="P276" s="1057"/>
      <c r="Q276" s="151"/>
      <c r="R276" s="699"/>
      <c r="S276" s="699"/>
      <c r="T276" s="699"/>
      <c r="U276" s="699"/>
      <c r="V276" s="699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  <c r="AU276" s="151"/>
      <c r="AV276" s="151"/>
      <c r="AW276" s="151"/>
      <c r="AX276" s="151"/>
      <c r="AY276" s="151"/>
      <c r="AZ276" s="151"/>
      <c r="BA276" s="151"/>
      <c r="BB276" s="151"/>
      <c r="BC276" s="151"/>
      <c r="BD276" s="151"/>
      <c r="BE276" s="151"/>
      <c r="BF276" s="151"/>
      <c r="BG276" s="151"/>
      <c r="BH276" s="151"/>
      <c r="BI276" s="151"/>
      <c r="BJ276" s="151"/>
      <c r="BK276" s="151"/>
      <c r="BL276" s="151"/>
      <c r="BM276" s="151"/>
      <c r="BN276" s="151"/>
      <c r="BO276" s="151"/>
      <c r="BP276" s="151"/>
      <c r="BQ276" s="151"/>
      <c r="BR276" s="151"/>
      <c r="BS276" s="151"/>
      <c r="BT276" s="151"/>
      <c r="BU276" s="151"/>
      <c r="BV276" s="151"/>
      <c r="BW276" s="151"/>
      <c r="BX276" s="151"/>
      <c r="BY276" s="151"/>
      <c r="BZ276" s="151"/>
      <c r="CA276" s="151"/>
    </row>
    <row r="277" spans="10:79">
      <c r="J277" s="699"/>
      <c r="K277" s="1057"/>
      <c r="L277" s="1057"/>
      <c r="M277" s="1057"/>
      <c r="N277" s="1057"/>
      <c r="O277" s="1057"/>
      <c r="P277" s="1057"/>
      <c r="Q277" s="151"/>
      <c r="R277" s="699"/>
      <c r="S277" s="699"/>
      <c r="T277" s="699"/>
      <c r="U277" s="699"/>
      <c r="V277" s="699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  <c r="AU277" s="151"/>
      <c r="AV277" s="151"/>
      <c r="AW277" s="151"/>
      <c r="AX277" s="151"/>
      <c r="AY277" s="151"/>
      <c r="AZ277" s="151"/>
      <c r="BA277" s="151"/>
      <c r="BB277" s="151"/>
      <c r="BC277" s="151"/>
      <c r="BD277" s="151"/>
      <c r="BE277" s="151"/>
      <c r="BF277" s="151"/>
      <c r="BG277" s="151"/>
      <c r="BH277" s="151"/>
      <c r="BI277" s="151"/>
      <c r="BJ277" s="151"/>
      <c r="BK277" s="151"/>
      <c r="BL277" s="151"/>
      <c r="BM277" s="151"/>
      <c r="BN277" s="151"/>
      <c r="BO277" s="151"/>
      <c r="BP277" s="151"/>
      <c r="BQ277" s="151"/>
      <c r="BR277" s="151"/>
      <c r="BS277" s="151"/>
      <c r="BT277" s="151"/>
      <c r="BU277" s="151"/>
      <c r="BV277" s="151"/>
      <c r="BW277" s="151"/>
      <c r="BX277" s="151"/>
      <c r="BY277" s="151"/>
      <c r="BZ277" s="151"/>
      <c r="CA277" s="151"/>
    </row>
    <row r="278" spans="10:79">
      <c r="J278" s="699"/>
      <c r="K278" s="1057"/>
      <c r="L278" s="1057"/>
      <c r="M278" s="1057"/>
      <c r="N278" s="1057"/>
      <c r="O278" s="1057"/>
      <c r="P278" s="1057"/>
      <c r="Q278" s="151"/>
      <c r="R278" s="699"/>
      <c r="S278" s="699"/>
      <c r="T278" s="699"/>
      <c r="U278" s="699"/>
      <c r="V278" s="699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  <c r="AU278" s="151"/>
      <c r="AV278" s="151"/>
      <c r="AW278" s="151"/>
      <c r="AX278" s="151"/>
      <c r="AY278" s="151"/>
      <c r="AZ278" s="151"/>
      <c r="BA278" s="151"/>
      <c r="BB278" s="151"/>
      <c r="BC278" s="151"/>
      <c r="BD278" s="151"/>
      <c r="BE278" s="151"/>
      <c r="BF278" s="151"/>
      <c r="BG278" s="151"/>
      <c r="BH278" s="151"/>
      <c r="BI278" s="151"/>
      <c r="BJ278" s="151"/>
      <c r="BK278" s="151"/>
      <c r="BL278" s="151"/>
      <c r="BM278" s="151"/>
      <c r="BN278" s="151"/>
      <c r="BO278" s="151"/>
      <c r="BP278" s="151"/>
      <c r="BQ278" s="151"/>
      <c r="BR278" s="151"/>
      <c r="BS278" s="151"/>
      <c r="BT278" s="151"/>
      <c r="BU278" s="151"/>
      <c r="BV278" s="151"/>
      <c r="BW278" s="151"/>
      <c r="BX278" s="151"/>
      <c r="BY278" s="151"/>
      <c r="BZ278" s="151"/>
      <c r="CA278" s="151"/>
    </row>
    <row r="279" spans="10:79">
      <c r="J279" s="699"/>
      <c r="K279" s="1057"/>
      <c r="L279" s="1057"/>
      <c r="M279" s="1057"/>
      <c r="N279" s="1057"/>
      <c r="O279" s="1057"/>
      <c r="P279" s="1057"/>
      <c r="Q279" s="151"/>
      <c r="R279" s="699"/>
      <c r="S279" s="699"/>
      <c r="T279" s="699"/>
      <c r="U279" s="699"/>
      <c r="V279" s="699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  <c r="AU279" s="151"/>
      <c r="AV279" s="151"/>
      <c r="AW279" s="151"/>
      <c r="AX279" s="151"/>
      <c r="AY279" s="151"/>
      <c r="AZ279" s="151"/>
      <c r="BA279" s="151"/>
      <c r="BB279" s="151"/>
      <c r="BC279" s="151"/>
      <c r="BD279" s="151"/>
      <c r="BE279" s="151"/>
      <c r="BF279" s="151"/>
      <c r="BG279" s="151"/>
      <c r="BH279" s="151"/>
      <c r="BI279" s="151"/>
      <c r="BJ279" s="151"/>
      <c r="BK279" s="151"/>
      <c r="BL279" s="151"/>
      <c r="BM279" s="151"/>
      <c r="BN279" s="151"/>
      <c r="BO279" s="151"/>
      <c r="BP279" s="151"/>
      <c r="BQ279" s="151"/>
      <c r="BR279" s="151"/>
      <c r="BS279" s="151"/>
      <c r="BT279" s="151"/>
      <c r="BU279" s="151"/>
      <c r="BV279" s="151"/>
      <c r="BW279" s="151"/>
      <c r="BX279" s="151"/>
      <c r="BY279" s="151"/>
      <c r="BZ279" s="151"/>
      <c r="CA279" s="151"/>
    </row>
    <row r="280" spans="10:79">
      <c r="J280" s="699"/>
      <c r="K280" s="1057"/>
      <c r="L280" s="1057"/>
      <c r="M280" s="1057"/>
      <c r="N280" s="1057"/>
      <c r="O280" s="1057"/>
      <c r="P280" s="1057"/>
      <c r="Q280" s="151"/>
      <c r="R280" s="699"/>
      <c r="S280" s="699"/>
      <c r="T280" s="699"/>
      <c r="U280" s="699"/>
      <c r="V280" s="699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  <c r="AU280" s="151"/>
      <c r="AV280" s="151"/>
      <c r="AW280" s="151"/>
      <c r="AX280" s="151"/>
      <c r="AY280" s="151"/>
      <c r="AZ280" s="151"/>
      <c r="BA280" s="151"/>
      <c r="BB280" s="151"/>
      <c r="BC280" s="151"/>
      <c r="BD280" s="151"/>
      <c r="BE280" s="151"/>
      <c r="BF280" s="151"/>
      <c r="BG280" s="151"/>
      <c r="BH280" s="151"/>
      <c r="BI280" s="151"/>
      <c r="BJ280" s="151"/>
      <c r="BK280" s="151"/>
      <c r="BL280" s="151"/>
      <c r="BM280" s="151"/>
      <c r="BN280" s="151"/>
      <c r="BO280" s="151"/>
      <c r="BP280" s="151"/>
      <c r="BQ280" s="151"/>
      <c r="BR280" s="151"/>
      <c r="BS280" s="151"/>
      <c r="BT280" s="151"/>
      <c r="BU280" s="151"/>
      <c r="BV280" s="151"/>
      <c r="BW280" s="151"/>
      <c r="BX280" s="151"/>
      <c r="BY280" s="151"/>
      <c r="BZ280" s="151"/>
      <c r="CA280" s="151"/>
    </row>
    <row r="281" spans="10:79">
      <c r="J281" s="699"/>
      <c r="K281" s="1057"/>
      <c r="L281" s="1057"/>
      <c r="M281" s="1057"/>
      <c r="N281" s="1057"/>
      <c r="O281" s="1057"/>
      <c r="P281" s="1057"/>
      <c r="Q281" s="151"/>
      <c r="R281" s="699"/>
      <c r="S281" s="699"/>
      <c r="T281" s="699"/>
      <c r="U281" s="699"/>
      <c r="V281" s="699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  <c r="AU281" s="151"/>
      <c r="AV281" s="151"/>
      <c r="AW281" s="151"/>
      <c r="AX281" s="151"/>
      <c r="AY281" s="151"/>
      <c r="AZ281" s="151"/>
      <c r="BA281" s="151"/>
      <c r="BB281" s="151"/>
      <c r="BC281" s="151"/>
      <c r="BD281" s="151"/>
      <c r="BE281" s="151"/>
      <c r="BF281" s="151"/>
      <c r="BG281" s="151"/>
      <c r="BH281" s="151"/>
      <c r="BI281" s="151"/>
      <c r="BJ281" s="151"/>
      <c r="BK281" s="151"/>
      <c r="BL281" s="151"/>
      <c r="BM281" s="151"/>
      <c r="BN281" s="151"/>
      <c r="BO281" s="151"/>
      <c r="BP281" s="151"/>
      <c r="BQ281" s="151"/>
      <c r="BR281" s="151"/>
      <c r="BS281" s="151"/>
      <c r="BT281" s="151"/>
      <c r="BU281" s="151"/>
      <c r="BV281" s="151"/>
      <c r="BW281" s="151"/>
      <c r="BX281" s="151"/>
      <c r="BY281" s="151"/>
      <c r="BZ281" s="151"/>
      <c r="CA281" s="151"/>
    </row>
    <row r="282" spans="10:79">
      <c r="J282" s="699"/>
      <c r="K282" s="1057"/>
      <c r="L282" s="1057"/>
      <c r="M282" s="1057"/>
      <c r="N282" s="1057"/>
      <c r="O282" s="1057"/>
      <c r="P282" s="1057"/>
      <c r="Q282" s="151"/>
      <c r="R282" s="699"/>
      <c r="S282" s="699"/>
      <c r="T282" s="699"/>
      <c r="U282" s="699"/>
      <c r="V282" s="699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  <c r="AU282" s="151"/>
      <c r="AV282" s="151"/>
      <c r="AW282" s="151"/>
      <c r="AX282" s="151"/>
      <c r="AY282" s="151"/>
      <c r="AZ282" s="151"/>
      <c r="BA282" s="151"/>
      <c r="BB282" s="151"/>
      <c r="BC282" s="151"/>
      <c r="BD282" s="151"/>
      <c r="BE282" s="151"/>
      <c r="BF282" s="151"/>
      <c r="BG282" s="151"/>
      <c r="BH282" s="151"/>
      <c r="BI282" s="151"/>
      <c r="BJ282" s="151"/>
      <c r="BK282" s="151"/>
      <c r="BL282" s="151"/>
      <c r="BM282" s="151"/>
      <c r="BN282" s="151"/>
      <c r="BO282" s="151"/>
      <c r="BP282" s="151"/>
      <c r="BQ282" s="151"/>
      <c r="BR282" s="151"/>
      <c r="BS282" s="151"/>
      <c r="BT282" s="151"/>
      <c r="BU282" s="151"/>
      <c r="BV282" s="151"/>
      <c r="BW282" s="151"/>
      <c r="BX282" s="151"/>
      <c r="BY282" s="151"/>
      <c r="BZ282" s="151"/>
      <c r="CA282" s="151"/>
    </row>
    <row r="283" spans="10:79">
      <c r="J283" s="699"/>
      <c r="K283" s="1057"/>
      <c r="L283" s="1057"/>
      <c r="M283" s="1057"/>
      <c r="N283" s="1057"/>
      <c r="O283" s="1057"/>
      <c r="P283" s="1057"/>
      <c r="Q283" s="151"/>
      <c r="R283" s="699"/>
      <c r="S283" s="699"/>
      <c r="T283" s="699"/>
      <c r="U283" s="699"/>
      <c r="V283" s="699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  <c r="AU283" s="151"/>
      <c r="AV283" s="151"/>
      <c r="AW283" s="151"/>
      <c r="AX283" s="151"/>
      <c r="AY283" s="151"/>
      <c r="AZ283" s="151"/>
      <c r="BA283" s="151"/>
      <c r="BB283" s="151"/>
      <c r="BC283" s="151"/>
      <c r="BD283" s="151"/>
      <c r="BE283" s="151"/>
      <c r="BF283" s="151"/>
      <c r="BG283" s="151"/>
      <c r="BH283" s="151"/>
      <c r="BI283" s="151"/>
      <c r="BJ283" s="151"/>
      <c r="BK283" s="151"/>
      <c r="BL283" s="151"/>
      <c r="BM283" s="151"/>
      <c r="BN283" s="151"/>
      <c r="BO283" s="151"/>
      <c r="BP283" s="151"/>
      <c r="BQ283" s="151"/>
      <c r="BR283" s="151"/>
      <c r="BS283" s="151"/>
      <c r="BT283" s="151"/>
      <c r="BU283" s="151"/>
      <c r="BV283" s="151"/>
      <c r="BW283" s="151"/>
      <c r="BX283" s="151"/>
      <c r="BY283" s="151"/>
      <c r="BZ283" s="151"/>
      <c r="CA283" s="151"/>
    </row>
    <row r="284" spans="10:79">
      <c r="J284" s="699"/>
      <c r="K284" s="1057"/>
      <c r="L284" s="1057"/>
      <c r="M284" s="1057"/>
      <c r="N284" s="1057"/>
      <c r="O284" s="1057"/>
      <c r="P284" s="1057"/>
      <c r="Q284" s="699"/>
      <c r="R284" s="699"/>
      <c r="S284" s="699"/>
      <c r="T284" s="699"/>
      <c r="U284" s="699"/>
      <c r="V284" s="699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  <c r="AU284" s="151"/>
      <c r="AV284" s="151"/>
      <c r="AW284" s="151"/>
      <c r="AX284" s="151"/>
      <c r="AY284" s="151"/>
      <c r="AZ284" s="151"/>
      <c r="BA284" s="151"/>
      <c r="BB284" s="151"/>
      <c r="BC284" s="151"/>
      <c r="BD284" s="151"/>
      <c r="BE284" s="151"/>
      <c r="BF284" s="151"/>
      <c r="BG284" s="151"/>
      <c r="BH284" s="151"/>
      <c r="BI284" s="151"/>
      <c r="BJ284" s="151"/>
      <c r="BK284" s="151"/>
      <c r="BL284" s="151"/>
      <c r="BM284" s="151"/>
      <c r="BN284" s="151"/>
      <c r="BO284" s="151"/>
      <c r="BP284" s="151"/>
      <c r="BQ284" s="151"/>
      <c r="BR284" s="151"/>
      <c r="BS284" s="151"/>
      <c r="BT284" s="151"/>
      <c r="BU284" s="151"/>
      <c r="BV284" s="151"/>
      <c r="BW284" s="151"/>
      <c r="BX284" s="151"/>
      <c r="BY284" s="151"/>
      <c r="BZ284" s="151"/>
      <c r="CA284" s="151"/>
    </row>
    <row r="285" spans="10:79">
      <c r="J285" s="699"/>
      <c r="K285" s="1057"/>
      <c r="L285" s="1057"/>
      <c r="M285" s="1057"/>
      <c r="N285" s="1057"/>
      <c r="O285" s="1057"/>
      <c r="P285" s="1057"/>
      <c r="Q285" s="699"/>
      <c r="R285" s="699"/>
      <c r="S285" s="699"/>
      <c r="T285" s="699"/>
      <c r="U285" s="699"/>
      <c r="V285" s="699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  <c r="AU285" s="151"/>
      <c r="AV285" s="151"/>
      <c r="AW285" s="151"/>
      <c r="AX285" s="151"/>
      <c r="AY285" s="151"/>
      <c r="AZ285" s="151"/>
      <c r="BA285" s="151"/>
      <c r="BB285" s="151"/>
      <c r="BC285" s="151"/>
      <c r="BD285" s="151"/>
      <c r="BE285" s="151"/>
      <c r="BF285" s="151"/>
      <c r="BG285" s="151"/>
      <c r="BH285" s="151"/>
      <c r="BI285" s="151"/>
      <c r="BJ285" s="151"/>
      <c r="BK285" s="151"/>
      <c r="BL285" s="151"/>
      <c r="BM285" s="151"/>
      <c r="BN285" s="151"/>
      <c r="BO285" s="151"/>
      <c r="BP285" s="151"/>
      <c r="BQ285" s="151"/>
      <c r="BR285" s="151"/>
      <c r="BS285" s="151"/>
      <c r="BT285" s="151"/>
      <c r="BU285" s="151"/>
      <c r="BV285" s="151"/>
      <c r="BW285" s="151"/>
      <c r="BX285" s="151"/>
      <c r="BY285" s="151"/>
      <c r="BZ285" s="151"/>
      <c r="CA285" s="151"/>
    </row>
    <row r="286" spans="10:79">
      <c r="J286" s="699"/>
      <c r="K286" s="1057"/>
      <c r="L286" s="1057"/>
      <c r="M286" s="1057"/>
      <c r="N286" s="1057"/>
      <c r="O286" s="1057"/>
      <c r="P286" s="1057"/>
      <c r="Q286" s="699"/>
      <c r="R286" s="699"/>
      <c r="S286" s="699"/>
      <c r="T286" s="699"/>
      <c r="U286" s="699"/>
      <c r="V286" s="699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  <c r="AU286" s="151"/>
      <c r="AV286" s="151"/>
      <c r="AW286" s="151"/>
      <c r="AX286" s="151"/>
      <c r="AY286" s="151"/>
      <c r="AZ286" s="151"/>
      <c r="BA286" s="151"/>
      <c r="BB286" s="151"/>
      <c r="BC286" s="151"/>
      <c r="BD286" s="151"/>
      <c r="BE286" s="151"/>
      <c r="BF286" s="151"/>
      <c r="BG286" s="151"/>
      <c r="BH286" s="151"/>
      <c r="BI286" s="151"/>
      <c r="BJ286" s="151"/>
      <c r="BK286" s="151"/>
      <c r="BL286" s="151"/>
      <c r="BM286" s="151"/>
      <c r="BN286" s="151"/>
      <c r="BO286" s="151"/>
      <c r="BP286" s="151"/>
      <c r="BQ286" s="151"/>
      <c r="BR286" s="151"/>
      <c r="BS286" s="151"/>
      <c r="BT286" s="151"/>
      <c r="BU286" s="151"/>
      <c r="BV286" s="151"/>
      <c r="BW286" s="151"/>
      <c r="BX286" s="151"/>
      <c r="BY286" s="151"/>
      <c r="BZ286" s="151"/>
      <c r="CA286" s="151"/>
    </row>
    <row r="287" spans="10:79" ht="15.75">
      <c r="J287" s="132"/>
      <c r="K287" s="179"/>
      <c r="L287" s="1057"/>
      <c r="M287" s="1057"/>
      <c r="N287" s="1057"/>
      <c r="O287" s="1057"/>
      <c r="P287" s="1057"/>
      <c r="Q287" s="699"/>
      <c r="R287" s="699"/>
      <c r="S287" s="699"/>
      <c r="T287" s="699"/>
      <c r="U287" s="699"/>
      <c r="V287" s="699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I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  <c r="AU287" s="151"/>
      <c r="AV287" s="151"/>
      <c r="AW287" s="151"/>
      <c r="AX287" s="151"/>
      <c r="AY287" s="151"/>
      <c r="AZ287" s="151"/>
      <c r="BA287" s="151"/>
      <c r="BB287" s="151"/>
      <c r="BC287" s="151"/>
      <c r="BD287" s="151"/>
      <c r="BE287" s="151"/>
      <c r="BF287" s="151"/>
      <c r="BG287" s="151"/>
      <c r="BH287" s="151"/>
      <c r="BI287" s="151"/>
      <c r="BJ287" s="151"/>
      <c r="BK287" s="151"/>
      <c r="BL287" s="151"/>
      <c r="BM287" s="151"/>
      <c r="BN287" s="151"/>
      <c r="BO287" s="151"/>
      <c r="BP287" s="151"/>
      <c r="BQ287" s="151"/>
      <c r="BR287" s="151"/>
      <c r="BS287" s="151"/>
      <c r="BT287" s="151"/>
      <c r="BU287" s="151"/>
      <c r="BV287" s="151"/>
      <c r="BW287" s="151"/>
      <c r="BX287" s="151"/>
      <c r="BY287" s="151"/>
      <c r="BZ287" s="151"/>
      <c r="CA287" s="151"/>
    </row>
    <row r="288" spans="10:79">
      <c r="J288" s="699"/>
      <c r="K288" s="1057"/>
      <c r="L288" s="1057"/>
      <c r="M288" s="1057"/>
      <c r="N288" s="1057"/>
      <c r="O288" s="1057"/>
      <c r="P288" s="1057"/>
      <c r="Q288" s="699"/>
      <c r="R288" s="699"/>
      <c r="S288" s="699"/>
      <c r="T288" s="699"/>
      <c r="U288" s="699"/>
      <c r="V288" s="699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  <c r="AU288" s="151"/>
      <c r="AV288" s="151"/>
      <c r="AW288" s="151"/>
      <c r="AX288" s="151"/>
      <c r="AY288" s="151"/>
      <c r="AZ288" s="151"/>
      <c r="BA288" s="151"/>
      <c r="BB288" s="151"/>
      <c r="BC288" s="151"/>
      <c r="BD288" s="151"/>
      <c r="BE288" s="151"/>
      <c r="BF288" s="151"/>
      <c r="BG288" s="151"/>
      <c r="BH288" s="151"/>
      <c r="BI288" s="151"/>
      <c r="BJ288" s="151"/>
      <c r="BK288" s="151"/>
      <c r="BL288" s="151"/>
      <c r="BM288" s="151"/>
      <c r="BN288" s="151"/>
      <c r="BO288" s="151"/>
      <c r="BP288" s="151"/>
      <c r="BQ288" s="151"/>
      <c r="BR288" s="151"/>
      <c r="BS288" s="151"/>
      <c r="BT288" s="151"/>
      <c r="BU288" s="151"/>
      <c r="BV288" s="151"/>
      <c r="BW288" s="151"/>
      <c r="BX288" s="151"/>
      <c r="BY288" s="151"/>
      <c r="BZ288" s="151"/>
      <c r="CA288" s="151"/>
    </row>
    <row r="289" spans="1:79">
      <c r="A289" s="1047"/>
      <c r="B289" s="699"/>
      <c r="C289" s="699"/>
      <c r="D289" s="699"/>
      <c r="E289" s="699"/>
      <c r="F289" s="699"/>
      <c r="G289" s="699"/>
      <c r="H289" s="699"/>
      <c r="I289" s="699"/>
      <c r="J289" s="699"/>
      <c r="K289" s="1057"/>
      <c r="L289" s="1057"/>
      <c r="M289" s="1057"/>
      <c r="N289" s="1057"/>
      <c r="O289" s="1057"/>
      <c r="P289" s="1057"/>
      <c r="Q289" s="699"/>
      <c r="R289" s="699"/>
      <c r="S289" s="699"/>
      <c r="T289" s="699"/>
      <c r="U289" s="699"/>
      <c r="V289" s="699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  <c r="AU289" s="151"/>
      <c r="AV289" s="151"/>
      <c r="AW289" s="151"/>
      <c r="AX289" s="151"/>
      <c r="AY289" s="151"/>
      <c r="AZ289" s="151"/>
      <c r="BA289" s="151"/>
      <c r="BB289" s="151"/>
      <c r="BC289" s="151"/>
      <c r="BD289" s="151"/>
      <c r="BE289" s="151"/>
      <c r="BF289" s="151"/>
      <c r="BG289" s="151"/>
      <c r="BH289" s="151"/>
      <c r="BI289" s="151"/>
      <c r="BJ289" s="151"/>
      <c r="BK289" s="151"/>
      <c r="BL289" s="151"/>
      <c r="BM289" s="151"/>
      <c r="BN289" s="151"/>
      <c r="BO289" s="151"/>
      <c r="BP289" s="151"/>
      <c r="BQ289" s="151"/>
      <c r="BR289" s="151"/>
      <c r="BS289" s="151"/>
      <c r="BT289" s="151"/>
      <c r="BU289" s="151"/>
      <c r="BV289" s="151"/>
      <c r="BW289" s="151"/>
      <c r="BX289" s="151"/>
      <c r="BY289" s="151"/>
      <c r="BZ289" s="151"/>
      <c r="CA289" s="151"/>
    </row>
    <row r="290" spans="1:79">
      <c r="A290" s="1047"/>
      <c r="B290" s="699"/>
      <c r="C290" s="699"/>
      <c r="D290" s="699"/>
      <c r="E290" s="699"/>
      <c r="F290" s="699"/>
      <c r="G290" s="699"/>
      <c r="H290" s="699"/>
      <c r="I290" s="699"/>
      <c r="J290" s="699"/>
      <c r="K290" s="1057"/>
      <c r="L290" s="1057"/>
      <c r="M290" s="1057"/>
      <c r="N290" s="1057"/>
      <c r="O290" s="1057"/>
      <c r="P290" s="1057"/>
      <c r="Q290" s="699"/>
      <c r="R290" s="699"/>
      <c r="S290" s="699"/>
      <c r="T290" s="699"/>
      <c r="U290" s="699"/>
      <c r="V290" s="699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  <c r="AU290" s="151"/>
      <c r="AV290" s="151"/>
      <c r="AW290" s="151"/>
      <c r="AX290" s="151"/>
      <c r="AY290" s="151"/>
      <c r="AZ290" s="151"/>
      <c r="BA290" s="151"/>
      <c r="BB290" s="151"/>
      <c r="BC290" s="151"/>
      <c r="BD290" s="151"/>
      <c r="BE290" s="151"/>
      <c r="BF290" s="151"/>
      <c r="BG290" s="151"/>
      <c r="BH290" s="151"/>
      <c r="BI290" s="151"/>
      <c r="BJ290" s="151"/>
      <c r="BK290" s="151"/>
      <c r="BL290" s="151"/>
      <c r="BM290" s="151"/>
      <c r="BN290" s="151"/>
      <c r="BO290" s="151"/>
      <c r="BP290" s="151"/>
      <c r="BQ290" s="151"/>
      <c r="BR290" s="151"/>
      <c r="BS290" s="151"/>
      <c r="BT290" s="151"/>
      <c r="BU290" s="151"/>
      <c r="BV290" s="151"/>
      <c r="BW290" s="151"/>
      <c r="BX290" s="151"/>
      <c r="BY290" s="151"/>
      <c r="BZ290" s="151"/>
      <c r="CA290" s="151"/>
    </row>
    <row r="291" spans="1:79">
      <c r="A291" s="1047"/>
      <c r="B291" s="699"/>
      <c r="C291" s="699"/>
      <c r="D291" s="699"/>
      <c r="E291" s="699"/>
      <c r="F291" s="699"/>
      <c r="G291" s="699"/>
      <c r="H291" s="699"/>
      <c r="I291" s="699"/>
      <c r="J291" s="699"/>
      <c r="K291" s="1057"/>
      <c r="L291" s="1057"/>
      <c r="M291" s="1057"/>
      <c r="N291" s="1057"/>
      <c r="O291" s="1057"/>
      <c r="P291" s="1057"/>
      <c r="Q291" s="699"/>
      <c r="R291" s="699"/>
      <c r="S291" s="699"/>
      <c r="T291" s="699"/>
      <c r="U291" s="699"/>
      <c r="V291" s="699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I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  <c r="AU291" s="151"/>
      <c r="AV291" s="151"/>
      <c r="AW291" s="151"/>
      <c r="AX291" s="151"/>
      <c r="AY291" s="151"/>
      <c r="AZ291" s="151"/>
      <c r="BA291" s="151"/>
      <c r="BB291" s="151"/>
      <c r="BC291" s="151"/>
      <c r="BD291" s="151"/>
      <c r="BE291" s="151"/>
      <c r="BF291" s="151"/>
      <c r="BG291" s="151"/>
      <c r="BH291" s="151"/>
      <c r="BI291" s="151"/>
      <c r="BJ291" s="151"/>
      <c r="BK291" s="151"/>
      <c r="BL291" s="151"/>
      <c r="BM291" s="151"/>
      <c r="BN291" s="151"/>
      <c r="BO291" s="151"/>
      <c r="BP291" s="151"/>
      <c r="BQ291" s="151"/>
      <c r="BR291" s="151"/>
      <c r="BS291" s="151"/>
      <c r="BT291" s="151"/>
      <c r="BU291" s="151"/>
      <c r="BV291" s="151"/>
      <c r="BW291" s="151"/>
      <c r="BX291" s="151"/>
      <c r="BY291" s="151"/>
      <c r="BZ291" s="151"/>
      <c r="CA291" s="151"/>
    </row>
    <row r="292" spans="1:79">
      <c r="A292" s="1047"/>
      <c r="B292" s="699"/>
      <c r="C292" s="699"/>
      <c r="D292" s="699"/>
      <c r="E292" s="699"/>
      <c r="F292" s="699"/>
      <c r="G292" s="699"/>
      <c r="H292" s="699"/>
      <c r="I292" s="699"/>
      <c r="J292" s="699"/>
      <c r="K292" s="1057"/>
      <c r="L292" s="1057"/>
      <c r="M292" s="1057"/>
      <c r="N292" s="1057"/>
      <c r="O292" s="1057"/>
      <c r="P292" s="1057"/>
      <c r="Q292" s="699"/>
      <c r="R292" s="699"/>
      <c r="S292" s="699"/>
      <c r="T292" s="699"/>
      <c r="U292" s="699"/>
      <c r="V292" s="699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  <c r="AU292" s="151"/>
      <c r="AV292" s="151"/>
      <c r="AW292" s="151"/>
      <c r="AX292" s="151"/>
      <c r="AY292" s="151"/>
      <c r="AZ292" s="151"/>
      <c r="BA292" s="151"/>
      <c r="BB292" s="151"/>
      <c r="BC292" s="151"/>
      <c r="BD292" s="151"/>
      <c r="BE292" s="151"/>
      <c r="BF292" s="151"/>
      <c r="BG292" s="151"/>
      <c r="BH292" s="151"/>
      <c r="BI292" s="151"/>
      <c r="BJ292" s="151"/>
      <c r="BK292" s="151"/>
      <c r="BL292" s="151"/>
      <c r="BM292" s="151"/>
      <c r="BN292" s="151"/>
      <c r="BO292" s="151"/>
      <c r="BP292" s="151"/>
      <c r="BQ292" s="151"/>
      <c r="BR292" s="151"/>
      <c r="BS292" s="151"/>
      <c r="BT292" s="151"/>
      <c r="BU292" s="151"/>
      <c r="BV292" s="151"/>
      <c r="BW292" s="151"/>
      <c r="BX292" s="151"/>
      <c r="BY292" s="151"/>
      <c r="BZ292" s="151"/>
      <c r="CA292" s="151"/>
    </row>
    <row r="293" spans="1:79">
      <c r="A293" s="1047"/>
      <c r="B293" s="699"/>
      <c r="C293" s="699"/>
      <c r="D293" s="699"/>
      <c r="E293" s="699"/>
      <c r="F293" s="699"/>
      <c r="G293" s="699"/>
      <c r="H293" s="699"/>
      <c r="I293" s="699"/>
      <c r="J293" s="699"/>
      <c r="K293" s="1057"/>
      <c r="L293" s="1057"/>
      <c r="M293" s="1057"/>
      <c r="N293" s="1057"/>
      <c r="O293" s="1057"/>
      <c r="P293" s="1057"/>
      <c r="Q293" s="699"/>
      <c r="R293" s="699"/>
      <c r="S293" s="699"/>
      <c r="T293" s="699"/>
      <c r="U293" s="699"/>
      <c r="V293" s="699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  <c r="AU293" s="151"/>
      <c r="AV293" s="151"/>
      <c r="AW293" s="151"/>
      <c r="AX293" s="151"/>
      <c r="AY293" s="151"/>
      <c r="AZ293" s="151"/>
      <c r="BA293" s="151"/>
      <c r="BB293" s="151"/>
      <c r="BC293" s="151"/>
      <c r="BD293" s="151"/>
      <c r="BE293" s="151"/>
      <c r="BF293" s="151"/>
      <c r="BG293" s="151"/>
      <c r="BH293" s="151"/>
      <c r="BI293" s="151"/>
      <c r="BJ293" s="151"/>
      <c r="BK293" s="151"/>
      <c r="BL293" s="151"/>
      <c r="BM293" s="151"/>
      <c r="BN293" s="151"/>
      <c r="BO293" s="151"/>
      <c r="BP293" s="151"/>
      <c r="BQ293" s="151"/>
      <c r="BR293" s="151"/>
      <c r="BS293" s="151"/>
      <c r="BT293" s="151"/>
      <c r="BU293" s="151"/>
      <c r="BV293" s="151"/>
      <c r="BW293" s="151"/>
      <c r="BX293" s="151"/>
      <c r="BY293" s="151"/>
      <c r="BZ293" s="151"/>
      <c r="CA293" s="151"/>
    </row>
    <row r="294" spans="1:79">
      <c r="A294" s="1047"/>
      <c r="B294" s="699"/>
      <c r="C294" s="699"/>
      <c r="D294" s="699"/>
      <c r="E294" s="699"/>
      <c r="F294" s="699"/>
      <c r="G294" s="699"/>
      <c r="H294" s="699"/>
      <c r="I294" s="699"/>
      <c r="J294" s="699"/>
      <c r="K294" s="1057"/>
      <c r="L294" s="1057"/>
      <c r="M294" s="1057"/>
      <c r="N294" s="1057"/>
      <c r="O294" s="1057"/>
      <c r="P294" s="1057"/>
      <c r="Q294" s="699"/>
      <c r="R294" s="699"/>
      <c r="S294" s="699"/>
      <c r="T294" s="699"/>
      <c r="U294" s="699"/>
      <c r="V294" s="699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  <c r="AU294" s="151"/>
      <c r="AV294" s="151"/>
      <c r="AW294" s="151"/>
      <c r="AX294" s="151"/>
      <c r="AY294" s="151"/>
      <c r="AZ294" s="151"/>
      <c r="BA294" s="151"/>
      <c r="BB294" s="151"/>
      <c r="BC294" s="151"/>
      <c r="BD294" s="151"/>
      <c r="BE294" s="151"/>
      <c r="BF294" s="151"/>
      <c r="BG294" s="151"/>
      <c r="BH294" s="151"/>
      <c r="BI294" s="151"/>
      <c r="BJ294" s="151"/>
      <c r="BK294" s="151"/>
      <c r="BL294" s="151"/>
      <c r="BM294" s="151"/>
      <c r="BN294" s="151"/>
      <c r="BO294" s="151"/>
      <c r="BP294" s="151"/>
      <c r="BQ294" s="151"/>
      <c r="BR294" s="151"/>
      <c r="BS294" s="151"/>
      <c r="BT294" s="151"/>
      <c r="BU294" s="151"/>
      <c r="BV294" s="151"/>
      <c r="BW294" s="151"/>
      <c r="BX294" s="151"/>
      <c r="BY294" s="151"/>
      <c r="BZ294" s="151"/>
      <c r="CA294" s="151"/>
    </row>
    <row r="295" spans="1:79">
      <c r="A295" s="1047" t="s">
        <v>511</v>
      </c>
      <c r="B295" s="699"/>
      <c r="C295" s="699"/>
      <c r="D295" s="699"/>
      <c r="E295" s="699"/>
      <c r="F295" s="699"/>
      <c r="G295" s="699"/>
      <c r="H295" s="699"/>
      <c r="I295" s="699"/>
      <c r="J295" s="699"/>
      <c r="K295" s="1057"/>
      <c r="L295" s="1057"/>
      <c r="M295" s="1057"/>
      <c r="N295" s="1057"/>
      <c r="O295" s="1057"/>
      <c r="P295" s="1057"/>
      <c r="Q295" s="699"/>
      <c r="R295" s="699"/>
      <c r="S295" s="699"/>
      <c r="T295" s="699"/>
      <c r="U295" s="699"/>
      <c r="V295" s="699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  <c r="AU295" s="151"/>
      <c r="AV295" s="151"/>
      <c r="AW295" s="151"/>
      <c r="AX295" s="151"/>
      <c r="AY295" s="151"/>
      <c r="AZ295" s="151"/>
      <c r="BA295" s="151"/>
      <c r="BB295" s="151"/>
      <c r="BC295" s="151"/>
      <c r="BD295" s="151"/>
      <c r="BE295" s="151"/>
      <c r="BF295" s="151"/>
      <c r="BG295" s="151"/>
      <c r="BH295" s="151"/>
      <c r="BI295" s="151"/>
      <c r="BJ295" s="151"/>
      <c r="BK295" s="151"/>
      <c r="BL295" s="151"/>
      <c r="BM295" s="151"/>
      <c r="BN295" s="151"/>
      <c r="BO295" s="151"/>
      <c r="BP295" s="151"/>
      <c r="BQ295" s="151"/>
      <c r="BR295" s="151"/>
      <c r="BS295" s="151"/>
      <c r="BT295" s="151"/>
      <c r="BU295" s="151"/>
      <c r="BV295" s="151"/>
      <c r="BW295" s="151"/>
      <c r="BX295" s="151"/>
      <c r="BY295" s="151"/>
      <c r="BZ295" s="151"/>
      <c r="CA295" s="151"/>
    </row>
    <row r="296" spans="1:79">
      <c r="A296" s="1047"/>
      <c r="B296" s="699"/>
      <c r="C296" s="699"/>
      <c r="D296" s="699"/>
      <c r="E296" s="699"/>
      <c r="F296" s="699"/>
      <c r="G296" s="699"/>
      <c r="H296" s="699"/>
      <c r="I296" s="699"/>
      <c r="J296" s="699"/>
      <c r="K296" s="1057"/>
      <c r="L296" s="1057"/>
      <c r="M296" s="1057"/>
      <c r="N296" s="1057"/>
      <c r="O296" s="1057"/>
      <c r="P296" s="1057"/>
      <c r="Q296" s="699"/>
      <c r="R296" s="699"/>
      <c r="S296" s="699"/>
      <c r="T296" s="699"/>
      <c r="U296" s="699"/>
      <c r="V296" s="699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  <c r="AU296" s="151"/>
      <c r="AV296" s="151"/>
      <c r="AW296" s="151"/>
      <c r="AX296" s="151"/>
      <c r="AY296" s="151"/>
      <c r="AZ296" s="151"/>
      <c r="BA296" s="151"/>
      <c r="BB296" s="151"/>
      <c r="BC296" s="151"/>
      <c r="BD296" s="151"/>
      <c r="BE296" s="151"/>
      <c r="BF296" s="151"/>
      <c r="BG296" s="151"/>
      <c r="BH296" s="151"/>
      <c r="BI296" s="151"/>
      <c r="BJ296" s="151"/>
      <c r="BK296" s="151"/>
      <c r="BL296" s="151"/>
      <c r="BM296" s="151"/>
      <c r="BN296" s="151"/>
      <c r="BO296" s="151"/>
      <c r="BP296" s="151"/>
      <c r="BQ296" s="151"/>
      <c r="BR296" s="151"/>
      <c r="BS296" s="151"/>
      <c r="BT296" s="151"/>
      <c r="BU296" s="151"/>
      <c r="BV296" s="151"/>
      <c r="BW296" s="151"/>
      <c r="BX296" s="151"/>
      <c r="BY296" s="151"/>
      <c r="BZ296" s="151"/>
      <c r="CA296" s="151"/>
    </row>
    <row r="297" spans="1:79">
      <c r="A297" s="1047" t="s">
        <v>511</v>
      </c>
      <c r="B297" s="699"/>
      <c r="C297" s="699"/>
      <c r="D297" s="699"/>
      <c r="E297" s="699"/>
      <c r="F297" s="699"/>
      <c r="G297" s="699"/>
      <c r="H297" s="699"/>
      <c r="I297" s="699"/>
      <c r="J297" s="699"/>
      <c r="K297" s="1057"/>
      <c r="L297" s="1057"/>
      <c r="M297" s="1057"/>
      <c r="N297" s="1057"/>
      <c r="O297" s="1057"/>
      <c r="P297" s="1057"/>
      <c r="Q297" s="151"/>
      <c r="R297" s="699"/>
      <c r="S297" s="699"/>
      <c r="T297" s="699"/>
      <c r="U297" s="699"/>
      <c r="V297" s="699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  <c r="AU297" s="151"/>
      <c r="AV297" s="151"/>
      <c r="AW297" s="151"/>
      <c r="AX297" s="151"/>
      <c r="AY297" s="151"/>
      <c r="AZ297" s="151"/>
      <c r="BA297" s="151"/>
      <c r="BB297" s="151"/>
      <c r="BC297" s="151"/>
      <c r="BD297" s="151"/>
      <c r="BE297" s="151"/>
      <c r="BF297" s="151"/>
      <c r="BG297" s="151"/>
      <c r="BH297" s="151"/>
      <c r="BI297" s="151"/>
      <c r="BJ297" s="151"/>
      <c r="BK297" s="151"/>
      <c r="BL297" s="151"/>
      <c r="BM297" s="151"/>
      <c r="BN297" s="151"/>
      <c r="BO297" s="151"/>
      <c r="BP297" s="151"/>
      <c r="BQ297" s="151"/>
      <c r="BR297" s="151"/>
      <c r="BS297" s="151"/>
      <c r="BT297" s="151"/>
      <c r="BU297" s="151"/>
      <c r="BV297" s="151"/>
      <c r="BW297" s="151"/>
      <c r="BX297" s="151"/>
      <c r="BY297" s="151"/>
      <c r="BZ297" s="151"/>
      <c r="CA297" s="151"/>
    </row>
    <row r="298" spans="1:79">
      <c r="A298" s="1047"/>
      <c r="B298" s="699"/>
      <c r="C298" s="699"/>
      <c r="D298" s="699"/>
      <c r="E298" s="699"/>
      <c r="F298" s="699"/>
      <c r="G298" s="699"/>
      <c r="H298" s="699"/>
      <c r="I298" s="699"/>
      <c r="J298" s="699"/>
      <c r="K298" s="1057"/>
      <c r="L298" s="1057"/>
      <c r="M298" s="1057"/>
      <c r="N298" s="1057"/>
      <c r="O298" s="1057"/>
      <c r="P298" s="1057"/>
      <c r="Q298" s="151"/>
      <c r="R298" s="699"/>
      <c r="S298" s="699"/>
      <c r="T298" s="699"/>
      <c r="U298" s="699"/>
      <c r="V298" s="699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  <c r="AU298" s="151"/>
      <c r="AV298" s="151"/>
      <c r="AW298" s="151"/>
      <c r="AX298" s="151"/>
      <c r="AY298" s="151"/>
      <c r="AZ298" s="151"/>
      <c r="BA298" s="151"/>
      <c r="BB298" s="151"/>
      <c r="BC298" s="151"/>
      <c r="BD298" s="151"/>
      <c r="BE298" s="151"/>
      <c r="BF298" s="151"/>
      <c r="BG298" s="151"/>
      <c r="BH298" s="151"/>
      <c r="BI298" s="151"/>
      <c r="BJ298" s="151"/>
      <c r="BK298" s="151"/>
      <c r="BL298" s="151"/>
      <c r="BM298" s="151"/>
      <c r="BN298" s="151"/>
      <c r="BO298" s="151"/>
      <c r="BP298" s="151"/>
      <c r="BQ298" s="151"/>
      <c r="BR298" s="151"/>
      <c r="BS298" s="151"/>
      <c r="BT298" s="151"/>
      <c r="BU298" s="151"/>
      <c r="BV298" s="151"/>
      <c r="BW298" s="151"/>
      <c r="BX298" s="151"/>
      <c r="BY298" s="151"/>
      <c r="BZ298" s="151"/>
      <c r="CA298" s="151"/>
    </row>
    <row r="299" spans="1:79">
      <c r="A299" s="1047"/>
      <c r="B299" s="699"/>
      <c r="C299" s="699"/>
      <c r="D299" s="699"/>
      <c r="E299" s="699"/>
      <c r="F299" s="699"/>
      <c r="G299" s="699"/>
      <c r="H299" s="699"/>
      <c r="I299" s="699"/>
      <c r="J299" s="699"/>
      <c r="K299" s="1057"/>
      <c r="L299" s="1057"/>
      <c r="M299" s="1057"/>
      <c r="N299" s="1057"/>
      <c r="O299" s="1057"/>
      <c r="P299" s="1057"/>
      <c r="Q299" s="151"/>
      <c r="R299" s="699"/>
      <c r="S299" s="699"/>
      <c r="T299" s="699"/>
      <c r="U299" s="699"/>
      <c r="V299" s="699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I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  <c r="AU299" s="151"/>
      <c r="AV299" s="151"/>
      <c r="AW299" s="151"/>
      <c r="AX299" s="151"/>
      <c r="AY299" s="151"/>
      <c r="AZ299" s="151"/>
      <c r="BA299" s="151"/>
      <c r="BB299" s="151"/>
      <c r="BC299" s="151"/>
      <c r="BD299" s="151"/>
      <c r="BE299" s="151"/>
      <c r="BF299" s="151"/>
      <c r="BG299" s="151"/>
      <c r="BH299" s="151"/>
      <c r="BI299" s="151"/>
      <c r="BJ299" s="151"/>
      <c r="BK299" s="151"/>
      <c r="BL299" s="151"/>
      <c r="BM299" s="151"/>
      <c r="BN299" s="151"/>
      <c r="BO299" s="151"/>
      <c r="BP299" s="151"/>
      <c r="BQ299" s="151"/>
      <c r="BR299" s="151"/>
      <c r="BS299" s="151"/>
      <c r="BT299" s="151"/>
      <c r="BU299" s="151"/>
      <c r="BV299" s="151"/>
      <c r="BW299" s="151"/>
      <c r="BX299" s="151"/>
      <c r="BY299" s="151"/>
      <c r="BZ299" s="151"/>
      <c r="CA299" s="151"/>
    </row>
    <row r="300" spans="1:79">
      <c r="A300" s="1047"/>
      <c r="B300" s="699"/>
      <c r="C300" s="699"/>
      <c r="D300" s="699"/>
      <c r="E300" s="699"/>
      <c r="F300" s="699"/>
      <c r="G300" s="699"/>
      <c r="H300" s="699"/>
      <c r="I300" s="699"/>
      <c r="J300" s="699"/>
      <c r="K300" s="1057"/>
      <c r="L300" s="1057"/>
      <c r="M300" s="1057"/>
      <c r="N300" s="1057"/>
      <c r="O300" s="1057"/>
      <c r="P300" s="1057"/>
      <c r="Q300" s="151"/>
      <c r="R300" s="699"/>
      <c r="S300" s="699"/>
      <c r="T300" s="699"/>
      <c r="U300" s="699"/>
      <c r="V300" s="699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  <c r="AU300" s="151"/>
      <c r="AV300" s="151"/>
      <c r="AW300" s="151"/>
      <c r="AX300" s="151"/>
      <c r="AY300" s="151"/>
      <c r="AZ300" s="151"/>
      <c r="BA300" s="151"/>
      <c r="BB300" s="151"/>
      <c r="BC300" s="151"/>
      <c r="BD300" s="151"/>
      <c r="BE300" s="151"/>
      <c r="BF300" s="151"/>
      <c r="BG300" s="151"/>
      <c r="BH300" s="151"/>
      <c r="BI300" s="151"/>
      <c r="BJ300" s="151"/>
      <c r="BK300" s="151"/>
      <c r="BL300" s="151"/>
      <c r="BM300" s="151"/>
      <c r="BN300" s="151"/>
      <c r="BO300" s="151"/>
      <c r="BP300" s="151"/>
      <c r="BQ300" s="151"/>
      <c r="BR300" s="151"/>
      <c r="BS300" s="151"/>
      <c r="BT300" s="151"/>
      <c r="BU300" s="151"/>
      <c r="BV300" s="151"/>
      <c r="BW300" s="151"/>
      <c r="BX300" s="151"/>
      <c r="BY300" s="151"/>
      <c r="BZ300" s="151"/>
      <c r="CA300" s="151"/>
    </row>
    <row r="301" spans="1:79">
      <c r="A301" s="1047"/>
      <c r="B301" s="699"/>
      <c r="C301" s="699"/>
      <c r="D301" s="699"/>
      <c r="E301" s="699"/>
      <c r="F301" s="699"/>
      <c r="G301" s="699"/>
      <c r="H301" s="699"/>
      <c r="I301" s="699"/>
      <c r="J301" s="699"/>
      <c r="K301" s="1057"/>
      <c r="L301" s="1057"/>
      <c r="M301" s="1057"/>
      <c r="N301" s="1057"/>
      <c r="O301" s="1057"/>
      <c r="P301" s="1057"/>
      <c r="Q301" s="151"/>
      <c r="R301" s="699"/>
      <c r="S301" s="699"/>
      <c r="T301" s="699"/>
      <c r="U301" s="699"/>
      <c r="V301" s="699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I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  <c r="AU301" s="151"/>
      <c r="AV301" s="151"/>
      <c r="AW301" s="151"/>
      <c r="AX301" s="151"/>
      <c r="AY301" s="151"/>
      <c r="AZ301" s="151"/>
      <c r="BA301" s="151"/>
      <c r="BB301" s="151"/>
      <c r="BC301" s="151"/>
      <c r="BD301" s="151"/>
      <c r="BE301" s="151"/>
      <c r="BF301" s="151"/>
      <c r="BG301" s="151"/>
      <c r="BH301" s="151"/>
      <c r="BI301" s="151"/>
      <c r="BJ301" s="151"/>
      <c r="BK301" s="151"/>
      <c r="BL301" s="151"/>
      <c r="BM301" s="151"/>
      <c r="BN301" s="151"/>
      <c r="BO301" s="151"/>
      <c r="BP301" s="151"/>
      <c r="BQ301" s="151"/>
      <c r="BR301" s="151"/>
      <c r="BS301" s="151"/>
      <c r="BT301" s="151"/>
      <c r="BU301" s="151"/>
      <c r="BV301" s="151"/>
      <c r="BW301" s="151"/>
      <c r="BX301" s="151"/>
      <c r="BY301" s="151"/>
      <c r="BZ301" s="151"/>
      <c r="CA301" s="151"/>
    </row>
    <row r="302" spans="1:79">
      <c r="A302" s="1047"/>
      <c r="B302" s="699"/>
      <c r="C302" s="699"/>
      <c r="D302" s="699"/>
      <c r="E302" s="699"/>
      <c r="F302" s="699"/>
      <c r="G302" s="699"/>
      <c r="H302" s="699"/>
      <c r="I302" s="699"/>
      <c r="J302" s="699"/>
      <c r="K302" s="1057"/>
      <c r="L302" s="1057"/>
      <c r="M302" s="1057"/>
      <c r="N302" s="1057"/>
      <c r="O302" s="1057"/>
      <c r="P302" s="1057"/>
      <c r="Q302" s="151"/>
      <c r="R302" s="699"/>
      <c r="S302" s="699"/>
      <c r="T302" s="699"/>
      <c r="U302" s="699"/>
      <c r="V302" s="699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  <c r="AU302" s="151"/>
      <c r="AV302" s="151"/>
      <c r="AW302" s="151"/>
      <c r="AX302" s="151"/>
      <c r="AY302" s="151"/>
      <c r="AZ302" s="151"/>
      <c r="BA302" s="151"/>
      <c r="BB302" s="151"/>
      <c r="BC302" s="151"/>
      <c r="BD302" s="151"/>
      <c r="BE302" s="151"/>
      <c r="BF302" s="151"/>
      <c r="BG302" s="151"/>
      <c r="BH302" s="151"/>
      <c r="BI302" s="151"/>
      <c r="BJ302" s="151"/>
      <c r="BK302" s="151"/>
      <c r="BL302" s="151"/>
      <c r="BM302" s="151"/>
      <c r="BN302" s="151"/>
      <c r="BO302" s="151"/>
      <c r="BP302" s="151"/>
      <c r="BQ302" s="151"/>
      <c r="BR302" s="151"/>
      <c r="BS302" s="151"/>
      <c r="BT302" s="151"/>
      <c r="BU302" s="151"/>
      <c r="BV302" s="151"/>
      <c r="BW302" s="151"/>
      <c r="BX302" s="151"/>
      <c r="BY302" s="151"/>
      <c r="BZ302" s="151"/>
      <c r="CA302" s="151"/>
    </row>
    <row r="303" spans="1:79">
      <c r="A303" s="1047"/>
      <c r="B303" s="699"/>
      <c r="C303" s="699"/>
      <c r="D303" s="699"/>
      <c r="E303" s="699"/>
      <c r="F303" s="699"/>
      <c r="G303" s="699"/>
      <c r="H303" s="699"/>
      <c r="I303" s="699"/>
      <c r="J303" s="699"/>
      <c r="K303" s="1057"/>
      <c r="L303" s="1057"/>
      <c r="M303" s="1057"/>
      <c r="N303" s="1057"/>
      <c r="O303" s="1057"/>
      <c r="P303" s="1057"/>
      <c r="Q303" s="151"/>
      <c r="R303" s="699"/>
      <c r="S303" s="699"/>
      <c r="T303" s="699"/>
      <c r="U303" s="699"/>
      <c r="V303" s="699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I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  <c r="AU303" s="151"/>
      <c r="AV303" s="151"/>
      <c r="AW303" s="151"/>
      <c r="AX303" s="151"/>
      <c r="AY303" s="151"/>
      <c r="AZ303" s="151"/>
      <c r="BA303" s="151"/>
      <c r="BB303" s="151"/>
      <c r="BC303" s="151"/>
      <c r="BD303" s="151"/>
      <c r="BE303" s="151"/>
      <c r="BF303" s="151"/>
      <c r="BG303" s="151"/>
      <c r="BH303" s="151"/>
      <c r="BI303" s="151"/>
      <c r="BJ303" s="151"/>
      <c r="BK303" s="151"/>
      <c r="BL303" s="151"/>
      <c r="BM303" s="151"/>
      <c r="BN303" s="151"/>
      <c r="BO303" s="151"/>
      <c r="BP303" s="151"/>
      <c r="BQ303" s="151"/>
      <c r="BR303" s="151"/>
      <c r="BS303" s="151"/>
      <c r="BT303" s="151"/>
      <c r="BU303" s="151"/>
      <c r="BV303" s="151"/>
      <c r="BW303" s="151"/>
      <c r="BX303" s="151"/>
      <c r="BY303" s="151"/>
      <c r="BZ303" s="151"/>
      <c r="CA303" s="151"/>
    </row>
    <row r="304" spans="1:79">
      <c r="A304" s="1047" t="s">
        <v>511</v>
      </c>
      <c r="B304" s="699"/>
      <c r="C304" s="699"/>
      <c r="D304" s="699"/>
      <c r="E304" s="699"/>
      <c r="F304" s="699"/>
      <c r="G304" s="699"/>
      <c r="H304" s="699"/>
      <c r="I304" s="699"/>
      <c r="J304" s="699"/>
      <c r="K304" s="1057"/>
      <c r="L304" s="1057"/>
      <c r="M304" s="1057"/>
      <c r="N304" s="1057"/>
      <c r="O304" s="1057"/>
      <c r="P304" s="1057"/>
      <c r="Q304" s="151"/>
      <c r="R304" s="699"/>
      <c r="S304" s="699"/>
      <c r="T304" s="699"/>
      <c r="U304" s="699"/>
      <c r="V304" s="699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I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  <c r="AU304" s="151"/>
      <c r="AV304" s="151"/>
      <c r="AW304" s="151"/>
      <c r="AX304" s="151"/>
      <c r="AY304" s="151"/>
      <c r="AZ304" s="151"/>
      <c r="BA304" s="151"/>
      <c r="BB304" s="151"/>
      <c r="BC304" s="151"/>
      <c r="BD304" s="151"/>
      <c r="BE304" s="151"/>
      <c r="BF304" s="151"/>
      <c r="BG304" s="151"/>
      <c r="BH304" s="151"/>
      <c r="BI304" s="151"/>
      <c r="BJ304" s="151"/>
      <c r="BK304" s="151"/>
      <c r="BL304" s="151"/>
      <c r="BM304" s="151"/>
      <c r="BN304" s="151"/>
      <c r="BO304" s="151"/>
      <c r="BP304" s="151"/>
      <c r="BQ304" s="151"/>
      <c r="BR304" s="151"/>
      <c r="BS304" s="151"/>
      <c r="BT304" s="151"/>
      <c r="BU304" s="151"/>
      <c r="BV304" s="151"/>
      <c r="BW304" s="151"/>
      <c r="BX304" s="151"/>
      <c r="BY304" s="151"/>
      <c r="BZ304" s="151"/>
      <c r="CA304" s="151"/>
    </row>
    <row r="305" spans="1:79">
      <c r="A305" s="1047"/>
      <c r="B305" s="699"/>
      <c r="C305" s="699"/>
      <c r="D305" s="699"/>
      <c r="E305" s="699"/>
      <c r="F305" s="699"/>
      <c r="G305" s="699"/>
      <c r="H305" s="699"/>
      <c r="I305" s="699"/>
      <c r="J305" s="699"/>
      <c r="K305" s="1057"/>
      <c r="L305" s="1057"/>
      <c r="M305" s="1057"/>
      <c r="N305" s="1057"/>
      <c r="O305" s="1057"/>
      <c r="P305" s="1057"/>
      <c r="Q305" s="151"/>
      <c r="R305" s="699"/>
      <c r="S305" s="699"/>
      <c r="T305" s="699"/>
      <c r="U305" s="699"/>
      <c r="V305" s="699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I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  <c r="AU305" s="151"/>
      <c r="AV305" s="151"/>
      <c r="AW305" s="151"/>
      <c r="AX305" s="151"/>
      <c r="AY305" s="151"/>
      <c r="AZ305" s="151"/>
      <c r="BA305" s="151"/>
      <c r="BB305" s="151"/>
      <c r="BC305" s="151"/>
      <c r="BD305" s="151"/>
      <c r="BE305" s="151"/>
      <c r="BF305" s="151"/>
      <c r="BG305" s="151"/>
      <c r="BH305" s="151"/>
      <c r="BI305" s="151"/>
      <c r="BJ305" s="151"/>
      <c r="BK305" s="151"/>
      <c r="BL305" s="151"/>
      <c r="BM305" s="151"/>
      <c r="BN305" s="151"/>
      <c r="BO305" s="151"/>
      <c r="BP305" s="151"/>
      <c r="BQ305" s="151"/>
      <c r="BR305" s="151"/>
      <c r="BS305" s="151"/>
      <c r="BT305" s="151"/>
      <c r="BU305" s="151"/>
      <c r="BV305" s="151"/>
      <c r="BW305" s="151"/>
      <c r="BX305" s="151"/>
      <c r="BY305" s="151"/>
      <c r="BZ305" s="151"/>
      <c r="CA305" s="151"/>
    </row>
    <row r="306" spans="1:79">
      <c r="A306" s="1047" t="s">
        <v>511</v>
      </c>
      <c r="B306" s="699"/>
      <c r="C306" s="699"/>
      <c r="D306" s="699"/>
      <c r="E306" s="699"/>
      <c r="F306" s="699"/>
      <c r="G306" s="699"/>
      <c r="H306" s="699"/>
      <c r="I306" s="699"/>
      <c r="J306" s="699"/>
      <c r="K306" s="1057"/>
      <c r="L306" s="1057"/>
      <c r="M306" s="1057"/>
      <c r="N306" s="1057"/>
      <c r="O306" s="1057"/>
      <c r="P306" s="1057"/>
      <c r="Q306" s="151"/>
      <c r="R306" s="699"/>
      <c r="S306" s="699"/>
      <c r="T306" s="699"/>
      <c r="U306" s="699"/>
      <c r="V306" s="699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I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  <c r="AU306" s="151"/>
      <c r="AV306" s="151"/>
      <c r="AW306" s="151"/>
      <c r="AX306" s="151"/>
      <c r="AY306" s="151"/>
      <c r="AZ306" s="151"/>
      <c r="BA306" s="151"/>
      <c r="BB306" s="151"/>
      <c r="BC306" s="151"/>
      <c r="BD306" s="151"/>
      <c r="BE306" s="151"/>
      <c r="BF306" s="151"/>
      <c r="BG306" s="151"/>
      <c r="BH306" s="151"/>
      <c r="BI306" s="151"/>
      <c r="BJ306" s="151"/>
      <c r="BK306" s="151"/>
      <c r="BL306" s="151"/>
      <c r="BM306" s="151"/>
      <c r="BN306" s="151"/>
      <c r="BO306" s="151"/>
      <c r="BP306" s="151"/>
      <c r="BQ306" s="151"/>
      <c r="BR306" s="151"/>
      <c r="BS306" s="151"/>
      <c r="BT306" s="151"/>
      <c r="BU306" s="151"/>
      <c r="BV306" s="151"/>
      <c r="BW306" s="151"/>
      <c r="BX306" s="151"/>
      <c r="BY306" s="151"/>
      <c r="BZ306" s="151"/>
      <c r="CA306" s="151"/>
    </row>
    <row r="307" spans="1:79">
      <c r="A307" s="1047"/>
      <c r="B307" s="699"/>
      <c r="C307" s="699"/>
      <c r="D307" s="699"/>
      <c r="E307" s="699"/>
      <c r="F307" s="699"/>
      <c r="G307" s="699"/>
      <c r="H307" s="699"/>
      <c r="I307" s="699"/>
      <c r="J307" s="699"/>
      <c r="K307" s="1057"/>
      <c r="L307" s="1057"/>
      <c r="M307" s="1057"/>
      <c r="N307" s="1057"/>
      <c r="O307" s="1057"/>
      <c r="P307" s="1057"/>
      <c r="Q307" s="151"/>
      <c r="R307" s="699"/>
      <c r="S307" s="699"/>
      <c r="T307" s="699"/>
      <c r="U307" s="699"/>
      <c r="V307" s="699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  <c r="AU307" s="151"/>
      <c r="AV307" s="151"/>
      <c r="AW307" s="151"/>
      <c r="AX307" s="151"/>
      <c r="AY307" s="151"/>
      <c r="AZ307" s="151"/>
      <c r="BA307" s="151"/>
      <c r="BB307" s="151"/>
      <c r="BC307" s="151"/>
      <c r="BD307" s="151"/>
      <c r="BE307" s="151"/>
      <c r="BF307" s="151"/>
      <c r="BG307" s="151"/>
      <c r="BH307" s="151"/>
      <c r="BI307" s="151"/>
      <c r="BJ307" s="151"/>
      <c r="BK307" s="151"/>
      <c r="BL307" s="151"/>
      <c r="BM307" s="151"/>
      <c r="BN307" s="151"/>
      <c r="BO307" s="151"/>
      <c r="BP307" s="151"/>
      <c r="BQ307" s="151"/>
      <c r="BR307" s="151"/>
      <c r="BS307" s="151"/>
      <c r="BT307" s="151"/>
      <c r="BU307" s="151"/>
      <c r="BV307" s="151"/>
      <c r="BW307" s="151"/>
      <c r="BX307" s="151"/>
      <c r="BY307" s="151"/>
      <c r="BZ307" s="151"/>
      <c r="CA307" s="151"/>
    </row>
    <row r="308" spans="1:79">
      <c r="A308" s="1047"/>
      <c r="B308" s="699"/>
      <c r="C308" s="699"/>
      <c r="D308" s="699"/>
      <c r="E308" s="699"/>
      <c r="F308" s="699"/>
      <c r="G308" s="699"/>
      <c r="H308" s="699"/>
      <c r="I308" s="699"/>
      <c r="J308" s="699"/>
      <c r="K308" s="1057"/>
      <c r="L308" s="1057"/>
      <c r="M308" s="1057"/>
      <c r="N308" s="1057"/>
      <c r="O308" s="1057"/>
      <c r="P308" s="1057"/>
      <c r="Q308" s="151"/>
      <c r="R308" s="699"/>
      <c r="S308" s="699"/>
      <c r="T308" s="699"/>
      <c r="U308" s="699"/>
      <c r="V308" s="699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  <c r="AU308" s="151"/>
      <c r="AV308" s="151"/>
      <c r="AW308" s="151"/>
      <c r="AX308" s="151"/>
      <c r="AY308" s="151"/>
      <c r="AZ308" s="151"/>
      <c r="BA308" s="151"/>
      <c r="BB308" s="151"/>
      <c r="BC308" s="151"/>
      <c r="BD308" s="151"/>
      <c r="BE308" s="151"/>
      <c r="BF308" s="151"/>
      <c r="BG308" s="151"/>
      <c r="BH308" s="151"/>
      <c r="BI308" s="151"/>
      <c r="BJ308" s="151"/>
      <c r="BK308" s="151"/>
      <c r="BL308" s="151"/>
      <c r="BM308" s="151"/>
      <c r="BN308" s="151"/>
      <c r="BO308" s="151"/>
      <c r="BP308" s="151"/>
      <c r="BQ308" s="151"/>
      <c r="BR308" s="151"/>
      <c r="BS308" s="151"/>
      <c r="BT308" s="151"/>
      <c r="BU308" s="151"/>
      <c r="BV308" s="151"/>
      <c r="BW308" s="151"/>
      <c r="BX308" s="151"/>
      <c r="BY308" s="151"/>
      <c r="BZ308" s="151"/>
      <c r="CA308" s="151"/>
    </row>
    <row r="309" spans="1:79">
      <c r="A309" s="1047"/>
      <c r="B309" s="699"/>
      <c r="C309" s="699"/>
      <c r="D309" s="699"/>
      <c r="E309" s="699"/>
      <c r="F309" s="699"/>
      <c r="G309" s="699"/>
      <c r="H309" s="699"/>
      <c r="I309" s="699"/>
      <c r="J309" s="699"/>
      <c r="K309" s="1057"/>
      <c r="L309" s="1057"/>
      <c r="M309" s="1057"/>
      <c r="N309" s="1057"/>
      <c r="O309" s="1057"/>
      <c r="P309" s="1057"/>
      <c r="Q309" s="699"/>
      <c r="R309" s="699"/>
      <c r="S309" s="699"/>
      <c r="T309" s="699"/>
      <c r="U309" s="699"/>
      <c r="V309" s="699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  <c r="AU309" s="151"/>
      <c r="AV309" s="151"/>
      <c r="AW309" s="151"/>
      <c r="AX309" s="151"/>
      <c r="AY309" s="151"/>
      <c r="AZ309" s="151"/>
      <c r="BA309" s="151"/>
      <c r="BB309" s="151"/>
      <c r="BC309" s="151"/>
      <c r="BD309" s="151"/>
      <c r="BE309" s="151"/>
      <c r="BF309" s="151"/>
      <c r="BG309" s="151"/>
      <c r="BH309" s="151"/>
      <c r="BI309" s="151"/>
      <c r="BJ309" s="151"/>
      <c r="BK309" s="151"/>
      <c r="BL309" s="151"/>
      <c r="BM309" s="151"/>
      <c r="BN309" s="151"/>
      <c r="BO309" s="151"/>
      <c r="BP309" s="151"/>
      <c r="BQ309" s="151"/>
      <c r="BR309" s="151"/>
      <c r="BS309" s="151"/>
      <c r="BT309" s="151"/>
      <c r="BU309" s="151"/>
      <c r="BV309" s="151"/>
      <c r="BW309" s="151"/>
      <c r="BX309" s="151"/>
      <c r="BY309" s="151"/>
      <c r="BZ309" s="151"/>
      <c r="CA309" s="151"/>
    </row>
    <row r="310" spans="1:79">
      <c r="A310" s="1047"/>
      <c r="B310" s="699"/>
      <c r="C310" s="699"/>
      <c r="D310" s="699"/>
      <c r="E310" s="699"/>
      <c r="F310" s="699"/>
      <c r="G310" s="699"/>
      <c r="H310" s="699"/>
      <c r="I310" s="699"/>
      <c r="J310" s="699"/>
      <c r="K310" s="1057"/>
      <c r="L310" s="1057"/>
      <c r="M310" s="1057"/>
      <c r="N310" s="1057"/>
      <c r="O310" s="1057"/>
      <c r="P310" s="1057"/>
      <c r="Q310" s="699"/>
      <c r="R310" s="699"/>
      <c r="S310" s="699"/>
      <c r="T310" s="699"/>
      <c r="U310" s="699"/>
      <c r="V310" s="699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  <c r="AU310" s="151"/>
      <c r="AV310" s="151"/>
      <c r="AW310" s="151"/>
      <c r="AX310" s="151"/>
      <c r="AY310" s="151"/>
      <c r="AZ310" s="151"/>
      <c r="BA310" s="151"/>
      <c r="BB310" s="151"/>
      <c r="BC310" s="151"/>
      <c r="BD310" s="151"/>
      <c r="BE310" s="151"/>
      <c r="BF310" s="151"/>
      <c r="BG310" s="151"/>
      <c r="BH310" s="151"/>
      <c r="BI310" s="151"/>
      <c r="BJ310" s="151"/>
      <c r="BK310" s="151"/>
      <c r="BL310" s="151"/>
      <c r="BM310" s="151"/>
      <c r="BN310" s="151"/>
      <c r="BO310" s="151"/>
      <c r="BP310" s="151"/>
      <c r="BQ310" s="151"/>
      <c r="BR310" s="151"/>
      <c r="BS310" s="151"/>
      <c r="BT310" s="151"/>
      <c r="BU310" s="151"/>
      <c r="BV310" s="151"/>
      <c r="BW310" s="151"/>
      <c r="BX310" s="151"/>
      <c r="BY310" s="151"/>
      <c r="BZ310" s="151"/>
      <c r="CA310" s="151"/>
    </row>
    <row r="311" spans="1:79">
      <c r="A311" s="1047"/>
      <c r="B311" s="699"/>
      <c r="C311" s="699"/>
      <c r="D311" s="699"/>
      <c r="E311" s="699"/>
      <c r="F311" s="699"/>
      <c r="G311" s="699"/>
      <c r="H311" s="699"/>
      <c r="I311" s="699"/>
      <c r="J311" s="699"/>
      <c r="K311" s="1057"/>
      <c r="L311" s="1057"/>
      <c r="M311" s="1057"/>
      <c r="N311" s="1057"/>
      <c r="O311" s="1057"/>
      <c r="P311" s="1057"/>
      <c r="Q311" s="699"/>
      <c r="R311" s="699"/>
      <c r="S311" s="699"/>
      <c r="T311" s="699"/>
      <c r="U311" s="699"/>
      <c r="V311" s="699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  <c r="AU311" s="151"/>
      <c r="AV311" s="151"/>
      <c r="AW311" s="151"/>
      <c r="AX311" s="151"/>
      <c r="AY311" s="151"/>
      <c r="AZ311" s="151"/>
      <c r="BA311" s="151"/>
      <c r="BB311" s="151"/>
      <c r="BC311" s="151"/>
      <c r="BD311" s="151"/>
      <c r="BE311" s="151"/>
      <c r="BF311" s="151"/>
      <c r="BG311" s="151"/>
      <c r="BH311" s="151"/>
      <c r="BI311" s="151"/>
      <c r="BJ311" s="151"/>
      <c r="BK311" s="151"/>
      <c r="BL311" s="151"/>
      <c r="BM311" s="151"/>
      <c r="BN311" s="151"/>
      <c r="BO311" s="151"/>
      <c r="BP311" s="151"/>
      <c r="BQ311" s="151"/>
      <c r="BR311" s="151"/>
      <c r="BS311" s="151"/>
      <c r="BT311" s="151"/>
      <c r="BU311" s="151"/>
      <c r="BV311" s="151"/>
      <c r="BW311" s="151"/>
      <c r="BX311" s="151"/>
      <c r="BY311" s="151"/>
      <c r="BZ311" s="151"/>
      <c r="CA311" s="151"/>
    </row>
    <row r="312" spans="1:79">
      <c r="A312" s="1047"/>
      <c r="B312" s="699"/>
      <c r="C312" s="699"/>
      <c r="D312" s="699"/>
      <c r="E312" s="699"/>
      <c r="F312" s="699"/>
      <c r="G312" s="699"/>
      <c r="H312" s="699"/>
      <c r="I312" s="699"/>
      <c r="J312" s="699"/>
      <c r="K312" s="1057"/>
      <c r="L312" s="1057"/>
      <c r="M312" s="1057"/>
      <c r="N312" s="1057"/>
      <c r="O312" s="1057"/>
      <c r="P312" s="1057"/>
      <c r="Q312" s="699"/>
      <c r="R312" s="699"/>
      <c r="S312" s="699"/>
      <c r="T312" s="699"/>
      <c r="U312" s="699"/>
      <c r="V312" s="699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  <c r="AU312" s="151"/>
      <c r="AV312" s="151"/>
      <c r="AW312" s="151"/>
      <c r="AX312" s="151"/>
      <c r="AY312" s="151"/>
      <c r="AZ312" s="151"/>
      <c r="BA312" s="151"/>
      <c r="BB312" s="151"/>
      <c r="BC312" s="151"/>
      <c r="BD312" s="151"/>
      <c r="BE312" s="151"/>
      <c r="BF312" s="151"/>
      <c r="BG312" s="151"/>
      <c r="BH312" s="151"/>
      <c r="BI312" s="151"/>
      <c r="BJ312" s="151"/>
      <c r="BK312" s="151"/>
      <c r="BL312" s="151"/>
      <c r="BM312" s="151"/>
      <c r="BN312" s="151"/>
      <c r="BO312" s="151"/>
      <c r="BP312" s="151"/>
      <c r="BQ312" s="151"/>
      <c r="BR312" s="151"/>
      <c r="BS312" s="151"/>
      <c r="BT312" s="151"/>
      <c r="BU312" s="151"/>
      <c r="BV312" s="151"/>
      <c r="BW312" s="151"/>
      <c r="BX312" s="151"/>
      <c r="BY312" s="151"/>
      <c r="BZ312" s="151"/>
      <c r="CA312" s="151"/>
    </row>
    <row r="313" spans="1:79">
      <c r="A313" s="1047"/>
      <c r="B313" s="699"/>
      <c r="C313" s="699"/>
      <c r="D313" s="699"/>
      <c r="E313" s="699"/>
      <c r="F313" s="699"/>
      <c r="G313" s="699"/>
      <c r="H313" s="699"/>
      <c r="I313" s="699"/>
      <c r="J313" s="699"/>
      <c r="K313" s="1057"/>
      <c r="L313" s="1057"/>
      <c r="M313" s="1057"/>
      <c r="N313" s="1057"/>
      <c r="O313" s="1057"/>
      <c r="P313" s="1057"/>
      <c r="Q313" s="699"/>
      <c r="R313" s="699"/>
      <c r="S313" s="699"/>
      <c r="T313" s="699"/>
      <c r="U313" s="699"/>
      <c r="V313" s="699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I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  <c r="AU313" s="151"/>
      <c r="AV313" s="151"/>
      <c r="AW313" s="151"/>
      <c r="AX313" s="151"/>
      <c r="AY313" s="151"/>
      <c r="AZ313" s="151"/>
      <c r="BA313" s="151"/>
      <c r="BB313" s="151"/>
      <c r="BC313" s="151"/>
      <c r="BD313" s="151"/>
      <c r="BE313" s="151"/>
      <c r="BF313" s="151"/>
      <c r="BG313" s="151"/>
      <c r="BH313" s="151"/>
      <c r="BI313" s="151"/>
      <c r="BJ313" s="151"/>
      <c r="BK313" s="151"/>
      <c r="BL313" s="151"/>
      <c r="BM313" s="151"/>
      <c r="BN313" s="151"/>
      <c r="BO313" s="151"/>
      <c r="BP313" s="151"/>
      <c r="BQ313" s="151"/>
      <c r="BR313" s="151"/>
      <c r="BS313" s="151"/>
      <c r="BT313" s="151"/>
      <c r="BU313" s="151"/>
      <c r="BV313" s="151"/>
      <c r="BW313" s="151"/>
      <c r="BX313" s="151"/>
      <c r="BY313" s="151"/>
      <c r="BZ313" s="151"/>
      <c r="CA313" s="151"/>
    </row>
    <row r="314" spans="1:79">
      <c r="A314" s="1047"/>
      <c r="B314" s="699"/>
      <c r="C314" s="699"/>
      <c r="D314" s="699"/>
      <c r="E314" s="699"/>
      <c r="F314" s="699"/>
      <c r="G314" s="699"/>
      <c r="H314" s="699"/>
      <c r="I314" s="699"/>
      <c r="J314" s="699"/>
      <c r="K314" s="1057"/>
      <c r="L314" s="1057"/>
      <c r="M314" s="1057"/>
      <c r="N314" s="1057"/>
      <c r="O314" s="1057"/>
      <c r="P314" s="1057"/>
      <c r="Q314" s="699"/>
      <c r="R314" s="699"/>
      <c r="S314" s="699"/>
      <c r="T314" s="699"/>
      <c r="U314" s="699"/>
      <c r="V314" s="699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I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  <c r="AU314" s="151"/>
      <c r="AV314" s="151"/>
      <c r="AW314" s="151"/>
      <c r="AX314" s="151"/>
      <c r="AY314" s="151"/>
      <c r="AZ314" s="151"/>
      <c r="BA314" s="151"/>
      <c r="BB314" s="151"/>
      <c r="BC314" s="151"/>
      <c r="BD314" s="151"/>
      <c r="BE314" s="151"/>
      <c r="BF314" s="151"/>
      <c r="BG314" s="151"/>
      <c r="BH314" s="151"/>
      <c r="BI314" s="151"/>
      <c r="BJ314" s="151"/>
      <c r="BK314" s="151"/>
      <c r="BL314" s="151"/>
      <c r="BM314" s="151"/>
      <c r="BN314" s="151"/>
      <c r="BO314" s="151"/>
      <c r="BP314" s="151"/>
      <c r="BQ314" s="151"/>
      <c r="BR314" s="151"/>
      <c r="BS314" s="151"/>
      <c r="BT314" s="151"/>
      <c r="BU314" s="151"/>
      <c r="BV314" s="151"/>
      <c r="BW314" s="151"/>
      <c r="BX314" s="151"/>
      <c r="BY314" s="151"/>
      <c r="BZ314" s="151"/>
      <c r="CA314" s="151"/>
    </row>
    <row r="315" spans="1:79">
      <c r="A315" s="1047"/>
      <c r="B315" s="699"/>
      <c r="C315" s="699"/>
      <c r="D315" s="699"/>
      <c r="E315" s="699"/>
      <c r="F315" s="699"/>
      <c r="G315" s="699"/>
      <c r="H315" s="699"/>
      <c r="I315" s="699"/>
      <c r="J315" s="699"/>
      <c r="K315" s="1057"/>
      <c r="L315" s="1057"/>
      <c r="M315" s="1057"/>
      <c r="N315" s="1057"/>
      <c r="O315" s="1057"/>
      <c r="P315" s="1057"/>
      <c r="Q315" s="699"/>
      <c r="R315" s="699"/>
      <c r="S315" s="699"/>
      <c r="T315" s="699"/>
      <c r="U315" s="699"/>
      <c r="V315" s="699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  <c r="AU315" s="151"/>
      <c r="AV315" s="151"/>
      <c r="AW315" s="151"/>
      <c r="AX315" s="151"/>
      <c r="AY315" s="151"/>
      <c r="AZ315" s="151"/>
      <c r="BA315" s="151"/>
      <c r="BB315" s="151"/>
      <c r="BC315" s="151"/>
      <c r="BD315" s="151"/>
      <c r="BE315" s="151"/>
      <c r="BF315" s="151"/>
      <c r="BG315" s="151"/>
      <c r="BH315" s="151"/>
      <c r="BI315" s="151"/>
      <c r="BJ315" s="151"/>
      <c r="BK315" s="151"/>
      <c r="BL315" s="151"/>
      <c r="BM315" s="151"/>
      <c r="BN315" s="151"/>
      <c r="BO315" s="151"/>
      <c r="BP315" s="151"/>
      <c r="BQ315" s="151"/>
      <c r="BR315" s="151"/>
      <c r="BS315" s="151"/>
      <c r="BT315" s="151"/>
      <c r="BU315" s="151"/>
      <c r="BV315" s="151"/>
      <c r="BW315" s="151"/>
      <c r="BX315" s="151"/>
      <c r="BY315" s="151"/>
      <c r="BZ315" s="151"/>
      <c r="CA315" s="151"/>
    </row>
    <row r="316" spans="1:79">
      <c r="A316" s="1047"/>
      <c r="B316" s="699"/>
      <c r="C316" s="699"/>
      <c r="D316" s="699"/>
      <c r="E316" s="699"/>
      <c r="F316" s="699"/>
      <c r="G316" s="699"/>
      <c r="H316" s="699"/>
      <c r="I316" s="699"/>
      <c r="J316" s="699"/>
      <c r="K316" s="1057"/>
      <c r="L316" s="1057"/>
      <c r="M316" s="1057"/>
      <c r="N316" s="1057"/>
      <c r="O316" s="1057"/>
      <c r="P316" s="1057"/>
      <c r="Q316" s="699"/>
      <c r="R316" s="699"/>
      <c r="S316" s="699"/>
      <c r="T316" s="699"/>
      <c r="U316" s="699"/>
      <c r="V316" s="699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  <c r="AU316" s="151"/>
      <c r="AV316" s="151"/>
      <c r="AW316" s="151"/>
      <c r="AX316" s="151"/>
      <c r="AY316" s="151"/>
      <c r="AZ316" s="151"/>
      <c r="BA316" s="151"/>
      <c r="BB316" s="151"/>
      <c r="BC316" s="151"/>
      <c r="BD316" s="151"/>
      <c r="BE316" s="151"/>
      <c r="BF316" s="151"/>
      <c r="BG316" s="151"/>
      <c r="BH316" s="151"/>
      <c r="BI316" s="151"/>
      <c r="BJ316" s="151"/>
      <c r="BK316" s="151"/>
      <c r="BL316" s="151"/>
      <c r="BM316" s="151"/>
      <c r="BN316" s="151"/>
      <c r="BO316" s="151"/>
      <c r="BP316" s="151"/>
      <c r="BQ316" s="151"/>
      <c r="BR316" s="151"/>
      <c r="BS316" s="151"/>
      <c r="BT316" s="151"/>
      <c r="BU316" s="151"/>
      <c r="BV316" s="151"/>
      <c r="BW316" s="151"/>
      <c r="BX316" s="151"/>
      <c r="BY316" s="151"/>
      <c r="BZ316" s="151"/>
      <c r="CA316" s="151"/>
    </row>
    <row r="317" spans="1:79">
      <c r="A317" s="1047"/>
      <c r="B317" s="699"/>
      <c r="C317" s="699"/>
      <c r="D317" s="699"/>
      <c r="E317" s="699"/>
      <c r="F317" s="699"/>
      <c r="G317" s="699"/>
      <c r="H317" s="699"/>
      <c r="I317" s="699"/>
      <c r="J317" s="699"/>
      <c r="K317" s="1057"/>
      <c r="L317" s="1057"/>
      <c r="M317" s="1057"/>
      <c r="N317" s="1057"/>
      <c r="O317" s="1057"/>
      <c r="P317" s="1057"/>
      <c r="Q317" s="699"/>
      <c r="R317" s="699"/>
      <c r="S317" s="699"/>
      <c r="T317" s="699"/>
      <c r="U317" s="699"/>
      <c r="V317" s="699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  <c r="AU317" s="151"/>
      <c r="AV317" s="151"/>
      <c r="AW317" s="151"/>
      <c r="AX317" s="151"/>
      <c r="AY317" s="151"/>
      <c r="AZ317" s="151"/>
      <c r="BA317" s="151"/>
      <c r="BB317" s="151"/>
      <c r="BC317" s="151"/>
      <c r="BD317" s="151"/>
      <c r="BE317" s="151"/>
      <c r="BF317" s="151"/>
      <c r="BG317" s="151"/>
      <c r="BH317" s="151"/>
      <c r="BI317" s="151"/>
      <c r="BJ317" s="151"/>
      <c r="BK317" s="151"/>
      <c r="BL317" s="151"/>
      <c r="BM317" s="151"/>
      <c r="BN317" s="151"/>
      <c r="BO317" s="151"/>
      <c r="BP317" s="151"/>
      <c r="BQ317" s="151"/>
      <c r="BR317" s="151"/>
      <c r="BS317" s="151"/>
      <c r="BT317" s="151"/>
      <c r="BU317" s="151"/>
      <c r="BV317" s="151"/>
      <c r="BW317" s="151"/>
      <c r="BX317" s="151"/>
      <c r="BY317" s="151"/>
      <c r="BZ317" s="151"/>
      <c r="CA317" s="151"/>
    </row>
    <row r="318" spans="1:79">
      <c r="A318" s="1047"/>
      <c r="B318" s="699"/>
      <c r="C318" s="699"/>
      <c r="D318" s="699"/>
      <c r="E318" s="699"/>
      <c r="F318" s="699"/>
      <c r="G318" s="699"/>
      <c r="H318" s="699"/>
      <c r="I318" s="699"/>
      <c r="J318" s="699"/>
      <c r="K318" s="1057"/>
      <c r="L318" s="1057"/>
      <c r="M318" s="1057"/>
      <c r="N318" s="1057"/>
      <c r="O318" s="1057"/>
      <c r="P318" s="1057"/>
      <c r="Q318" s="699"/>
      <c r="R318" s="699"/>
      <c r="S318" s="699"/>
      <c r="T318" s="699"/>
      <c r="U318" s="699"/>
      <c r="V318" s="699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I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  <c r="AU318" s="151"/>
      <c r="AV318" s="151"/>
      <c r="AW318" s="151"/>
      <c r="AX318" s="151"/>
      <c r="AY318" s="151"/>
      <c r="AZ318" s="151"/>
      <c r="BA318" s="151"/>
      <c r="BB318" s="151"/>
      <c r="BC318" s="151"/>
      <c r="BD318" s="151"/>
      <c r="BE318" s="151"/>
      <c r="BF318" s="151"/>
      <c r="BG318" s="151"/>
      <c r="BH318" s="151"/>
      <c r="BI318" s="151"/>
      <c r="BJ318" s="151"/>
      <c r="BK318" s="151"/>
      <c r="BL318" s="151"/>
      <c r="BM318" s="151"/>
      <c r="BN318" s="151"/>
      <c r="BO318" s="151"/>
      <c r="BP318" s="151"/>
      <c r="BQ318" s="151"/>
      <c r="BR318" s="151"/>
      <c r="BS318" s="151"/>
      <c r="BT318" s="151"/>
      <c r="BU318" s="151"/>
      <c r="BV318" s="151"/>
      <c r="BW318" s="151"/>
      <c r="BX318" s="151"/>
      <c r="BY318" s="151"/>
      <c r="BZ318" s="151"/>
      <c r="CA318" s="151"/>
    </row>
    <row r="319" spans="1:79">
      <c r="A319" s="1047"/>
      <c r="B319" s="699"/>
      <c r="C319" s="699"/>
      <c r="D319" s="699"/>
      <c r="E319" s="699"/>
      <c r="F319" s="699"/>
      <c r="G319" s="699"/>
      <c r="H319" s="699"/>
      <c r="I319" s="699"/>
      <c r="J319" s="699"/>
      <c r="K319" s="1057"/>
      <c r="L319" s="1057"/>
      <c r="M319" s="1057"/>
      <c r="N319" s="1057"/>
      <c r="O319" s="1057"/>
      <c r="P319" s="1057"/>
      <c r="Q319" s="699"/>
      <c r="R319" s="699"/>
      <c r="S319" s="699"/>
      <c r="T319" s="699"/>
      <c r="U319" s="699"/>
      <c r="V319" s="699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I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  <c r="AU319" s="151"/>
      <c r="AV319" s="151"/>
      <c r="AW319" s="151"/>
      <c r="AX319" s="151"/>
      <c r="AY319" s="151"/>
      <c r="AZ319" s="151"/>
      <c r="BA319" s="151"/>
      <c r="BB319" s="151"/>
      <c r="BC319" s="151"/>
      <c r="BD319" s="151"/>
      <c r="BE319" s="151"/>
      <c r="BF319" s="151"/>
      <c r="BG319" s="151"/>
      <c r="BH319" s="151"/>
      <c r="BI319" s="151"/>
      <c r="BJ319" s="151"/>
      <c r="BK319" s="151"/>
      <c r="BL319" s="151"/>
      <c r="BM319" s="151"/>
      <c r="BN319" s="151"/>
      <c r="BO319" s="151"/>
      <c r="BP319" s="151"/>
      <c r="BQ319" s="151"/>
      <c r="BR319" s="151"/>
      <c r="BS319" s="151"/>
      <c r="BT319" s="151"/>
      <c r="BU319" s="151"/>
      <c r="BV319" s="151"/>
      <c r="BW319" s="151"/>
      <c r="BX319" s="151"/>
      <c r="BY319" s="151"/>
      <c r="BZ319" s="151"/>
      <c r="CA319" s="151"/>
    </row>
    <row r="320" spans="1:79">
      <c r="A320" s="1047"/>
      <c r="B320" s="699"/>
      <c r="C320" s="699"/>
      <c r="D320" s="699"/>
      <c r="E320" s="699"/>
      <c r="F320" s="699"/>
      <c r="G320" s="699"/>
      <c r="H320" s="699"/>
      <c r="I320" s="699"/>
      <c r="J320" s="699"/>
      <c r="K320" s="1057"/>
      <c r="L320" s="1057"/>
      <c r="M320" s="1057"/>
      <c r="N320" s="1057"/>
      <c r="O320" s="1057"/>
      <c r="P320" s="1057"/>
      <c r="Q320" s="699"/>
      <c r="R320" s="699"/>
      <c r="S320" s="699"/>
      <c r="T320" s="699"/>
      <c r="U320" s="699"/>
      <c r="V320" s="699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  <c r="AU320" s="151"/>
      <c r="AV320" s="151"/>
      <c r="AW320" s="151"/>
      <c r="AX320" s="151"/>
      <c r="AY320" s="151"/>
      <c r="AZ320" s="151"/>
      <c r="BA320" s="151"/>
      <c r="BB320" s="151"/>
      <c r="BC320" s="151"/>
      <c r="BD320" s="151"/>
      <c r="BE320" s="151"/>
      <c r="BF320" s="151"/>
      <c r="BG320" s="151"/>
      <c r="BH320" s="151"/>
      <c r="BI320" s="151"/>
      <c r="BJ320" s="151"/>
      <c r="BK320" s="151"/>
      <c r="BL320" s="151"/>
      <c r="BM320" s="151"/>
      <c r="BN320" s="151"/>
      <c r="BO320" s="151"/>
      <c r="BP320" s="151"/>
      <c r="BQ320" s="151"/>
      <c r="BR320" s="151"/>
      <c r="BS320" s="151"/>
      <c r="BT320" s="151"/>
      <c r="BU320" s="151"/>
      <c r="BV320" s="151"/>
      <c r="BW320" s="151"/>
      <c r="BX320" s="151"/>
      <c r="BY320" s="151"/>
      <c r="BZ320" s="151"/>
      <c r="CA320" s="151"/>
    </row>
    <row r="321" spans="1:79">
      <c r="A321" s="1047" t="s">
        <v>511</v>
      </c>
      <c r="B321" s="699"/>
      <c r="C321" s="699"/>
      <c r="D321" s="699"/>
      <c r="E321" s="699"/>
      <c r="F321" s="699"/>
      <c r="G321" s="699"/>
      <c r="H321" s="699"/>
      <c r="I321" s="699"/>
      <c r="J321" s="699"/>
      <c r="K321" s="1057"/>
      <c r="L321" s="1057"/>
      <c r="M321" s="1057"/>
      <c r="N321" s="1057"/>
      <c r="O321" s="1057"/>
      <c r="P321" s="1057"/>
      <c r="Q321" s="699"/>
      <c r="R321" s="699"/>
      <c r="S321" s="699"/>
      <c r="T321" s="699"/>
      <c r="U321" s="699"/>
      <c r="V321" s="699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  <c r="AU321" s="151"/>
      <c r="AV321" s="151"/>
      <c r="AW321" s="151"/>
      <c r="AX321" s="151"/>
      <c r="AY321" s="151"/>
      <c r="AZ321" s="151"/>
      <c r="BA321" s="151"/>
      <c r="BB321" s="151"/>
      <c r="BC321" s="151"/>
      <c r="BD321" s="151"/>
      <c r="BE321" s="151"/>
      <c r="BF321" s="151"/>
      <c r="BG321" s="151"/>
      <c r="BH321" s="151"/>
      <c r="BI321" s="151"/>
      <c r="BJ321" s="151"/>
      <c r="BK321" s="151"/>
      <c r="BL321" s="151"/>
      <c r="BM321" s="151"/>
      <c r="BN321" s="151"/>
      <c r="BO321" s="151"/>
      <c r="BP321" s="151"/>
      <c r="BQ321" s="151"/>
      <c r="BR321" s="151"/>
      <c r="BS321" s="151"/>
      <c r="BT321" s="151"/>
      <c r="BU321" s="151"/>
      <c r="BV321" s="151"/>
      <c r="BW321" s="151"/>
      <c r="BX321" s="151"/>
      <c r="BY321" s="151"/>
      <c r="BZ321" s="151"/>
      <c r="CA321" s="151"/>
    </row>
    <row r="322" spans="1:79">
      <c r="A322" s="1047"/>
      <c r="B322" s="699"/>
      <c r="C322" s="699"/>
      <c r="D322" s="699"/>
      <c r="E322" s="699"/>
      <c r="F322" s="699"/>
      <c r="G322" s="699"/>
      <c r="H322" s="699"/>
      <c r="I322" s="699"/>
      <c r="J322" s="699"/>
      <c r="K322" s="1057"/>
      <c r="L322" s="1057"/>
      <c r="M322" s="1057"/>
      <c r="N322" s="1057"/>
      <c r="O322" s="1057"/>
      <c r="P322" s="1057"/>
      <c r="Q322" s="699"/>
      <c r="R322" s="699"/>
      <c r="S322" s="699"/>
      <c r="T322" s="699"/>
      <c r="U322" s="699"/>
      <c r="V322" s="699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  <c r="AU322" s="151"/>
      <c r="AV322" s="151"/>
      <c r="AW322" s="151"/>
      <c r="AX322" s="151"/>
      <c r="AY322" s="151"/>
      <c r="AZ322" s="151"/>
      <c r="BA322" s="151"/>
      <c r="BB322" s="151"/>
      <c r="BC322" s="151"/>
      <c r="BD322" s="151"/>
      <c r="BE322" s="151"/>
      <c r="BF322" s="151"/>
      <c r="BG322" s="151"/>
      <c r="BH322" s="151"/>
      <c r="BI322" s="151"/>
      <c r="BJ322" s="151"/>
      <c r="BK322" s="151"/>
      <c r="BL322" s="151"/>
      <c r="BM322" s="151"/>
      <c r="BN322" s="151"/>
      <c r="BO322" s="151"/>
      <c r="BP322" s="151"/>
      <c r="BQ322" s="151"/>
      <c r="BR322" s="151"/>
      <c r="BS322" s="151"/>
      <c r="BT322" s="151"/>
      <c r="BU322" s="151"/>
      <c r="BV322" s="151"/>
      <c r="BW322" s="151"/>
      <c r="BX322" s="151"/>
      <c r="BY322" s="151"/>
      <c r="BZ322" s="151"/>
      <c r="CA322" s="151"/>
    </row>
    <row r="323" spans="1:79">
      <c r="A323" s="1047"/>
      <c r="B323" s="699"/>
      <c r="C323" s="699"/>
      <c r="D323" s="699"/>
      <c r="E323" s="699"/>
      <c r="F323" s="699"/>
      <c r="G323" s="699"/>
      <c r="H323" s="699"/>
      <c r="I323" s="699"/>
      <c r="J323" s="699"/>
      <c r="K323" s="1057"/>
      <c r="L323" s="1057"/>
      <c r="M323" s="1057"/>
      <c r="N323" s="1057"/>
      <c r="O323" s="1057"/>
      <c r="P323" s="1057"/>
      <c r="Q323" s="699"/>
      <c r="R323" s="699"/>
      <c r="S323" s="699"/>
      <c r="T323" s="699"/>
      <c r="U323" s="699"/>
      <c r="V323" s="699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  <c r="AU323" s="151"/>
      <c r="AV323" s="151"/>
      <c r="AW323" s="151"/>
      <c r="AX323" s="151"/>
      <c r="AY323" s="151"/>
      <c r="AZ323" s="151"/>
      <c r="BA323" s="151"/>
      <c r="BB323" s="151"/>
      <c r="BC323" s="151"/>
      <c r="BD323" s="151"/>
      <c r="BE323" s="151"/>
      <c r="BF323" s="151"/>
      <c r="BG323" s="151"/>
      <c r="BH323" s="151"/>
      <c r="BI323" s="151"/>
      <c r="BJ323" s="151"/>
      <c r="BK323" s="151"/>
      <c r="BL323" s="151"/>
      <c r="BM323" s="151"/>
      <c r="BN323" s="151"/>
      <c r="BO323" s="151"/>
      <c r="BP323" s="151"/>
      <c r="BQ323" s="151"/>
      <c r="BR323" s="151"/>
      <c r="BS323" s="151"/>
      <c r="BT323" s="151"/>
      <c r="BU323" s="151"/>
      <c r="BV323" s="151"/>
      <c r="BW323" s="151"/>
      <c r="BX323" s="151"/>
      <c r="BY323" s="151"/>
      <c r="BZ323" s="151"/>
      <c r="CA323" s="151"/>
    </row>
    <row r="324" spans="1:79">
      <c r="A324" s="1047" t="s">
        <v>511</v>
      </c>
      <c r="B324" s="699"/>
      <c r="C324" s="699"/>
      <c r="D324" s="699"/>
      <c r="E324" s="699"/>
      <c r="F324" s="699"/>
      <c r="G324" s="699"/>
      <c r="H324" s="699"/>
      <c r="I324" s="699"/>
      <c r="J324" s="699"/>
      <c r="K324" s="1057"/>
      <c r="L324" s="1057"/>
      <c r="M324" s="1057"/>
      <c r="N324" s="1057"/>
      <c r="O324" s="1057"/>
      <c r="P324" s="1057"/>
      <c r="Q324" s="699"/>
      <c r="R324" s="699"/>
      <c r="S324" s="699"/>
      <c r="T324" s="699"/>
      <c r="U324" s="699"/>
      <c r="V324" s="699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  <c r="AU324" s="151"/>
      <c r="AV324" s="151"/>
      <c r="AW324" s="151"/>
      <c r="AX324" s="151"/>
      <c r="AY324" s="151"/>
      <c r="AZ324" s="151"/>
      <c r="BA324" s="151"/>
      <c r="BB324" s="151"/>
      <c r="BC324" s="151"/>
      <c r="BD324" s="151"/>
      <c r="BE324" s="151"/>
      <c r="BF324" s="151"/>
      <c r="BG324" s="151"/>
      <c r="BH324" s="151"/>
      <c r="BI324" s="151"/>
      <c r="BJ324" s="151"/>
      <c r="BK324" s="151"/>
      <c r="BL324" s="151"/>
      <c r="BM324" s="151"/>
      <c r="BN324" s="151"/>
      <c r="BO324" s="151"/>
      <c r="BP324" s="151"/>
      <c r="BQ324" s="151"/>
      <c r="BR324" s="151"/>
      <c r="BS324" s="151"/>
      <c r="BT324" s="151"/>
      <c r="BU324" s="151"/>
      <c r="BV324" s="151"/>
      <c r="BW324" s="151"/>
      <c r="BX324" s="151"/>
      <c r="BY324" s="151"/>
      <c r="BZ324" s="151"/>
      <c r="CA324" s="151"/>
    </row>
    <row r="325" spans="1:79">
      <c r="A325" s="1047"/>
      <c r="B325" s="699"/>
      <c r="C325" s="699"/>
      <c r="D325" s="699"/>
      <c r="E325" s="699"/>
      <c r="F325" s="699"/>
      <c r="G325" s="699"/>
      <c r="H325" s="699"/>
      <c r="I325" s="699"/>
      <c r="J325" s="699"/>
      <c r="K325" s="1057"/>
      <c r="L325" s="1057"/>
      <c r="M325" s="1057"/>
      <c r="N325" s="1057"/>
      <c r="O325" s="1057"/>
      <c r="P325" s="1057"/>
      <c r="Q325" s="699"/>
      <c r="R325" s="699"/>
      <c r="S325" s="699"/>
      <c r="T325" s="699"/>
      <c r="U325" s="699"/>
      <c r="V325" s="699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  <c r="AU325" s="151"/>
      <c r="AV325" s="151"/>
      <c r="AW325" s="151"/>
      <c r="AX325" s="151"/>
      <c r="AY325" s="151"/>
      <c r="AZ325" s="151"/>
      <c r="BA325" s="151"/>
      <c r="BB325" s="151"/>
      <c r="BC325" s="151"/>
      <c r="BD325" s="151"/>
      <c r="BE325" s="151"/>
      <c r="BF325" s="151"/>
      <c r="BG325" s="151"/>
      <c r="BH325" s="151"/>
      <c r="BI325" s="151"/>
      <c r="BJ325" s="151"/>
      <c r="BK325" s="151"/>
      <c r="BL325" s="151"/>
      <c r="BM325" s="151"/>
      <c r="BN325" s="151"/>
      <c r="BO325" s="151"/>
      <c r="BP325" s="151"/>
      <c r="BQ325" s="151"/>
      <c r="BR325" s="151"/>
      <c r="BS325" s="151"/>
      <c r="BT325" s="151"/>
      <c r="BU325" s="151"/>
      <c r="BV325" s="151"/>
      <c r="BW325" s="151"/>
      <c r="BX325" s="151"/>
      <c r="BY325" s="151"/>
      <c r="BZ325" s="151"/>
      <c r="CA325" s="151"/>
    </row>
    <row r="326" spans="1:79">
      <c r="A326" s="1047"/>
      <c r="B326" s="699"/>
      <c r="C326" s="699"/>
      <c r="D326" s="699"/>
      <c r="E326" s="699"/>
      <c r="F326" s="699"/>
      <c r="G326" s="699"/>
      <c r="H326" s="699"/>
      <c r="I326" s="699"/>
      <c r="J326" s="699"/>
      <c r="K326" s="1057"/>
      <c r="L326" s="1057"/>
      <c r="M326" s="1057"/>
      <c r="N326" s="1057"/>
      <c r="O326" s="1057"/>
      <c r="P326" s="1057"/>
      <c r="Q326" s="699"/>
      <c r="R326" s="699"/>
      <c r="S326" s="699"/>
      <c r="T326" s="699"/>
      <c r="U326" s="699"/>
      <c r="V326" s="699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I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  <c r="AU326" s="151"/>
      <c r="AV326" s="151"/>
      <c r="AW326" s="151"/>
      <c r="AX326" s="151"/>
      <c r="AY326" s="151"/>
      <c r="AZ326" s="151"/>
      <c r="BA326" s="151"/>
      <c r="BB326" s="151"/>
      <c r="BC326" s="151"/>
      <c r="BD326" s="151"/>
      <c r="BE326" s="151"/>
      <c r="BF326" s="151"/>
      <c r="BG326" s="151"/>
      <c r="BH326" s="151"/>
      <c r="BI326" s="151"/>
      <c r="BJ326" s="151"/>
      <c r="BK326" s="151"/>
      <c r="BL326" s="151"/>
      <c r="BM326" s="151"/>
      <c r="BN326" s="151"/>
      <c r="BO326" s="151"/>
      <c r="BP326" s="151"/>
      <c r="BQ326" s="151"/>
      <c r="BR326" s="151"/>
      <c r="BS326" s="151"/>
      <c r="BT326" s="151"/>
      <c r="BU326" s="151"/>
      <c r="BV326" s="151"/>
      <c r="BW326" s="151"/>
      <c r="BX326" s="151"/>
      <c r="BY326" s="151"/>
      <c r="BZ326" s="151"/>
      <c r="CA326" s="151"/>
    </row>
    <row r="327" spans="1:79">
      <c r="A327" s="1047"/>
      <c r="B327" s="699"/>
      <c r="C327" s="699"/>
      <c r="D327" s="699"/>
      <c r="E327" s="699"/>
      <c r="F327" s="699"/>
      <c r="G327" s="699"/>
      <c r="H327" s="699"/>
      <c r="I327" s="699"/>
      <c r="J327" s="699"/>
      <c r="K327" s="1057"/>
      <c r="L327" s="1057"/>
      <c r="M327" s="1057"/>
      <c r="N327" s="1057"/>
      <c r="O327" s="1057"/>
      <c r="P327" s="1057"/>
      <c r="Q327" s="699"/>
      <c r="R327" s="699"/>
      <c r="S327" s="699"/>
      <c r="T327" s="699"/>
      <c r="U327" s="699"/>
      <c r="V327" s="699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  <c r="AU327" s="151"/>
      <c r="AV327" s="151"/>
      <c r="AW327" s="151"/>
      <c r="AX327" s="151"/>
      <c r="AY327" s="151"/>
      <c r="AZ327" s="151"/>
      <c r="BA327" s="151"/>
      <c r="BB327" s="151"/>
      <c r="BC327" s="151"/>
      <c r="BD327" s="151"/>
      <c r="BE327" s="151"/>
      <c r="BF327" s="151"/>
      <c r="BG327" s="151"/>
      <c r="BH327" s="151"/>
      <c r="BI327" s="151"/>
      <c r="BJ327" s="151"/>
      <c r="BK327" s="151"/>
      <c r="BL327" s="151"/>
      <c r="BM327" s="151"/>
      <c r="BN327" s="151"/>
      <c r="BO327" s="151"/>
      <c r="BP327" s="151"/>
      <c r="BQ327" s="151"/>
      <c r="BR327" s="151"/>
      <c r="BS327" s="151"/>
      <c r="BT327" s="151"/>
      <c r="BU327" s="151"/>
      <c r="BV327" s="151"/>
      <c r="BW327" s="151"/>
      <c r="BX327" s="151"/>
      <c r="BY327" s="151"/>
      <c r="BZ327" s="151"/>
      <c r="CA327" s="151"/>
    </row>
    <row r="328" spans="1:79">
      <c r="A328" s="1047"/>
      <c r="B328" s="699"/>
      <c r="C328" s="699"/>
      <c r="D328" s="699"/>
      <c r="E328" s="699"/>
      <c r="F328" s="699"/>
      <c r="G328" s="699"/>
      <c r="H328" s="699"/>
      <c r="I328" s="699"/>
      <c r="J328" s="699"/>
      <c r="K328" s="1057"/>
      <c r="L328" s="1057"/>
      <c r="M328" s="1057"/>
      <c r="N328" s="1057"/>
      <c r="O328" s="1057"/>
      <c r="P328" s="1057"/>
      <c r="Q328" s="699"/>
      <c r="R328" s="699"/>
      <c r="S328" s="699"/>
      <c r="T328" s="699"/>
      <c r="U328" s="699"/>
      <c r="V328" s="699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I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  <c r="AU328" s="151"/>
      <c r="AV328" s="151"/>
      <c r="AW328" s="151"/>
      <c r="AX328" s="151"/>
      <c r="AY328" s="151"/>
      <c r="AZ328" s="151"/>
      <c r="BA328" s="151"/>
      <c r="BB328" s="151"/>
      <c r="BC328" s="151"/>
      <c r="BD328" s="151"/>
      <c r="BE328" s="151"/>
      <c r="BF328" s="151"/>
      <c r="BG328" s="151"/>
      <c r="BH328" s="151"/>
      <c r="BI328" s="151"/>
      <c r="BJ328" s="151"/>
      <c r="BK328" s="151"/>
      <c r="BL328" s="151"/>
      <c r="BM328" s="151"/>
      <c r="BN328" s="151"/>
      <c r="BO328" s="151"/>
      <c r="BP328" s="151"/>
      <c r="BQ328" s="151"/>
      <c r="BR328" s="151"/>
      <c r="BS328" s="151"/>
      <c r="BT328" s="151"/>
      <c r="BU328" s="151"/>
      <c r="BV328" s="151"/>
      <c r="BW328" s="151"/>
      <c r="BX328" s="151"/>
      <c r="BY328" s="151"/>
      <c r="BZ328" s="151"/>
      <c r="CA328" s="151"/>
    </row>
    <row r="329" spans="1:79">
      <c r="A329" s="1047"/>
      <c r="B329" s="699"/>
      <c r="C329" s="699"/>
      <c r="D329" s="699"/>
      <c r="E329" s="699"/>
      <c r="F329" s="699"/>
      <c r="G329" s="699"/>
      <c r="H329" s="699"/>
      <c r="I329" s="699"/>
      <c r="J329" s="699"/>
      <c r="K329" s="1057"/>
      <c r="L329" s="1057"/>
      <c r="M329" s="1057"/>
      <c r="N329" s="1057"/>
      <c r="O329" s="1057"/>
      <c r="P329" s="1057"/>
      <c r="Q329" s="699"/>
      <c r="R329" s="699"/>
      <c r="S329" s="699"/>
      <c r="T329" s="699"/>
      <c r="U329" s="699"/>
      <c r="V329" s="699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  <c r="AU329" s="151"/>
      <c r="AV329" s="151"/>
      <c r="AW329" s="151"/>
      <c r="AX329" s="151"/>
      <c r="AY329" s="151"/>
      <c r="AZ329" s="151"/>
      <c r="BA329" s="151"/>
      <c r="BB329" s="151"/>
      <c r="BC329" s="151"/>
      <c r="BD329" s="151"/>
      <c r="BE329" s="151"/>
      <c r="BF329" s="151"/>
      <c r="BG329" s="151"/>
      <c r="BH329" s="151"/>
      <c r="BI329" s="151"/>
      <c r="BJ329" s="151"/>
      <c r="BK329" s="151"/>
      <c r="BL329" s="151"/>
      <c r="BM329" s="151"/>
      <c r="BN329" s="151"/>
      <c r="BO329" s="151"/>
      <c r="BP329" s="151"/>
      <c r="BQ329" s="151"/>
      <c r="BR329" s="151"/>
      <c r="BS329" s="151"/>
      <c r="BT329" s="151"/>
      <c r="BU329" s="151"/>
      <c r="BV329" s="151"/>
      <c r="BW329" s="151"/>
      <c r="BX329" s="151"/>
      <c r="BY329" s="151"/>
      <c r="BZ329" s="151"/>
      <c r="CA329" s="151"/>
    </row>
    <row r="330" spans="1:79">
      <c r="A330" s="1047"/>
      <c r="B330" s="699"/>
      <c r="C330" s="699"/>
      <c r="D330" s="699"/>
      <c r="E330" s="699"/>
      <c r="F330" s="699"/>
      <c r="G330" s="699"/>
      <c r="H330" s="699"/>
      <c r="I330" s="699"/>
      <c r="J330" s="699"/>
      <c r="K330" s="1057"/>
      <c r="L330" s="1057"/>
      <c r="M330" s="1057"/>
      <c r="N330" s="1057"/>
      <c r="O330" s="1057"/>
      <c r="P330" s="1057"/>
      <c r="Q330" s="699"/>
      <c r="R330" s="699"/>
      <c r="S330" s="699"/>
      <c r="T330" s="699"/>
      <c r="U330" s="699"/>
      <c r="V330" s="699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I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  <c r="AU330" s="151"/>
      <c r="AV330" s="151"/>
      <c r="AW330" s="151"/>
      <c r="AX330" s="151"/>
      <c r="AY330" s="151"/>
      <c r="AZ330" s="151"/>
      <c r="BA330" s="151"/>
      <c r="BB330" s="151"/>
      <c r="BC330" s="151"/>
      <c r="BD330" s="151"/>
      <c r="BE330" s="151"/>
      <c r="BF330" s="151"/>
      <c r="BG330" s="151"/>
      <c r="BH330" s="151"/>
      <c r="BI330" s="151"/>
      <c r="BJ330" s="151"/>
      <c r="BK330" s="151"/>
      <c r="BL330" s="151"/>
      <c r="BM330" s="151"/>
      <c r="BN330" s="151"/>
      <c r="BO330" s="151"/>
      <c r="BP330" s="151"/>
      <c r="BQ330" s="151"/>
      <c r="BR330" s="151"/>
      <c r="BS330" s="151"/>
      <c r="BT330" s="151"/>
      <c r="BU330" s="151"/>
      <c r="BV330" s="151"/>
      <c r="BW330" s="151"/>
      <c r="BX330" s="151"/>
      <c r="BY330" s="151"/>
      <c r="BZ330" s="151"/>
      <c r="CA330" s="151"/>
    </row>
    <row r="331" spans="1:79">
      <c r="A331" s="1047"/>
      <c r="B331" s="699"/>
      <c r="C331" s="699"/>
      <c r="D331" s="699"/>
      <c r="E331" s="699"/>
      <c r="F331" s="699"/>
      <c r="G331" s="699"/>
      <c r="H331" s="699"/>
      <c r="I331" s="699"/>
      <c r="J331" s="699"/>
      <c r="K331" s="1057"/>
      <c r="L331" s="1057"/>
      <c r="M331" s="1057"/>
      <c r="N331" s="1057"/>
      <c r="O331" s="1057"/>
      <c r="P331" s="1057"/>
      <c r="Q331" s="699"/>
      <c r="R331" s="699"/>
      <c r="S331" s="699"/>
      <c r="T331" s="699"/>
      <c r="U331" s="699"/>
      <c r="V331" s="699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I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  <c r="AU331" s="151"/>
      <c r="AV331" s="151"/>
      <c r="AW331" s="151"/>
      <c r="AX331" s="151"/>
      <c r="AY331" s="151"/>
      <c r="AZ331" s="151"/>
      <c r="BA331" s="151"/>
      <c r="BB331" s="151"/>
      <c r="BC331" s="151"/>
      <c r="BD331" s="151"/>
      <c r="BE331" s="151"/>
      <c r="BF331" s="151"/>
      <c r="BG331" s="151"/>
      <c r="BH331" s="151"/>
      <c r="BI331" s="151"/>
      <c r="BJ331" s="151"/>
      <c r="BK331" s="151"/>
      <c r="BL331" s="151"/>
      <c r="BM331" s="151"/>
      <c r="BN331" s="151"/>
      <c r="BO331" s="151"/>
      <c r="BP331" s="151"/>
      <c r="BQ331" s="151"/>
      <c r="BR331" s="151"/>
      <c r="BS331" s="151"/>
      <c r="BT331" s="151"/>
      <c r="BU331" s="151"/>
      <c r="BV331" s="151"/>
      <c r="BW331" s="151"/>
      <c r="BX331" s="151"/>
      <c r="BY331" s="151"/>
      <c r="BZ331" s="151"/>
      <c r="CA331" s="151"/>
    </row>
    <row r="332" spans="1:79">
      <c r="A332" s="1047"/>
      <c r="B332" s="699"/>
      <c r="C332" s="699"/>
      <c r="D332" s="699"/>
      <c r="E332" s="699"/>
      <c r="F332" s="699"/>
      <c r="G332" s="699"/>
      <c r="H332" s="699"/>
      <c r="I332" s="699"/>
      <c r="J332" s="699"/>
      <c r="K332" s="1057"/>
      <c r="L332" s="1057"/>
      <c r="M332" s="1057"/>
      <c r="N332" s="1057"/>
      <c r="O332" s="1057"/>
      <c r="P332" s="1057"/>
      <c r="Q332" s="699"/>
      <c r="R332" s="699"/>
      <c r="S332" s="699"/>
      <c r="T332" s="699"/>
      <c r="U332" s="699"/>
      <c r="V332" s="699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I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  <c r="AU332" s="151"/>
      <c r="AV332" s="151"/>
      <c r="AW332" s="151"/>
      <c r="AX332" s="151"/>
      <c r="AY332" s="151"/>
      <c r="AZ332" s="151"/>
      <c r="BA332" s="151"/>
      <c r="BB332" s="151"/>
      <c r="BC332" s="151"/>
      <c r="BD332" s="151"/>
      <c r="BE332" s="151"/>
      <c r="BF332" s="151"/>
      <c r="BG332" s="151"/>
      <c r="BH332" s="151"/>
      <c r="BI332" s="151"/>
      <c r="BJ332" s="151"/>
      <c r="BK332" s="151"/>
      <c r="BL332" s="151"/>
      <c r="BM332" s="151"/>
      <c r="BN332" s="151"/>
      <c r="BO332" s="151"/>
      <c r="BP332" s="151"/>
      <c r="BQ332" s="151"/>
      <c r="BR332" s="151"/>
      <c r="BS332" s="151"/>
      <c r="BT332" s="151"/>
      <c r="BU332" s="151"/>
      <c r="BV332" s="151"/>
      <c r="BW332" s="151"/>
      <c r="BX332" s="151"/>
      <c r="BY332" s="151"/>
      <c r="BZ332" s="151"/>
      <c r="CA332" s="151"/>
    </row>
    <row r="333" spans="1:79">
      <c r="A333" s="1047"/>
      <c r="B333" s="699"/>
      <c r="C333" s="699"/>
      <c r="D333" s="699"/>
      <c r="E333" s="699"/>
      <c r="F333" s="699"/>
      <c r="G333" s="699"/>
      <c r="H333" s="699"/>
      <c r="I333" s="699"/>
      <c r="J333" s="699"/>
      <c r="K333" s="1057"/>
      <c r="L333" s="1057"/>
      <c r="M333" s="1057"/>
      <c r="N333" s="1057"/>
      <c r="O333" s="1057"/>
      <c r="P333" s="1057"/>
      <c r="Q333" s="699"/>
      <c r="R333" s="699"/>
      <c r="S333" s="699"/>
      <c r="T333" s="699"/>
      <c r="U333" s="699"/>
      <c r="V333" s="699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  <c r="AU333" s="151"/>
      <c r="AV333" s="151"/>
      <c r="AW333" s="151"/>
      <c r="AX333" s="151"/>
      <c r="AY333" s="151"/>
      <c r="AZ333" s="151"/>
      <c r="BA333" s="151"/>
      <c r="BB333" s="151"/>
      <c r="BC333" s="151"/>
      <c r="BD333" s="151"/>
      <c r="BE333" s="151"/>
      <c r="BF333" s="151"/>
      <c r="BG333" s="151"/>
      <c r="BH333" s="151"/>
      <c r="BI333" s="151"/>
      <c r="BJ333" s="151"/>
      <c r="BK333" s="151"/>
      <c r="BL333" s="151"/>
      <c r="BM333" s="151"/>
      <c r="BN333" s="151"/>
      <c r="BO333" s="151"/>
      <c r="BP333" s="151"/>
      <c r="BQ333" s="151"/>
      <c r="BR333" s="151"/>
      <c r="BS333" s="151"/>
      <c r="BT333" s="151"/>
      <c r="BU333" s="151"/>
      <c r="BV333" s="151"/>
      <c r="BW333" s="151"/>
      <c r="BX333" s="151"/>
      <c r="BY333" s="151"/>
      <c r="BZ333" s="151"/>
      <c r="CA333" s="151"/>
    </row>
    <row r="334" spans="1:79">
      <c r="A334" s="1047"/>
      <c r="B334" s="699"/>
      <c r="C334" s="699"/>
      <c r="D334" s="699"/>
      <c r="E334" s="699"/>
      <c r="F334" s="699"/>
      <c r="G334" s="699"/>
      <c r="H334" s="699"/>
      <c r="I334" s="699"/>
      <c r="J334" s="699"/>
      <c r="K334" s="1057"/>
      <c r="L334" s="1057"/>
      <c r="M334" s="1057"/>
      <c r="N334" s="1057"/>
      <c r="O334" s="1057"/>
      <c r="P334" s="1057"/>
      <c r="Q334" s="699"/>
      <c r="R334" s="699"/>
      <c r="S334" s="699"/>
      <c r="T334" s="699"/>
      <c r="U334" s="699"/>
      <c r="V334" s="699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  <c r="AU334" s="151"/>
      <c r="AV334" s="151"/>
      <c r="AW334" s="151"/>
      <c r="AX334" s="151"/>
      <c r="AY334" s="151"/>
      <c r="AZ334" s="151"/>
      <c r="BA334" s="151"/>
      <c r="BB334" s="151"/>
      <c r="BC334" s="151"/>
      <c r="BD334" s="151"/>
      <c r="BE334" s="151"/>
      <c r="BF334" s="151"/>
      <c r="BG334" s="151"/>
      <c r="BH334" s="151"/>
      <c r="BI334" s="151"/>
      <c r="BJ334" s="151"/>
      <c r="BK334" s="151"/>
      <c r="BL334" s="151"/>
      <c r="BM334" s="151"/>
      <c r="BN334" s="151"/>
      <c r="BO334" s="151"/>
      <c r="BP334" s="151"/>
      <c r="BQ334" s="151"/>
      <c r="BR334" s="151"/>
      <c r="BS334" s="151"/>
      <c r="BT334" s="151"/>
      <c r="BU334" s="151"/>
      <c r="BV334" s="151"/>
      <c r="BW334" s="151"/>
      <c r="BX334" s="151"/>
      <c r="BY334" s="151"/>
      <c r="BZ334" s="151"/>
      <c r="CA334" s="151"/>
    </row>
    <row r="335" spans="1:79">
      <c r="A335" s="1047"/>
      <c r="B335" s="699"/>
      <c r="C335" s="699"/>
      <c r="D335" s="699"/>
      <c r="E335" s="699"/>
      <c r="F335" s="699"/>
      <c r="G335" s="699"/>
      <c r="H335" s="699"/>
      <c r="I335" s="699"/>
      <c r="J335" s="699"/>
      <c r="K335" s="1057"/>
      <c r="L335" s="1057"/>
      <c r="M335" s="1057"/>
      <c r="N335" s="1057"/>
      <c r="O335" s="1057"/>
      <c r="P335" s="1057"/>
      <c r="Q335" s="699"/>
      <c r="R335" s="699"/>
      <c r="S335" s="699"/>
      <c r="T335" s="699"/>
      <c r="U335" s="699"/>
      <c r="V335" s="699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  <c r="AU335" s="151"/>
      <c r="AV335" s="151"/>
      <c r="AW335" s="151"/>
      <c r="AX335" s="151"/>
      <c r="AY335" s="151"/>
      <c r="AZ335" s="151"/>
      <c r="BA335" s="151"/>
      <c r="BB335" s="151"/>
      <c r="BC335" s="151"/>
      <c r="BD335" s="151"/>
      <c r="BE335" s="151"/>
      <c r="BF335" s="151"/>
      <c r="BG335" s="151"/>
      <c r="BH335" s="151"/>
      <c r="BI335" s="151"/>
      <c r="BJ335" s="151"/>
      <c r="BK335" s="151"/>
      <c r="BL335" s="151"/>
      <c r="BM335" s="151"/>
      <c r="BN335" s="151"/>
      <c r="BO335" s="151"/>
      <c r="BP335" s="151"/>
      <c r="BQ335" s="151"/>
      <c r="BR335" s="151"/>
      <c r="BS335" s="151"/>
      <c r="BT335" s="151"/>
      <c r="BU335" s="151"/>
      <c r="BV335" s="151"/>
      <c r="BW335" s="151"/>
      <c r="BX335" s="151"/>
      <c r="BY335" s="151"/>
      <c r="BZ335" s="151"/>
      <c r="CA335" s="151"/>
    </row>
    <row r="336" spans="1:79">
      <c r="A336" s="1047"/>
      <c r="B336" s="699"/>
      <c r="C336" s="699"/>
      <c r="D336" s="699"/>
      <c r="E336" s="699"/>
      <c r="F336" s="699"/>
      <c r="G336" s="699"/>
      <c r="H336" s="699"/>
      <c r="I336" s="699"/>
      <c r="J336" s="699"/>
      <c r="K336" s="1057"/>
      <c r="L336" s="1057"/>
      <c r="M336" s="1057"/>
      <c r="N336" s="1057"/>
      <c r="O336" s="1057"/>
      <c r="P336" s="1057"/>
      <c r="Q336" s="699"/>
      <c r="R336" s="699"/>
      <c r="S336" s="699"/>
      <c r="T336" s="699"/>
      <c r="U336" s="699"/>
      <c r="V336" s="699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  <c r="AU336" s="151"/>
      <c r="AV336" s="151"/>
      <c r="AW336" s="151"/>
      <c r="AX336" s="151"/>
      <c r="AY336" s="151"/>
      <c r="AZ336" s="151"/>
      <c r="BA336" s="151"/>
      <c r="BB336" s="151"/>
      <c r="BC336" s="151"/>
      <c r="BD336" s="151"/>
      <c r="BE336" s="151"/>
      <c r="BF336" s="151"/>
      <c r="BG336" s="151"/>
      <c r="BH336" s="151"/>
      <c r="BI336" s="151"/>
      <c r="BJ336" s="151"/>
      <c r="BK336" s="151"/>
      <c r="BL336" s="151"/>
      <c r="BM336" s="151"/>
      <c r="BN336" s="151"/>
      <c r="BO336" s="151"/>
      <c r="BP336" s="151"/>
      <c r="BQ336" s="151"/>
      <c r="BR336" s="151"/>
      <c r="BS336" s="151"/>
      <c r="BT336" s="151"/>
      <c r="BU336" s="151"/>
      <c r="BV336" s="151"/>
      <c r="BW336" s="151"/>
      <c r="BX336" s="151"/>
      <c r="BY336" s="151"/>
      <c r="BZ336" s="151"/>
      <c r="CA336" s="151"/>
    </row>
    <row r="337" spans="1:79">
      <c r="A337" s="1047"/>
      <c r="B337" s="699"/>
      <c r="C337" s="699"/>
      <c r="D337" s="699"/>
      <c r="E337" s="699"/>
      <c r="F337" s="699"/>
      <c r="G337" s="699"/>
      <c r="H337" s="699"/>
      <c r="I337" s="699"/>
      <c r="J337" s="699"/>
      <c r="K337" s="1057"/>
      <c r="L337" s="1057"/>
      <c r="M337" s="1057"/>
      <c r="N337" s="1057"/>
      <c r="O337" s="1057"/>
      <c r="P337" s="1057"/>
      <c r="Q337" s="699"/>
      <c r="R337" s="699"/>
      <c r="S337" s="699"/>
      <c r="T337" s="699"/>
      <c r="U337" s="699"/>
      <c r="V337" s="699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  <c r="AU337" s="151"/>
      <c r="AV337" s="151"/>
      <c r="AW337" s="151"/>
      <c r="AX337" s="151"/>
      <c r="AY337" s="151"/>
      <c r="AZ337" s="151"/>
      <c r="BA337" s="151"/>
      <c r="BB337" s="151"/>
      <c r="BC337" s="151"/>
      <c r="BD337" s="151"/>
      <c r="BE337" s="151"/>
      <c r="BF337" s="151"/>
      <c r="BG337" s="151"/>
      <c r="BH337" s="151"/>
      <c r="BI337" s="151"/>
      <c r="BJ337" s="151"/>
      <c r="BK337" s="151"/>
      <c r="BL337" s="151"/>
      <c r="BM337" s="151"/>
      <c r="BN337" s="151"/>
      <c r="BO337" s="151"/>
      <c r="BP337" s="151"/>
      <c r="BQ337" s="151"/>
      <c r="BR337" s="151"/>
      <c r="BS337" s="151"/>
      <c r="BT337" s="151"/>
      <c r="BU337" s="151"/>
      <c r="BV337" s="151"/>
      <c r="BW337" s="151"/>
      <c r="BX337" s="151"/>
      <c r="BY337" s="151"/>
      <c r="BZ337" s="151"/>
      <c r="CA337" s="151"/>
    </row>
    <row r="338" spans="1:79">
      <c r="A338" s="1047"/>
      <c r="B338" s="699"/>
      <c r="C338" s="699"/>
      <c r="D338" s="699"/>
      <c r="E338" s="699"/>
      <c r="F338" s="699"/>
      <c r="G338" s="699"/>
      <c r="H338" s="699"/>
      <c r="I338" s="699"/>
      <c r="J338" s="699"/>
      <c r="K338" s="1057"/>
      <c r="L338" s="1057"/>
      <c r="M338" s="1057"/>
      <c r="N338" s="1057"/>
      <c r="O338" s="1057"/>
      <c r="P338" s="1057"/>
      <c r="Q338" s="699"/>
      <c r="R338" s="699"/>
      <c r="S338" s="699"/>
      <c r="T338" s="699"/>
      <c r="U338" s="699"/>
      <c r="V338" s="699"/>
      <c r="W338" s="699"/>
      <c r="X338" s="699"/>
      <c r="Y338" s="699"/>
      <c r="Z338" s="699"/>
      <c r="AA338" s="699"/>
      <c r="AB338" s="699"/>
      <c r="AC338" s="699"/>
      <c r="AD338" s="699"/>
      <c r="AE338" s="699"/>
      <c r="AF338" s="699"/>
      <c r="AG338" s="699"/>
      <c r="AH338" s="699"/>
      <c r="AI338" s="699"/>
      <c r="AJ338" s="699"/>
      <c r="AK338" s="699"/>
      <c r="AL338" s="699"/>
      <c r="AM338" s="699"/>
      <c r="AN338" s="699"/>
      <c r="AO338" s="699"/>
      <c r="AP338" s="699"/>
      <c r="AQ338" s="699"/>
      <c r="AR338" s="699"/>
      <c r="AS338" s="699"/>
      <c r="AT338" s="699"/>
      <c r="AU338" s="699"/>
      <c r="AV338" s="699"/>
      <c r="AW338" s="699"/>
      <c r="AX338" s="699"/>
      <c r="AY338" s="699"/>
      <c r="AZ338" s="699"/>
      <c r="BA338" s="699"/>
      <c r="BB338" s="699"/>
      <c r="BC338" s="699"/>
      <c r="BD338" s="699"/>
      <c r="BE338" s="699"/>
      <c r="BF338" s="699"/>
      <c r="BG338" s="699"/>
      <c r="BH338" s="699"/>
      <c r="BI338" s="699"/>
      <c r="BJ338" s="699"/>
      <c r="BK338" s="699"/>
      <c r="BL338" s="699"/>
      <c r="BM338" s="699"/>
      <c r="BN338" s="699"/>
      <c r="BO338" s="699"/>
      <c r="BP338" s="699"/>
      <c r="BQ338" s="699"/>
      <c r="BR338" s="699"/>
      <c r="BS338" s="699"/>
      <c r="BT338" s="699"/>
      <c r="BU338" s="699"/>
      <c r="BV338" s="699"/>
      <c r="BW338" s="699"/>
      <c r="BX338" s="699"/>
      <c r="BY338" s="699"/>
      <c r="BZ338" s="699"/>
      <c r="CA338" s="699"/>
    </row>
    <row r="339" spans="1:79">
      <c r="A339" s="1047" t="s">
        <v>511</v>
      </c>
      <c r="B339" s="699"/>
      <c r="C339" s="699"/>
      <c r="D339" s="699"/>
      <c r="E339" s="699"/>
      <c r="F339" s="699"/>
      <c r="G339" s="699"/>
      <c r="H339" s="699"/>
      <c r="I339" s="699"/>
      <c r="J339" s="699"/>
      <c r="K339" s="1057"/>
      <c r="L339" s="1057"/>
      <c r="M339" s="1057"/>
      <c r="N339" s="1057"/>
      <c r="O339" s="1057"/>
      <c r="P339" s="1057"/>
      <c r="Q339" s="699"/>
      <c r="R339" s="699"/>
      <c r="S339" s="699"/>
      <c r="T339" s="699"/>
      <c r="U339" s="699"/>
      <c r="V339" s="699"/>
      <c r="W339" s="699"/>
      <c r="X339" s="699"/>
      <c r="Y339" s="699"/>
      <c r="Z339" s="699"/>
      <c r="AA339" s="699"/>
      <c r="AB339" s="699"/>
      <c r="AC339" s="699"/>
      <c r="AD339" s="699"/>
      <c r="AE339" s="699"/>
      <c r="AF339" s="699"/>
      <c r="AG339" s="699"/>
      <c r="AH339" s="699"/>
      <c r="AI339" s="699"/>
      <c r="AJ339" s="699"/>
      <c r="AK339" s="699"/>
      <c r="AL339" s="699"/>
      <c r="AM339" s="699"/>
      <c r="AN339" s="699"/>
      <c r="AO339" s="699"/>
      <c r="AP339" s="699"/>
      <c r="AQ339" s="699"/>
      <c r="AR339" s="699"/>
      <c r="AS339" s="699"/>
      <c r="AT339" s="699"/>
      <c r="AU339" s="699"/>
      <c r="AV339" s="699"/>
      <c r="AW339" s="699"/>
      <c r="AX339" s="699"/>
      <c r="AY339" s="699"/>
      <c r="AZ339" s="699"/>
      <c r="BA339" s="699"/>
      <c r="BB339" s="699"/>
      <c r="BC339" s="699"/>
      <c r="BD339" s="699"/>
      <c r="BE339" s="699"/>
      <c r="BF339" s="699"/>
      <c r="BG339" s="699"/>
      <c r="BH339" s="699"/>
      <c r="BI339" s="699"/>
      <c r="BJ339" s="699"/>
      <c r="BK339" s="699"/>
      <c r="BL339" s="699"/>
      <c r="BM339" s="699"/>
      <c r="BN339" s="699"/>
      <c r="BO339" s="699"/>
      <c r="BP339" s="699"/>
      <c r="BQ339" s="699"/>
      <c r="BR339" s="699"/>
      <c r="BS339" s="699"/>
      <c r="BT339" s="699"/>
      <c r="BU339" s="699"/>
      <c r="BV339" s="699"/>
      <c r="BW339" s="699"/>
      <c r="BX339" s="699"/>
      <c r="BY339" s="699"/>
      <c r="BZ339" s="699"/>
      <c r="CA339" s="699"/>
    </row>
    <row r="340" spans="1:79">
      <c r="A340" s="1047"/>
      <c r="B340" s="699"/>
      <c r="C340" s="699"/>
      <c r="D340" s="699"/>
      <c r="E340" s="699"/>
      <c r="F340" s="699"/>
      <c r="G340" s="699"/>
      <c r="H340" s="699"/>
      <c r="I340" s="699"/>
      <c r="J340" s="699"/>
      <c r="K340" s="1057"/>
      <c r="L340" s="1057"/>
      <c r="M340" s="1057"/>
      <c r="N340" s="1057"/>
      <c r="O340" s="1057"/>
      <c r="P340" s="1057"/>
      <c r="Q340" s="699"/>
      <c r="R340" s="699"/>
      <c r="S340" s="699"/>
      <c r="T340" s="699"/>
      <c r="U340" s="699"/>
      <c r="V340" s="699"/>
      <c r="W340" s="699"/>
      <c r="X340" s="699"/>
      <c r="Y340" s="699"/>
      <c r="Z340" s="699"/>
      <c r="AA340" s="699"/>
      <c r="AB340" s="699"/>
      <c r="AC340" s="699"/>
      <c r="AD340" s="699"/>
      <c r="AE340" s="699"/>
      <c r="AF340" s="699"/>
      <c r="AG340" s="699"/>
      <c r="AH340" s="699"/>
      <c r="AI340" s="699"/>
      <c r="AJ340" s="699"/>
      <c r="AK340" s="699"/>
      <c r="AL340" s="699"/>
      <c r="AM340" s="699"/>
      <c r="AN340" s="699"/>
      <c r="AO340" s="699"/>
      <c r="AP340" s="699"/>
      <c r="AQ340" s="699"/>
      <c r="AR340" s="699"/>
      <c r="AS340" s="699"/>
      <c r="AT340" s="699"/>
      <c r="AU340" s="699"/>
      <c r="AV340" s="699"/>
      <c r="AW340" s="699"/>
      <c r="AX340" s="699"/>
      <c r="AY340" s="699"/>
      <c r="AZ340" s="699"/>
      <c r="BA340" s="699"/>
      <c r="BB340" s="699"/>
      <c r="BC340" s="699"/>
      <c r="BD340" s="699"/>
      <c r="BE340" s="699"/>
      <c r="BF340" s="699"/>
      <c r="BG340" s="699"/>
      <c r="BH340" s="699"/>
      <c r="BI340" s="699"/>
      <c r="BJ340" s="699"/>
      <c r="BK340" s="699"/>
      <c r="BL340" s="699"/>
      <c r="BM340" s="699"/>
      <c r="BN340" s="699"/>
      <c r="BO340" s="699"/>
      <c r="BP340" s="699"/>
      <c r="BQ340" s="699"/>
      <c r="BR340" s="699"/>
      <c r="BS340" s="699"/>
      <c r="BT340" s="699"/>
      <c r="BU340" s="699"/>
      <c r="BV340" s="699"/>
      <c r="BW340" s="699"/>
      <c r="BX340" s="699"/>
      <c r="BY340" s="699"/>
      <c r="BZ340" s="699"/>
      <c r="CA340" s="699"/>
    </row>
    <row r="341" spans="1:79">
      <c r="A341" s="1047" t="s">
        <v>511</v>
      </c>
      <c r="B341" s="699"/>
      <c r="C341" s="699"/>
      <c r="D341" s="699"/>
      <c r="E341" s="699"/>
      <c r="F341" s="699"/>
      <c r="G341" s="699"/>
      <c r="H341" s="699"/>
      <c r="I341" s="699"/>
      <c r="J341" s="699"/>
      <c r="K341" s="1057"/>
      <c r="L341" s="1057"/>
      <c r="M341" s="1057"/>
      <c r="N341" s="1057"/>
      <c r="O341" s="1057"/>
      <c r="P341" s="1057"/>
      <c r="Q341" s="699"/>
      <c r="R341" s="699"/>
      <c r="S341" s="699"/>
      <c r="T341" s="699"/>
      <c r="U341" s="699"/>
      <c r="V341" s="699"/>
      <c r="W341" s="699"/>
      <c r="X341" s="699"/>
      <c r="Y341" s="699"/>
      <c r="Z341" s="699"/>
      <c r="AA341" s="699"/>
      <c r="AB341" s="699"/>
      <c r="AC341" s="699"/>
      <c r="AD341" s="699"/>
      <c r="AE341" s="699"/>
      <c r="AF341" s="699"/>
      <c r="AG341" s="699"/>
      <c r="AH341" s="699"/>
      <c r="AI341" s="699"/>
      <c r="AJ341" s="699"/>
      <c r="AK341" s="699"/>
      <c r="AL341" s="699"/>
      <c r="AM341" s="699"/>
      <c r="AN341" s="699"/>
      <c r="AO341" s="699"/>
      <c r="AP341" s="699"/>
      <c r="AQ341" s="699"/>
      <c r="AR341" s="699"/>
      <c r="AS341" s="699"/>
      <c r="AT341" s="699"/>
      <c r="AU341" s="699"/>
      <c r="AV341" s="699"/>
      <c r="AW341" s="699"/>
      <c r="AX341" s="699"/>
      <c r="AY341" s="699"/>
      <c r="AZ341" s="699"/>
      <c r="BA341" s="699"/>
      <c r="BB341" s="699"/>
      <c r="BC341" s="699"/>
      <c r="BD341" s="699"/>
      <c r="BE341" s="699"/>
      <c r="BF341" s="699"/>
      <c r="BG341" s="699"/>
      <c r="BH341" s="699"/>
      <c r="BI341" s="699"/>
      <c r="BJ341" s="699"/>
      <c r="BK341" s="699"/>
      <c r="BL341" s="699"/>
      <c r="BM341" s="699"/>
      <c r="BN341" s="699"/>
      <c r="BO341" s="699"/>
      <c r="BP341" s="699"/>
      <c r="BQ341" s="699"/>
      <c r="BR341" s="699"/>
      <c r="BS341" s="699"/>
      <c r="BT341" s="699"/>
      <c r="BU341" s="699"/>
      <c r="BV341" s="699"/>
      <c r="BW341" s="699"/>
      <c r="BX341" s="699"/>
      <c r="BY341" s="699"/>
      <c r="BZ341" s="699"/>
      <c r="CA341" s="699"/>
    </row>
    <row r="342" spans="1:79">
      <c r="A342" s="1047"/>
      <c r="B342" s="699"/>
      <c r="C342" s="699"/>
      <c r="D342" s="699"/>
      <c r="E342" s="699"/>
      <c r="F342" s="699"/>
      <c r="G342" s="699"/>
      <c r="H342" s="699"/>
      <c r="I342" s="699"/>
      <c r="J342" s="699"/>
      <c r="K342" s="1057"/>
      <c r="L342" s="1057"/>
      <c r="M342" s="1057"/>
      <c r="N342" s="1057"/>
      <c r="O342" s="1057"/>
      <c r="P342" s="1057"/>
      <c r="Q342" s="699"/>
      <c r="R342" s="699"/>
      <c r="S342" s="699"/>
      <c r="T342" s="699"/>
      <c r="U342" s="699"/>
      <c r="V342" s="699"/>
      <c r="W342" s="699"/>
      <c r="X342" s="699"/>
      <c r="Y342" s="699"/>
      <c r="Z342" s="699"/>
      <c r="AA342" s="699"/>
      <c r="AB342" s="699"/>
      <c r="AC342" s="699"/>
      <c r="AD342" s="699"/>
      <c r="AE342" s="699"/>
      <c r="AF342" s="699"/>
      <c r="AG342" s="699"/>
      <c r="AH342" s="699"/>
      <c r="AI342" s="699"/>
      <c r="AJ342" s="699"/>
      <c r="AK342" s="699"/>
      <c r="AL342" s="699"/>
      <c r="AM342" s="699"/>
      <c r="AN342" s="699"/>
      <c r="AO342" s="699"/>
      <c r="AP342" s="699"/>
      <c r="AQ342" s="699"/>
      <c r="AR342" s="699"/>
      <c r="AS342" s="699"/>
      <c r="AT342" s="699"/>
      <c r="AU342" s="699"/>
      <c r="AV342" s="699"/>
      <c r="AW342" s="699"/>
      <c r="AX342" s="699"/>
      <c r="AY342" s="699"/>
      <c r="AZ342" s="699"/>
      <c r="BA342" s="699"/>
      <c r="BB342" s="699"/>
      <c r="BC342" s="699"/>
      <c r="BD342" s="699"/>
      <c r="BE342" s="699"/>
      <c r="BF342" s="699"/>
      <c r="BG342" s="699"/>
      <c r="BH342" s="699"/>
      <c r="BI342" s="699"/>
      <c r="BJ342" s="699"/>
      <c r="BK342" s="699"/>
      <c r="BL342" s="699"/>
      <c r="BM342" s="699"/>
      <c r="BN342" s="699"/>
      <c r="BO342" s="699"/>
      <c r="BP342" s="699"/>
      <c r="BQ342" s="699"/>
      <c r="BR342" s="699"/>
      <c r="BS342" s="699"/>
      <c r="BT342" s="699"/>
      <c r="BU342" s="699"/>
      <c r="BV342" s="699"/>
      <c r="BW342" s="699"/>
      <c r="BX342" s="699"/>
      <c r="BY342" s="699"/>
      <c r="BZ342" s="699"/>
      <c r="CA342" s="699"/>
    </row>
    <row r="343" spans="1:79">
      <c r="A343" s="1047"/>
      <c r="B343" s="699"/>
      <c r="C343" s="699"/>
      <c r="D343" s="699"/>
      <c r="E343" s="699"/>
      <c r="F343" s="699"/>
      <c r="G343" s="699"/>
      <c r="H343" s="699"/>
      <c r="I343" s="699"/>
      <c r="J343" s="699"/>
      <c r="K343" s="1057"/>
      <c r="L343" s="1057"/>
      <c r="M343" s="1057"/>
      <c r="N343" s="1057"/>
      <c r="O343" s="1057"/>
      <c r="P343" s="1057"/>
      <c r="Q343" s="699"/>
      <c r="R343" s="699"/>
      <c r="S343" s="699"/>
      <c r="T343" s="699"/>
      <c r="U343" s="699"/>
      <c r="V343" s="699"/>
      <c r="W343" s="699"/>
      <c r="X343" s="699"/>
      <c r="Y343" s="699"/>
      <c r="Z343" s="699"/>
      <c r="AA343" s="699"/>
      <c r="AB343" s="699"/>
      <c r="AC343" s="699"/>
      <c r="AD343" s="699"/>
      <c r="AE343" s="699"/>
      <c r="AF343" s="699"/>
      <c r="AG343" s="699"/>
      <c r="AH343" s="699"/>
      <c r="AI343" s="699"/>
      <c r="AJ343" s="699"/>
      <c r="AK343" s="699"/>
      <c r="AL343" s="699"/>
      <c r="AM343" s="699"/>
      <c r="AN343" s="699"/>
      <c r="AO343" s="699"/>
      <c r="AP343" s="699"/>
      <c r="AQ343" s="699"/>
      <c r="AR343" s="699"/>
      <c r="AS343" s="699"/>
      <c r="AT343" s="699"/>
      <c r="AU343" s="699"/>
      <c r="AV343" s="699"/>
      <c r="AW343" s="699"/>
      <c r="AX343" s="699"/>
      <c r="AY343" s="699"/>
      <c r="AZ343" s="699"/>
      <c r="BA343" s="699"/>
      <c r="BB343" s="699"/>
      <c r="BC343" s="699"/>
      <c r="BD343" s="699"/>
      <c r="BE343" s="699"/>
      <c r="BF343" s="699"/>
      <c r="BG343" s="699"/>
      <c r="BH343" s="699"/>
      <c r="BI343" s="699"/>
      <c r="BJ343" s="699"/>
      <c r="BK343" s="699"/>
      <c r="BL343" s="699"/>
      <c r="BM343" s="699"/>
      <c r="BN343" s="699"/>
      <c r="BO343" s="699"/>
      <c r="BP343" s="699"/>
      <c r="BQ343" s="699"/>
      <c r="BR343" s="699"/>
      <c r="BS343" s="699"/>
      <c r="BT343" s="699"/>
      <c r="BU343" s="699"/>
      <c r="BV343" s="699"/>
      <c r="BW343" s="699"/>
      <c r="BX343" s="699"/>
      <c r="BY343" s="699"/>
      <c r="BZ343" s="699"/>
      <c r="CA343" s="699"/>
    </row>
    <row r="344" spans="1:79">
      <c r="A344" s="1047"/>
      <c r="B344" s="699"/>
      <c r="C344" s="699"/>
      <c r="D344" s="699"/>
      <c r="E344" s="699"/>
      <c r="F344" s="699"/>
      <c r="G344" s="699"/>
      <c r="H344" s="699"/>
      <c r="I344" s="699"/>
      <c r="J344" s="699"/>
      <c r="K344" s="1057"/>
      <c r="L344" s="1057"/>
      <c r="M344" s="1057"/>
      <c r="N344" s="1057"/>
      <c r="O344" s="1057"/>
      <c r="P344" s="1057"/>
      <c r="Q344" s="699"/>
      <c r="R344" s="699"/>
      <c r="S344" s="699"/>
      <c r="T344" s="699"/>
      <c r="U344" s="699"/>
      <c r="V344" s="699"/>
      <c r="W344" s="699"/>
      <c r="X344" s="699"/>
      <c r="Y344" s="699"/>
      <c r="Z344" s="699"/>
      <c r="AA344" s="699"/>
      <c r="AB344" s="699"/>
      <c r="AC344" s="699"/>
      <c r="AD344" s="699"/>
      <c r="AE344" s="699"/>
      <c r="AF344" s="699"/>
      <c r="AG344" s="699"/>
      <c r="AH344" s="699"/>
      <c r="AI344" s="699"/>
      <c r="AJ344" s="699"/>
      <c r="AK344" s="699"/>
      <c r="AL344" s="699"/>
      <c r="AM344" s="699"/>
      <c r="AN344" s="699"/>
      <c r="AO344" s="699"/>
      <c r="AP344" s="699"/>
      <c r="AQ344" s="699"/>
      <c r="AR344" s="699"/>
      <c r="AS344" s="699"/>
      <c r="AT344" s="699"/>
      <c r="AU344" s="699"/>
      <c r="AV344" s="699"/>
      <c r="AW344" s="699"/>
      <c r="AX344" s="699"/>
      <c r="AY344" s="699"/>
      <c r="AZ344" s="699"/>
      <c r="BA344" s="699"/>
      <c r="BB344" s="699"/>
      <c r="BC344" s="699"/>
      <c r="BD344" s="699"/>
      <c r="BE344" s="699"/>
      <c r="BF344" s="699"/>
      <c r="BG344" s="699"/>
      <c r="BH344" s="699"/>
      <c r="BI344" s="699"/>
      <c r="BJ344" s="699"/>
      <c r="BK344" s="699"/>
      <c r="BL344" s="699"/>
      <c r="BM344" s="699"/>
      <c r="BN344" s="699"/>
      <c r="BO344" s="699"/>
      <c r="BP344" s="699"/>
      <c r="BQ344" s="699"/>
      <c r="BR344" s="699"/>
      <c r="BS344" s="699"/>
      <c r="BT344" s="699"/>
      <c r="BU344" s="699"/>
      <c r="BV344" s="699"/>
      <c r="BW344" s="699"/>
      <c r="BX344" s="699"/>
      <c r="BY344" s="699"/>
      <c r="BZ344" s="699"/>
      <c r="CA344" s="699"/>
    </row>
    <row r="345" spans="1:79">
      <c r="A345" s="1047"/>
      <c r="B345" s="699"/>
      <c r="C345" s="699"/>
      <c r="D345" s="699"/>
      <c r="E345" s="699"/>
      <c r="F345" s="699"/>
      <c r="G345" s="699"/>
      <c r="H345" s="699"/>
      <c r="I345" s="699"/>
      <c r="J345" s="699"/>
      <c r="K345" s="1057"/>
      <c r="L345" s="1057"/>
      <c r="M345" s="1057"/>
      <c r="N345" s="1057"/>
      <c r="O345" s="1057"/>
      <c r="P345" s="1057"/>
      <c r="Q345" s="699"/>
      <c r="R345" s="699"/>
      <c r="S345" s="699"/>
      <c r="T345" s="699"/>
      <c r="U345" s="699"/>
      <c r="V345" s="699"/>
      <c r="W345" s="699"/>
      <c r="X345" s="699"/>
      <c r="Y345" s="699"/>
      <c r="Z345" s="699"/>
      <c r="AA345" s="699"/>
      <c r="AB345" s="699"/>
      <c r="AC345" s="699"/>
      <c r="AD345" s="699"/>
      <c r="AE345" s="699"/>
      <c r="AF345" s="699"/>
      <c r="AG345" s="699"/>
      <c r="AH345" s="699"/>
      <c r="AI345" s="699"/>
      <c r="AJ345" s="699"/>
      <c r="AK345" s="699"/>
      <c r="AL345" s="699"/>
      <c r="AM345" s="699"/>
      <c r="AN345" s="699"/>
      <c r="AO345" s="699"/>
      <c r="AP345" s="699"/>
      <c r="AQ345" s="699"/>
      <c r="AR345" s="699"/>
      <c r="AS345" s="699"/>
      <c r="AT345" s="699"/>
      <c r="AU345" s="699"/>
      <c r="AV345" s="699"/>
      <c r="AW345" s="699"/>
      <c r="AX345" s="699"/>
      <c r="AY345" s="699"/>
      <c r="AZ345" s="699"/>
      <c r="BA345" s="699"/>
      <c r="BB345" s="699"/>
      <c r="BC345" s="699"/>
      <c r="BD345" s="699"/>
      <c r="BE345" s="699"/>
      <c r="BF345" s="699"/>
      <c r="BG345" s="699"/>
      <c r="BH345" s="699"/>
      <c r="BI345" s="699"/>
      <c r="BJ345" s="699"/>
      <c r="BK345" s="699"/>
      <c r="BL345" s="699"/>
      <c r="BM345" s="699"/>
      <c r="BN345" s="699"/>
      <c r="BO345" s="699"/>
      <c r="BP345" s="699"/>
      <c r="BQ345" s="699"/>
      <c r="BR345" s="699"/>
      <c r="BS345" s="699"/>
      <c r="BT345" s="699"/>
      <c r="BU345" s="699"/>
      <c r="BV345" s="699"/>
      <c r="BW345" s="699"/>
      <c r="BX345" s="699"/>
      <c r="BY345" s="699"/>
      <c r="BZ345" s="699"/>
      <c r="CA345" s="699"/>
    </row>
    <row r="346" spans="1:79">
      <c r="A346" s="1047"/>
      <c r="B346" s="699"/>
      <c r="C346" s="699"/>
      <c r="D346" s="699"/>
      <c r="E346" s="699"/>
      <c r="F346" s="699"/>
      <c r="G346" s="699"/>
      <c r="H346" s="699"/>
      <c r="I346" s="699"/>
      <c r="J346" s="699"/>
      <c r="K346" s="1057"/>
      <c r="L346" s="1057"/>
      <c r="M346" s="1057"/>
      <c r="N346" s="1057"/>
      <c r="O346" s="1057"/>
      <c r="P346" s="1057"/>
      <c r="Q346" s="699"/>
      <c r="R346" s="699"/>
      <c r="S346" s="699"/>
      <c r="T346" s="699"/>
      <c r="U346" s="699"/>
      <c r="V346" s="699"/>
      <c r="W346" s="699"/>
      <c r="X346" s="699"/>
      <c r="Y346" s="699"/>
      <c r="Z346" s="699"/>
      <c r="AA346" s="699"/>
      <c r="AB346" s="699"/>
      <c r="AC346" s="699"/>
      <c r="AD346" s="699"/>
      <c r="AE346" s="699"/>
      <c r="AF346" s="699"/>
      <c r="AG346" s="699"/>
      <c r="AH346" s="699"/>
      <c r="AI346" s="699"/>
      <c r="AJ346" s="699"/>
      <c r="AK346" s="699"/>
      <c r="AL346" s="699"/>
      <c r="AM346" s="699"/>
      <c r="AN346" s="699"/>
      <c r="AO346" s="699"/>
      <c r="AP346" s="699"/>
      <c r="AQ346" s="699"/>
      <c r="AR346" s="699"/>
      <c r="AS346" s="699"/>
      <c r="AT346" s="699"/>
      <c r="AU346" s="699"/>
      <c r="AV346" s="699"/>
      <c r="AW346" s="699"/>
      <c r="AX346" s="699"/>
      <c r="AY346" s="699"/>
      <c r="AZ346" s="699"/>
      <c r="BA346" s="699"/>
      <c r="BB346" s="699"/>
      <c r="BC346" s="699"/>
      <c r="BD346" s="699"/>
      <c r="BE346" s="699"/>
      <c r="BF346" s="699"/>
      <c r="BG346" s="699"/>
      <c r="BH346" s="699"/>
      <c r="BI346" s="699"/>
      <c r="BJ346" s="699"/>
      <c r="BK346" s="699"/>
      <c r="BL346" s="699"/>
      <c r="BM346" s="699"/>
      <c r="BN346" s="699"/>
      <c r="BO346" s="699"/>
      <c r="BP346" s="699"/>
      <c r="BQ346" s="699"/>
      <c r="BR346" s="699"/>
      <c r="BS346" s="699"/>
      <c r="BT346" s="699"/>
      <c r="BU346" s="699"/>
      <c r="BV346" s="699"/>
      <c r="BW346" s="699"/>
      <c r="BX346" s="699"/>
      <c r="BY346" s="699"/>
      <c r="BZ346" s="699"/>
      <c r="CA346" s="699"/>
    </row>
    <row r="347" spans="1:79">
      <c r="A347" s="1047"/>
      <c r="B347" s="699"/>
      <c r="C347" s="699"/>
      <c r="D347" s="699"/>
      <c r="E347" s="699"/>
      <c r="F347" s="699"/>
      <c r="G347" s="699"/>
      <c r="H347" s="699"/>
      <c r="I347" s="699"/>
      <c r="J347" s="699"/>
      <c r="K347" s="1057"/>
      <c r="L347" s="1057"/>
      <c r="M347" s="1057"/>
      <c r="N347" s="1057"/>
      <c r="O347" s="1057"/>
      <c r="P347" s="1057"/>
      <c r="Q347" s="699"/>
      <c r="R347" s="699"/>
      <c r="S347" s="699"/>
      <c r="T347" s="699"/>
      <c r="U347" s="699"/>
      <c r="V347" s="699"/>
      <c r="W347" s="699"/>
      <c r="X347" s="699"/>
      <c r="Y347" s="699"/>
      <c r="Z347" s="699"/>
      <c r="AA347" s="699"/>
      <c r="AB347" s="699"/>
      <c r="AC347" s="699"/>
      <c r="AD347" s="699"/>
      <c r="AE347" s="699"/>
      <c r="AF347" s="699"/>
      <c r="AG347" s="699"/>
      <c r="AH347" s="699"/>
      <c r="AI347" s="699"/>
      <c r="AJ347" s="699"/>
      <c r="AK347" s="699"/>
      <c r="AL347" s="699"/>
      <c r="AM347" s="699"/>
      <c r="AN347" s="699"/>
      <c r="AO347" s="699"/>
      <c r="AP347" s="699"/>
      <c r="AQ347" s="699"/>
      <c r="AR347" s="699"/>
      <c r="AS347" s="699"/>
      <c r="AT347" s="699"/>
      <c r="AU347" s="699"/>
      <c r="AV347" s="699"/>
      <c r="AW347" s="699"/>
      <c r="AX347" s="699"/>
      <c r="AY347" s="699"/>
      <c r="AZ347" s="699"/>
      <c r="BA347" s="699"/>
      <c r="BB347" s="699"/>
      <c r="BC347" s="699"/>
      <c r="BD347" s="699"/>
      <c r="BE347" s="699"/>
      <c r="BF347" s="699"/>
      <c r="BG347" s="699"/>
      <c r="BH347" s="699"/>
      <c r="BI347" s="699"/>
      <c r="BJ347" s="699"/>
      <c r="BK347" s="699"/>
      <c r="BL347" s="699"/>
      <c r="BM347" s="699"/>
      <c r="BN347" s="699"/>
      <c r="BO347" s="699"/>
      <c r="BP347" s="699"/>
      <c r="BQ347" s="699"/>
      <c r="BR347" s="699"/>
      <c r="BS347" s="699"/>
      <c r="BT347" s="699"/>
      <c r="BU347" s="699"/>
      <c r="BV347" s="699"/>
      <c r="BW347" s="699"/>
      <c r="BX347" s="699"/>
      <c r="BY347" s="699"/>
      <c r="BZ347" s="699"/>
      <c r="CA347" s="699"/>
    </row>
    <row r="348" spans="1:79">
      <c r="A348" s="1047"/>
      <c r="B348" s="699"/>
      <c r="C348" s="699"/>
      <c r="D348" s="699"/>
      <c r="E348" s="699"/>
      <c r="F348" s="699"/>
      <c r="G348" s="699"/>
      <c r="H348" s="699"/>
      <c r="I348" s="699"/>
      <c r="J348" s="699"/>
      <c r="K348" s="1057"/>
      <c r="L348" s="1057"/>
      <c r="M348" s="1057"/>
      <c r="N348" s="1057"/>
      <c r="O348" s="1057"/>
      <c r="P348" s="1057"/>
      <c r="Q348" s="699"/>
      <c r="R348" s="699"/>
      <c r="S348" s="699"/>
      <c r="T348" s="699"/>
      <c r="U348" s="699"/>
      <c r="V348" s="699"/>
      <c r="W348" s="699"/>
      <c r="X348" s="699"/>
      <c r="Y348" s="699"/>
      <c r="Z348" s="699"/>
      <c r="AA348" s="699"/>
      <c r="AB348" s="699"/>
      <c r="AC348" s="699"/>
      <c r="AD348" s="699"/>
      <c r="AE348" s="699"/>
      <c r="AF348" s="699"/>
      <c r="AG348" s="699"/>
      <c r="AH348" s="699"/>
      <c r="AI348" s="699"/>
      <c r="AJ348" s="699"/>
      <c r="AK348" s="699"/>
      <c r="AL348" s="699"/>
      <c r="AM348" s="699"/>
      <c r="AN348" s="699"/>
      <c r="AO348" s="699"/>
      <c r="AP348" s="699"/>
      <c r="AQ348" s="699"/>
      <c r="AR348" s="699"/>
      <c r="AS348" s="699"/>
      <c r="AT348" s="699"/>
      <c r="AU348" s="699"/>
      <c r="AV348" s="699"/>
      <c r="AW348" s="699"/>
      <c r="AX348" s="699"/>
      <c r="AY348" s="699"/>
      <c r="AZ348" s="699"/>
      <c r="BA348" s="699"/>
      <c r="BB348" s="699"/>
      <c r="BC348" s="699"/>
      <c r="BD348" s="699"/>
      <c r="BE348" s="699"/>
      <c r="BF348" s="699"/>
      <c r="BG348" s="699"/>
      <c r="BH348" s="699"/>
      <c r="BI348" s="699"/>
      <c r="BJ348" s="699"/>
      <c r="BK348" s="699"/>
      <c r="BL348" s="699"/>
      <c r="BM348" s="699"/>
      <c r="BN348" s="699"/>
      <c r="BO348" s="699"/>
      <c r="BP348" s="699"/>
      <c r="BQ348" s="699"/>
      <c r="BR348" s="699"/>
      <c r="BS348" s="699"/>
      <c r="BT348" s="699"/>
      <c r="BU348" s="699"/>
      <c r="BV348" s="699"/>
      <c r="BW348" s="699"/>
      <c r="BX348" s="699"/>
      <c r="BY348" s="699"/>
      <c r="BZ348" s="699"/>
      <c r="CA348" s="699"/>
    </row>
    <row r="349" spans="1:79">
      <c r="A349" s="1047"/>
      <c r="B349" s="699"/>
      <c r="C349" s="699"/>
      <c r="D349" s="699"/>
      <c r="E349" s="699"/>
      <c r="F349" s="699"/>
      <c r="G349" s="699"/>
      <c r="H349" s="699"/>
      <c r="I349" s="699"/>
      <c r="J349" s="699"/>
      <c r="K349" s="1057"/>
      <c r="L349" s="1057"/>
      <c r="M349" s="1057"/>
      <c r="N349" s="1057"/>
      <c r="O349" s="1057"/>
      <c r="P349" s="1057"/>
      <c r="Q349" s="699"/>
      <c r="R349" s="699"/>
      <c r="S349" s="699"/>
      <c r="T349" s="699"/>
      <c r="U349" s="699"/>
      <c r="V349" s="699"/>
      <c r="W349" s="699"/>
      <c r="X349" s="699"/>
      <c r="Y349" s="699"/>
      <c r="Z349" s="699"/>
      <c r="AA349" s="699"/>
      <c r="AB349" s="699"/>
      <c r="AC349" s="699"/>
      <c r="AD349" s="699"/>
      <c r="AE349" s="699"/>
      <c r="AF349" s="699"/>
      <c r="AG349" s="699"/>
      <c r="AH349" s="699"/>
      <c r="AI349" s="699"/>
      <c r="AJ349" s="699"/>
      <c r="AK349" s="699"/>
      <c r="AL349" s="699"/>
      <c r="AM349" s="699"/>
      <c r="AN349" s="699"/>
      <c r="AO349" s="699"/>
      <c r="AP349" s="699"/>
      <c r="AQ349" s="699"/>
      <c r="AR349" s="699"/>
      <c r="AS349" s="699"/>
      <c r="AT349" s="699"/>
      <c r="AU349" s="699"/>
      <c r="AV349" s="699"/>
      <c r="AW349" s="699"/>
      <c r="AX349" s="699"/>
      <c r="AY349" s="699"/>
      <c r="AZ349" s="699"/>
      <c r="BA349" s="699"/>
      <c r="BB349" s="699"/>
      <c r="BC349" s="699"/>
      <c r="BD349" s="699"/>
      <c r="BE349" s="699"/>
      <c r="BF349" s="699"/>
      <c r="BG349" s="699"/>
      <c r="BH349" s="699"/>
      <c r="BI349" s="699"/>
      <c r="BJ349" s="699"/>
      <c r="BK349" s="699"/>
      <c r="BL349" s="699"/>
      <c r="BM349" s="699"/>
      <c r="BN349" s="699"/>
      <c r="BO349" s="699"/>
      <c r="BP349" s="699"/>
      <c r="BQ349" s="699"/>
      <c r="BR349" s="699"/>
      <c r="BS349" s="699"/>
      <c r="BT349" s="699"/>
      <c r="BU349" s="699"/>
      <c r="BV349" s="699"/>
      <c r="BW349" s="699"/>
      <c r="BX349" s="699"/>
      <c r="BY349" s="699"/>
      <c r="BZ349" s="699"/>
      <c r="CA349" s="699"/>
    </row>
    <row r="350" spans="1:79">
      <c r="A350" s="1047"/>
      <c r="B350" s="699"/>
      <c r="C350" s="699"/>
      <c r="D350" s="699"/>
      <c r="E350" s="699"/>
      <c r="F350" s="699"/>
      <c r="G350" s="699"/>
      <c r="H350" s="699"/>
      <c r="I350" s="699"/>
      <c r="J350" s="699"/>
      <c r="K350" s="1057"/>
      <c r="L350" s="1057"/>
      <c r="M350" s="1057"/>
      <c r="N350" s="1057"/>
      <c r="O350" s="1057"/>
      <c r="P350" s="1057"/>
      <c r="Q350" s="699"/>
      <c r="R350" s="699"/>
      <c r="S350" s="699"/>
      <c r="T350" s="699"/>
      <c r="U350" s="699"/>
      <c r="V350" s="699"/>
      <c r="W350" s="699"/>
      <c r="X350" s="699"/>
      <c r="Y350" s="699"/>
      <c r="Z350" s="699"/>
      <c r="AA350" s="699"/>
      <c r="AB350" s="699"/>
      <c r="AC350" s="699"/>
      <c r="AD350" s="699"/>
      <c r="AE350" s="699"/>
      <c r="AF350" s="699"/>
      <c r="AG350" s="699"/>
      <c r="AH350" s="699"/>
      <c r="AI350" s="699"/>
      <c r="AJ350" s="699"/>
      <c r="AK350" s="699"/>
      <c r="AL350" s="699"/>
      <c r="AM350" s="699"/>
      <c r="AN350" s="699"/>
      <c r="AO350" s="699"/>
      <c r="AP350" s="699"/>
      <c r="AQ350" s="699"/>
      <c r="AR350" s="699"/>
      <c r="AS350" s="699"/>
      <c r="AT350" s="699"/>
      <c r="AU350" s="699"/>
      <c r="AV350" s="699"/>
      <c r="AW350" s="699"/>
      <c r="AX350" s="699"/>
      <c r="AY350" s="699"/>
      <c r="AZ350" s="699"/>
      <c r="BA350" s="699"/>
      <c r="BB350" s="699"/>
      <c r="BC350" s="699"/>
      <c r="BD350" s="699"/>
      <c r="BE350" s="699"/>
      <c r="BF350" s="699"/>
      <c r="BG350" s="699"/>
      <c r="BH350" s="699"/>
      <c r="BI350" s="699"/>
      <c r="BJ350" s="699"/>
      <c r="BK350" s="699"/>
      <c r="BL350" s="699"/>
      <c r="BM350" s="699"/>
      <c r="BN350" s="699"/>
      <c r="BO350" s="699"/>
      <c r="BP350" s="699"/>
      <c r="BQ350" s="699"/>
      <c r="BR350" s="699"/>
      <c r="BS350" s="699"/>
      <c r="BT350" s="699"/>
      <c r="BU350" s="699"/>
      <c r="BV350" s="699"/>
      <c r="BW350" s="699"/>
      <c r="BX350" s="699"/>
      <c r="BY350" s="699"/>
      <c r="BZ350" s="699"/>
      <c r="CA350" s="699"/>
    </row>
    <row r="351" spans="1:79">
      <c r="A351" s="1047"/>
      <c r="B351" s="699"/>
      <c r="C351" s="699"/>
      <c r="D351" s="699"/>
      <c r="E351" s="699"/>
      <c r="F351" s="699"/>
      <c r="G351" s="699"/>
      <c r="H351" s="699"/>
      <c r="I351" s="699"/>
      <c r="J351" s="699"/>
      <c r="K351" s="1057"/>
      <c r="L351" s="1057"/>
      <c r="M351" s="1057"/>
      <c r="N351" s="1057"/>
      <c r="O351" s="1057"/>
      <c r="P351" s="1057"/>
      <c r="Q351" s="699"/>
      <c r="R351" s="699"/>
      <c r="S351" s="699"/>
      <c r="T351" s="699"/>
      <c r="U351" s="699"/>
      <c r="V351" s="699"/>
      <c r="W351" s="699"/>
      <c r="X351" s="699"/>
      <c r="Y351" s="699"/>
      <c r="Z351" s="699"/>
      <c r="AA351" s="699"/>
      <c r="AB351" s="699"/>
      <c r="AC351" s="699"/>
      <c r="AD351" s="699"/>
      <c r="AE351" s="699"/>
      <c r="AF351" s="699"/>
      <c r="AG351" s="699"/>
      <c r="AH351" s="699"/>
      <c r="AI351" s="699"/>
      <c r="AJ351" s="699"/>
      <c r="AK351" s="699"/>
      <c r="AL351" s="699"/>
      <c r="AM351" s="699"/>
      <c r="AN351" s="699"/>
      <c r="AO351" s="699"/>
      <c r="AP351" s="699"/>
      <c r="AQ351" s="699"/>
      <c r="AR351" s="699"/>
      <c r="AS351" s="699"/>
      <c r="AT351" s="699"/>
      <c r="AU351" s="699"/>
      <c r="AV351" s="699"/>
      <c r="AW351" s="699"/>
      <c r="AX351" s="699"/>
      <c r="AY351" s="699"/>
      <c r="AZ351" s="699"/>
      <c r="BA351" s="699"/>
      <c r="BB351" s="699"/>
      <c r="BC351" s="699"/>
      <c r="BD351" s="699"/>
      <c r="BE351" s="699"/>
      <c r="BF351" s="699"/>
      <c r="BG351" s="699"/>
      <c r="BH351" s="699"/>
      <c r="BI351" s="699"/>
      <c r="BJ351" s="699"/>
      <c r="BK351" s="699"/>
      <c r="BL351" s="699"/>
      <c r="BM351" s="699"/>
      <c r="BN351" s="699"/>
      <c r="BO351" s="699"/>
      <c r="BP351" s="699"/>
      <c r="BQ351" s="699"/>
      <c r="BR351" s="699"/>
      <c r="BS351" s="699"/>
      <c r="BT351" s="699"/>
      <c r="BU351" s="699"/>
      <c r="BV351" s="699"/>
      <c r="BW351" s="699"/>
      <c r="BX351" s="699"/>
      <c r="BY351" s="699"/>
      <c r="BZ351" s="699"/>
      <c r="CA351" s="699"/>
    </row>
    <row r="352" spans="1:79">
      <c r="A352" s="1047"/>
      <c r="B352" s="699"/>
      <c r="C352" s="699"/>
      <c r="D352" s="699"/>
      <c r="E352" s="699"/>
      <c r="F352" s="699"/>
      <c r="G352" s="699"/>
      <c r="H352" s="699"/>
      <c r="I352" s="699"/>
      <c r="J352" s="699"/>
      <c r="K352" s="1057"/>
      <c r="L352" s="1057"/>
      <c r="M352" s="1057"/>
      <c r="N352" s="1057"/>
      <c r="O352" s="1057"/>
      <c r="P352" s="1057"/>
      <c r="Q352" s="699"/>
      <c r="R352" s="699"/>
      <c r="S352" s="699"/>
      <c r="T352" s="699"/>
      <c r="U352" s="699"/>
      <c r="V352" s="699"/>
      <c r="W352" s="699"/>
      <c r="X352" s="699"/>
      <c r="Y352" s="699"/>
      <c r="Z352" s="699"/>
      <c r="AA352" s="699"/>
      <c r="AB352" s="699"/>
      <c r="AC352" s="699"/>
      <c r="AD352" s="699"/>
      <c r="AE352" s="699"/>
      <c r="AF352" s="699"/>
      <c r="AG352" s="699"/>
      <c r="AH352" s="699"/>
      <c r="AI352" s="699"/>
      <c r="AJ352" s="699"/>
      <c r="AK352" s="699"/>
      <c r="AL352" s="699"/>
      <c r="AM352" s="699"/>
      <c r="AN352" s="699"/>
      <c r="AO352" s="699"/>
      <c r="AP352" s="699"/>
      <c r="AQ352" s="699"/>
      <c r="AR352" s="699"/>
      <c r="AS352" s="699"/>
      <c r="AT352" s="699"/>
      <c r="AU352" s="699"/>
      <c r="AV352" s="699"/>
      <c r="AW352" s="699"/>
      <c r="AX352" s="699"/>
      <c r="AY352" s="699"/>
      <c r="AZ352" s="699"/>
      <c r="BA352" s="699"/>
      <c r="BB352" s="699"/>
      <c r="BC352" s="699"/>
      <c r="BD352" s="699"/>
      <c r="BE352" s="699"/>
      <c r="BF352" s="699"/>
      <c r="BG352" s="699"/>
      <c r="BH352" s="699"/>
      <c r="BI352" s="699"/>
      <c r="BJ352" s="699"/>
      <c r="BK352" s="699"/>
      <c r="BL352" s="699"/>
      <c r="BM352" s="699"/>
      <c r="BN352" s="699"/>
      <c r="BO352" s="699"/>
      <c r="BP352" s="699"/>
      <c r="BQ352" s="699"/>
      <c r="BR352" s="699"/>
      <c r="BS352" s="699"/>
      <c r="BT352" s="699"/>
      <c r="BU352" s="699"/>
      <c r="BV352" s="699"/>
      <c r="BW352" s="699"/>
      <c r="BX352" s="699"/>
      <c r="BY352" s="699"/>
      <c r="BZ352" s="699"/>
      <c r="CA352" s="699"/>
    </row>
    <row r="353" spans="10:16">
      <c r="J353" s="699"/>
      <c r="K353" s="1057"/>
      <c r="L353" s="1057"/>
      <c r="M353" s="1057"/>
      <c r="N353" s="1057"/>
      <c r="O353" s="1057"/>
      <c r="P353" s="1057"/>
    </row>
    <row r="354" spans="10:16">
      <c r="J354" s="699"/>
      <c r="K354" s="1057"/>
      <c r="L354" s="1057"/>
      <c r="M354" s="1057"/>
      <c r="N354" s="1057"/>
      <c r="O354" s="1057"/>
      <c r="P354" s="1057"/>
    </row>
    <row r="355" spans="10:16">
      <c r="J355" s="1047"/>
      <c r="K355" s="1047"/>
      <c r="L355" s="1047"/>
      <c r="M355" s="1047"/>
      <c r="N355" s="1047"/>
      <c r="O355" s="1047"/>
      <c r="P355" s="1047"/>
    </row>
    <row r="356" spans="10:16">
      <c r="J356" s="699"/>
      <c r="K356" s="1057"/>
      <c r="L356" s="1057"/>
      <c r="M356" s="1057"/>
      <c r="N356" s="1057"/>
      <c r="O356" s="1057"/>
      <c r="P356" s="1057"/>
    </row>
    <row r="357" spans="10:16">
      <c r="J357" s="699"/>
      <c r="K357" s="1057"/>
      <c r="L357" s="1057"/>
      <c r="M357" s="1057"/>
      <c r="N357" s="1057"/>
      <c r="O357" s="1057"/>
      <c r="P357" s="1057"/>
    </row>
    <row r="358" spans="10:16">
      <c r="J358" s="699"/>
      <c r="K358" s="1057"/>
      <c r="L358" s="1057"/>
      <c r="M358" s="1057"/>
      <c r="N358" s="1057"/>
      <c r="O358" s="1057"/>
      <c r="P358" s="1057"/>
    </row>
    <row r="359" spans="10:16">
      <c r="J359" s="699"/>
      <c r="K359" s="1057"/>
      <c r="L359" s="1057"/>
      <c r="M359" s="1057"/>
      <c r="N359" s="1057"/>
      <c r="O359" s="1057"/>
      <c r="P359" s="1057"/>
    </row>
    <row r="360" spans="10:16">
      <c r="J360" s="699"/>
      <c r="K360" s="1057"/>
      <c r="L360" s="1057"/>
      <c r="M360" s="1057"/>
      <c r="N360" s="1057"/>
      <c r="O360" s="1057"/>
      <c r="P360" s="1057"/>
    </row>
    <row r="361" spans="10:16">
      <c r="J361" s="699"/>
      <c r="K361" s="1057"/>
      <c r="L361" s="1057"/>
      <c r="M361" s="1057"/>
      <c r="N361" s="1057"/>
      <c r="O361" s="1057"/>
      <c r="P361" s="1057"/>
    </row>
    <row r="362" spans="10:16">
      <c r="J362" s="699"/>
      <c r="K362" s="1057"/>
      <c r="L362" s="1057"/>
      <c r="M362" s="1057"/>
      <c r="N362" s="1057"/>
      <c r="O362" s="1057"/>
      <c r="P362" s="1057"/>
    </row>
    <row r="363" spans="10:16">
      <c r="J363" s="699"/>
      <c r="K363" s="1057"/>
      <c r="L363" s="1057"/>
      <c r="M363" s="1057"/>
      <c r="N363" s="1057"/>
      <c r="O363" s="1057"/>
      <c r="P363" s="1057"/>
    </row>
    <row r="364" spans="10:16">
      <c r="J364" s="699"/>
      <c r="K364" s="1057"/>
      <c r="L364" s="1057"/>
      <c r="M364" s="1057"/>
      <c r="N364" s="1057"/>
      <c r="O364" s="1057"/>
      <c r="P364" s="1057"/>
    </row>
    <row r="365" spans="10:16">
      <c r="J365" s="699"/>
      <c r="K365" s="1057"/>
      <c r="L365" s="1057"/>
      <c r="M365" s="1057"/>
      <c r="N365" s="1057"/>
      <c r="O365" s="1057"/>
      <c r="P365" s="1057"/>
    </row>
    <row r="366" spans="10:16">
      <c r="J366" s="699"/>
      <c r="K366" s="1057"/>
      <c r="L366" s="1057"/>
      <c r="M366" s="1057"/>
      <c r="N366" s="1057"/>
      <c r="O366" s="1057"/>
      <c r="P366" s="1057"/>
    </row>
    <row r="367" spans="10:16">
      <c r="J367" s="699"/>
      <c r="K367" s="1057"/>
      <c r="L367" s="1057"/>
      <c r="M367" s="1057"/>
      <c r="N367" s="1057"/>
      <c r="O367" s="1057"/>
      <c r="P367" s="1057"/>
    </row>
    <row r="368" spans="10:16">
      <c r="J368" s="699"/>
      <c r="K368" s="1057"/>
      <c r="L368" s="1057"/>
      <c r="M368" s="1057"/>
      <c r="N368" s="1057"/>
      <c r="O368" s="1057"/>
      <c r="P368" s="1057"/>
    </row>
    <row r="369" spans="1:16">
      <c r="A369" s="1047" t="s">
        <v>511</v>
      </c>
      <c r="B369" s="699"/>
      <c r="C369" s="699"/>
      <c r="D369" s="699"/>
      <c r="E369" s="699"/>
      <c r="F369" s="699"/>
      <c r="G369" s="699"/>
      <c r="H369" s="699"/>
      <c r="I369" s="699"/>
      <c r="J369" s="699"/>
      <c r="K369" s="1057"/>
      <c r="L369" s="1057"/>
      <c r="M369" s="1057"/>
      <c r="N369" s="1057"/>
      <c r="O369" s="1057"/>
      <c r="P369" s="1057"/>
    </row>
    <row r="370" spans="1:16">
      <c r="A370" s="1047"/>
      <c r="B370" s="699"/>
      <c r="C370" s="699"/>
      <c r="D370" s="699"/>
      <c r="E370" s="699"/>
      <c r="F370" s="699"/>
      <c r="G370" s="699"/>
      <c r="H370" s="699"/>
      <c r="I370" s="699"/>
      <c r="J370" s="699"/>
      <c r="K370" s="1057"/>
      <c r="L370" s="1057"/>
      <c r="M370" s="1057"/>
      <c r="N370" s="1057"/>
      <c r="O370" s="1057"/>
      <c r="P370" s="1057"/>
    </row>
    <row r="396" spans="1:1">
      <c r="A396" s="1047" t="s">
        <v>511</v>
      </c>
    </row>
    <row r="424" spans="1:1">
      <c r="A424" s="1047" t="s">
        <v>511</v>
      </c>
    </row>
    <row r="426" spans="1:1">
      <c r="A426" s="1047" t="s">
        <v>511</v>
      </c>
    </row>
    <row r="444" spans="1:16">
      <c r="A444" s="1047" t="s">
        <v>511</v>
      </c>
      <c r="B444" s="699"/>
      <c r="C444" s="699"/>
      <c r="D444" s="699"/>
      <c r="E444" s="699"/>
      <c r="F444" s="699"/>
      <c r="G444" s="699"/>
      <c r="H444" s="699"/>
      <c r="I444" s="699"/>
      <c r="J444" s="699"/>
      <c r="K444" s="699"/>
      <c r="L444" s="699"/>
      <c r="M444" s="699"/>
      <c r="N444" s="699"/>
      <c r="O444" s="699"/>
      <c r="P444" s="699"/>
    </row>
    <row r="446" spans="1:16">
      <c r="A446" s="1047" t="s">
        <v>511</v>
      </c>
      <c r="B446" s="699"/>
      <c r="C446" s="699"/>
      <c r="D446" s="699"/>
      <c r="E446" s="699"/>
      <c r="F446" s="699"/>
      <c r="G446" s="699"/>
      <c r="H446" s="699"/>
      <c r="I446" s="699"/>
      <c r="J446" s="699"/>
      <c r="K446" s="699"/>
      <c r="L446" s="699"/>
      <c r="M446" s="699"/>
      <c r="N446" s="699"/>
      <c r="O446" s="699"/>
      <c r="P446" s="699"/>
    </row>
    <row r="447" spans="1:16">
      <c r="A447" s="1047"/>
      <c r="B447" s="699"/>
      <c r="C447" s="699"/>
      <c r="D447" s="699"/>
      <c r="E447" s="699"/>
      <c r="F447" s="699"/>
      <c r="G447" s="699"/>
      <c r="H447" s="699"/>
      <c r="I447" s="699"/>
      <c r="J447" s="699"/>
      <c r="K447" s="699"/>
      <c r="L447" s="699"/>
      <c r="M447" s="151"/>
      <c r="N447" s="151"/>
      <c r="O447" s="151"/>
      <c r="P447" s="151"/>
    </row>
    <row r="448" spans="1:16">
      <c r="A448" s="1047"/>
      <c r="B448" s="699"/>
      <c r="C448" s="699"/>
      <c r="D448" s="699"/>
      <c r="E448" s="699"/>
      <c r="F448" s="699"/>
      <c r="G448" s="699"/>
      <c r="H448" s="699"/>
      <c r="I448" s="699"/>
      <c r="J448" s="699"/>
      <c r="K448" s="699"/>
      <c r="L448" s="699"/>
      <c r="M448" s="151"/>
      <c r="N448" s="151"/>
      <c r="O448" s="151"/>
      <c r="P448" s="151"/>
    </row>
    <row r="449" spans="1:22">
      <c r="A449" s="1047"/>
      <c r="B449" s="699"/>
      <c r="C449" s="699"/>
      <c r="D449" s="699"/>
      <c r="E449" s="699"/>
      <c r="F449" s="699"/>
      <c r="G449" s="699"/>
      <c r="H449" s="699"/>
      <c r="I449" s="699"/>
      <c r="J449" s="699"/>
      <c r="K449" s="699"/>
      <c r="L449" s="699"/>
      <c r="M449" s="151"/>
      <c r="N449" s="151"/>
      <c r="O449" s="151"/>
      <c r="P449" s="151"/>
      <c r="Q449" s="699"/>
      <c r="R449" s="699"/>
      <c r="S449" s="699"/>
      <c r="T449" s="699"/>
      <c r="U449" s="699"/>
      <c r="V449" s="699"/>
    </row>
    <row r="450" spans="1:22">
      <c r="A450" s="1047"/>
      <c r="B450" s="699"/>
      <c r="C450" s="699"/>
      <c r="D450" s="699"/>
      <c r="E450" s="699"/>
      <c r="F450" s="699"/>
      <c r="G450" s="699"/>
      <c r="H450" s="699"/>
      <c r="I450" s="699"/>
      <c r="J450" s="699"/>
      <c r="K450" s="699"/>
      <c r="L450" s="699"/>
      <c r="M450" s="151"/>
      <c r="N450" s="151"/>
      <c r="O450" s="151"/>
      <c r="P450" s="151"/>
      <c r="Q450" s="699"/>
      <c r="R450" s="699"/>
      <c r="S450" s="699"/>
      <c r="T450" s="699"/>
      <c r="U450" s="699"/>
      <c r="V450" s="699"/>
    </row>
    <row r="451" spans="1:22">
      <c r="A451" s="1047"/>
      <c r="B451" s="699"/>
      <c r="C451" s="699"/>
      <c r="D451" s="699"/>
      <c r="E451" s="699"/>
      <c r="F451" s="699"/>
      <c r="G451" s="699"/>
      <c r="H451" s="699"/>
      <c r="I451" s="699"/>
      <c r="J451" s="699"/>
      <c r="K451" s="699"/>
      <c r="L451" s="699"/>
      <c r="M451" s="151"/>
      <c r="N451" s="737" t="s">
        <v>380</v>
      </c>
      <c r="O451" s="933"/>
      <c r="P451" s="737"/>
      <c r="Q451" s="699"/>
      <c r="R451" s="699"/>
      <c r="S451" s="699"/>
      <c r="T451" s="699"/>
      <c r="U451" s="699"/>
      <c r="V451" s="699"/>
    </row>
    <row r="452" spans="1:22">
      <c r="A452" s="1047"/>
      <c r="B452" s="699"/>
      <c r="C452" s="699"/>
      <c r="D452" s="699"/>
      <c r="E452" s="699"/>
      <c r="F452" s="699"/>
      <c r="G452" s="699"/>
      <c r="H452" s="699"/>
      <c r="I452" s="699"/>
      <c r="J452" s="699"/>
      <c r="K452" s="699"/>
      <c r="L452" s="699"/>
      <c r="M452" s="151"/>
      <c r="N452" s="737" t="s">
        <v>381</v>
      </c>
      <c r="O452" s="933"/>
      <c r="P452" s="737"/>
      <c r="Q452" s="699"/>
      <c r="R452" s="699"/>
      <c r="S452" s="699"/>
      <c r="T452" s="699"/>
      <c r="U452" s="699"/>
      <c r="V452" s="699"/>
    </row>
    <row r="453" spans="1:22">
      <c r="A453" s="1047"/>
      <c r="B453" s="699"/>
      <c r="C453" s="699"/>
      <c r="D453" s="699"/>
      <c r="E453" s="699"/>
      <c r="F453" s="699"/>
      <c r="G453" s="699"/>
      <c r="H453" s="699"/>
      <c r="I453" s="699"/>
      <c r="J453" s="699"/>
      <c r="K453" s="699"/>
      <c r="L453" s="699"/>
      <c r="M453" s="151"/>
      <c r="N453" s="151"/>
      <c r="O453" s="151"/>
      <c r="P453" s="151"/>
      <c r="Q453" s="699"/>
      <c r="R453" s="699"/>
      <c r="S453" s="699"/>
      <c r="T453" s="699"/>
      <c r="U453" s="699"/>
      <c r="V453" s="699"/>
    </row>
    <row r="454" spans="1:22">
      <c r="A454" s="1047"/>
      <c r="B454" s="699"/>
      <c r="C454" s="699"/>
      <c r="D454" s="699"/>
      <c r="E454" s="699"/>
      <c r="F454" s="699"/>
      <c r="G454" s="699"/>
      <c r="H454" s="699"/>
      <c r="I454" s="699"/>
      <c r="J454" s="699"/>
      <c r="K454" s="699"/>
      <c r="L454" s="699"/>
      <c r="M454" s="151"/>
      <c r="N454" s="151"/>
      <c r="O454" s="151"/>
      <c r="P454" s="151"/>
      <c r="Q454" s="699"/>
      <c r="R454" s="699"/>
      <c r="S454" s="699"/>
      <c r="T454" s="699"/>
      <c r="U454" s="699"/>
      <c r="V454" s="699"/>
    </row>
    <row r="455" spans="1:22">
      <c r="A455" s="1047"/>
      <c r="B455" s="699"/>
      <c r="C455" s="699"/>
      <c r="D455" s="699"/>
      <c r="E455" s="699"/>
      <c r="F455" s="699"/>
      <c r="G455" s="699"/>
      <c r="H455" s="699"/>
      <c r="I455" s="699"/>
      <c r="J455" s="699"/>
      <c r="K455" s="699"/>
      <c r="L455" s="699"/>
      <c r="M455" s="151"/>
      <c r="N455" s="151"/>
      <c r="O455" s="151"/>
      <c r="P455" s="151"/>
      <c r="Q455" s="699"/>
      <c r="R455" s="699"/>
      <c r="S455" s="699"/>
      <c r="T455" s="699"/>
      <c r="U455" s="699"/>
      <c r="V455" s="699"/>
    </row>
    <row r="463" spans="1:22">
      <c r="A463" s="1047" t="s">
        <v>511</v>
      </c>
      <c r="B463" s="699"/>
      <c r="C463" s="699"/>
      <c r="D463" s="699"/>
      <c r="E463" s="699"/>
      <c r="F463" s="699"/>
      <c r="G463" s="699"/>
      <c r="H463" s="699"/>
      <c r="I463" s="699"/>
      <c r="J463" s="699"/>
      <c r="K463" s="699"/>
      <c r="L463" s="699"/>
      <c r="M463" s="699"/>
      <c r="N463" s="699"/>
      <c r="O463" s="699"/>
      <c r="P463" s="699"/>
      <c r="Q463" s="728"/>
      <c r="R463" s="151"/>
      <c r="S463" s="151"/>
      <c r="T463" s="151"/>
      <c r="U463" s="151"/>
      <c r="V463" s="151"/>
    </row>
    <row r="464" spans="1:22">
      <c r="A464" s="1047"/>
      <c r="B464" s="699"/>
      <c r="C464" s="699"/>
      <c r="D464" s="699"/>
      <c r="E464" s="699"/>
      <c r="F464" s="699"/>
      <c r="G464" s="699"/>
      <c r="H464" s="699"/>
      <c r="I464" s="699"/>
      <c r="J464" s="699"/>
      <c r="K464" s="699"/>
      <c r="L464" s="699"/>
      <c r="M464" s="699"/>
      <c r="N464" s="699"/>
      <c r="O464" s="699"/>
      <c r="P464" s="699"/>
      <c r="Q464" s="151"/>
      <c r="R464" s="728"/>
      <c r="S464" s="728"/>
      <c r="T464" s="151"/>
      <c r="U464" s="151"/>
      <c r="V464" s="151"/>
    </row>
    <row r="465" spans="1:22">
      <c r="A465" s="1047"/>
      <c r="B465" s="699"/>
      <c r="C465" s="699"/>
      <c r="D465" s="699"/>
      <c r="E465" s="699"/>
      <c r="F465" s="699"/>
      <c r="G465" s="699"/>
      <c r="H465" s="699"/>
      <c r="I465" s="699"/>
      <c r="J465" s="699"/>
      <c r="K465" s="699"/>
      <c r="L465" s="699"/>
      <c r="M465" s="699"/>
      <c r="N465" s="699"/>
      <c r="O465" s="699"/>
      <c r="P465" s="699"/>
      <c r="Q465" s="151"/>
      <c r="R465" s="151"/>
      <c r="S465" s="151"/>
      <c r="T465" s="151"/>
      <c r="U465" s="151"/>
      <c r="V465" s="151"/>
    </row>
    <row r="466" spans="1:22">
      <c r="A466" s="1047"/>
      <c r="B466" s="699"/>
      <c r="C466" s="699"/>
      <c r="D466" s="699"/>
      <c r="E466" s="699"/>
      <c r="F466" s="699"/>
      <c r="G466" s="699"/>
      <c r="H466" s="699"/>
      <c r="I466" s="699"/>
      <c r="J466" s="699"/>
      <c r="K466" s="699"/>
      <c r="L466" s="699"/>
      <c r="M466" s="699"/>
      <c r="N466" s="699"/>
      <c r="O466" s="699"/>
      <c r="P466" s="699"/>
      <c r="Q466" s="151"/>
      <c r="R466" s="151"/>
      <c r="S466" s="151"/>
      <c r="T466" s="151"/>
      <c r="U466" s="151"/>
      <c r="V466" s="151"/>
    </row>
    <row r="467" spans="1:22">
      <c r="A467" s="1047"/>
      <c r="B467" s="699"/>
      <c r="C467" s="699"/>
      <c r="D467" s="699"/>
      <c r="E467" s="699"/>
      <c r="F467" s="699"/>
      <c r="G467" s="699"/>
      <c r="H467" s="699"/>
      <c r="I467" s="699"/>
      <c r="J467" s="699"/>
      <c r="K467" s="699"/>
      <c r="L467" s="699"/>
      <c r="M467" s="699"/>
      <c r="N467" s="699"/>
      <c r="O467" s="699"/>
      <c r="P467" s="699"/>
      <c r="Q467" s="933" t="e">
        <f ca="1">+'Phase 1 Pro Forma'!$D$399</f>
        <v>#VALUE!</v>
      </c>
      <c r="R467" s="933" t="e">
        <f ca="1">+'Phase 2 Pro Forma'!$D$453</f>
        <v>#VALUE!</v>
      </c>
      <c r="S467" s="933" t="e">
        <f ca="1">+'Phase 3 Pro Forma'!$D$651</f>
        <v>#VALUE!</v>
      </c>
      <c r="T467" s="151"/>
      <c r="U467" s="151"/>
      <c r="V467" s="151"/>
    </row>
    <row r="468" spans="1:22">
      <c r="A468" s="1047"/>
      <c r="B468" s="699"/>
      <c r="C468" s="699"/>
      <c r="D468" s="699"/>
      <c r="E468" s="699"/>
      <c r="F468" s="699"/>
      <c r="G468" s="699"/>
      <c r="H468" s="699"/>
      <c r="I468" s="699"/>
      <c r="J468" s="699"/>
      <c r="K468" s="699"/>
      <c r="L468" s="699"/>
      <c r="M468" s="699"/>
      <c r="N468" s="699"/>
      <c r="O468" s="699"/>
      <c r="P468" s="699"/>
      <c r="Q468" s="933" t="e">
        <f ca="1">+'Cash Flow Roll-Up'!$E$55</f>
        <v>#VALUE!</v>
      </c>
      <c r="R468" s="933" t="e">
        <f ca="1">+'Cash Flow Roll-Up'!$E$56</f>
        <v>#VALUE!</v>
      </c>
      <c r="S468" s="933" t="e">
        <f ca="1">+'Cash Flow Roll-Up'!$E$57</f>
        <v>#VALUE!</v>
      </c>
      <c r="T468" s="151"/>
      <c r="U468" s="151"/>
      <c r="V468" s="151"/>
    </row>
    <row r="469" spans="1:22">
      <c r="A469" s="1047"/>
      <c r="B469" s="699"/>
      <c r="C469" s="699"/>
      <c r="D469" s="699"/>
      <c r="E469" s="699"/>
      <c r="F469" s="699"/>
      <c r="G469" s="699"/>
      <c r="H469" s="699"/>
      <c r="I469" s="699"/>
      <c r="J469" s="699"/>
      <c r="K469" s="699"/>
      <c r="L469" s="699"/>
      <c r="M469" s="699"/>
      <c r="N469" s="699"/>
      <c r="O469" s="699"/>
      <c r="P469" s="699"/>
      <c r="Q469" s="151"/>
      <c r="R469" s="151"/>
      <c r="S469" s="151"/>
      <c r="T469" s="151"/>
      <c r="U469" s="151"/>
      <c r="V469" s="151"/>
    </row>
    <row r="470" spans="1:22">
      <c r="A470" s="1047"/>
      <c r="B470" s="699"/>
      <c r="C470" s="699"/>
      <c r="D470" s="699"/>
      <c r="E470" s="699"/>
      <c r="F470" s="699"/>
      <c r="G470" s="699"/>
      <c r="H470" s="699"/>
      <c r="I470" s="699"/>
      <c r="J470" s="699"/>
      <c r="K470" s="699"/>
      <c r="L470" s="699"/>
      <c r="M470" s="699"/>
      <c r="N470" s="699"/>
      <c r="O470" s="699"/>
      <c r="P470" s="699"/>
      <c r="Q470" s="151"/>
      <c r="R470" s="151"/>
      <c r="S470" s="151"/>
      <c r="T470" s="151"/>
      <c r="U470" s="151"/>
      <c r="V470" s="151"/>
    </row>
    <row r="471" spans="1:22">
      <c r="A471" s="1047"/>
      <c r="B471" s="699"/>
      <c r="C471" s="699"/>
      <c r="D471" s="699"/>
      <c r="E471" s="699"/>
      <c r="F471" s="699"/>
      <c r="G471" s="699"/>
      <c r="H471" s="699"/>
      <c r="I471" s="699"/>
      <c r="J471" s="699"/>
      <c r="K471" s="699"/>
      <c r="L471" s="699"/>
      <c r="M471" s="699"/>
      <c r="N471" s="699"/>
      <c r="O471" s="699"/>
      <c r="P471" s="699"/>
      <c r="Q471" s="151"/>
      <c r="R471" s="151"/>
      <c r="S471" s="151"/>
      <c r="T471" s="151"/>
      <c r="U471" s="151"/>
      <c r="V471" s="151"/>
    </row>
    <row r="473" spans="1:22">
      <c r="A473" s="1047"/>
      <c r="B473" s="699"/>
      <c r="C473" s="699"/>
      <c r="D473" s="699"/>
      <c r="E473" s="699"/>
      <c r="F473" s="699"/>
      <c r="G473" s="699"/>
      <c r="H473" s="699"/>
      <c r="I473" s="1047"/>
      <c r="J473" s="699"/>
      <c r="K473" s="699"/>
      <c r="L473" s="699"/>
      <c r="M473" s="699"/>
      <c r="N473" s="699"/>
      <c r="O473" s="699"/>
      <c r="P473" s="699"/>
      <c r="Q473" s="699"/>
      <c r="R473" s="699"/>
      <c r="S473" s="699"/>
      <c r="T473" s="1047"/>
      <c r="U473" s="1047"/>
      <c r="V473" s="699"/>
    </row>
    <row r="480" spans="1:22">
      <c r="A480" s="1047" t="s">
        <v>511</v>
      </c>
      <c r="B480" s="699"/>
      <c r="C480" s="699"/>
      <c r="D480" s="699"/>
      <c r="E480" s="699"/>
      <c r="F480" s="699"/>
      <c r="G480" s="699"/>
      <c r="H480" s="699"/>
      <c r="I480" s="699"/>
      <c r="J480" s="699"/>
      <c r="K480" s="699"/>
      <c r="L480" s="699"/>
      <c r="M480" s="699"/>
      <c r="N480" s="699"/>
      <c r="O480" s="699"/>
      <c r="P480" s="699"/>
      <c r="Q480" s="699"/>
      <c r="R480" s="699"/>
      <c r="S480" s="699"/>
      <c r="T480" s="699"/>
      <c r="U480" s="699"/>
      <c r="V480" s="699"/>
    </row>
    <row r="484" spans="22:29">
      <c r="V484" s="1047"/>
      <c r="W484" s="1047"/>
      <c r="X484" s="1047"/>
      <c r="Y484" s="1047"/>
      <c r="Z484" s="1047"/>
      <c r="AA484" s="1047"/>
      <c r="AB484" s="1047"/>
      <c r="AC484" s="1047"/>
    </row>
  </sheetData>
  <mergeCells count="25">
    <mergeCell ref="AA64:AB64"/>
    <mergeCell ref="AA37:AB37"/>
    <mergeCell ref="B206:C206"/>
    <mergeCell ref="F25:H25"/>
    <mergeCell ref="B26:C26"/>
    <mergeCell ref="B38:C38"/>
    <mergeCell ref="B191:C191"/>
    <mergeCell ref="J25:L25"/>
    <mergeCell ref="J132:L132"/>
    <mergeCell ref="J57:L57"/>
    <mergeCell ref="B60:C60"/>
    <mergeCell ref="B75:C75"/>
    <mergeCell ref="B98:C98"/>
    <mergeCell ref="AA121:AB121"/>
    <mergeCell ref="AA91:AB91"/>
    <mergeCell ref="B114:C114"/>
    <mergeCell ref="B127:C127"/>
    <mergeCell ref="B142:C142"/>
    <mergeCell ref="J242:K242"/>
    <mergeCell ref="AA156:AB156"/>
    <mergeCell ref="B161:C161"/>
    <mergeCell ref="AA177:AB177"/>
    <mergeCell ref="AA222:AB222"/>
    <mergeCell ref="J171:L171"/>
    <mergeCell ref="B233:C233"/>
  </mergeCells>
  <conditionalFormatting sqref="AU40:AU43 AU45:AU46 AV48:AV49 S27:S35 AU50">
    <cfRule type="cellIs" dxfId="7" priority="5" operator="greaterThan">
      <formula>0</formula>
    </cfRule>
  </conditionalFormatting>
  <conditionalFormatting sqref="S73:S74 AT9:AT12 AT15:AT16 S50:S55">
    <cfRule type="cellIs" dxfId="6" priority="3" operator="greaterThan">
      <formula>0</formula>
    </cfRule>
    <cfRule type="cellIs" dxfId="5" priority="4" operator="greaterThan">
      <formula>0</formula>
    </cfRule>
  </conditionalFormatting>
  <conditionalFormatting sqref="AU40:AU43 AU45:AU46 S27:S34 AV48:AV49">
    <cfRule type="cellIs" dxfId="4" priority="1" operator="greaterThan">
      <formula>0</formula>
    </cfRule>
    <cfRule type="cellIs" priority="2" operator="greaterThan">
      <formula>0</formula>
    </cfRule>
  </conditionalFormatting>
  <pageMargins left="0.7" right="0.7" top="0.75" bottom="0.75" header="0.3" footer="0.3"/>
  <pageSetup scale="10" orientation="landscape" r:id="rId1"/>
  <ignoredErrors>
    <ignoredError sqref="N55:P55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7A55DE-C1D7-473F-9A1A-26D2E1B0D2E4}">
  <dimension ref="A1:AE112"/>
  <sheetViews>
    <sheetView topLeftCell="A2" zoomScale="70" zoomScaleNormal="70" workbookViewId="0">
      <selection activeCell="AI120" sqref="A2:AI120"/>
    </sheetView>
  </sheetViews>
  <sheetFormatPr defaultColWidth="8.85546875" defaultRowHeight="15"/>
  <cols>
    <col min="1" max="1" width="24.7109375" style="5" customWidth="1"/>
    <col min="2" max="2" width="12.42578125" style="5" customWidth="1"/>
    <col min="3" max="3" width="11.85546875" style="5" customWidth="1"/>
    <col min="4" max="4" width="10.85546875" style="5" customWidth="1"/>
    <col min="5" max="5" width="11.140625" style="5" bestFit="1" customWidth="1"/>
    <col min="6" max="6" width="12.42578125" style="5" customWidth="1"/>
    <col min="7" max="7" width="10.140625" style="5" bestFit="1" customWidth="1"/>
    <col min="8" max="8" width="10.42578125" style="5" bestFit="1" customWidth="1"/>
    <col min="9" max="9" width="9.85546875" style="5" customWidth="1"/>
    <col min="10" max="10" width="11.7109375" style="5" customWidth="1"/>
    <col min="11" max="11" width="10.85546875" style="5" bestFit="1" customWidth="1"/>
    <col min="12" max="12" width="18.85546875" style="5" customWidth="1"/>
    <col min="13" max="13" width="16" style="5" customWidth="1"/>
    <col min="14" max="14" width="16.85546875" style="5" customWidth="1"/>
    <col min="15" max="15" width="11.140625" style="5" customWidth="1"/>
    <col min="16" max="16" width="11.42578125" style="5" customWidth="1"/>
    <col min="17" max="17" width="12.140625" style="657" customWidth="1"/>
    <col min="18" max="18" width="15" style="657" customWidth="1"/>
    <col min="19" max="19" width="10.85546875" style="657" bestFit="1" customWidth="1"/>
    <col min="20" max="20" width="12" style="5" customWidth="1"/>
    <col min="21" max="21" width="8.28515625" style="5" customWidth="1"/>
    <col min="22" max="22" width="15.7109375" style="5" customWidth="1"/>
    <col min="23" max="26" width="8.85546875" style="5"/>
    <col min="27" max="27" width="13.85546875" style="5" customWidth="1"/>
    <col min="28" max="28" width="14.85546875" style="5" bestFit="1" customWidth="1"/>
    <col min="29" max="29" width="13.7109375" style="5" bestFit="1" customWidth="1"/>
    <col min="30" max="30" width="14.85546875" style="5" bestFit="1" customWidth="1"/>
    <col min="31" max="31" width="15.85546875" style="5" customWidth="1"/>
    <col min="32" max="16384" width="8.85546875" style="5"/>
  </cols>
  <sheetData>
    <row r="1" spans="1:22" hidden="1"/>
    <row r="2" spans="1:22" ht="73.349999999999994" customHeight="1">
      <c r="B2" s="658" t="s">
        <v>762</v>
      </c>
      <c r="C2" s="659" t="s">
        <v>763</v>
      </c>
      <c r="D2" s="659" t="s">
        <v>764</v>
      </c>
      <c r="E2" s="659" t="s">
        <v>765</v>
      </c>
      <c r="F2" s="659" t="s">
        <v>766</v>
      </c>
      <c r="G2" s="659" t="s">
        <v>623</v>
      </c>
      <c r="H2" s="659" t="s">
        <v>297</v>
      </c>
      <c r="I2" s="659" t="s">
        <v>767</v>
      </c>
      <c r="J2" s="659" t="s">
        <v>768</v>
      </c>
      <c r="K2" s="659" t="s">
        <v>769</v>
      </c>
      <c r="L2" s="659" t="s">
        <v>770</v>
      </c>
      <c r="M2" s="659" t="s">
        <v>159</v>
      </c>
      <c r="N2" s="659" t="s">
        <v>212</v>
      </c>
      <c r="O2" s="659" t="s">
        <v>771</v>
      </c>
      <c r="P2" s="660" t="s">
        <v>772</v>
      </c>
      <c r="Q2" s="661" t="s">
        <v>773</v>
      </c>
      <c r="R2" s="661" t="s">
        <v>774</v>
      </c>
      <c r="S2" s="661" t="s">
        <v>775</v>
      </c>
      <c r="T2" s="660" t="s">
        <v>776</v>
      </c>
      <c r="U2" s="659"/>
      <c r="V2" s="15" t="s">
        <v>219</v>
      </c>
    </row>
    <row r="3" spans="1:22">
      <c r="B3" s="5" t="s">
        <v>777</v>
      </c>
      <c r="C3" s="662">
        <v>0</v>
      </c>
      <c r="D3" s="662"/>
      <c r="E3" s="662"/>
      <c r="F3" s="662"/>
      <c r="G3" s="662">
        <v>1000</v>
      </c>
      <c r="H3" s="662"/>
      <c r="I3" s="662"/>
      <c r="J3" s="662"/>
      <c r="K3" s="662"/>
      <c r="L3" s="662"/>
      <c r="M3" s="662"/>
      <c r="N3" s="662"/>
      <c r="O3" s="662"/>
      <c r="P3" s="663">
        <v>0</v>
      </c>
      <c r="Q3" s="664"/>
      <c r="R3" s="664"/>
      <c r="S3" s="664"/>
      <c r="T3" s="662"/>
      <c r="U3" s="662"/>
      <c r="V3" s="662">
        <f>SUM(C3:P3)+T3</f>
        <v>1000</v>
      </c>
    </row>
    <row r="4" spans="1:22">
      <c r="A4" s="5" t="s">
        <v>778</v>
      </c>
      <c r="B4" s="5" t="s">
        <v>779</v>
      </c>
      <c r="C4" s="662"/>
      <c r="D4" s="662"/>
      <c r="E4" s="662"/>
      <c r="F4" s="662"/>
      <c r="G4" s="662"/>
      <c r="H4" s="662"/>
      <c r="I4" s="662"/>
      <c r="J4" s="662"/>
      <c r="K4" s="662"/>
      <c r="L4" s="662"/>
      <c r="M4" s="662"/>
      <c r="N4" s="662"/>
      <c r="O4" s="662">
        <f>4*5099+11579</f>
        <v>31975</v>
      </c>
      <c r="P4" s="662"/>
      <c r="Q4" s="664"/>
      <c r="R4" s="664">
        <v>11579</v>
      </c>
      <c r="S4" s="664"/>
      <c r="T4" s="662"/>
      <c r="U4" s="662"/>
      <c r="V4" s="662">
        <f t="shared" ref="V4:V10" si="0">SUM(C4:P4)+T4</f>
        <v>31975</v>
      </c>
    </row>
    <row r="5" spans="1:22">
      <c r="B5" s="5" t="s">
        <v>780</v>
      </c>
      <c r="C5" s="662"/>
      <c r="D5" s="662"/>
      <c r="E5" s="662">
        <f>3771+4*4606</f>
        <v>22195</v>
      </c>
      <c r="F5" s="662"/>
      <c r="G5" s="662">
        <v>835</v>
      </c>
      <c r="H5" s="662"/>
      <c r="I5" s="662"/>
      <c r="J5" s="662"/>
      <c r="K5" s="662"/>
      <c r="L5" s="662"/>
      <c r="M5" s="662"/>
      <c r="N5" s="662"/>
      <c r="O5" s="662"/>
      <c r="P5" s="662"/>
      <c r="Q5" s="664"/>
      <c r="R5" s="664"/>
      <c r="S5" s="664"/>
      <c r="T5" s="662"/>
      <c r="U5" s="662"/>
      <c r="V5" s="662">
        <f t="shared" si="0"/>
        <v>23030</v>
      </c>
    </row>
    <row r="6" spans="1:22">
      <c r="B6" s="5" t="s">
        <v>781</v>
      </c>
      <c r="C6" s="662"/>
      <c r="D6" s="662"/>
      <c r="E6" s="662">
        <f>2064+3*4606</f>
        <v>15882</v>
      </c>
      <c r="F6" s="662"/>
      <c r="G6" s="662">
        <v>2542</v>
      </c>
      <c r="H6" s="662"/>
      <c r="I6" s="662"/>
      <c r="J6" s="662"/>
      <c r="K6" s="662"/>
      <c r="L6" s="662"/>
      <c r="M6" s="662"/>
      <c r="N6" s="662"/>
      <c r="O6" s="662"/>
      <c r="P6" s="662"/>
      <c r="Q6" s="664"/>
      <c r="R6" s="664"/>
      <c r="S6" s="664"/>
      <c r="T6" s="662"/>
      <c r="U6" s="662"/>
      <c r="V6" s="662">
        <f t="shared" si="0"/>
        <v>18424</v>
      </c>
    </row>
    <row r="7" spans="1:22">
      <c r="B7" s="5" t="s">
        <v>782</v>
      </c>
      <c r="C7" s="662"/>
      <c r="D7" s="662"/>
      <c r="E7" s="662"/>
      <c r="F7" s="662"/>
      <c r="G7" s="662">
        <v>3570</v>
      </c>
      <c r="H7" s="662"/>
      <c r="I7" s="662"/>
      <c r="J7" s="662"/>
      <c r="K7" s="662"/>
      <c r="L7" s="662"/>
      <c r="M7" s="662"/>
      <c r="N7" s="662"/>
      <c r="O7" s="662"/>
      <c r="P7" s="662"/>
      <c r="Q7" s="664"/>
      <c r="R7" s="664">
        <v>770</v>
      </c>
      <c r="S7" s="664"/>
      <c r="T7" s="662"/>
      <c r="U7" s="662"/>
      <c r="V7" s="662">
        <f t="shared" si="0"/>
        <v>3570</v>
      </c>
    </row>
    <row r="8" spans="1:22">
      <c r="A8" s="5" t="s">
        <v>783</v>
      </c>
      <c r="B8" s="5" t="s">
        <v>784</v>
      </c>
      <c r="C8" s="662"/>
      <c r="D8" s="662"/>
      <c r="E8" s="662"/>
      <c r="F8" s="662">
        <f>6*1600+4*700+22*1400</f>
        <v>43200</v>
      </c>
      <c r="G8" s="662"/>
      <c r="H8" s="662"/>
      <c r="I8" s="662"/>
      <c r="J8" s="662"/>
      <c r="K8" s="662"/>
      <c r="L8" s="662"/>
      <c r="M8" s="662"/>
      <c r="N8" s="662"/>
      <c r="O8" s="662"/>
      <c r="P8" s="662"/>
      <c r="Q8" s="664"/>
      <c r="R8" s="664"/>
      <c r="S8" s="664"/>
      <c r="T8" s="662"/>
      <c r="U8" s="662"/>
      <c r="V8" s="662">
        <f t="shared" si="0"/>
        <v>43200</v>
      </c>
    </row>
    <row r="9" spans="1:22">
      <c r="B9" s="309" t="s">
        <v>785</v>
      </c>
      <c r="C9" s="665"/>
      <c r="D9" s="665"/>
      <c r="E9" s="665"/>
      <c r="F9" s="665"/>
      <c r="G9" s="665"/>
      <c r="H9" s="665"/>
      <c r="I9" s="665"/>
      <c r="J9" s="665"/>
      <c r="K9" s="665"/>
      <c r="L9" s="665"/>
      <c r="M9" s="665"/>
      <c r="N9" s="665"/>
      <c r="O9" s="665"/>
      <c r="P9" s="665"/>
      <c r="Q9" s="666">
        <v>14950</v>
      </c>
      <c r="R9" s="666"/>
      <c r="S9" s="666"/>
      <c r="T9" s="665"/>
      <c r="U9" s="665"/>
      <c r="V9" s="662">
        <f t="shared" si="0"/>
        <v>0</v>
      </c>
    </row>
    <row r="10" spans="1:22">
      <c r="B10" s="5" t="s">
        <v>786</v>
      </c>
      <c r="C10" s="667">
        <f t="shared" ref="C10:S10" si="1">SUM(C3:C9)</f>
        <v>0</v>
      </c>
      <c r="D10" s="667"/>
      <c r="E10" s="667">
        <f t="shared" si="1"/>
        <v>38077</v>
      </c>
      <c r="F10" s="667">
        <f t="shared" si="1"/>
        <v>43200</v>
      </c>
      <c r="G10" s="667">
        <f t="shared" si="1"/>
        <v>7947</v>
      </c>
      <c r="H10" s="667"/>
      <c r="I10" s="667"/>
      <c r="J10" s="667"/>
      <c r="K10" s="667"/>
      <c r="L10" s="667"/>
      <c r="M10" s="667">
        <f t="shared" si="1"/>
        <v>0</v>
      </c>
      <c r="N10" s="667"/>
      <c r="O10" s="667">
        <f t="shared" si="1"/>
        <v>31975</v>
      </c>
      <c r="P10" s="667">
        <f t="shared" si="1"/>
        <v>0</v>
      </c>
      <c r="Q10" s="664">
        <f t="shared" si="1"/>
        <v>14950</v>
      </c>
      <c r="R10" s="664">
        <f t="shared" si="1"/>
        <v>12349</v>
      </c>
      <c r="S10" s="664">
        <f t="shared" si="1"/>
        <v>0</v>
      </c>
      <c r="T10" s="662"/>
      <c r="U10" s="662"/>
      <c r="V10" s="668">
        <f t="shared" si="0"/>
        <v>121199</v>
      </c>
    </row>
    <row r="12" spans="1:22" s="15" customFormat="1" ht="30" customHeight="1">
      <c r="B12" s="15" t="s">
        <v>787</v>
      </c>
      <c r="C12" s="658" t="s">
        <v>763</v>
      </c>
      <c r="D12" s="658" t="s">
        <v>764</v>
      </c>
      <c r="E12" s="658" t="s">
        <v>765</v>
      </c>
      <c r="F12" s="658" t="s">
        <v>766</v>
      </c>
      <c r="G12" s="658" t="s">
        <v>623</v>
      </c>
      <c r="H12" s="658" t="s">
        <v>297</v>
      </c>
      <c r="I12" s="658" t="s">
        <v>767</v>
      </c>
      <c r="J12" s="658" t="s">
        <v>768</v>
      </c>
      <c r="K12" s="658" t="s">
        <v>769</v>
      </c>
      <c r="L12" s="658" t="s">
        <v>770</v>
      </c>
      <c r="M12" s="658" t="s">
        <v>159</v>
      </c>
      <c r="N12" s="658" t="s">
        <v>212</v>
      </c>
      <c r="O12" s="658" t="s">
        <v>771</v>
      </c>
      <c r="P12" s="669" t="s">
        <v>772</v>
      </c>
      <c r="Q12" s="670" t="s">
        <v>773</v>
      </c>
      <c r="R12" s="670" t="s">
        <v>774</v>
      </c>
      <c r="S12" s="670" t="s">
        <v>775</v>
      </c>
      <c r="T12" s="669" t="s">
        <v>776</v>
      </c>
    </row>
    <row r="13" spans="1:22">
      <c r="B13" s="309" t="s">
        <v>777</v>
      </c>
      <c r="C13" s="665">
        <v>111180</v>
      </c>
      <c r="D13" s="665"/>
      <c r="E13" s="665"/>
      <c r="F13" s="665"/>
      <c r="G13" s="665"/>
      <c r="H13" s="665"/>
      <c r="I13" s="665"/>
      <c r="J13" s="665"/>
      <c r="K13" s="665"/>
      <c r="L13" s="665"/>
      <c r="M13" s="665"/>
      <c r="N13" s="665"/>
      <c r="O13" s="665"/>
      <c r="P13" s="665">
        <v>9900</v>
      </c>
      <c r="Q13" s="666"/>
      <c r="R13" s="666"/>
      <c r="S13" s="666"/>
      <c r="T13" s="665"/>
      <c r="U13" s="665"/>
      <c r="V13" s="665">
        <f>SUM(C13:T13)</f>
        <v>121080</v>
      </c>
    </row>
    <row r="14" spans="1:22">
      <c r="B14" s="5" t="s">
        <v>258</v>
      </c>
      <c r="C14" s="662">
        <f>SUM(C13)</f>
        <v>111180</v>
      </c>
      <c r="D14" s="662"/>
      <c r="E14" s="662"/>
      <c r="F14" s="662"/>
      <c r="G14" s="662"/>
      <c r="H14" s="662"/>
      <c r="I14" s="662"/>
      <c r="J14" s="662"/>
      <c r="K14" s="662"/>
      <c r="L14" s="662"/>
      <c r="M14" s="662"/>
      <c r="N14" s="662"/>
      <c r="O14" s="662"/>
      <c r="P14" s="662">
        <f>SUM(P13)</f>
        <v>9900</v>
      </c>
      <c r="Q14" s="664"/>
      <c r="R14" s="664"/>
      <c r="S14" s="664"/>
      <c r="T14" s="662"/>
      <c r="U14" s="662"/>
      <c r="V14" s="671">
        <f>SUM(V13)</f>
        <v>121080</v>
      </c>
    </row>
    <row r="16" spans="1:22" s="15" customFormat="1" ht="30" customHeight="1">
      <c r="B16" s="15" t="s">
        <v>788</v>
      </c>
      <c r="C16" s="658" t="s">
        <v>763</v>
      </c>
      <c r="D16" s="658" t="s">
        <v>764</v>
      </c>
      <c r="E16" s="658" t="s">
        <v>789</v>
      </c>
      <c r="F16" s="658" t="s">
        <v>766</v>
      </c>
      <c r="G16" s="658" t="s">
        <v>623</v>
      </c>
      <c r="H16" s="658" t="s">
        <v>297</v>
      </c>
      <c r="I16" s="658" t="s">
        <v>767</v>
      </c>
      <c r="J16" s="658" t="s">
        <v>768</v>
      </c>
      <c r="K16" s="658" t="s">
        <v>769</v>
      </c>
      <c r="L16" s="658" t="s">
        <v>770</v>
      </c>
      <c r="M16" s="658" t="s">
        <v>159</v>
      </c>
      <c r="N16" s="658" t="s">
        <v>212</v>
      </c>
      <c r="O16" s="658" t="s">
        <v>771</v>
      </c>
      <c r="P16" s="658" t="s">
        <v>772</v>
      </c>
      <c r="Q16" s="670" t="s">
        <v>773</v>
      </c>
      <c r="R16" s="670" t="s">
        <v>774</v>
      </c>
      <c r="S16" s="670" t="s">
        <v>775</v>
      </c>
      <c r="T16" s="658" t="s">
        <v>776</v>
      </c>
    </row>
    <row r="17" spans="1:22">
      <c r="A17" s="5" t="s">
        <v>790</v>
      </c>
      <c r="B17" s="5" t="s">
        <v>791</v>
      </c>
      <c r="C17" s="662"/>
      <c r="D17" s="662"/>
      <c r="E17" s="662"/>
      <c r="F17" s="662">
        <f>6*1600+1400*14+4*700</f>
        <v>32000</v>
      </c>
      <c r="G17" s="662"/>
      <c r="H17" s="662"/>
      <c r="I17" s="662"/>
      <c r="J17" s="662"/>
      <c r="K17" s="662"/>
      <c r="L17" s="662"/>
      <c r="M17" s="662"/>
      <c r="N17" s="662"/>
      <c r="O17" s="662"/>
      <c r="P17" s="662"/>
      <c r="Q17" s="664"/>
      <c r="R17" s="664"/>
      <c r="S17" s="664"/>
      <c r="T17" s="662"/>
      <c r="U17" s="662"/>
      <c r="V17" s="662">
        <f t="shared" ref="V17:V23" si="2">SUM(C17:P17)+T17</f>
        <v>32000</v>
      </c>
    </row>
    <row r="18" spans="1:22">
      <c r="B18" s="5" t="s">
        <v>792</v>
      </c>
      <c r="C18" s="662"/>
      <c r="D18" s="662"/>
      <c r="E18" s="662">
        <f>2*13370</f>
        <v>26740</v>
      </c>
      <c r="F18" s="662"/>
      <c r="G18" s="662">
        <f>2*7000</f>
        <v>14000</v>
      </c>
      <c r="H18" s="662"/>
      <c r="I18" s="662"/>
      <c r="J18" s="662"/>
      <c r="K18" s="662"/>
      <c r="L18" s="662"/>
      <c r="M18" s="662"/>
      <c r="N18" s="662"/>
      <c r="O18" s="662"/>
      <c r="P18" s="662"/>
      <c r="Q18" s="664"/>
      <c r="R18" s="664"/>
      <c r="S18" s="664">
        <v>13370</v>
      </c>
      <c r="T18" s="662"/>
      <c r="U18" s="662"/>
      <c r="V18" s="662">
        <f t="shared" si="2"/>
        <v>40740</v>
      </c>
    </row>
    <row r="19" spans="1:22">
      <c r="B19" s="5" t="s">
        <v>793</v>
      </c>
      <c r="C19" s="662"/>
      <c r="D19" s="662"/>
      <c r="E19" s="662"/>
      <c r="F19" s="662"/>
      <c r="G19" s="662"/>
      <c r="H19" s="662"/>
      <c r="I19" s="662"/>
      <c r="J19" s="662"/>
      <c r="K19" s="662"/>
      <c r="L19" s="662"/>
      <c r="M19" s="662">
        <f>2*7810</f>
        <v>15620</v>
      </c>
      <c r="N19" s="662"/>
      <c r="O19" s="662"/>
      <c r="P19" s="662"/>
      <c r="Q19" s="664"/>
      <c r="R19" s="664">
        <v>1420</v>
      </c>
      <c r="S19" s="664"/>
      <c r="T19" s="662"/>
      <c r="U19" s="662"/>
      <c r="V19" s="662">
        <f t="shared" si="2"/>
        <v>15620</v>
      </c>
    </row>
    <row r="20" spans="1:22">
      <c r="B20" s="5" t="s">
        <v>794</v>
      </c>
      <c r="C20" s="662"/>
      <c r="D20" s="662"/>
      <c r="E20" s="662">
        <f>4230+5*13370</f>
        <v>71080</v>
      </c>
      <c r="F20" s="662"/>
      <c r="G20" s="662">
        <v>2100</v>
      </c>
      <c r="H20" s="662"/>
      <c r="I20" s="662"/>
      <c r="J20" s="662"/>
      <c r="K20" s="662"/>
      <c r="L20" s="662"/>
      <c r="M20" s="662"/>
      <c r="N20" s="662"/>
      <c r="O20" s="662"/>
      <c r="P20" s="662">
        <v>7040</v>
      </c>
      <c r="Q20" s="664"/>
      <c r="R20" s="664"/>
      <c r="S20" s="664"/>
      <c r="T20" s="662"/>
      <c r="U20" s="662"/>
      <c r="V20" s="662">
        <f t="shared" si="2"/>
        <v>80220</v>
      </c>
    </row>
    <row r="21" spans="1:22">
      <c r="B21" s="5" t="s">
        <v>795</v>
      </c>
      <c r="C21" s="662"/>
      <c r="D21" s="662"/>
      <c r="E21" s="662">
        <f>6*13720+6680</f>
        <v>89000</v>
      </c>
      <c r="F21" s="662"/>
      <c r="G21" s="662"/>
      <c r="H21" s="662"/>
      <c r="I21" s="662"/>
      <c r="J21" s="662"/>
      <c r="K21" s="662"/>
      <c r="L21" s="662"/>
      <c r="M21" s="662"/>
      <c r="N21" s="662"/>
      <c r="O21" s="662"/>
      <c r="P21" s="662">
        <v>7040</v>
      </c>
      <c r="Q21" s="664"/>
      <c r="R21" s="664"/>
      <c r="S21" s="664"/>
      <c r="T21" s="662"/>
      <c r="U21" s="662"/>
      <c r="V21" s="662">
        <f t="shared" si="2"/>
        <v>96040</v>
      </c>
    </row>
    <row r="22" spans="1:22">
      <c r="B22" s="309" t="s">
        <v>796</v>
      </c>
      <c r="C22" s="665"/>
      <c r="D22" s="665"/>
      <c r="E22" s="665"/>
      <c r="F22" s="665"/>
      <c r="G22" s="665"/>
      <c r="H22" s="665"/>
      <c r="I22" s="665"/>
      <c r="J22" s="665"/>
      <c r="K22" s="665"/>
      <c r="L22" s="665"/>
      <c r="M22" s="665"/>
      <c r="N22" s="665"/>
      <c r="O22" s="665"/>
      <c r="P22" s="665"/>
      <c r="Q22" s="666">
        <v>19206</v>
      </c>
      <c r="R22" s="666"/>
      <c r="S22" s="666"/>
      <c r="T22" s="665"/>
      <c r="U22" s="665"/>
      <c r="V22" s="662">
        <f t="shared" si="2"/>
        <v>0</v>
      </c>
    </row>
    <row r="23" spans="1:22">
      <c r="B23" s="672" t="s">
        <v>786</v>
      </c>
      <c r="C23" s="667">
        <f t="shared" ref="C23:S23" si="3">SUM(C17:C22)</f>
        <v>0</v>
      </c>
      <c r="D23" s="667"/>
      <c r="E23" s="667">
        <f t="shared" si="3"/>
        <v>186820</v>
      </c>
      <c r="F23" s="667">
        <f t="shared" si="3"/>
        <v>32000</v>
      </c>
      <c r="G23" s="667">
        <f t="shared" si="3"/>
        <v>16100</v>
      </c>
      <c r="H23" s="667"/>
      <c r="I23" s="667"/>
      <c r="J23" s="667"/>
      <c r="K23" s="667"/>
      <c r="L23" s="667"/>
      <c r="M23" s="667">
        <f t="shared" si="3"/>
        <v>15620</v>
      </c>
      <c r="N23" s="667"/>
      <c r="O23" s="667">
        <f t="shared" si="3"/>
        <v>0</v>
      </c>
      <c r="P23" s="667">
        <f t="shared" si="3"/>
        <v>14080</v>
      </c>
      <c r="Q23" s="673">
        <f t="shared" si="3"/>
        <v>19206</v>
      </c>
      <c r="R23" s="673">
        <f t="shared" si="3"/>
        <v>1420</v>
      </c>
      <c r="S23" s="673">
        <f t="shared" si="3"/>
        <v>13370</v>
      </c>
      <c r="T23" s="667"/>
      <c r="U23" s="667"/>
      <c r="V23" s="668">
        <f t="shared" si="2"/>
        <v>264620</v>
      </c>
    </row>
    <row r="26" spans="1:22" s="15" customFormat="1" ht="30" customHeight="1">
      <c r="B26" s="15" t="s">
        <v>797</v>
      </c>
      <c r="C26" s="658" t="s">
        <v>763</v>
      </c>
      <c r="D26" s="658" t="s">
        <v>764</v>
      </c>
      <c r="E26" s="658" t="s">
        <v>789</v>
      </c>
      <c r="F26" s="658" t="s">
        <v>766</v>
      </c>
      <c r="G26" s="658" t="s">
        <v>623</v>
      </c>
      <c r="H26" s="658" t="s">
        <v>297</v>
      </c>
      <c r="I26" s="658" t="s">
        <v>767</v>
      </c>
      <c r="J26" s="658" t="s">
        <v>768</v>
      </c>
      <c r="K26" s="658" t="s">
        <v>769</v>
      </c>
      <c r="L26" s="658" t="s">
        <v>770</v>
      </c>
      <c r="M26" s="658" t="s">
        <v>159</v>
      </c>
      <c r="N26" s="658" t="s">
        <v>212</v>
      </c>
      <c r="O26" s="658" t="s">
        <v>771</v>
      </c>
      <c r="P26" s="658" t="s">
        <v>772</v>
      </c>
      <c r="Q26" s="670" t="s">
        <v>773</v>
      </c>
      <c r="R26" s="670" t="s">
        <v>774</v>
      </c>
      <c r="S26" s="670" t="s">
        <v>775</v>
      </c>
      <c r="T26" s="658" t="s">
        <v>776</v>
      </c>
    </row>
    <row r="27" spans="1:22">
      <c r="A27" s="5" t="s">
        <v>798</v>
      </c>
      <c r="B27" s="309" t="s">
        <v>799</v>
      </c>
      <c r="C27" s="665"/>
      <c r="D27" s="665"/>
      <c r="E27" s="665"/>
      <c r="F27" s="665"/>
      <c r="G27" s="665"/>
      <c r="H27" s="665"/>
      <c r="I27" s="665"/>
      <c r="J27" s="665"/>
      <c r="K27" s="665"/>
      <c r="L27" s="665"/>
      <c r="M27" s="665"/>
      <c r="N27" s="665"/>
      <c r="O27" s="665"/>
      <c r="P27" s="665"/>
      <c r="Q27" s="666"/>
      <c r="R27" s="666">
        <v>48600</v>
      </c>
      <c r="S27" s="666"/>
      <c r="T27" s="665">
        <v>97200</v>
      </c>
      <c r="U27" s="665"/>
      <c r="V27" s="662">
        <f t="shared" ref="V27:V28" si="4">SUM(C27:P27)+T27</f>
        <v>97200</v>
      </c>
    </row>
    <row r="28" spans="1:22">
      <c r="B28" s="5" t="s">
        <v>786</v>
      </c>
      <c r="C28" s="662">
        <f>SUM(C27)</f>
        <v>0</v>
      </c>
      <c r="D28" s="662"/>
      <c r="E28" s="662">
        <f>SUM(E27)</f>
        <v>0</v>
      </c>
      <c r="F28" s="662">
        <f>SUM(F27)</f>
        <v>0</v>
      </c>
      <c r="G28" s="662">
        <f>SUM(G27)</f>
        <v>0</v>
      </c>
      <c r="H28" s="662"/>
      <c r="I28" s="662"/>
      <c r="J28" s="662"/>
      <c r="K28" s="662"/>
      <c r="L28" s="662"/>
      <c r="M28" s="662">
        <f t="shared" ref="M28:S28" si="5">SUM(M27)</f>
        <v>0</v>
      </c>
      <c r="N28" s="662"/>
      <c r="O28" s="662">
        <f t="shared" si="5"/>
        <v>0</v>
      </c>
      <c r="P28" s="662">
        <f t="shared" si="5"/>
        <v>0</v>
      </c>
      <c r="Q28" s="664">
        <f t="shared" si="5"/>
        <v>0</v>
      </c>
      <c r="R28" s="664">
        <f t="shared" si="5"/>
        <v>48600</v>
      </c>
      <c r="S28" s="664">
        <f t="shared" si="5"/>
        <v>0</v>
      </c>
      <c r="T28" s="662">
        <f>SUM(T27)</f>
        <v>97200</v>
      </c>
      <c r="U28" s="662"/>
      <c r="V28" s="668">
        <f t="shared" si="4"/>
        <v>97200</v>
      </c>
    </row>
    <row r="31" spans="1:22" ht="30" customHeight="1">
      <c r="A31" s="5" t="s">
        <v>800</v>
      </c>
      <c r="B31" s="15" t="s">
        <v>801</v>
      </c>
      <c r="C31" s="674" t="s">
        <v>763</v>
      </c>
      <c r="D31" s="674" t="s">
        <v>764</v>
      </c>
      <c r="E31" s="674" t="s">
        <v>789</v>
      </c>
      <c r="F31" s="674" t="s">
        <v>766</v>
      </c>
      <c r="G31" s="674" t="s">
        <v>623</v>
      </c>
      <c r="H31" s="674" t="s">
        <v>297</v>
      </c>
      <c r="I31" s="674" t="s">
        <v>767</v>
      </c>
      <c r="J31" s="674" t="s">
        <v>768</v>
      </c>
      <c r="K31" s="674" t="s">
        <v>769</v>
      </c>
      <c r="L31" s="674" t="s">
        <v>770</v>
      </c>
      <c r="M31" s="674" t="s">
        <v>159</v>
      </c>
      <c r="N31" s="674" t="s">
        <v>212</v>
      </c>
      <c r="O31" s="674" t="s">
        <v>771</v>
      </c>
      <c r="P31" s="674" t="s">
        <v>772</v>
      </c>
      <c r="Q31" s="675" t="s">
        <v>773</v>
      </c>
      <c r="R31" s="675" t="s">
        <v>774</v>
      </c>
      <c r="S31" s="675" t="s">
        <v>775</v>
      </c>
      <c r="T31" s="676" t="s">
        <v>776</v>
      </c>
      <c r="U31" s="676"/>
    </row>
    <row r="32" spans="1:22">
      <c r="B32" s="5" t="s">
        <v>802</v>
      </c>
      <c r="C32" s="662"/>
      <c r="D32" s="662"/>
      <c r="E32" s="662">
        <f>3*9695+3000</f>
        <v>32085</v>
      </c>
      <c r="F32" s="662"/>
      <c r="G32" s="662">
        <v>3600</v>
      </c>
      <c r="H32" s="662"/>
      <c r="I32" s="662"/>
      <c r="J32" s="662">
        <v>8635</v>
      </c>
      <c r="K32" s="662"/>
      <c r="L32" s="662"/>
      <c r="M32" s="662"/>
      <c r="N32" s="662"/>
      <c r="O32" s="662"/>
      <c r="P32" s="662"/>
      <c r="Q32" s="664"/>
      <c r="R32" s="664">
        <v>5540</v>
      </c>
      <c r="S32" s="664"/>
      <c r="T32" s="662"/>
      <c r="U32" s="662"/>
      <c r="V32" s="662">
        <f t="shared" ref="V32:V37" si="6">SUM(C32:P32)+T32</f>
        <v>44320</v>
      </c>
    </row>
    <row r="33" spans="2:22">
      <c r="B33" s="5" t="s">
        <v>803</v>
      </c>
      <c r="C33" s="662"/>
      <c r="D33" s="662"/>
      <c r="E33" s="662"/>
      <c r="F33" s="662"/>
      <c r="G33" s="662"/>
      <c r="H33" s="662"/>
      <c r="I33" s="662">
        <v>14543</v>
      </c>
      <c r="J33" s="662"/>
      <c r="K33" s="662"/>
      <c r="L33" s="662"/>
      <c r="M33" s="662"/>
      <c r="N33" s="662"/>
      <c r="O33" s="662"/>
      <c r="P33" s="662"/>
      <c r="Q33" s="664"/>
      <c r="R33" s="664"/>
      <c r="S33" s="664">
        <v>14542</v>
      </c>
      <c r="T33" s="662"/>
      <c r="U33" s="662"/>
      <c r="V33" s="662">
        <f t="shared" si="6"/>
        <v>14543</v>
      </c>
    </row>
    <row r="34" spans="2:22">
      <c r="B34" s="5" t="s">
        <v>804</v>
      </c>
      <c r="C34" s="662"/>
      <c r="D34" s="662"/>
      <c r="E34" s="662">
        <f>4*12845+3550</f>
        <v>54930</v>
      </c>
      <c r="F34" s="662"/>
      <c r="G34" s="662"/>
      <c r="H34" s="662"/>
      <c r="I34" s="662"/>
      <c r="J34" s="662">
        <v>16176</v>
      </c>
      <c r="K34" s="662"/>
      <c r="L34" s="662"/>
      <c r="M34" s="662"/>
      <c r="N34" s="662"/>
      <c r="O34" s="662"/>
      <c r="P34" s="662"/>
      <c r="Q34" s="664"/>
      <c r="R34" s="664">
        <v>3909</v>
      </c>
      <c r="S34" s="664">
        <v>3441</v>
      </c>
      <c r="T34" s="662"/>
      <c r="U34" s="662"/>
      <c r="V34" s="662">
        <f t="shared" si="6"/>
        <v>71106</v>
      </c>
    </row>
    <row r="35" spans="2:22">
      <c r="B35" s="5" t="s">
        <v>805</v>
      </c>
      <c r="C35" s="662"/>
      <c r="D35" s="662"/>
      <c r="E35" s="662">
        <f>3*10045+3550</f>
        <v>33685</v>
      </c>
      <c r="F35" s="662"/>
      <c r="G35" s="662"/>
      <c r="H35" s="662"/>
      <c r="I35" s="662"/>
      <c r="J35" s="662">
        <v>16176</v>
      </c>
      <c r="K35" s="662"/>
      <c r="L35" s="662"/>
      <c r="M35" s="662"/>
      <c r="N35" s="662"/>
      <c r="O35" s="662"/>
      <c r="P35" s="662"/>
      <c r="Q35" s="664"/>
      <c r="R35" s="664">
        <v>6241</v>
      </c>
      <c r="S35" s="664">
        <v>3441</v>
      </c>
      <c r="T35" s="662"/>
      <c r="U35" s="662"/>
      <c r="V35" s="662">
        <f t="shared" si="6"/>
        <v>49861</v>
      </c>
    </row>
    <row r="36" spans="2:22">
      <c r="B36" s="309" t="s">
        <v>806</v>
      </c>
      <c r="C36" s="665"/>
      <c r="D36" s="665"/>
      <c r="E36" s="665"/>
      <c r="F36" s="665"/>
      <c r="G36" s="665"/>
      <c r="H36" s="665"/>
      <c r="I36" s="665"/>
      <c r="J36" s="665"/>
      <c r="K36" s="665"/>
      <c r="L36" s="665"/>
      <c r="M36" s="665"/>
      <c r="N36" s="665"/>
      <c r="O36" s="665"/>
      <c r="P36" s="665"/>
      <c r="Q36" s="666">
        <v>23332</v>
      </c>
      <c r="R36" s="666"/>
      <c r="S36" s="666"/>
      <c r="T36" s="665"/>
      <c r="U36" s="665"/>
      <c r="V36" s="662">
        <f t="shared" si="6"/>
        <v>0</v>
      </c>
    </row>
    <row r="37" spans="2:22">
      <c r="B37" s="5" t="s">
        <v>786</v>
      </c>
      <c r="C37" s="662">
        <f t="shared" ref="C37:S37" si="7">SUM(C32:C36)</f>
        <v>0</v>
      </c>
      <c r="D37" s="662"/>
      <c r="E37" s="662">
        <f t="shared" si="7"/>
        <v>120700</v>
      </c>
      <c r="F37" s="662">
        <f t="shared" si="7"/>
        <v>0</v>
      </c>
      <c r="G37" s="662">
        <f t="shared" si="7"/>
        <v>3600</v>
      </c>
      <c r="H37" s="662"/>
      <c r="I37" s="662">
        <f t="shared" si="7"/>
        <v>14543</v>
      </c>
      <c r="J37" s="662">
        <f t="shared" si="7"/>
        <v>40987</v>
      </c>
      <c r="K37" s="662"/>
      <c r="L37" s="662"/>
      <c r="M37" s="662">
        <f t="shared" si="7"/>
        <v>0</v>
      </c>
      <c r="N37" s="662"/>
      <c r="O37" s="662">
        <f t="shared" si="7"/>
        <v>0</v>
      </c>
      <c r="P37" s="662">
        <f t="shared" si="7"/>
        <v>0</v>
      </c>
      <c r="Q37" s="664">
        <f t="shared" si="7"/>
        <v>23332</v>
      </c>
      <c r="R37" s="664">
        <f t="shared" si="7"/>
        <v>15690</v>
      </c>
      <c r="S37" s="664">
        <f t="shared" si="7"/>
        <v>21424</v>
      </c>
      <c r="T37" s="662"/>
      <c r="U37" s="662"/>
      <c r="V37" s="668">
        <f t="shared" si="6"/>
        <v>179830</v>
      </c>
    </row>
    <row r="38" spans="2:22">
      <c r="I38" s="676">
        <f>+SUM(G37,I37)</f>
        <v>18143</v>
      </c>
    </row>
    <row r="40" spans="2:22" s="15" customFormat="1" ht="30" customHeight="1">
      <c r="B40" s="15" t="s">
        <v>807</v>
      </c>
      <c r="C40" s="658" t="s">
        <v>763</v>
      </c>
      <c r="D40" s="658" t="s">
        <v>764</v>
      </c>
      <c r="E40" s="658" t="s">
        <v>789</v>
      </c>
      <c r="F40" s="658" t="s">
        <v>766</v>
      </c>
      <c r="G40" s="658" t="s">
        <v>623</v>
      </c>
      <c r="H40" s="658" t="s">
        <v>297</v>
      </c>
      <c r="I40" s="658" t="s">
        <v>767</v>
      </c>
      <c r="J40" s="658" t="s">
        <v>768</v>
      </c>
      <c r="K40" s="658" t="s">
        <v>769</v>
      </c>
      <c r="L40" s="658" t="s">
        <v>770</v>
      </c>
      <c r="M40" s="658" t="s">
        <v>159</v>
      </c>
      <c r="N40" s="658" t="s">
        <v>212</v>
      </c>
      <c r="O40" s="658" t="s">
        <v>771</v>
      </c>
      <c r="P40" s="658" t="s">
        <v>772</v>
      </c>
      <c r="Q40" s="670" t="s">
        <v>773</v>
      </c>
      <c r="R40" s="670" t="s">
        <v>774</v>
      </c>
      <c r="S40" s="670" t="s">
        <v>775</v>
      </c>
      <c r="T40" s="658" t="s">
        <v>776</v>
      </c>
    </row>
    <row r="41" spans="2:22">
      <c r="B41" s="5" t="s">
        <v>808</v>
      </c>
      <c r="C41" s="662"/>
      <c r="D41" s="662"/>
      <c r="E41" s="662"/>
      <c r="F41" s="662"/>
      <c r="G41" s="662">
        <v>3600</v>
      </c>
      <c r="H41" s="662"/>
      <c r="I41" s="662"/>
      <c r="J41" s="662"/>
      <c r="K41" s="662"/>
      <c r="L41" s="662"/>
      <c r="M41" s="662">
        <f>6*16120</f>
        <v>96720</v>
      </c>
      <c r="N41" s="662"/>
      <c r="O41" s="662"/>
      <c r="P41" s="662">
        <v>12520</v>
      </c>
      <c r="Q41" s="664"/>
      <c r="R41" s="664"/>
      <c r="S41" s="664"/>
      <c r="T41" s="662"/>
      <c r="U41" s="662"/>
      <c r="V41" s="662">
        <f t="shared" ref="V41:V47" si="8">SUM(C41:P41)+T41</f>
        <v>112840</v>
      </c>
    </row>
    <row r="42" spans="2:22">
      <c r="B42" s="5" t="s">
        <v>809</v>
      </c>
      <c r="C42" s="662"/>
      <c r="D42" s="662"/>
      <c r="E42" s="662"/>
      <c r="F42" s="662"/>
      <c r="G42" s="662"/>
      <c r="H42" s="662"/>
      <c r="I42" s="662"/>
      <c r="J42" s="662"/>
      <c r="K42" s="662">
        <f>3*15900+4020</f>
        <v>51720</v>
      </c>
      <c r="L42" s="662"/>
      <c r="M42" s="662"/>
      <c r="N42" s="662"/>
      <c r="O42" s="662"/>
      <c r="P42" s="662">
        <v>11880</v>
      </c>
      <c r="Q42" s="664"/>
      <c r="R42" s="664"/>
      <c r="S42" s="664">
        <v>3500</v>
      </c>
      <c r="T42" s="662"/>
      <c r="U42" s="662"/>
      <c r="V42" s="662">
        <f t="shared" si="8"/>
        <v>63600</v>
      </c>
    </row>
    <row r="43" spans="2:22">
      <c r="B43" s="5" t="s">
        <v>810</v>
      </c>
      <c r="C43" s="662"/>
      <c r="D43" s="662"/>
      <c r="E43" s="662"/>
      <c r="F43" s="662"/>
      <c r="G43" s="662"/>
      <c r="H43" s="662">
        <v>8680</v>
      </c>
      <c r="I43" s="662"/>
      <c r="J43" s="662"/>
      <c r="K43" s="662"/>
      <c r="L43" s="662"/>
      <c r="M43" s="662">
        <f>6*8680</f>
        <v>52080</v>
      </c>
      <c r="N43" s="662"/>
      <c r="O43" s="662"/>
      <c r="P43" s="662"/>
      <c r="Q43" s="664"/>
      <c r="R43" s="664"/>
      <c r="S43" s="664"/>
      <c r="T43" s="662"/>
      <c r="U43" s="662"/>
      <c r="V43" s="662">
        <f t="shared" si="8"/>
        <v>60760</v>
      </c>
    </row>
    <row r="44" spans="2:22">
      <c r="B44" s="5" t="s">
        <v>811</v>
      </c>
      <c r="C44" s="662"/>
      <c r="D44" s="662">
        <f>2400+6*8680</f>
        <v>54480</v>
      </c>
      <c r="E44" s="662"/>
      <c r="F44" s="662"/>
      <c r="G44" s="662"/>
      <c r="H44" s="662">
        <v>6280</v>
      </c>
      <c r="I44" s="662"/>
      <c r="J44" s="662"/>
      <c r="K44" s="662"/>
      <c r="L44" s="662"/>
      <c r="M44" s="662"/>
      <c r="N44" s="662"/>
      <c r="O44" s="662"/>
      <c r="P44" s="662"/>
      <c r="Q44" s="664"/>
      <c r="R44" s="664"/>
      <c r="S44" s="664"/>
      <c r="T44" s="662"/>
      <c r="U44" s="662"/>
      <c r="V44" s="662">
        <f t="shared" si="8"/>
        <v>60760</v>
      </c>
    </row>
    <row r="45" spans="2:22">
      <c r="B45" s="5" t="s">
        <v>812</v>
      </c>
      <c r="C45" s="662"/>
      <c r="D45" s="662"/>
      <c r="E45" s="662"/>
      <c r="F45" s="662"/>
      <c r="G45" s="662">
        <v>5600</v>
      </c>
      <c r="H45" s="662"/>
      <c r="I45" s="662"/>
      <c r="J45" s="662"/>
      <c r="K45" s="662">
        <f>2*24800+19200</f>
        <v>68800</v>
      </c>
      <c r="L45" s="662"/>
      <c r="M45" s="662"/>
      <c r="N45" s="662"/>
      <c r="O45" s="662"/>
      <c r="P45" s="662"/>
      <c r="Q45" s="664"/>
      <c r="R45" s="664"/>
      <c r="S45" s="664">
        <v>12400</v>
      </c>
      <c r="T45" s="662"/>
      <c r="U45" s="662"/>
      <c r="V45" s="662">
        <f t="shared" si="8"/>
        <v>74400</v>
      </c>
    </row>
    <row r="46" spans="2:22">
      <c r="B46" s="5" t="s">
        <v>813</v>
      </c>
      <c r="C46" s="662"/>
      <c r="D46" s="662"/>
      <c r="E46" s="662">
        <f>4*8680+5880</f>
        <v>40600</v>
      </c>
      <c r="F46" s="662"/>
      <c r="G46" s="662">
        <v>2800</v>
      </c>
      <c r="H46" s="662"/>
      <c r="I46" s="662"/>
      <c r="J46" s="662"/>
      <c r="K46" s="662"/>
      <c r="L46" s="662"/>
      <c r="M46" s="662"/>
      <c r="N46" s="662"/>
      <c r="O46" s="662"/>
      <c r="P46" s="662"/>
      <c r="Q46" s="664"/>
      <c r="R46" s="664"/>
      <c r="S46" s="664"/>
      <c r="T46" s="662"/>
      <c r="U46" s="662"/>
      <c r="V46" s="662">
        <f t="shared" si="8"/>
        <v>43400</v>
      </c>
    </row>
    <row r="47" spans="2:22">
      <c r="B47" s="309" t="s">
        <v>814</v>
      </c>
      <c r="C47" s="665"/>
      <c r="D47" s="665"/>
      <c r="E47" s="665"/>
      <c r="F47" s="665"/>
      <c r="G47" s="665"/>
      <c r="H47" s="665"/>
      <c r="I47" s="665"/>
      <c r="J47" s="665"/>
      <c r="K47" s="665"/>
      <c r="L47" s="665"/>
      <c r="M47" s="665"/>
      <c r="N47" s="665"/>
      <c r="O47" s="665"/>
      <c r="P47" s="665"/>
      <c r="Q47" s="666">
        <v>5925</v>
      </c>
      <c r="R47" s="666"/>
      <c r="S47" s="666"/>
      <c r="T47" s="665"/>
      <c r="U47" s="665"/>
      <c r="V47" s="662">
        <f t="shared" si="8"/>
        <v>0</v>
      </c>
    </row>
    <row r="48" spans="2:22">
      <c r="B48" s="5" t="s">
        <v>786</v>
      </c>
      <c r="C48" s="662">
        <f t="shared" ref="C48:K48" si="9">SUM(C41:C47)</f>
        <v>0</v>
      </c>
      <c r="D48" s="662">
        <f t="shared" si="9"/>
        <v>54480</v>
      </c>
      <c r="E48" s="662">
        <f t="shared" si="9"/>
        <v>40600</v>
      </c>
      <c r="F48" s="662">
        <f t="shared" si="9"/>
        <v>0</v>
      </c>
      <c r="G48" s="662">
        <f t="shared" si="9"/>
        <v>12000</v>
      </c>
      <c r="H48" s="662">
        <f t="shared" si="9"/>
        <v>14960</v>
      </c>
      <c r="I48" s="662">
        <f t="shared" si="9"/>
        <v>0</v>
      </c>
      <c r="J48" s="662">
        <f t="shared" si="9"/>
        <v>0</v>
      </c>
      <c r="K48" s="662">
        <f t="shared" si="9"/>
        <v>120520</v>
      </c>
      <c r="L48" s="662"/>
      <c r="M48" s="662">
        <f>SUM(M41:M47)</f>
        <v>148800</v>
      </c>
      <c r="N48" s="662"/>
      <c r="O48" s="662">
        <f>SUM(O41:O47)</f>
        <v>0</v>
      </c>
      <c r="P48" s="662">
        <f>SUM(P41:P47)</f>
        <v>24400</v>
      </c>
      <c r="Q48" s="664">
        <f>SUM(Q41:Q47)</f>
        <v>5925</v>
      </c>
      <c r="R48" s="664">
        <f>SUM(R41:R47)</f>
        <v>0</v>
      </c>
      <c r="S48" s="664">
        <f>SUM(S41:S47)</f>
        <v>15900</v>
      </c>
      <c r="T48" s="662"/>
      <c r="U48" s="662"/>
      <c r="V48" s="668">
        <f>SUM(C48:P48)+T48</f>
        <v>415760</v>
      </c>
    </row>
    <row r="49" spans="1:22">
      <c r="C49" s="662"/>
      <c r="D49" s="662">
        <f>+SUM(D48:E48)</f>
        <v>95080</v>
      </c>
      <c r="E49" s="662"/>
      <c r="F49" s="662"/>
      <c r="G49" s="662"/>
      <c r="H49" s="662">
        <f>SUM(G48:H48)</f>
        <v>26960</v>
      </c>
      <c r="I49" s="662"/>
      <c r="J49" s="662"/>
      <c r="K49" s="662"/>
      <c r="L49" s="662"/>
      <c r="M49" s="662"/>
      <c r="N49" s="662"/>
      <c r="O49" s="662"/>
      <c r="P49" s="662"/>
      <c r="Q49" s="664"/>
      <c r="R49" s="664"/>
      <c r="S49" s="664"/>
      <c r="T49" s="662"/>
      <c r="U49" s="662"/>
      <c r="V49" s="662"/>
    </row>
    <row r="51" spans="1:22" s="15" customFormat="1" ht="30" customHeight="1">
      <c r="A51" s="15" t="s">
        <v>800</v>
      </c>
      <c r="B51" s="15" t="s">
        <v>815</v>
      </c>
      <c r="C51" s="658" t="s">
        <v>763</v>
      </c>
      <c r="D51" s="658" t="s">
        <v>764</v>
      </c>
      <c r="E51" s="658" t="s">
        <v>789</v>
      </c>
      <c r="F51" s="658" t="s">
        <v>766</v>
      </c>
      <c r="G51" s="658" t="s">
        <v>623</v>
      </c>
      <c r="H51" s="658" t="s">
        <v>297</v>
      </c>
      <c r="I51" s="658" t="s">
        <v>767</v>
      </c>
      <c r="J51" s="658" t="s">
        <v>768</v>
      </c>
      <c r="K51" s="658" t="s">
        <v>769</v>
      </c>
      <c r="L51" s="658" t="s">
        <v>770</v>
      </c>
      <c r="M51" s="658" t="s">
        <v>159</v>
      </c>
      <c r="N51" s="658" t="s">
        <v>212</v>
      </c>
      <c r="O51" s="658" t="s">
        <v>771</v>
      </c>
      <c r="P51" s="658" t="s">
        <v>772</v>
      </c>
      <c r="Q51" s="670" t="s">
        <v>773</v>
      </c>
      <c r="R51" s="670" t="s">
        <v>774</v>
      </c>
      <c r="S51" s="670" t="s">
        <v>775</v>
      </c>
      <c r="T51" s="658" t="s">
        <v>776</v>
      </c>
    </row>
    <row r="52" spans="1:22">
      <c r="A52" s="5" t="s">
        <v>816</v>
      </c>
      <c r="B52" s="5" t="s">
        <v>817</v>
      </c>
      <c r="C52" s="662"/>
      <c r="D52" s="662"/>
      <c r="E52" s="662">
        <f>3*5417+2708</f>
        <v>18959</v>
      </c>
      <c r="F52" s="662"/>
      <c r="G52" s="662">
        <v>2709</v>
      </c>
      <c r="H52" s="662"/>
      <c r="I52" s="662"/>
      <c r="J52" s="662"/>
      <c r="K52" s="662"/>
      <c r="L52" s="662"/>
      <c r="M52" s="662"/>
      <c r="N52" s="662"/>
      <c r="O52" s="662"/>
      <c r="P52" s="662"/>
      <c r="Q52" s="664"/>
      <c r="R52" s="664"/>
      <c r="S52" s="664"/>
      <c r="T52" s="662"/>
      <c r="U52" s="662"/>
      <c r="V52" s="662">
        <f t="shared" ref="V52:V59" si="10">SUM(C52:P52)+T52</f>
        <v>21668</v>
      </c>
    </row>
    <row r="53" spans="1:22">
      <c r="B53" s="5" t="s">
        <v>818</v>
      </c>
      <c r="C53" s="662"/>
      <c r="D53" s="662"/>
      <c r="E53" s="662"/>
      <c r="F53" s="662"/>
      <c r="G53" s="662"/>
      <c r="H53" s="662"/>
      <c r="I53" s="662"/>
      <c r="J53" s="662"/>
      <c r="K53" s="662"/>
      <c r="L53" s="662">
        <v>23692</v>
      </c>
      <c r="M53" s="662">
        <f>3*23692</f>
        <v>71076</v>
      </c>
      <c r="N53" s="662"/>
      <c r="O53" s="662"/>
      <c r="P53" s="662"/>
      <c r="Q53" s="664"/>
      <c r="R53" s="664"/>
      <c r="S53" s="664">
        <v>17271</v>
      </c>
      <c r="T53" s="662"/>
      <c r="U53" s="662"/>
      <c r="V53" s="662">
        <f t="shared" si="10"/>
        <v>94768</v>
      </c>
    </row>
    <row r="54" spans="1:22">
      <c r="B54" s="5" t="s">
        <v>819</v>
      </c>
      <c r="C54" s="662"/>
      <c r="D54" s="662"/>
      <c r="E54" s="662">
        <f>3246+4*9941</f>
        <v>43010</v>
      </c>
      <c r="F54" s="662"/>
      <c r="G54" s="662"/>
      <c r="H54" s="662">
        <v>12376</v>
      </c>
      <c r="I54" s="662"/>
      <c r="J54" s="662"/>
      <c r="K54" s="662"/>
      <c r="L54" s="662"/>
      <c r="M54" s="662"/>
      <c r="N54" s="662"/>
      <c r="O54" s="662"/>
      <c r="P54" s="662"/>
      <c r="Q54" s="664"/>
      <c r="R54" s="664">
        <v>5680</v>
      </c>
      <c r="S54" s="664"/>
      <c r="T54" s="662"/>
      <c r="U54" s="662"/>
      <c r="V54" s="662">
        <f t="shared" si="10"/>
        <v>55386</v>
      </c>
    </row>
    <row r="55" spans="1:22">
      <c r="B55" s="5" t="s">
        <v>820</v>
      </c>
      <c r="C55" s="662"/>
      <c r="D55" s="662"/>
      <c r="E55" s="662"/>
      <c r="F55" s="662"/>
      <c r="G55" s="662"/>
      <c r="H55" s="662">
        <v>11439</v>
      </c>
      <c r="I55" s="662"/>
      <c r="J55" s="662"/>
      <c r="K55" s="662"/>
      <c r="L55" s="662"/>
      <c r="M55" s="662">
        <f>3*11439</f>
        <v>34317</v>
      </c>
      <c r="N55" s="662"/>
      <c r="O55" s="662"/>
      <c r="P55" s="662"/>
      <c r="Q55" s="664"/>
      <c r="R55" s="664"/>
      <c r="S55" s="664"/>
      <c r="T55" s="662"/>
      <c r="U55" s="662"/>
      <c r="V55" s="662">
        <f t="shared" si="10"/>
        <v>45756</v>
      </c>
    </row>
    <row r="56" spans="1:22">
      <c r="A56" s="5" t="s">
        <v>816</v>
      </c>
      <c r="B56" s="5" t="s">
        <v>821</v>
      </c>
      <c r="C56" s="662"/>
      <c r="D56" s="662"/>
      <c r="E56" s="662">
        <f>2*9736+2709</f>
        <v>22181</v>
      </c>
      <c r="F56" s="662"/>
      <c r="G56" s="662">
        <v>7027</v>
      </c>
      <c r="H56" s="662"/>
      <c r="I56" s="662"/>
      <c r="J56" s="662"/>
      <c r="K56" s="662"/>
      <c r="L56" s="662"/>
      <c r="M56" s="662"/>
      <c r="N56" s="662"/>
      <c r="O56" s="662"/>
      <c r="P56" s="662"/>
      <c r="Q56" s="664"/>
      <c r="R56" s="664"/>
      <c r="S56" s="664"/>
      <c r="T56" s="662"/>
      <c r="U56" s="662"/>
      <c r="V56" s="662">
        <f t="shared" si="10"/>
        <v>29208</v>
      </c>
    </row>
    <row r="57" spans="1:22">
      <c r="B57" s="5" t="s">
        <v>822</v>
      </c>
      <c r="C57" s="662"/>
      <c r="D57" s="662"/>
      <c r="E57" s="662"/>
      <c r="F57" s="662"/>
      <c r="G57" s="662"/>
      <c r="H57" s="662"/>
      <c r="I57" s="662"/>
      <c r="J57" s="662"/>
      <c r="K57" s="662"/>
      <c r="L57" s="662"/>
      <c r="M57" s="662"/>
      <c r="N57" s="662"/>
      <c r="O57" s="662"/>
      <c r="P57" s="662"/>
      <c r="Q57" s="664">
        <v>9210</v>
      </c>
      <c r="R57" s="664"/>
      <c r="S57" s="664"/>
      <c r="T57" s="662"/>
      <c r="U57" s="662"/>
      <c r="V57" s="662">
        <f t="shared" si="10"/>
        <v>0</v>
      </c>
    </row>
    <row r="58" spans="1:22">
      <c r="A58" s="5" t="s">
        <v>823</v>
      </c>
      <c r="B58" s="309" t="s">
        <v>824</v>
      </c>
      <c r="C58" s="665"/>
      <c r="D58" s="665"/>
      <c r="E58" s="665"/>
      <c r="F58" s="665"/>
      <c r="G58" s="665"/>
      <c r="H58" s="665"/>
      <c r="I58" s="665"/>
      <c r="J58" s="665"/>
      <c r="K58" s="665"/>
      <c r="L58" s="665"/>
      <c r="M58" s="665"/>
      <c r="N58" s="665"/>
      <c r="O58" s="665"/>
      <c r="P58" s="665"/>
      <c r="Q58" s="666"/>
      <c r="R58" s="666">
        <v>15221</v>
      </c>
      <c r="S58" s="666"/>
      <c r="T58" s="665"/>
      <c r="U58" s="665"/>
      <c r="V58" s="662">
        <f t="shared" si="10"/>
        <v>0</v>
      </c>
    </row>
    <row r="59" spans="1:22">
      <c r="B59" s="5" t="s">
        <v>786</v>
      </c>
      <c r="C59" s="662">
        <f t="shared" ref="C59:M59" si="11">SUM(C52:C58)</f>
        <v>0</v>
      </c>
      <c r="D59" s="662">
        <f t="shared" si="11"/>
        <v>0</v>
      </c>
      <c r="E59" s="662">
        <f t="shared" si="11"/>
        <v>84150</v>
      </c>
      <c r="F59" s="662">
        <f t="shared" si="11"/>
        <v>0</v>
      </c>
      <c r="G59" s="662">
        <f t="shared" si="11"/>
        <v>9736</v>
      </c>
      <c r="H59" s="662">
        <f t="shared" si="11"/>
        <v>23815</v>
      </c>
      <c r="I59" s="662">
        <f t="shared" si="11"/>
        <v>0</v>
      </c>
      <c r="J59" s="662">
        <f t="shared" si="11"/>
        <v>0</v>
      </c>
      <c r="K59" s="662">
        <f t="shared" si="11"/>
        <v>0</v>
      </c>
      <c r="L59" s="662">
        <f t="shared" si="11"/>
        <v>23692</v>
      </c>
      <c r="M59" s="662">
        <f t="shared" si="11"/>
        <v>105393</v>
      </c>
      <c r="N59" s="662"/>
      <c r="O59" s="662">
        <f>SUM(O52:O58)</f>
        <v>0</v>
      </c>
      <c r="P59" s="662">
        <f>SUM(P52:P58)</f>
        <v>0</v>
      </c>
      <c r="Q59" s="664">
        <f>SUM(Q52:Q58)</f>
        <v>9210</v>
      </c>
      <c r="R59" s="664">
        <f>SUM(R52:R58)</f>
        <v>20901</v>
      </c>
      <c r="S59" s="664">
        <f>SUM(S52:S58)</f>
        <v>17271</v>
      </c>
      <c r="T59" s="662"/>
      <c r="U59" s="662"/>
      <c r="V59" s="668">
        <f t="shared" si="10"/>
        <v>246786</v>
      </c>
    </row>
    <row r="60" spans="1:22">
      <c r="C60" s="662"/>
      <c r="D60" s="662"/>
      <c r="E60" s="662"/>
      <c r="F60" s="662"/>
      <c r="G60" s="662">
        <f>+SUM(G59:H59)</f>
        <v>33551</v>
      </c>
      <c r="H60" s="662"/>
      <c r="I60" s="662"/>
      <c r="J60" s="662"/>
      <c r="K60" s="662"/>
      <c r="L60" s="662"/>
      <c r="M60" s="662">
        <f>+SUM(L59:M59)</f>
        <v>129085</v>
      </c>
      <c r="N60" s="662"/>
      <c r="O60" s="662"/>
      <c r="P60" s="662"/>
      <c r="Q60" s="664"/>
      <c r="R60" s="664"/>
      <c r="S60" s="664"/>
      <c r="T60" s="662"/>
      <c r="U60" s="662"/>
      <c r="V60" s="662"/>
    </row>
    <row r="62" spans="1:22" s="15" customFormat="1" ht="30" customHeight="1">
      <c r="B62" s="15" t="s">
        <v>825</v>
      </c>
      <c r="C62" s="677" t="s">
        <v>763</v>
      </c>
      <c r="D62" s="677" t="s">
        <v>764</v>
      </c>
      <c r="E62" s="677" t="s">
        <v>789</v>
      </c>
      <c r="F62" s="677" t="s">
        <v>766</v>
      </c>
      <c r="G62" s="677" t="s">
        <v>623</v>
      </c>
      <c r="H62" s="677" t="s">
        <v>297</v>
      </c>
      <c r="I62" s="677" t="s">
        <v>767</v>
      </c>
      <c r="J62" s="677" t="s">
        <v>768</v>
      </c>
      <c r="K62" s="677" t="s">
        <v>769</v>
      </c>
      <c r="L62" s="677" t="s">
        <v>770</v>
      </c>
      <c r="M62" s="677" t="s">
        <v>159</v>
      </c>
      <c r="N62" s="677" t="s">
        <v>212</v>
      </c>
      <c r="O62" s="677" t="s">
        <v>771</v>
      </c>
      <c r="P62" s="677" t="s">
        <v>772</v>
      </c>
      <c r="Q62" s="678" t="s">
        <v>773</v>
      </c>
      <c r="R62" s="678" t="s">
        <v>774</v>
      </c>
      <c r="S62" s="678" t="s">
        <v>775</v>
      </c>
      <c r="T62" s="677" t="s">
        <v>776</v>
      </c>
      <c r="U62" s="671"/>
      <c r="V62" s="671"/>
    </row>
    <row r="63" spans="1:22">
      <c r="A63" s="5" t="s">
        <v>826</v>
      </c>
      <c r="B63" s="5" t="s">
        <v>827</v>
      </c>
      <c r="C63" s="662"/>
      <c r="D63" s="662"/>
      <c r="E63" s="662"/>
      <c r="F63" s="662"/>
      <c r="G63" s="662"/>
      <c r="H63" s="662">
        <v>27300</v>
      </c>
      <c r="I63" s="662"/>
      <c r="J63" s="662"/>
      <c r="K63" s="662"/>
      <c r="L63" s="662">
        <f>3*15300</f>
        <v>45900</v>
      </c>
      <c r="M63" s="662">
        <f>6*21900+7*15300+8*43800+4*13350</f>
        <v>642300</v>
      </c>
      <c r="N63" s="662"/>
      <c r="O63" s="662"/>
      <c r="P63" s="662"/>
      <c r="Q63" s="664"/>
      <c r="R63" s="664">
        <v>26250</v>
      </c>
      <c r="S63" s="664">
        <v>15300</v>
      </c>
      <c r="T63" s="662">
        <f>3*30450+18450</f>
        <v>109800</v>
      </c>
      <c r="U63" s="662"/>
      <c r="V63" s="662">
        <f t="shared" ref="V63:V64" si="12">SUM(C63:P63)+T63</f>
        <v>825300</v>
      </c>
    </row>
    <row r="64" spans="1:22">
      <c r="B64" s="309" t="s">
        <v>828</v>
      </c>
      <c r="C64" s="665"/>
      <c r="D64" s="665"/>
      <c r="E64" s="665"/>
      <c r="F64" s="665"/>
      <c r="G64" s="665"/>
      <c r="H64" s="665"/>
      <c r="I64" s="665"/>
      <c r="J64" s="665"/>
      <c r="K64" s="665"/>
      <c r="L64" s="665"/>
      <c r="M64" s="665"/>
      <c r="N64" s="665"/>
      <c r="O64" s="665"/>
      <c r="P64" s="665"/>
      <c r="Q64" s="666">
        <v>25245</v>
      </c>
      <c r="R64" s="666"/>
      <c r="S64" s="666"/>
      <c r="T64" s="665"/>
      <c r="U64" s="665"/>
      <c r="V64" s="662">
        <f t="shared" si="12"/>
        <v>0</v>
      </c>
    </row>
    <row r="65" spans="2:22">
      <c r="B65" s="5" t="s">
        <v>786</v>
      </c>
      <c r="C65" s="662">
        <f t="shared" ref="C65:M65" si="13">SUM(C63:C64)</f>
        <v>0</v>
      </c>
      <c r="D65" s="662">
        <f t="shared" si="13"/>
        <v>0</v>
      </c>
      <c r="E65" s="662">
        <f t="shared" si="13"/>
        <v>0</v>
      </c>
      <c r="F65" s="662">
        <f t="shared" si="13"/>
        <v>0</v>
      </c>
      <c r="G65" s="662">
        <f t="shared" si="13"/>
        <v>0</v>
      </c>
      <c r="H65" s="662">
        <f t="shared" si="13"/>
        <v>27300</v>
      </c>
      <c r="I65" s="662">
        <f t="shared" si="13"/>
        <v>0</v>
      </c>
      <c r="J65" s="662">
        <f t="shared" si="13"/>
        <v>0</v>
      </c>
      <c r="K65" s="662">
        <f t="shared" si="13"/>
        <v>0</v>
      </c>
      <c r="L65" s="662">
        <f t="shared" si="13"/>
        <v>45900</v>
      </c>
      <c r="M65" s="662">
        <f t="shared" si="13"/>
        <v>642300</v>
      </c>
      <c r="N65" s="662"/>
      <c r="O65" s="662">
        <f t="shared" ref="O65:T65" si="14">SUM(O63:O64)</f>
        <v>0</v>
      </c>
      <c r="P65" s="662">
        <f t="shared" si="14"/>
        <v>0</v>
      </c>
      <c r="Q65" s="664">
        <f t="shared" si="14"/>
        <v>25245</v>
      </c>
      <c r="R65" s="664">
        <f t="shared" si="14"/>
        <v>26250</v>
      </c>
      <c r="S65" s="664">
        <f t="shared" si="14"/>
        <v>15300</v>
      </c>
      <c r="T65" s="662">
        <f t="shared" si="14"/>
        <v>109800</v>
      </c>
      <c r="U65" s="662"/>
      <c r="V65" s="668">
        <f>SUM(C65:P65)+T65</f>
        <v>825300</v>
      </c>
    </row>
    <row r="66" spans="2:22">
      <c r="C66" s="662"/>
      <c r="D66" s="662"/>
      <c r="E66" s="662"/>
      <c r="F66" s="662"/>
      <c r="G66" s="662"/>
      <c r="H66" s="662"/>
      <c r="I66" s="662"/>
      <c r="J66" s="662"/>
      <c r="K66" s="662"/>
      <c r="L66" s="662"/>
      <c r="M66" s="662">
        <f>+SUM(L65:M65)</f>
        <v>688200</v>
      </c>
      <c r="N66" s="662"/>
      <c r="O66" s="662"/>
      <c r="P66" s="662"/>
      <c r="Q66" s="664"/>
      <c r="R66" s="664"/>
      <c r="S66" s="664"/>
      <c r="T66" s="662"/>
      <c r="U66" s="662"/>
      <c r="V66" s="662"/>
    </row>
    <row r="68" spans="2:22" ht="30">
      <c r="B68" s="15" t="s">
        <v>829</v>
      </c>
      <c r="C68" s="659" t="s">
        <v>763</v>
      </c>
      <c r="D68" s="659" t="s">
        <v>764</v>
      </c>
      <c r="E68" s="659" t="s">
        <v>789</v>
      </c>
      <c r="F68" s="659" t="s">
        <v>766</v>
      </c>
      <c r="G68" s="659" t="s">
        <v>623</v>
      </c>
      <c r="H68" s="659" t="s">
        <v>297</v>
      </c>
      <c r="I68" s="659" t="s">
        <v>767</v>
      </c>
      <c r="J68" s="659" t="s">
        <v>768</v>
      </c>
      <c r="K68" s="659" t="s">
        <v>769</v>
      </c>
      <c r="L68" s="659" t="s">
        <v>770</v>
      </c>
      <c r="M68" s="659" t="s">
        <v>159</v>
      </c>
      <c r="N68" s="659" t="s">
        <v>212</v>
      </c>
      <c r="O68" s="659" t="s">
        <v>771</v>
      </c>
      <c r="P68" s="659" t="s">
        <v>772</v>
      </c>
      <c r="Q68" s="661" t="s">
        <v>773</v>
      </c>
      <c r="R68" s="661" t="s">
        <v>774</v>
      </c>
      <c r="S68" s="661" t="s">
        <v>775</v>
      </c>
      <c r="T68" s="659" t="s">
        <v>776</v>
      </c>
    </row>
    <row r="69" spans="2:22">
      <c r="B69" s="5" t="s">
        <v>830</v>
      </c>
      <c r="C69" s="662"/>
      <c r="D69" s="662">
        <f>6*11900+1800</f>
        <v>73200</v>
      </c>
      <c r="E69" s="662"/>
      <c r="F69" s="662"/>
      <c r="G69" s="662"/>
      <c r="H69" s="662">
        <v>10100</v>
      </c>
      <c r="I69" s="662"/>
      <c r="J69" s="662"/>
      <c r="K69" s="662"/>
      <c r="L69" s="662"/>
      <c r="M69" s="662"/>
      <c r="N69" s="662"/>
      <c r="O69" s="662"/>
      <c r="P69" s="662"/>
      <c r="Q69" s="664"/>
      <c r="R69" s="664"/>
      <c r="S69" s="664"/>
      <c r="T69" s="662"/>
      <c r="U69" s="662"/>
      <c r="V69" s="662">
        <f t="shared" ref="V69:V75" si="15">SUM(C69:P69)+T69</f>
        <v>83300</v>
      </c>
    </row>
    <row r="70" spans="2:22">
      <c r="B70" s="5" t="s">
        <v>831</v>
      </c>
      <c r="C70" s="662"/>
      <c r="D70" s="662"/>
      <c r="E70" s="662"/>
      <c r="F70" s="662"/>
      <c r="G70" s="662">
        <v>7200</v>
      </c>
      <c r="H70" s="662"/>
      <c r="I70" s="662"/>
      <c r="J70" s="662"/>
      <c r="K70" s="662"/>
      <c r="L70" s="662"/>
      <c r="M70" s="662"/>
      <c r="N70" s="662">
        <f>9*12100+18150+10950</f>
        <v>138000</v>
      </c>
      <c r="O70" s="662"/>
      <c r="P70" s="662"/>
      <c r="Q70" s="664"/>
      <c r="R70" s="664">
        <v>6050</v>
      </c>
      <c r="S70" s="664"/>
      <c r="T70" s="662"/>
      <c r="U70" s="662"/>
      <c r="V70" s="662">
        <f t="shared" si="15"/>
        <v>145200</v>
      </c>
    </row>
    <row r="71" spans="2:22">
      <c r="B71" s="5" t="s">
        <v>832</v>
      </c>
      <c r="C71" s="662"/>
      <c r="D71" s="662"/>
      <c r="E71" s="662"/>
      <c r="F71" s="662"/>
      <c r="G71" s="662">
        <v>8750</v>
      </c>
      <c r="H71" s="662"/>
      <c r="I71" s="662"/>
      <c r="J71" s="662"/>
      <c r="K71" s="662"/>
      <c r="L71" s="662"/>
      <c r="M71" s="662">
        <f>4*8750</f>
        <v>35000</v>
      </c>
      <c r="N71" s="662"/>
      <c r="O71" s="662"/>
      <c r="P71" s="662"/>
      <c r="Q71" s="664"/>
      <c r="R71" s="664"/>
      <c r="S71" s="664">
        <v>8750</v>
      </c>
      <c r="T71" s="662"/>
      <c r="U71" s="662"/>
      <c r="V71" s="662">
        <f t="shared" si="15"/>
        <v>43750</v>
      </c>
    </row>
    <row r="72" spans="2:22">
      <c r="B72" s="5" t="s">
        <v>833</v>
      </c>
      <c r="C72" s="662"/>
      <c r="D72" s="662"/>
      <c r="E72" s="662">
        <f>4*10500+4440</f>
        <v>46440</v>
      </c>
      <c r="F72" s="662"/>
      <c r="G72" s="662">
        <v>1600</v>
      </c>
      <c r="H72" s="662"/>
      <c r="I72" s="662"/>
      <c r="J72" s="662"/>
      <c r="K72" s="662"/>
      <c r="L72" s="662"/>
      <c r="M72" s="662">
        <f>2*16650+10610</f>
        <v>43910</v>
      </c>
      <c r="N72" s="662"/>
      <c r="O72" s="662"/>
      <c r="P72" s="662"/>
      <c r="Q72" s="664"/>
      <c r="R72" s="664">
        <v>3075</v>
      </c>
      <c r="S72" s="664">
        <v>3075</v>
      </c>
      <c r="T72" s="662"/>
      <c r="U72" s="662"/>
      <c r="V72" s="662">
        <f t="shared" si="15"/>
        <v>91950</v>
      </c>
    </row>
    <row r="73" spans="2:22">
      <c r="B73" s="5" t="s">
        <v>834</v>
      </c>
      <c r="C73" s="662"/>
      <c r="D73" s="662"/>
      <c r="E73" s="662">
        <f>4*7000+1191</f>
        <v>29191</v>
      </c>
      <c r="F73" s="662"/>
      <c r="G73" s="662"/>
      <c r="H73" s="662">
        <v>5809</v>
      </c>
      <c r="I73" s="662"/>
      <c r="J73" s="662"/>
      <c r="K73" s="662"/>
      <c r="L73" s="662"/>
      <c r="M73" s="662"/>
      <c r="N73" s="662"/>
      <c r="O73" s="662"/>
      <c r="P73" s="662"/>
      <c r="Q73" s="664"/>
      <c r="R73" s="664"/>
      <c r="S73" s="664"/>
      <c r="T73" s="662"/>
      <c r="U73" s="662"/>
      <c r="V73" s="662">
        <f t="shared" si="15"/>
        <v>35000</v>
      </c>
    </row>
    <row r="74" spans="2:22">
      <c r="B74" s="309" t="s">
        <v>835</v>
      </c>
      <c r="C74" s="665"/>
      <c r="D74" s="665"/>
      <c r="E74" s="665"/>
      <c r="F74" s="665"/>
      <c r="G74" s="665"/>
      <c r="H74" s="665"/>
      <c r="I74" s="665"/>
      <c r="J74" s="665"/>
      <c r="K74" s="665"/>
      <c r="L74" s="665"/>
      <c r="M74" s="665"/>
      <c r="N74" s="665"/>
      <c r="O74" s="665"/>
      <c r="P74" s="665"/>
      <c r="Q74" s="666">
        <v>20565</v>
      </c>
      <c r="R74" s="666"/>
      <c r="S74" s="666"/>
      <c r="T74" s="665"/>
      <c r="U74" s="665"/>
      <c r="V74" s="662">
        <f t="shared" si="15"/>
        <v>0</v>
      </c>
    </row>
    <row r="75" spans="2:22">
      <c r="B75" s="5" t="s">
        <v>786</v>
      </c>
      <c r="C75" s="662">
        <f t="shared" ref="C75:U75" si="16">SUM(C69:C74)</f>
        <v>0</v>
      </c>
      <c r="D75" s="662">
        <f t="shared" si="16"/>
        <v>73200</v>
      </c>
      <c r="E75" s="662">
        <f t="shared" si="16"/>
        <v>75631</v>
      </c>
      <c r="F75" s="662">
        <f t="shared" si="16"/>
        <v>0</v>
      </c>
      <c r="G75" s="662">
        <f t="shared" si="16"/>
        <v>17550</v>
      </c>
      <c r="H75" s="662">
        <f t="shared" si="16"/>
        <v>15909</v>
      </c>
      <c r="I75" s="662">
        <f t="shared" si="16"/>
        <v>0</v>
      </c>
      <c r="J75" s="662">
        <f t="shared" si="16"/>
        <v>0</v>
      </c>
      <c r="K75" s="662">
        <f t="shared" si="16"/>
        <v>0</v>
      </c>
      <c r="L75" s="662">
        <f t="shared" si="16"/>
        <v>0</v>
      </c>
      <c r="M75" s="662">
        <f t="shared" si="16"/>
        <v>78910</v>
      </c>
      <c r="N75" s="662">
        <f t="shared" si="16"/>
        <v>138000</v>
      </c>
      <c r="O75" s="662">
        <f t="shared" si="16"/>
        <v>0</v>
      </c>
      <c r="P75" s="662">
        <f t="shared" si="16"/>
        <v>0</v>
      </c>
      <c r="Q75" s="664">
        <f t="shared" si="16"/>
        <v>20565</v>
      </c>
      <c r="R75" s="664">
        <f t="shared" si="16"/>
        <v>9125</v>
      </c>
      <c r="S75" s="664">
        <f t="shared" si="16"/>
        <v>11825</v>
      </c>
      <c r="T75" s="662">
        <f t="shared" si="16"/>
        <v>0</v>
      </c>
      <c r="U75" s="662">
        <f t="shared" si="16"/>
        <v>0</v>
      </c>
      <c r="V75" s="668">
        <f t="shared" si="15"/>
        <v>399200</v>
      </c>
    </row>
    <row r="76" spans="2:22">
      <c r="C76" s="662"/>
      <c r="D76" s="662"/>
      <c r="E76" s="662"/>
      <c r="F76" s="662"/>
      <c r="G76" s="662"/>
      <c r="H76" s="662">
        <f>SUM(G75:H75)</f>
        <v>33459</v>
      </c>
      <c r="I76" s="662"/>
      <c r="J76" s="662"/>
      <c r="K76" s="662"/>
      <c r="L76" s="662"/>
      <c r="M76" s="662"/>
      <c r="N76" s="662"/>
      <c r="O76" s="662"/>
      <c r="P76" s="662"/>
      <c r="Q76" s="664"/>
      <c r="R76" s="664"/>
      <c r="S76" s="664"/>
      <c r="T76" s="662"/>
      <c r="U76" s="662"/>
      <c r="V76" s="662"/>
    </row>
    <row r="78" spans="2:22" s="15" customFormat="1" ht="30" customHeight="1">
      <c r="B78" s="15" t="s">
        <v>836</v>
      </c>
      <c r="C78" s="658" t="s">
        <v>763</v>
      </c>
      <c r="D78" s="658" t="s">
        <v>764</v>
      </c>
      <c r="E78" s="658" t="s">
        <v>789</v>
      </c>
      <c r="F78" s="658" t="s">
        <v>766</v>
      </c>
      <c r="G78" s="658" t="s">
        <v>623</v>
      </c>
      <c r="H78" s="658" t="s">
        <v>297</v>
      </c>
      <c r="I78" s="658" t="s">
        <v>767</v>
      </c>
      <c r="J78" s="658" t="s">
        <v>768</v>
      </c>
      <c r="K78" s="658" t="s">
        <v>769</v>
      </c>
      <c r="L78" s="658" t="s">
        <v>770</v>
      </c>
      <c r="M78" s="658" t="s">
        <v>159</v>
      </c>
      <c r="N78" s="658" t="s">
        <v>362</v>
      </c>
      <c r="O78" s="658" t="s">
        <v>771</v>
      </c>
      <c r="P78" s="658" t="s">
        <v>772</v>
      </c>
      <c r="Q78" s="670" t="s">
        <v>773</v>
      </c>
      <c r="R78" s="670" t="s">
        <v>774</v>
      </c>
      <c r="S78" s="670" t="s">
        <v>775</v>
      </c>
      <c r="T78" s="658" t="s">
        <v>776</v>
      </c>
    </row>
    <row r="79" spans="2:22">
      <c r="B79" s="5" t="s">
        <v>837</v>
      </c>
      <c r="C79" s="662"/>
      <c r="D79" s="662"/>
      <c r="E79" s="662">
        <f>5*4574+2739</f>
        <v>25609</v>
      </c>
      <c r="F79" s="662"/>
      <c r="G79" s="662">
        <v>1835</v>
      </c>
      <c r="H79" s="662"/>
      <c r="I79" s="662"/>
      <c r="J79" s="662"/>
      <c r="K79" s="662"/>
      <c r="L79" s="662"/>
      <c r="M79" s="662"/>
      <c r="N79" s="662"/>
      <c r="O79" s="662"/>
      <c r="P79" s="662"/>
      <c r="Q79" s="664"/>
      <c r="R79" s="664"/>
      <c r="S79" s="664"/>
      <c r="T79" s="662">
        <f>R82*2</f>
        <v>24452</v>
      </c>
      <c r="U79" s="662"/>
      <c r="V79" s="662">
        <f t="shared" ref="V79:V83" si="17">SUM(C79:P79)+T79</f>
        <v>51896</v>
      </c>
    </row>
    <row r="80" spans="2:22">
      <c r="B80" s="5" t="s">
        <v>838</v>
      </c>
      <c r="C80" s="662"/>
      <c r="D80" s="662"/>
      <c r="E80" s="662"/>
      <c r="F80" s="662"/>
      <c r="G80" s="662">
        <v>2400</v>
      </c>
      <c r="H80" s="662"/>
      <c r="I80" s="662"/>
      <c r="J80" s="662"/>
      <c r="K80" s="662"/>
      <c r="L80" s="662"/>
      <c r="M80" s="662">
        <v>73413</v>
      </c>
      <c r="N80" s="662">
        <v>68187</v>
      </c>
      <c r="O80" s="662"/>
      <c r="P80" s="662"/>
      <c r="Q80" s="664"/>
      <c r="R80" s="664"/>
      <c r="S80" s="664"/>
      <c r="T80" s="662"/>
      <c r="U80" s="662"/>
      <c r="V80" s="662">
        <f t="shared" si="17"/>
        <v>144000</v>
      </c>
    </row>
    <row r="81" spans="1:22">
      <c r="B81" s="5" t="s">
        <v>839</v>
      </c>
      <c r="C81" s="662"/>
      <c r="D81" s="662"/>
      <c r="E81" s="662"/>
      <c r="F81" s="662"/>
      <c r="G81" s="662">
        <v>3529</v>
      </c>
      <c r="H81" s="662"/>
      <c r="I81" s="662"/>
      <c r="J81" s="662"/>
      <c r="K81" s="662"/>
      <c r="L81" s="662"/>
      <c r="M81" s="662">
        <f>3*3529</f>
        <v>10587</v>
      </c>
      <c r="N81" s="662"/>
      <c r="O81" s="662"/>
      <c r="P81" s="662"/>
      <c r="Q81" s="664"/>
      <c r="R81" s="664"/>
      <c r="S81" s="664">
        <v>3529</v>
      </c>
      <c r="T81" s="662"/>
      <c r="U81" s="662"/>
      <c r="V81" s="662">
        <f t="shared" si="17"/>
        <v>14116</v>
      </c>
    </row>
    <row r="82" spans="1:22">
      <c r="A82" s="5" t="s">
        <v>823</v>
      </c>
      <c r="B82" s="5" t="s">
        <v>840</v>
      </c>
      <c r="C82" s="662"/>
      <c r="D82" s="662"/>
      <c r="E82" s="662"/>
      <c r="F82" s="662"/>
      <c r="G82" s="662"/>
      <c r="H82" s="662"/>
      <c r="I82" s="662"/>
      <c r="J82" s="662"/>
      <c r="K82" s="662"/>
      <c r="L82" s="662"/>
      <c r="M82" s="662"/>
      <c r="N82" s="662"/>
      <c r="O82" s="662"/>
      <c r="P82" s="662"/>
      <c r="Q82" s="664"/>
      <c r="R82" s="664">
        <v>12226</v>
      </c>
      <c r="S82" s="664"/>
      <c r="T82" s="662"/>
      <c r="U82" s="662"/>
      <c r="V82" s="662">
        <f t="shared" si="17"/>
        <v>0</v>
      </c>
    </row>
    <row r="83" spans="1:22">
      <c r="B83" s="309" t="s">
        <v>841</v>
      </c>
      <c r="C83" s="665"/>
      <c r="D83" s="665"/>
      <c r="E83" s="665"/>
      <c r="F83" s="665"/>
      <c r="G83" s="665"/>
      <c r="H83" s="665"/>
      <c r="I83" s="665"/>
      <c r="J83" s="665"/>
      <c r="K83" s="665"/>
      <c r="L83" s="665"/>
      <c r="M83" s="665"/>
      <c r="N83" s="665"/>
      <c r="O83" s="665"/>
      <c r="P83" s="665"/>
      <c r="Q83" s="666">
        <v>3529</v>
      </c>
      <c r="R83" s="666"/>
      <c r="S83" s="666"/>
      <c r="T83" s="665"/>
      <c r="U83" s="665"/>
      <c r="V83" s="662">
        <f t="shared" si="17"/>
        <v>0</v>
      </c>
    </row>
    <row r="84" spans="1:22">
      <c r="B84" s="5" t="s">
        <v>786</v>
      </c>
      <c r="C84" s="662">
        <f t="shared" ref="C84:U84" si="18">SUM(C79:C83)</f>
        <v>0</v>
      </c>
      <c r="D84" s="662">
        <f t="shared" si="18"/>
        <v>0</v>
      </c>
      <c r="E84" s="662">
        <f t="shared" si="18"/>
        <v>25609</v>
      </c>
      <c r="F84" s="662">
        <f t="shared" si="18"/>
        <v>0</v>
      </c>
      <c r="G84" s="662">
        <f t="shared" si="18"/>
        <v>7764</v>
      </c>
      <c r="H84" s="662">
        <f t="shared" si="18"/>
        <v>0</v>
      </c>
      <c r="I84" s="662">
        <f t="shared" si="18"/>
        <v>0</v>
      </c>
      <c r="J84" s="662">
        <f t="shared" si="18"/>
        <v>0</v>
      </c>
      <c r="K84" s="662">
        <f t="shared" si="18"/>
        <v>0</v>
      </c>
      <c r="L84" s="662">
        <f t="shared" si="18"/>
        <v>0</v>
      </c>
      <c r="M84" s="662">
        <f>SUM(M79:M83)</f>
        <v>84000</v>
      </c>
      <c r="N84" s="662">
        <f>SUM(N79:N83)</f>
        <v>68187</v>
      </c>
      <c r="O84" s="662">
        <f t="shared" si="18"/>
        <v>0</v>
      </c>
      <c r="P84" s="662">
        <f t="shared" si="18"/>
        <v>0</v>
      </c>
      <c r="Q84" s="664">
        <f t="shared" si="18"/>
        <v>3529</v>
      </c>
      <c r="R84" s="664">
        <f t="shared" si="18"/>
        <v>12226</v>
      </c>
      <c r="S84" s="664">
        <f t="shared" si="18"/>
        <v>3529</v>
      </c>
      <c r="T84" s="662">
        <f t="shared" si="18"/>
        <v>24452</v>
      </c>
      <c r="U84" s="662">
        <f t="shared" si="18"/>
        <v>0</v>
      </c>
      <c r="V84" s="668">
        <f>SUM(C84:P84)+T84</f>
        <v>210012</v>
      </c>
    </row>
    <row r="86" spans="1:22" ht="30">
      <c r="Q86" s="670" t="s">
        <v>773</v>
      </c>
      <c r="R86" s="670" t="s">
        <v>774</v>
      </c>
      <c r="S86" s="670" t="s">
        <v>775</v>
      </c>
    </row>
    <row r="87" spans="1:22">
      <c r="P87" s="5" t="s">
        <v>258</v>
      </c>
      <c r="Q87" s="664">
        <f>+SUM(Q84,Q75,Q65,Q59,Q48,Q37,Q23,Q10)</f>
        <v>121962</v>
      </c>
      <c r="R87" s="664">
        <f>+SUM(R84,R75,R65,R59,R48,R37,R23,R10)</f>
        <v>97961</v>
      </c>
      <c r="S87" s="664">
        <f>+SUM(S84,S75,S65,S59,S48,S37,S23,S10)</f>
        <v>98619</v>
      </c>
    </row>
    <row r="88" spans="1:22">
      <c r="B88" s="657"/>
      <c r="K88" s="5" t="s">
        <v>299</v>
      </c>
      <c r="L88" s="662">
        <f>+SUM(M23,M59,M65,M75,M84,M48)</f>
        <v>1075023</v>
      </c>
      <c r="P88" s="5" t="s">
        <v>174</v>
      </c>
      <c r="Q88" s="664">
        <f>+SUM(Q10,Q23,Q28,Q37,Q48)</f>
        <v>63413</v>
      </c>
      <c r="R88" s="664">
        <f>+SUM(R10,R23,R28,R37,R48)</f>
        <v>78059</v>
      </c>
      <c r="S88" s="664">
        <f>+SUM(S10,S23,S28,S37,S48)</f>
        <v>50694</v>
      </c>
      <c r="V88" s="679">
        <f>V10+V14+V23+V28+V37+V48+V59+V65+V75+V84</f>
        <v>2880987</v>
      </c>
    </row>
    <row r="89" spans="1:22">
      <c r="B89" s="657"/>
      <c r="K89" s="309" t="s">
        <v>687</v>
      </c>
      <c r="L89" s="665">
        <f>+SUM(L59,L65)</f>
        <v>69592</v>
      </c>
      <c r="P89" s="5" t="s">
        <v>175</v>
      </c>
      <c r="Q89" s="664">
        <f>+SUM(Q59,Q65)</f>
        <v>34455</v>
      </c>
      <c r="R89" s="664">
        <f>+SUM(R59,R65)</f>
        <v>47151</v>
      </c>
      <c r="S89" s="664">
        <f>+SUM(S59,S65)</f>
        <v>32571</v>
      </c>
    </row>
    <row r="90" spans="1:22">
      <c r="B90" s="657"/>
      <c r="K90" s="15" t="s">
        <v>351</v>
      </c>
      <c r="L90" s="671">
        <f>SUM(L88:L89)</f>
        <v>1144615</v>
      </c>
      <c r="P90" s="5" t="s">
        <v>176</v>
      </c>
      <c r="Q90" s="664">
        <f>+SUM(Q75,Q84)</f>
        <v>24094</v>
      </c>
      <c r="R90" s="664">
        <f>+SUM(R75,R84)</f>
        <v>21351</v>
      </c>
      <c r="S90" s="664">
        <f>+SUM(S75,S84)</f>
        <v>15354</v>
      </c>
    </row>
    <row r="91" spans="1:22">
      <c r="B91" s="657"/>
    </row>
    <row r="92" spans="1:22">
      <c r="B92" s="657"/>
    </row>
    <row r="93" spans="1:22">
      <c r="B93" s="657"/>
      <c r="K93" s="15" t="s">
        <v>842</v>
      </c>
      <c r="L93" s="15">
        <f>0.25*L88</f>
        <v>268755.75</v>
      </c>
    </row>
    <row r="94" spans="1:22">
      <c r="B94" s="657"/>
      <c r="K94" s="15" t="s">
        <v>299</v>
      </c>
      <c r="L94" s="671">
        <f>L88-L93</f>
        <v>806267.25</v>
      </c>
      <c r="N94" s="676">
        <f>12000+(3*17929)+(6*14400)</f>
        <v>152187</v>
      </c>
    </row>
    <row r="95" spans="1:22">
      <c r="B95" s="680"/>
      <c r="C95" s="15"/>
      <c r="D95" s="15"/>
      <c r="E95" s="15"/>
      <c r="F95" s="15"/>
      <c r="G95" s="15"/>
      <c r="K95" s="168" t="s">
        <v>687</v>
      </c>
      <c r="L95" s="681">
        <f>L89</f>
        <v>69592</v>
      </c>
      <c r="M95" s="5" t="s">
        <v>531</v>
      </c>
      <c r="N95" s="676">
        <v>68187</v>
      </c>
      <c r="O95" s="5" t="s">
        <v>843</v>
      </c>
    </row>
    <row r="96" spans="1:22">
      <c r="B96" s="657"/>
      <c r="K96" s="15" t="s">
        <v>258</v>
      </c>
      <c r="L96" s="682">
        <f>SUM(L93:L95)</f>
        <v>1144615</v>
      </c>
      <c r="M96" s="5" t="s">
        <v>343</v>
      </c>
      <c r="N96" s="676">
        <f>N94-N95</f>
        <v>84000</v>
      </c>
    </row>
    <row r="97" spans="2:31">
      <c r="B97" s="657"/>
    </row>
    <row r="98" spans="2:31">
      <c r="B98" s="657"/>
      <c r="M98" s="5" t="s">
        <v>844</v>
      </c>
      <c r="N98" s="5">
        <f>0.55*N95</f>
        <v>37502.850000000006</v>
      </c>
    </row>
    <row r="99" spans="2:31">
      <c r="B99" s="657"/>
      <c r="M99" s="309" t="s">
        <v>845</v>
      </c>
      <c r="N99" s="309">
        <f>0.9*N96</f>
        <v>75600</v>
      </c>
      <c r="AA99" s="5" t="s">
        <v>846</v>
      </c>
      <c r="AB99" s="178">
        <f ca="1">+Assumptions!M42</f>
        <v>134575</v>
      </c>
      <c r="AC99" s="178">
        <f ca="1">+Assumptions!N42</f>
        <v>43098</v>
      </c>
      <c r="AD99" s="178">
        <f ca="1">+Assumptions!O42</f>
        <v>79687</v>
      </c>
      <c r="AE99" s="178">
        <f ca="1">+Assumptions!P42</f>
        <v>11790</v>
      </c>
    </row>
    <row r="100" spans="2:31">
      <c r="B100" s="657"/>
      <c r="K100" s="5" t="s">
        <v>847</v>
      </c>
      <c r="L100" s="662">
        <f>+SUM(M23,M48)</f>
        <v>164420</v>
      </c>
      <c r="M100" s="15" t="s">
        <v>848</v>
      </c>
      <c r="N100" s="683">
        <f>SUM(N98:N99)</f>
        <v>113102.85</v>
      </c>
      <c r="AA100" s="5" t="s">
        <v>160</v>
      </c>
      <c r="AB100" s="178">
        <f ca="1">+Assumptions!M43</f>
        <v>216496</v>
      </c>
      <c r="AC100" s="178">
        <f ca="1">+Assumptions!N43</f>
        <v>112603</v>
      </c>
      <c r="AD100" s="178">
        <f ca="1">+Assumptions!O43</f>
        <v>64646</v>
      </c>
      <c r="AE100" s="178">
        <f ca="1">+Assumptions!P43</f>
        <v>39247</v>
      </c>
    </row>
    <row r="102" spans="2:31">
      <c r="B102" s="657"/>
      <c r="M102" s="5" t="s">
        <v>849</v>
      </c>
      <c r="N102" s="165">
        <f>N100/N94</f>
        <v>0.74318338622878433</v>
      </c>
    </row>
    <row r="104" spans="2:31">
      <c r="K104" s="5" t="s">
        <v>850</v>
      </c>
    </row>
    <row r="105" spans="2:31">
      <c r="AA105" s="5" t="s">
        <v>851</v>
      </c>
      <c r="AB105" s="170">
        <f ca="1">+SUM(AC105:AE105)</f>
        <v>21682331.495381329</v>
      </c>
      <c r="AC105" s="170">
        <f ca="1">AC99*Assumptions!N109</f>
        <v>6496470.2041618554</v>
      </c>
      <c r="AD105" s="170">
        <f ca="1">AD99*Assumptions!O109</f>
        <v>13125609.67874288</v>
      </c>
      <c r="AE105" s="170">
        <f ca="1">AE99*Assumptions!P109</f>
        <v>2060251.6124765943</v>
      </c>
    </row>
    <row r="106" spans="2:31">
      <c r="AA106" s="5" t="s">
        <v>852</v>
      </c>
      <c r="AB106" s="170">
        <f ca="1">++SUM(AC106:AE106)</f>
        <v>8074.5</v>
      </c>
      <c r="AC106" s="170">
        <f ca="1">0.06*AC99</f>
        <v>2585.88</v>
      </c>
      <c r="AD106" s="170">
        <f t="shared" ref="AD106:AE106" ca="1" si="19">0.06*AD99</f>
        <v>4781.22</v>
      </c>
      <c r="AE106" s="170">
        <f t="shared" ca="1" si="19"/>
        <v>707.4</v>
      </c>
    </row>
    <row r="107" spans="2:31">
      <c r="AB107" s="684">
        <f ca="1">SUM(AB105:AB106)</f>
        <v>21690405.995381329</v>
      </c>
      <c r="AC107" s="684">
        <f t="shared" ref="AC107:AE107" ca="1" si="20">SUM(AC105:AC106)</f>
        <v>6499056.0841618553</v>
      </c>
      <c r="AD107" s="684">
        <f t="shared" ca="1" si="20"/>
        <v>13130390.898742881</v>
      </c>
      <c r="AE107" s="684">
        <f t="shared" ca="1" si="20"/>
        <v>2060959.0124765942</v>
      </c>
    </row>
    <row r="110" spans="2:31">
      <c r="AA110" s="5" t="s">
        <v>853</v>
      </c>
      <c r="AB110" s="170">
        <f ca="1">+SUM(AC110:AE110)</f>
        <v>28678572.794781279</v>
      </c>
      <c r="AC110" s="170">
        <f ca="1">+AC100*Assumptions!N$110</f>
        <v>14117656.428335773</v>
      </c>
      <c r="AD110" s="170">
        <f ca="1">+AD100*Assumptions!O$110</f>
        <v>8856578.5603916608</v>
      </c>
      <c r="AE110" s="170">
        <f ca="1">+AE100*Assumptions!P$110</f>
        <v>5704337.8060538424</v>
      </c>
    </row>
    <row r="111" spans="2:31">
      <c r="AA111" s="5" t="s">
        <v>854</v>
      </c>
      <c r="AB111" s="170">
        <f ca="1">+SUM(AC111:AE111)</f>
        <v>12989.759999999998</v>
      </c>
      <c r="AC111" s="170">
        <f ca="1">0.06*AC100</f>
        <v>6756.1799999999994</v>
      </c>
      <c r="AD111" s="170">
        <f t="shared" ref="AD111:AE111" ca="1" si="21">0.06*AD100</f>
        <v>3878.7599999999998</v>
      </c>
      <c r="AE111" s="170">
        <f t="shared" ca="1" si="21"/>
        <v>2354.8199999999997</v>
      </c>
    </row>
    <row r="112" spans="2:31">
      <c r="AB112" s="684">
        <f ca="1">SUM(AB110:AB111)</f>
        <v>28691562.55478128</v>
      </c>
      <c r="AC112" s="684">
        <f t="shared" ref="AC112:AE112" ca="1" si="22">SUM(AC110:AC111)</f>
        <v>14124412.608335773</v>
      </c>
      <c r="AD112" s="684">
        <f t="shared" ca="1" si="22"/>
        <v>8860457.3203916606</v>
      </c>
      <c r="AE112" s="684">
        <f t="shared" ca="1" si="22"/>
        <v>5706692.6260538427</v>
      </c>
    </row>
  </sheetData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7D0D48330F6CE4FB6B3AE62FA39CE46" ma:contentTypeVersion="13" ma:contentTypeDescription="Create a new document." ma:contentTypeScope="" ma:versionID="f32cc034c3758f9fd30b54e541e82f85">
  <xsd:schema xmlns:xsd="http://www.w3.org/2001/XMLSchema" xmlns:xs="http://www.w3.org/2001/XMLSchema" xmlns:p="http://schemas.microsoft.com/office/2006/metadata/properties" xmlns:ns2="07832773-9414-42b9-95c3-36a558d8f74c" xmlns:ns3="9f6012f1-210b-47d8-98a5-79507b18255d" targetNamespace="http://schemas.microsoft.com/office/2006/metadata/properties" ma:root="true" ma:fieldsID="e2d3c521a65e7e39ac94d6cca4bf610c" ns2:_="" ns3:_="">
    <xsd:import namespace="07832773-9414-42b9-95c3-36a558d8f74c"/>
    <xsd:import namespace="9f6012f1-210b-47d8-98a5-79507b18255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OCR" minOccurs="0"/>
                <xsd:element ref="ns3:SharedWithUsers" minOccurs="0"/>
                <xsd:element ref="ns3:SharedWithDetail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832773-9414-42b9-95c3-36a558d8f74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6012f1-210b-47d8-98a5-79507b18255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2A952C43-1EB8-47F5-ADA2-1741E3581EA3}"/>
</file>

<file path=customXml/itemProps2.xml><?xml version="1.0" encoding="utf-8"?>
<ds:datastoreItem xmlns:ds="http://schemas.openxmlformats.org/officeDocument/2006/customXml" ds:itemID="{EC78B80F-C756-4D4E-A114-FEC36279AE07}"/>
</file>

<file path=customXml/itemProps3.xml><?xml version="1.0" encoding="utf-8"?>
<ds:datastoreItem xmlns:ds="http://schemas.openxmlformats.org/officeDocument/2006/customXml" ds:itemID="{EE29A7BF-FC40-4A0A-B2D7-855A0626E23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asovc</dc:creator>
  <cp:keywords/>
  <dc:description/>
  <cp:lastModifiedBy>Sarah Kraatz</cp:lastModifiedBy>
  <cp:revision/>
  <dcterms:created xsi:type="dcterms:W3CDTF">2020-11-19T23:01:23Z</dcterms:created>
  <dcterms:modified xsi:type="dcterms:W3CDTF">2022-01-27T18:40:09Z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0x01010007D0D48330F6CE4FB6B3AE62FA39CE46</vt:lpwstr>
  </property>
</Properties>
</file>